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codeName="{B08E4597-CF32-672E-EC9B-63DB714DCB7F}"/>
  <workbookPr date1904="1" codeName="ThisWorkbook" defaultThemeVersion="124226"/>
  <mc:AlternateContent xmlns:mc="http://schemas.openxmlformats.org/markup-compatibility/2006">
    <mc:Choice Requires="x15">
      <x15ac:absPath xmlns:x15ac="http://schemas.microsoft.com/office/spreadsheetml/2010/11/ac" url="C:\Users\parit\Desktop\Forum\"/>
    </mc:Choice>
  </mc:AlternateContent>
  <xr:revisionPtr revIDLastSave="0" documentId="13_ncr:1_{B1372DB9-F01D-451A-89DD-D84073CF01C6}" xr6:coauthVersionLast="45" xr6:coauthVersionMax="45" xr10:uidLastSave="{00000000-0000-0000-0000-000000000000}"/>
  <workbookProtection workbookPassword="CE45" lockStructure="1"/>
  <bookViews>
    <workbookView xWindow="-120" yWindow="-120" windowWidth="29040" windowHeight="15840" tabRatio="453" activeTab="8" xr2:uid="{00000000-000D-0000-FFFF-FFFF00000000}"/>
  </bookViews>
  <sheets>
    <sheet name="Procédure" sheetId="14" r:id="rId1"/>
    <sheet name="Paramétrage" sheetId="12" r:id="rId2"/>
    <sheet name="période1" sheetId="18" state="hidden" r:id="rId3"/>
    <sheet name="période2" sheetId="19" state="hidden" r:id="rId4"/>
    <sheet name="annualisation" sheetId="1" r:id="rId5"/>
    <sheet name="T1" sheetId="5" r:id="rId6"/>
    <sheet name="T2" sheetId="6" r:id="rId7"/>
    <sheet name="T3" sheetId="7" r:id="rId8"/>
    <sheet name="T4" sheetId="8" r:id="rId9"/>
    <sheet name="Récap mensuel fiche paie" sheetId="15" r:id="rId10"/>
    <sheet name="Versions" sheetId="17" state="hidden" r:id="rId11"/>
    <sheet name="Récap annuel" sheetId="13" state="hidden" r:id="rId12"/>
  </sheets>
  <definedNames>
    <definedName name="_xlnm.Print_Titles" localSheetId="5">'T1'!$1:$2</definedName>
    <definedName name="_xlnm.Print_Titles" localSheetId="6">'T2'!$1:$2</definedName>
    <definedName name="_xlnm.Print_Titles" localSheetId="7">'T3'!$1:$2</definedName>
    <definedName name="_xlnm.Print_Titles" localSheetId="8">'T4'!$1:$2</definedName>
    <definedName name="tab_calc" localSheetId="1">Paramétrage!$K$4:$O$354</definedName>
    <definedName name="tab_calc2">Paramétrage!$BN$4:$BW$371</definedName>
    <definedName name="tab_ferie">Paramétrage!$C$19:$K$23</definedName>
    <definedName name="tab_ferie2">Paramétrage!$B$33:$E$34</definedName>
    <definedName name="tab_nb">Paramétrage!$BM$4:$BN$11</definedName>
    <definedName name="tab_pbasse">Paramétrage!$AJ$43:$AK$51</definedName>
    <definedName name="tab_phaute">Paramétrage!$AJ$34:$AK$42</definedName>
    <definedName name="tab_recap">'T1'!$AC$6:$AE$636</definedName>
    <definedName name="tab_recappaie">'T1'!$AC$6:$AG$636</definedName>
    <definedName name="tab_total">'T1'!$AC$6:$AJ$636</definedName>
    <definedName name="tab_vacances">Paramétrage!$AM$9:$AQ$78</definedName>
    <definedName name="_xlnm.Print_Area" localSheetId="4">annualisation!$A$1:$AC$88</definedName>
    <definedName name="_xlnm.Print_Area" localSheetId="1">Paramétrage!$A$1:$AI$62</definedName>
    <definedName name="_xlnm.Print_Area" localSheetId="11">'Récap annuel'!$A$1:$AJ$56</definedName>
    <definedName name="_xlnm.Print_Area" localSheetId="9">'Récap mensuel fiche paie'!$A$1:$J$16</definedName>
    <definedName name="_xlnm.Print_Area" localSheetId="8">'T4'!$A$1:$AA$193</definedName>
  </definedNames>
  <calcPr calcId="18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6" i="8" l="1"/>
  <c r="C4" i="15" l="1"/>
  <c r="E13" i="15"/>
  <c r="AA38" i="12" l="1"/>
  <c r="AA45" i="12" l="1"/>
  <c r="O78" i="1" l="1"/>
  <c r="I78" i="1"/>
  <c r="L12" i="5"/>
  <c r="J12" i="5"/>
  <c r="H12" i="5"/>
  <c r="F12" i="5"/>
  <c r="D12" i="5"/>
  <c r="B12" i="5"/>
  <c r="L11" i="5"/>
  <c r="J11" i="5"/>
  <c r="H11" i="5"/>
  <c r="F11" i="5"/>
  <c r="D11" i="5"/>
  <c r="B11" i="5"/>
  <c r="L10" i="5"/>
  <c r="J10" i="5"/>
  <c r="H10" i="5"/>
  <c r="F10" i="5"/>
  <c r="D10" i="5"/>
  <c r="B10" i="5"/>
  <c r="L9" i="5"/>
  <c r="J9" i="5"/>
  <c r="H9" i="5"/>
  <c r="F9" i="5"/>
  <c r="D9" i="5"/>
  <c r="B9" i="5"/>
  <c r="L8" i="5"/>
  <c r="J8" i="5"/>
  <c r="H8" i="5"/>
  <c r="F8" i="5"/>
  <c r="D8" i="5"/>
  <c r="B8" i="5"/>
  <c r="L7" i="5"/>
  <c r="J7" i="5"/>
  <c r="H7" i="5"/>
  <c r="F7" i="5"/>
  <c r="D7" i="5"/>
  <c r="B7" i="5"/>
  <c r="L6" i="5"/>
  <c r="J6" i="5"/>
  <c r="H6" i="5"/>
  <c r="F6" i="5"/>
  <c r="D6" i="5"/>
  <c r="B6" i="5"/>
  <c r="D13" i="15"/>
  <c r="H6" i="15" s="1"/>
  <c r="A172" i="8" l="1"/>
  <c r="A170" i="8"/>
  <c r="A184" i="7"/>
  <c r="A182" i="7"/>
  <c r="A172" i="5"/>
  <c r="A170" i="5"/>
  <c r="A172" i="6"/>
  <c r="BZ3" i="18"/>
  <c r="AF6" i="18"/>
  <c r="BJ26" i="18" s="1"/>
  <c r="G7" i="18"/>
  <c r="M7" i="18" s="1"/>
  <c r="AO7" i="18"/>
  <c r="AP7" i="18"/>
  <c r="AQ7" i="18"/>
  <c r="BZ3" i="19"/>
  <c r="G7" i="19"/>
  <c r="M7" i="19" s="1"/>
  <c r="AO7" i="19"/>
  <c r="AP7" i="19"/>
  <c r="AQ7" i="19"/>
  <c r="AM8" i="18"/>
  <c r="AN8" i="18"/>
  <c r="AN9" i="18" s="1"/>
  <c r="AO8" i="18"/>
  <c r="AO9" i="18" s="1"/>
  <c r="AO10" i="18" s="1"/>
  <c r="AO11" i="18" s="1"/>
  <c r="AP8" i="18"/>
  <c r="AP9" i="18" s="1"/>
  <c r="AP10" i="18" s="1"/>
  <c r="AP11" i="18" s="1"/>
  <c r="AP12" i="18" s="1"/>
  <c r="AP15" i="18" s="1"/>
  <c r="AP17" i="18" s="1"/>
  <c r="AP18" i="18" s="1"/>
  <c r="AP19" i="18" s="1"/>
  <c r="AP20" i="18" s="1"/>
  <c r="AP21" i="18" s="1"/>
  <c r="AP22" i="18" s="1"/>
  <c r="AP23" i="18" s="1"/>
  <c r="AP24" i="18" s="1"/>
  <c r="AP25" i="18" s="1"/>
  <c r="AP26" i="18" s="1"/>
  <c r="AP27" i="18" s="1"/>
  <c r="AP28" i="18" s="1"/>
  <c r="AP29" i="18" s="1"/>
  <c r="AP30" i="18" s="1"/>
  <c r="AP31" i="18" s="1"/>
  <c r="AP32" i="18" s="1"/>
  <c r="AP33" i="18" s="1"/>
  <c r="AP34" i="18" s="1"/>
  <c r="AP35" i="18" s="1"/>
  <c r="AP36" i="18" s="1"/>
  <c r="AP37" i="18" s="1"/>
  <c r="AP38" i="18" s="1"/>
  <c r="AP39" i="18" s="1"/>
  <c r="AP40" i="18" s="1"/>
  <c r="AP41" i="18" s="1"/>
  <c r="AP42" i="18" s="1"/>
  <c r="AP43" i="18" s="1"/>
  <c r="AP44" i="18" s="1"/>
  <c r="AP45" i="18" s="1"/>
  <c r="AP46" i="18" s="1"/>
  <c r="AP47" i="18" s="1"/>
  <c r="AP48" i="18" s="1"/>
  <c r="AP49" i="18" s="1"/>
  <c r="AP50" i="18" s="1"/>
  <c r="AP51" i="18" s="1"/>
  <c r="AP52" i="18" s="1"/>
  <c r="AP53" i="18" s="1"/>
  <c r="AP54" i="18" s="1"/>
  <c r="AP55" i="18" s="1"/>
  <c r="AP56" i="18" s="1"/>
  <c r="AP57" i="18" s="1"/>
  <c r="AP58" i="18" s="1"/>
  <c r="AP59" i="18" s="1"/>
  <c r="AP60" i="18" s="1"/>
  <c r="AP61" i="18" s="1"/>
  <c r="AP62" i="18" s="1"/>
  <c r="AP63" i="18" s="1"/>
  <c r="AP64" i="18" s="1"/>
  <c r="AP65" i="18" s="1"/>
  <c r="AP66" i="18" s="1"/>
  <c r="AP67" i="18" s="1"/>
  <c r="AP68" i="18" s="1"/>
  <c r="AP69" i="18" s="1"/>
  <c r="AP70" i="18" s="1"/>
  <c r="AP71" i="18" s="1"/>
  <c r="AP72" i="18" s="1"/>
  <c r="AP73" i="18" s="1"/>
  <c r="AP74" i="18" s="1"/>
  <c r="AP75" i="18" s="1"/>
  <c r="AP76" i="18" s="1"/>
  <c r="AP77" i="18" s="1"/>
  <c r="AQ8" i="18"/>
  <c r="AM9" i="18"/>
  <c r="AM10" i="18" s="1"/>
  <c r="AM11" i="18" s="1"/>
  <c r="AM12" i="18" s="1"/>
  <c r="AM15" i="18" s="1"/>
  <c r="AM17" i="18" s="1"/>
  <c r="AM18" i="18" s="1"/>
  <c r="AM19" i="18" s="1"/>
  <c r="AM20" i="18" s="1"/>
  <c r="AM21" i="18" s="1"/>
  <c r="AM22" i="18" s="1"/>
  <c r="AM23" i="18" s="1"/>
  <c r="AM24" i="18" s="1"/>
  <c r="AM25" i="18" s="1"/>
  <c r="AM26" i="18" s="1"/>
  <c r="AM27" i="18" s="1"/>
  <c r="AM28" i="18" s="1"/>
  <c r="AM29" i="18" s="1"/>
  <c r="AM30" i="18" s="1"/>
  <c r="AM31" i="18" s="1"/>
  <c r="AM32" i="18" s="1"/>
  <c r="AM33" i="18" s="1"/>
  <c r="AM34" i="18" s="1"/>
  <c r="AM35" i="18" s="1"/>
  <c r="AM36" i="18" s="1"/>
  <c r="AM37" i="18" s="1"/>
  <c r="AM38" i="18" s="1"/>
  <c r="AM39" i="18" s="1"/>
  <c r="AM40" i="18" s="1"/>
  <c r="AM41" i="18" s="1"/>
  <c r="AM42" i="18" s="1"/>
  <c r="AM43" i="18" s="1"/>
  <c r="AM44" i="18" s="1"/>
  <c r="AM45" i="18" s="1"/>
  <c r="AM46" i="18" s="1"/>
  <c r="AM47" i="18" s="1"/>
  <c r="AM48" i="18" s="1"/>
  <c r="AM49" i="18" s="1"/>
  <c r="AM50" i="18" s="1"/>
  <c r="AM51" i="18" s="1"/>
  <c r="AM52" i="18" s="1"/>
  <c r="AM53" i="18" s="1"/>
  <c r="AM54" i="18" s="1"/>
  <c r="AM55" i="18" s="1"/>
  <c r="AM56" i="18" s="1"/>
  <c r="AM57" i="18" s="1"/>
  <c r="AM58" i="18" s="1"/>
  <c r="AM59" i="18" s="1"/>
  <c r="AM60" i="18" s="1"/>
  <c r="AM61" i="18" s="1"/>
  <c r="AM62" i="18" s="1"/>
  <c r="AM63" i="18" s="1"/>
  <c r="AM64" i="18" s="1"/>
  <c r="AM65" i="18" s="1"/>
  <c r="AM66" i="18" s="1"/>
  <c r="AM67" i="18" s="1"/>
  <c r="AM68" i="18" s="1"/>
  <c r="AM69" i="18" s="1"/>
  <c r="AM70" i="18" s="1"/>
  <c r="AM71" i="18" s="1"/>
  <c r="AM72" i="18" s="1"/>
  <c r="AM73" i="18" s="1"/>
  <c r="AM74" i="18" s="1"/>
  <c r="AM75" i="18" s="1"/>
  <c r="AM76" i="18" s="1"/>
  <c r="AM77" i="18" s="1"/>
  <c r="AQ9" i="18"/>
  <c r="AQ10" i="18" s="1"/>
  <c r="AQ11" i="18" s="1"/>
  <c r="AQ12" i="18" s="1"/>
  <c r="AQ15" i="18" s="1"/>
  <c r="AQ17" i="18" s="1"/>
  <c r="AQ18" i="18" s="1"/>
  <c r="AQ19" i="18" s="1"/>
  <c r="AQ20" i="18" s="1"/>
  <c r="AQ21" i="18" s="1"/>
  <c r="AQ22" i="18" s="1"/>
  <c r="AQ23" i="18" s="1"/>
  <c r="AQ24" i="18" s="1"/>
  <c r="AQ25" i="18" s="1"/>
  <c r="AQ26" i="18" s="1"/>
  <c r="AQ27" i="18" s="1"/>
  <c r="AQ28" i="18" s="1"/>
  <c r="AQ29" i="18" s="1"/>
  <c r="AQ30" i="18" s="1"/>
  <c r="AQ31" i="18" s="1"/>
  <c r="AQ32" i="18" s="1"/>
  <c r="AQ33" i="18" s="1"/>
  <c r="AQ34" i="18" s="1"/>
  <c r="AQ35" i="18" s="1"/>
  <c r="AQ36" i="18" s="1"/>
  <c r="AQ37" i="18" s="1"/>
  <c r="AQ38" i="18" s="1"/>
  <c r="AQ39" i="18" s="1"/>
  <c r="AQ40" i="18" s="1"/>
  <c r="AQ41" i="18" s="1"/>
  <c r="AQ42" i="18" s="1"/>
  <c r="AQ43" i="18" s="1"/>
  <c r="AQ44" i="18" s="1"/>
  <c r="AQ45" i="18" s="1"/>
  <c r="AQ46" i="18" s="1"/>
  <c r="AQ47" i="18" s="1"/>
  <c r="AQ48" i="18" s="1"/>
  <c r="AQ49" i="18" s="1"/>
  <c r="AQ50" i="18" s="1"/>
  <c r="AQ51" i="18" s="1"/>
  <c r="AQ52" i="18" s="1"/>
  <c r="AQ53" i="18" s="1"/>
  <c r="AQ54" i="18" s="1"/>
  <c r="AQ55" i="18" s="1"/>
  <c r="AQ56" i="18" s="1"/>
  <c r="AQ57" i="18" s="1"/>
  <c r="AQ58" i="18" s="1"/>
  <c r="AQ59" i="18" s="1"/>
  <c r="AQ60" i="18" s="1"/>
  <c r="AQ61" i="18" s="1"/>
  <c r="AQ62" i="18" s="1"/>
  <c r="AQ63" i="18" s="1"/>
  <c r="AQ64" i="18" s="1"/>
  <c r="AQ65" i="18" s="1"/>
  <c r="AQ66" i="18" s="1"/>
  <c r="AQ67" i="18" s="1"/>
  <c r="AQ68" i="18" s="1"/>
  <c r="AQ69" i="18" s="1"/>
  <c r="AQ70" i="18" s="1"/>
  <c r="AQ71" i="18" s="1"/>
  <c r="AQ72" i="18" s="1"/>
  <c r="AQ73" i="18" s="1"/>
  <c r="AQ74" i="18" s="1"/>
  <c r="AQ75" i="18" s="1"/>
  <c r="AQ76" i="18" s="1"/>
  <c r="AQ77" i="18" s="1"/>
  <c r="AN10" i="18"/>
  <c r="AN11" i="18" s="1"/>
  <c r="AN12" i="18" s="1"/>
  <c r="AN15" i="18" s="1"/>
  <c r="AN17" i="18" s="1"/>
  <c r="AN18" i="18" s="1"/>
  <c r="AN19" i="18" s="1"/>
  <c r="AN20" i="18" s="1"/>
  <c r="AN21" i="18" s="1"/>
  <c r="AN22" i="18" s="1"/>
  <c r="AN23" i="18" s="1"/>
  <c r="AN24" i="18" s="1"/>
  <c r="AN25" i="18" s="1"/>
  <c r="AN26" i="18" s="1"/>
  <c r="AN27" i="18" s="1"/>
  <c r="AN28" i="18" s="1"/>
  <c r="AN29" i="18" s="1"/>
  <c r="AN30" i="18" s="1"/>
  <c r="AN31" i="18" s="1"/>
  <c r="AN32" i="18" s="1"/>
  <c r="AN33" i="18" s="1"/>
  <c r="AN34" i="18" s="1"/>
  <c r="AN35" i="18" s="1"/>
  <c r="AN36" i="18" s="1"/>
  <c r="AN37" i="18" s="1"/>
  <c r="AN38" i="18" s="1"/>
  <c r="AN39" i="18" s="1"/>
  <c r="AN40" i="18" s="1"/>
  <c r="AN41" i="18" s="1"/>
  <c r="AN42" i="18" s="1"/>
  <c r="AN43" i="18" s="1"/>
  <c r="AN44" i="18" s="1"/>
  <c r="AN45" i="18" s="1"/>
  <c r="AN46" i="18" s="1"/>
  <c r="AN47" i="18" s="1"/>
  <c r="AN48" i="18" s="1"/>
  <c r="AN49" i="18" s="1"/>
  <c r="AN50" i="18" s="1"/>
  <c r="AN51" i="18" s="1"/>
  <c r="AN52" i="18" s="1"/>
  <c r="AN53" i="18" s="1"/>
  <c r="AN54" i="18" s="1"/>
  <c r="AN55" i="18" s="1"/>
  <c r="AN56" i="18" s="1"/>
  <c r="AN57" i="18" s="1"/>
  <c r="AN58" i="18" s="1"/>
  <c r="AN59" i="18" s="1"/>
  <c r="AN60" i="18" s="1"/>
  <c r="AN61" i="18" s="1"/>
  <c r="AN62" i="18" s="1"/>
  <c r="AN63" i="18" s="1"/>
  <c r="AN64" i="18" s="1"/>
  <c r="AN65" i="18" s="1"/>
  <c r="AN66" i="18" s="1"/>
  <c r="AN67" i="18" s="1"/>
  <c r="AN68" i="18" s="1"/>
  <c r="AN69" i="18" s="1"/>
  <c r="AN70" i="18" s="1"/>
  <c r="AN71" i="18" s="1"/>
  <c r="AN72" i="18" s="1"/>
  <c r="AN73" i="18" s="1"/>
  <c r="AN74" i="18" s="1"/>
  <c r="AN75" i="18" s="1"/>
  <c r="AN76" i="18" s="1"/>
  <c r="AN77" i="18" s="1"/>
  <c r="F12" i="18"/>
  <c r="F14" i="18" s="1"/>
  <c r="AO12" i="18"/>
  <c r="AO15" i="18" s="1"/>
  <c r="AO17" i="18" s="1"/>
  <c r="AO18" i="18" s="1"/>
  <c r="AO19" i="18" s="1"/>
  <c r="AO20" i="18" s="1"/>
  <c r="AO21" i="18" s="1"/>
  <c r="AO22" i="18" s="1"/>
  <c r="AO23" i="18" s="1"/>
  <c r="AD15" i="18"/>
  <c r="AX21" i="18"/>
  <c r="CB23" i="18"/>
  <c r="AO24" i="18"/>
  <c r="AO25" i="18" s="1"/>
  <c r="AO26" i="18" s="1"/>
  <c r="AO27" i="18" s="1"/>
  <c r="AO28" i="18" s="1"/>
  <c r="AO29" i="18" s="1"/>
  <c r="AO30" i="18" s="1"/>
  <c r="AO31" i="18" s="1"/>
  <c r="AO32" i="18" s="1"/>
  <c r="AO33" i="18" s="1"/>
  <c r="AO34" i="18" s="1"/>
  <c r="AO35" i="18" s="1"/>
  <c r="AO36" i="18" s="1"/>
  <c r="AO37" i="18" s="1"/>
  <c r="AO38" i="18" s="1"/>
  <c r="AO39" i="18" s="1"/>
  <c r="AO40" i="18" s="1"/>
  <c r="AO41" i="18" s="1"/>
  <c r="AO42" i="18" s="1"/>
  <c r="AO43" i="18" s="1"/>
  <c r="AO44" i="18" s="1"/>
  <c r="AO45" i="18" s="1"/>
  <c r="AO46" i="18" s="1"/>
  <c r="AO47" i="18" s="1"/>
  <c r="AO48" i="18" s="1"/>
  <c r="AO49" i="18" s="1"/>
  <c r="AO50" i="18" s="1"/>
  <c r="AO51" i="18" s="1"/>
  <c r="AO52" i="18" s="1"/>
  <c r="AO53" i="18" s="1"/>
  <c r="AO54" i="18" s="1"/>
  <c r="AO55" i="18" s="1"/>
  <c r="AO56" i="18" s="1"/>
  <c r="AO57" i="18" s="1"/>
  <c r="AO58" i="18" s="1"/>
  <c r="AO59" i="18" s="1"/>
  <c r="AO60" i="18" s="1"/>
  <c r="AO61" i="18" s="1"/>
  <c r="AO62" i="18" s="1"/>
  <c r="AO63" i="18" s="1"/>
  <c r="AO64" i="18" s="1"/>
  <c r="AO65" i="18" s="1"/>
  <c r="AO66" i="18" s="1"/>
  <c r="AO67" i="18" s="1"/>
  <c r="AO68" i="18" s="1"/>
  <c r="AO69" i="18" s="1"/>
  <c r="AO70" i="18" s="1"/>
  <c r="AO71" i="18" s="1"/>
  <c r="AO72" i="18" s="1"/>
  <c r="AO73" i="18" s="1"/>
  <c r="AO74" i="18" s="1"/>
  <c r="AO75" i="18" s="1"/>
  <c r="AO76" i="18" s="1"/>
  <c r="AO77" i="18" s="1"/>
  <c r="L31" i="18"/>
  <c r="L32" i="18"/>
  <c r="BI37" i="18"/>
  <c r="BI38" i="18"/>
  <c r="W58" i="18"/>
  <c r="BJ27" i="18" l="1"/>
  <c r="BJ29" i="18" s="1"/>
  <c r="BG15" i="18"/>
  <c r="CC29" i="18"/>
  <c r="AU26" i="18"/>
  <c r="BE7" i="5" l="1"/>
  <c r="BE9" i="5" s="1"/>
  <c r="BE11" i="5" s="1"/>
  <c r="BE13" i="5" s="1"/>
  <c r="BE15" i="5" s="1"/>
  <c r="BE17" i="5" s="1"/>
  <c r="BE19" i="5" s="1"/>
  <c r="BE21" i="5" s="1"/>
  <c r="BE23" i="5" s="1"/>
  <c r="BE25" i="5" s="1"/>
  <c r="BE27" i="5" s="1"/>
  <c r="BE29" i="5" s="1"/>
  <c r="BE31" i="5" s="1"/>
  <c r="BE33" i="5" s="1"/>
  <c r="BE35" i="5" s="1"/>
  <c r="BE37" i="5" s="1"/>
  <c r="BE39" i="5" s="1"/>
  <c r="BE41" i="5" s="1"/>
  <c r="BE43" i="5" s="1"/>
  <c r="BE45" i="5" s="1"/>
  <c r="BE47" i="5" s="1"/>
  <c r="BE49" i="5" s="1"/>
  <c r="BE51" i="5" s="1"/>
  <c r="BE53" i="5" s="1"/>
  <c r="BE55" i="5" s="1"/>
  <c r="BE57" i="5" s="1"/>
  <c r="BE59" i="5" s="1"/>
  <c r="BE61" i="5" s="1"/>
  <c r="BE63" i="5" s="1"/>
  <c r="BE65" i="5" s="1"/>
  <c r="BE67" i="5" s="1"/>
  <c r="BE69" i="5" s="1"/>
  <c r="BE71" i="5" s="1"/>
  <c r="BE73" i="5" s="1"/>
  <c r="BE75" i="5" s="1"/>
  <c r="BE77" i="5" s="1"/>
  <c r="BE79" i="5" s="1"/>
  <c r="BE81" i="5" s="1"/>
  <c r="BE83" i="5" s="1"/>
  <c r="BE85" i="5" s="1"/>
  <c r="BE87" i="5" s="1"/>
  <c r="BE89" i="5" s="1"/>
  <c r="BE91" i="5" s="1"/>
  <c r="BE93" i="5" s="1"/>
  <c r="BE95" i="5" s="1"/>
  <c r="BE97" i="5" s="1"/>
  <c r="BE99" i="5" s="1"/>
  <c r="BE101" i="5" s="1"/>
  <c r="BE103" i="5" s="1"/>
  <c r="BE105" i="5" s="1"/>
  <c r="BE107" i="5" s="1"/>
  <c r="BE109" i="5" s="1"/>
  <c r="BE111" i="5" s="1"/>
  <c r="BE113" i="5" s="1"/>
  <c r="BE115" i="5" s="1"/>
  <c r="BE117" i="5" s="1"/>
  <c r="BE119" i="5" s="1"/>
  <c r="BE121" i="5" s="1"/>
  <c r="BE123" i="5" s="1"/>
  <c r="BE125" i="5" s="1"/>
  <c r="BE127" i="5" s="1"/>
  <c r="BE129" i="5" s="1"/>
  <c r="BE131" i="5" s="1"/>
  <c r="BE133" i="5" s="1"/>
  <c r="BE135" i="5" s="1"/>
  <c r="BE137" i="5" s="1"/>
  <c r="BE139" i="5" s="1"/>
  <c r="BE141" i="5" s="1"/>
  <c r="BE143" i="5" s="1"/>
  <c r="BE145" i="5" s="1"/>
  <c r="BE147" i="5" s="1"/>
  <c r="BE149" i="5" s="1"/>
  <c r="BE151" i="5" s="1"/>
  <c r="BE153" i="5" s="1"/>
  <c r="BE155" i="5" s="1"/>
  <c r="BE157" i="5" s="1"/>
  <c r="BE159" i="5" s="1"/>
  <c r="BE161" i="5" s="1"/>
  <c r="BE163" i="5" s="1"/>
  <c r="BE165" i="5" s="1"/>
  <c r="BE167" i="5" s="1"/>
  <c r="BE169" i="5" s="1"/>
  <c r="BE171" i="5" s="1"/>
  <c r="BE173" i="5" s="1"/>
  <c r="BE175" i="5" s="1"/>
  <c r="BE177" i="5" s="1"/>
  <c r="BE179" i="5" s="1"/>
  <c r="BE181" i="5" s="1"/>
  <c r="BE183" i="5" s="1"/>
  <c r="BE185" i="5" s="1"/>
  <c r="BE187" i="5" s="1"/>
  <c r="BE189" i="5" s="1"/>
  <c r="BE191" i="5" s="1"/>
  <c r="BE193" i="5" s="1"/>
  <c r="BE195" i="5" s="1"/>
  <c r="BE197" i="5" s="1"/>
  <c r="BE199" i="5" s="1"/>
  <c r="BE201" i="5" s="1"/>
  <c r="BE203" i="5" s="1"/>
  <c r="BE205" i="5" s="1"/>
  <c r="BE207" i="5" s="1"/>
  <c r="BE209" i="5" s="1"/>
  <c r="BE211" i="5" s="1"/>
  <c r="BE213" i="5" s="1"/>
  <c r="BE215" i="5" s="1"/>
  <c r="BE217" i="5" s="1"/>
  <c r="BE219" i="5" s="1"/>
  <c r="BE221" i="5" s="1"/>
  <c r="BE223" i="5" s="1"/>
  <c r="BE225" i="5" s="1"/>
  <c r="BE227" i="5" s="1"/>
  <c r="BE229" i="5" s="1"/>
  <c r="BE231" i="5" s="1"/>
  <c r="BE233" i="5" s="1"/>
  <c r="BE235" i="5" s="1"/>
  <c r="BE237" i="5" s="1"/>
  <c r="BE239" i="5" s="1"/>
  <c r="BE241" i="5" s="1"/>
  <c r="BE243" i="5" s="1"/>
  <c r="BE245" i="5" s="1"/>
  <c r="BE247" i="5" s="1"/>
  <c r="BE249" i="5" s="1"/>
  <c r="BE251" i="5" s="1"/>
  <c r="BE253" i="5" s="1"/>
  <c r="BE255" i="5" s="1"/>
  <c r="BE257" i="5" s="1"/>
  <c r="BE259" i="5" s="1"/>
  <c r="BE261" i="5" s="1"/>
  <c r="BE263" i="5" s="1"/>
  <c r="BE265" i="5" s="1"/>
  <c r="BE267" i="5" s="1"/>
  <c r="BE269" i="5" s="1"/>
  <c r="BE271" i="5" s="1"/>
  <c r="BE273" i="5" s="1"/>
  <c r="BE275" i="5" s="1"/>
  <c r="BE277" i="5" s="1"/>
  <c r="BE279" i="5" s="1"/>
  <c r="BE281" i="5" s="1"/>
  <c r="BE283" i="5" s="1"/>
  <c r="BE285" i="5" s="1"/>
  <c r="BE287" i="5" s="1"/>
  <c r="BE289" i="5" s="1"/>
  <c r="BE291" i="5" s="1"/>
  <c r="BE293" i="5" s="1"/>
  <c r="BE295" i="5" s="1"/>
  <c r="BE297" i="5" s="1"/>
  <c r="BE299" i="5" s="1"/>
  <c r="BE301" i="5" s="1"/>
  <c r="BE303" i="5" s="1"/>
  <c r="BE305" i="5" s="1"/>
  <c r="BE307" i="5" s="1"/>
  <c r="BE309" i="5" s="1"/>
  <c r="BE311" i="5" s="1"/>
  <c r="BE313" i="5" s="1"/>
  <c r="BE315" i="5" s="1"/>
  <c r="BE317" i="5" s="1"/>
  <c r="BE319" i="5" s="1"/>
  <c r="BE321" i="5" s="1"/>
  <c r="BE323" i="5" s="1"/>
  <c r="BE325" i="5" s="1"/>
  <c r="BE327" i="5" s="1"/>
  <c r="BE329" i="5" s="1"/>
  <c r="BE331" i="5" s="1"/>
  <c r="BE333" i="5" s="1"/>
  <c r="BE335" i="5" s="1"/>
  <c r="BE337" i="5" s="1"/>
  <c r="BE339" i="5" s="1"/>
  <c r="BE341" i="5" s="1"/>
  <c r="BE343" i="5" s="1"/>
  <c r="BE345" i="5" s="1"/>
  <c r="BE347" i="5" s="1"/>
  <c r="BE349" i="5" s="1"/>
  <c r="BE351" i="5" s="1"/>
  <c r="BE353" i="5" s="1"/>
  <c r="BE355" i="5" s="1"/>
  <c r="BE357" i="5" s="1"/>
  <c r="BE359" i="5" s="1"/>
  <c r="BE361" i="5" s="1"/>
  <c r="BE363" i="5" s="1"/>
  <c r="BE365" i="5" s="1"/>
  <c r="BE367" i="5" s="1"/>
  <c r="BE369" i="5" s="1"/>
  <c r="BE371" i="5" s="1"/>
  <c r="BE373" i="5" s="1"/>
  <c r="BE375" i="5" s="1"/>
  <c r="BE377" i="5" s="1"/>
  <c r="BE379" i="5" s="1"/>
  <c r="BE381" i="5" s="1"/>
  <c r="BE383" i="5" s="1"/>
  <c r="BE385" i="5" s="1"/>
  <c r="BE387" i="5" s="1"/>
  <c r="BE389" i="5" s="1"/>
  <c r="BE391" i="5" s="1"/>
  <c r="BE393" i="5" s="1"/>
  <c r="BE395" i="5" s="1"/>
  <c r="BE397" i="5" s="1"/>
  <c r="BE399" i="5" s="1"/>
  <c r="BE401" i="5" s="1"/>
  <c r="BE403" i="5" s="1"/>
  <c r="BE405" i="5" s="1"/>
  <c r="BE407" i="5" s="1"/>
  <c r="BE409" i="5" s="1"/>
  <c r="BE411" i="5" s="1"/>
  <c r="BE413" i="5" s="1"/>
  <c r="BE415" i="5" s="1"/>
  <c r="BE417" i="5" s="1"/>
  <c r="BE419" i="5" s="1"/>
  <c r="BE421" i="5" s="1"/>
  <c r="BE423" i="5" s="1"/>
  <c r="BE425" i="5" s="1"/>
  <c r="BE427" i="5" s="1"/>
  <c r="BE429" i="5" s="1"/>
  <c r="BE431" i="5" s="1"/>
  <c r="BE433" i="5" s="1"/>
  <c r="BE435" i="5" s="1"/>
  <c r="BE437" i="5" s="1"/>
  <c r="BE439" i="5" s="1"/>
  <c r="BE441" i="5" s="1"/>
  <c r="BE443" i="5" s="1"/>
  <c r="BE445" i="5" s="1"/>
  <c r="BE447" i="5" s="1"/>
  <c r="BE449" i="5" s="1"/>
  <c r="BE451" i="5" s="1"/>
  <c r="BE453" i="5" s="1"/>
  <c r="BE455" i="5" s="1"/>
  <c r="BE457" i="5" s="1"/>
  <c r="BE459" i="5" s="1"/>
  <c r="BE461" i="5" s="1"/>
  <c r="BE463" i="5" s="1"/>
  <c r="BE465" i="5" s="1"/>
  <c r="BE467" i="5" s="1"/>
  <c r="BE469" i="5" s="1"/>
  <c r="BE471" i="5" s="1"/>
  <c r="BE473" i="5" s="1"/>
  <c r="BE475" i="5" s="1"/>
  <c r="BE477" i="5" s="1"/>
  <c r="BE479" i="5" s="1"/>
  <c r="BE481" i="5" s="1"/>
  <c r="BE483" i="5" s="1"/>
  <c r="BE485" i="5" s="1"/>
  <c r="BE487" i="5" s="1"/>
  <c r="BE489" i="5" s="1"/>
  <c r="BE491" i="5" s="1"/>
  <c r="BE493" i="5" s="1"/>
  <c r="BE495" i="5" s="1"/>
  <c r="BE497" i="5" s="1"/>
  <c r="BE499" i="5" s="1"/>
  <c r="BE501" i="5" s="1"/>
  <c r="BE503" i="5" s="1"/>
  <c r="BE505" i="5" s="1"/>
  <c r="BE507" i="5" s="1"/>
  <c r="BE509" i="5" s="1"/>
  <c r="BE511" i="5" s="1"/>
  <c r="BE513" i="5" s="1"/>
  <c r="BE515" i="5" s="1"/>
  <c r="BE517" i="5" s="1"/>
  <c r="BE519" i="5" s="1"/>
  <c r="BE521" i="5" s="1"/>
  <c r="BE523" i="5" s="1"/>
  <c r="BE525" i="5" s="1"/>
  <c r="BE527" i="5" s="1"/>
  <c r="BE529" i="5" s="1"/>
  <c r="BE531" i="5" s="1"/>
  <c r="BE533" i="5" s="1"/>
  <c r="BE535" i="5" s="1"/>
  <c r="BE537" i="5" s="1"/>
  <c r="BE539" i="5" s="1"/>
  <c r="BE541" i="5" s="1"/>
  <c r="BE543" i="5" s="1"/>
  <c r="BE545" i="5" s="1"/>
  <c r="BE547" i="5" s="1"/>
  <c r="BE549" i="5" s="1"/>
  <c r="BE551" i="5" s="1"/>
  <c r="BE553" i="5" s="1"/>
  <c r="BE555" i="5" s="1"/>
  <c r="BE557" i="5" s="1"/>
  <c r="BE559" i="5" s="1"/>
  <c r="BE561" i="5" s="1"/>
  <c r="BE563" i="5" s="1"/>
  <c r="BE565" i="5" s="1"/>
  <c r="BE567" i="5" s="1"/>
  <c r="BE569" i="5" s="1"/>
  <c r="BE571" i="5" s="1"/>
  <c r="BE573" i="5" s="1"/>
  <c r="BE575" i="5" s="1"/>
  <c r="BE577" i="5" s="1"/>
  <c r="BE579" i="5" s="1"/>
  <c r="BE581" i="5" s="1"/>
  <c r="BE583" i="5" s="1"/>
  <c r="BE585" i="5" s="1"/>
  <c r="BE587" i="5" s="1"/>
  <c r="BE589" i="5" s="1"/>
  <c r="BE591" i="5" s="1"/>
  <c r="BE593" i="5" s="1"/>
  <c r="BE595" i="5" s="1"/>
  <c r="BE597" i="5" s="1"/>
  <c r="BE599" i="5" s="1"/>
  <c r="BE601" i="5" s="1"/>
  <c r="BE603" i="5" s="1"/>
  <c r="BE605" i="5" s="1"/>
  <c r="BE607" i="5" s="1"/>
  <c r="BE609" i="5" s="1"/>
  <c r="BE611" i="5" s="1"/>
  <c r="BE613" i="5" s="1"/>
  <c r="BE615" i="5" s="1"/>
  <c r="BE617" i="5" s="1"/>
  <c r="BE619" i="5" s="1"/>
  <c r="BE621" i="5" s="1"/>
  <c r="BE623" i="5" s="1"/>
  <c r="BE625" i="5" s="1"/>
  <c r="BE627" i="5" s="1"/>
  <c r="BE629" i="5" s="1"/>
  <c r="BE631" i="5" s="1"/>
  <c r="BE633" i="5" s="1"/>
  <c r="BE635" i="5" s="1"/>
  <c r="BD7" i="5"/>
  <c r="BD9" i="5" s="1"/>
  <c r="BD11" i="5" s="1"/>
  <c r="BD13" i="5" s="1"/>
  <c r="BD15" i="5" s="1"/>
  <c r="BD17" i="5" s="1"/>
  <c r="BD19" i="5" s="1"/>
  <c r="BD21" i="5" s="1"/>
  <c r="BD23" i="5" s="1"/>
  <c r="BD25" i="5" s="1"/>
  <c r="BD27" i="5" s="1"/>
  <c r="BD29" i="5" s="1"/>
  <c r="BD31" i="5" s="1"/>
  <c r="BD33" i="5" s="1"/>
  <c r="BD35" i="5" s="1"/>
  <c r="BD37" i="5" s="1"/>
  <c r="BD39" i="5" s="1"/>
  <c r="BD41" i="5" s="1"/>
  <c r="BD43" i="5" s="1"/>
  <c r="BD45" i="5" s="1"/>
  <c r="BD47" i="5" s="1"/>
  <c r="BD49" i="5" s="1"/>
  <c r="BD51" i="5" s="1"/>
  <c r="BD53" i="5" s="1"/>
  <c r="BD55" i="5" s="1"/>
  <c r="BD57" i="5" s="1"/>
  <c r="BD59" i="5" s="1"/>
  <c r="BD61" i="5" s="1"/>
  <c r="BD63" i="5" s="1"/>
  <c r="BD65" i="5" s="1"/>
  <c r="BD67" i="5" s="1"/>
  <c r="BD69" i="5" s="1"/>
  <c r="BD71" i="5" s="1"/>
  <c r="BD73" i="5" s="1"/>
  <c r="BD75" i="5" s="1"/>
  <c r="BD77" i="5" s="1"/>
  <c r="BD79" i="5" s="1"/>
  <c r="BD81" i="5" s="1"/>
  <c r="BD83" i="5" s="1"/>
  <c r="BD85" i="5" s="1"/>
  <c r="BD87" i="5" s="1"/>
  <c r="BD89" i="5" s="1"/>
  <c r="BD91" i="5" s="1"/>
  <c r="BD93" i="5" s="1"/>
  <c r="BD95" i="5" s="1"/>
  <c r="BD97" i="5" s="1"/>
  <c r="BD99" i="5" s="1"/>
  <c r="BD101" i="5" s="1"/>
  <c r="BD103" i="5" s="1"/>
  <c r="BD105" i="5" s="1"/>
  <c r="BD107" i="5" s="1"/>
  <c r="BD109" i="5" s="1"/>
  <c r="BD111" i="5" s="1"/>
  <c r="BD113" i="5" s="1"/>
  <c r="BD115" i="5" s="1"/>
  <c r="BD117" i="5" s="1"/>
  <c r="BD119" i="5" s="1"/>
  <c r="BD121" i="5" s="1"/>
  <c r="BD123" i="5" s="1"/>
  <c r="BD125" i="5" s="1"/>
  <c r="BD127" i="5" s="1"/>
  <c r="BD129" i="5" s="1"/>
  <c r="BD131" i="5" s="1"/>
  <c r="BD133" i="5" s="1"/>
  <c r="BD135" i="5" s="1"/>
  <c r="BD137" i="5" s="1"/>
  <c r="BD139" i="5" s="1"/>
  <c r="BD141" i="5" s="1"/>
  <c r="BD143" i="5" s="1"/>
  <c r="BD145" i="5" s="1"/>
  <c r="BD147" i="5" s="1"/>
  <c r="BD149" i="5" s="1"/>
  <c r="BD151" i="5" s="1"/>
  <c r="BD153" i="5" s="1"/>
  <c r="BD155" i="5" s="1"/>
  <c r="BD157" i="5" s="1"/>
  <c r="BD159" i="5" s="1"/>
  <c r="BD161" i="5" s="1"/>
  <c r="BD163" i="5" s="1"/>
  <c r="BD165" i="5" s="1"/>
  <c r="BD167" i="5" s="1"/>
  <c r="BD169" i="5" s="1"/>
  <c r="BD171" i="5" s="1"/>
  <c r="BD173" i="5" s="1"/>
  <c r="BD175" i="5" s="1"/>
  <c r="BD177" i="5" s="1"/>
  <c r="BD179" i="5" s="1"/>
  <c r="BD181" i="5" s="1"/>
  <c r="BD183" i="5" s="1"/>
  <c r="BD185" i="5" s="1"/>
  <c r="BD187" i="5" s="1"/>
  <c r="BD189" i="5" s="1"/>
  <c r="BD191" i="5" s="1"/>
  <c r="BD193" i="5" s="1"/>
  <c r="BD195" i="5" s="1"/>
  <c r="BD197" i="5" s="1"/>
  <c r="BD199" i="5" s="1"/>
  <c r="BD201" i="5" s="1"/>
  <c r="BD203" i="5" s="1"/>
  <c r="BD205" i="5" s="1"/>
  <c r="BD207" i="5" s="1"/>
  <c r="BD209" i="5" s="1"/>
  <c r="BD211" i="5" s="1"/>
  <c r="BD213" i="5" s="1"/>
  <c r="BD215" i="5" s="1"/>
  <c r="BD217" i="5" s="1"/>
  <c r="BD219" i="5" s="1"/>
  <c r="BD221" i="5" s="1"/>
  <c r="BD223" i="5" s="1"/>
  <c r="BD225" i="5" s="1"/>
  <c r="BD227" i="5" s="1"/>
  <c r="BD229" i="5" s="1"/>
  <c r="BD231" i="5" s="1"/>
  <c r="BD233" i="5" s="1"/>
  <c r="BD235" i="5" s="1"/>
  <c r="BD237" i="5" s="1"/>
  <c r="BD239" i="5" s="1"/>
  <c r="BD241" i="5" s="1"/>
  <c r="BD243" i="5" s="1"/>
  <c r="BD245" i="5" s="1"/>
  <c r="BD247" i="5" s="1"/>
  <c r="BD249" i="5" s="1"/>
  <c r="BD251" i="5" s="1"/>
  <c r="BD253" i="5" s="1"/>
  <c r="BD255" i="5" s="1"/>
  <c r="BD257" i="5" s="1"/>
  <c r="BD259" i="5" s="1"/>
  <c r="BD261" i="5" s="1"/>
  <c r="BD263" i="5" s="1"/>
  <c r="BD265" i="5" s="1"/>
  <c r="BD267" i="5" s="1"/>
  <c r="BD269" i="5" s="1"/>
  <c r="BD271" i="5" s="1"/>
  <c r="BD273" i="5" s="1"/>
  <c r="BD275" i="5" s="1"/>
  <c r="BD277" i="5" s="1"/>
  <c r="BD279" i="5" s="1"/>
  <c r="BD281" i="5" s="1"/>
  <c r="BD283" i="5" s="1"/>
  <c r="BD285" i="5" s="1"/>
  <c r="BD287" i="5" s="1"/>
  <c r="BD289" i="5" s="1"/>
  <c r="BD291" i="5" s="1"/>
  <c r="BD293" i="5" s="1"/>
  <c r="BD295" i="5" s="1"/>
  <c r="BD297" i="5" s="1"/>
  <c r="BD299" i="5" s="1"/>
  <c r="BD301" i="5" s="1"/>
  <c r="BD303" i="5" s="1"/>
  <c r="BD305" i="5" s="1"/>
  <c r="BD307" i="5" s="1"/>
  <c r="BD309" i="5" s="1"/>
  <c r="BD311" i="5" s="1"/>
  <c r="BD313" i="5" s="1"/>
  <c r="BD315" i="5" s="1"/>
  <c r="BD317" i="5" s="1"/>
  <c r="BD319" i="5" s="1"/>
  <c r="BD321" i="5" s="1"/>
  <c r="BD323" i="5" s="1"/>
  <c r="BD325" i="5" s="1"/>
  <c r="BD327" i="5" s="1"/>
  <c r="BD329" i="5" s="1"/>
  <c r="BD331" i="5" s="1"/>
  <c r="BD333" i="5" s="1"/>
  <c r="BD335" i="5" s="1"/>
  <c r="BD337" i="5" s="1"/>
  <c r="BD339" i="5" s="1"/>
  <c r="BD341" i="5" s="1"/>
  <c r="BD343" i="5" s="1"/>
  <c r="BD345" i="5" s="1"/>
  <c r="BD347" i="5" s="1"/>
  <c r="BD349" i="5" s="1"/>
  <c r="BD351" i="5" s="1"/>
  <c r="BD353" i="5" s="1"/>
  <c r="BD355" i="5" s="1"/>
  <c r="BD357" i="5" s="1"/>
  <c r="BD359" i="5" s="1"/>
  <c r="BD361" i="5" s="1"/>
  <c r="BD363" i="5" s="1"/>
  <c r="BD365" i="5" s="1"/>
  <c r="BD367" i="5" s="1"/>
  <c r="BD369" i="5" s="1"/>
  <c r="BD371" i="5" s="1"/>
  <c r="BD373" i="5" s="1"/>
  <c r="BD375" i="5" s="1"/>
  <c r="BD377" i="5" s="1"/>
  <c r="BD379" i="5" s="1"/>
  <c r="BD381" i="5" s="1"/>
  <c r="BD383" i="5" s="1"/>
  <c r="BD385" i="5" s="1"/>
  <c r="BD387" i="5" s="1"/>
  <c r="BD389" i="5" s="1"/>
  <c r="BD391" i="5" s="1"/>
  <c r="BD393" i="5" s="1"/>
  <c r="BD395" i="5" s="1"/>
  <c r="BD397" i="5" s="1"/>
  <c r="BD399" i="5" s="1"/>
  <c r="BD401" i="5" s="1"/>
  <c r="BD403" i="5" s="1"/>
  <c r="BD405" i="5" s="1"/>
  <c r="BD407" i="5" s="1"/>
  <c r="BD409" i="5" s="1"/>
  <c r="BD411" i="5" s="1"/>
  <c r="BD413" i="5" s="1"/>
  <c r="BD415" i="5" s="1"/>
  <c r="BD417" i="5" s="1"/>
  <c r="BD419" i="5" s="1"/>
  <c r="BD421" i="5" s="1"/>
  <c r="BD423" i="5" s="1"/>
  <c r="BD425" i="5" s="1"/>
  <c r="BD427" i="5" s="1"/>
  <c r="BD429" i="5" s="1"/>
  <c r="BD431" i="5" s="1"/>
  <c r="BD433" i="5" s="1"/>
  <c r="BD435" i="5" s="1"/>
  <c r="BD437" i="5" s="1"/>
  <c r="BD439" i="5" s="1"/>
  <c r="BD441" i="5" s="1"/>
  <c r="BD443" i="5" s="1"/>
  <c r="BD445" i="5" s="1"/>
  <c r="BD447" i="5" s="1"/>
  <c r="BD449" i="5" s="1"/>
  <c r="BD451" i="5" s="1"/>
  <c r="BD453" i="5" s="1"/>
  <c r="BD455" i="5" s="1"/>
  <c r="BD457" i="5" s="1"/>
  <c r="BD459" i="5" s="1"/>
  <c r="BD461" i="5" s="1"/>
  <c r="BD463" i="5" s="1"/>
  <c r="BD465" i="5" s="1"/>
  <c r="BD467" i="5" s="1"/>
  <c r="BD469" i="5" s="1"/>
  <c r="BD471" i="5" s="1"/>
  <c r="BD473" i="5" s="1"/>
  <c r="BD475" i="5" s="1"/>
  <c r="BD477" i="5" s="1"/>
  <c r="BD479" i="5" s="1"/>
  <c r="BD481" i="5" s="1"/>
  <c r="BD483" i="5" s="1"/>
  <c r="BD485" i="5" s="1"/>
  <c r="BD487" i="5" s="1"/>
  <c r="BD489" i="5" s="1"/>
  <c r="BD491" i="5" s="1"/>
  <c r="BD493" i="5" s="1"/>
  <c r="BD495" i="5" s="1"/>
  <c r="BD497" i="5" s="1"/>
  <c r="BD499" i="5" s="1"/>
  <c r="BD501" i="5" s="1"/>
  <c r="BD503" i="5" s="1"/>
  <c r="BD505" i="5" s="1"/>
  <c r="BD507" i="5" s="1"/>
  <c r="BD509" i="5" s="1"/>
  <c r="BD511" i="5" s="1"/>
  <c r="BD513" i="5" s="1"/>
  <c r="BD515" i="5" s="1"/>
  <c r="BD517" i="5" s="1"/>
  <c r="BD519" i="5" s="1"/>
  <c r="BD521" i="5" s="1"/>
  <c r="BD523" i="5" s="1"/>
  <c r="BD525" i="5" s="1"/>
  <c r="BD527" i="5" s="1"/>
  <c r="BD529" i="5" s="1"/>
  <c r="BD531" i="5" s="1"/>
  <c r="BD533" i="5" s="1"/>
  <c r="BD535" i="5" s="1"/>
  <c r="BD537" i="5" s="1"/>
  <c r="BD539" i="5" s="1"/>
  <c r="BD541" i="5" s="1"/>
  <c r="BD543" i="5" s="1"/>
  <c r="BD545" i="5" s="1"/>
  <c r="BD547" i="5" s="1"/>
  <c r="BD549" i="5" s="1"/>
  <c r="BD551" i="5" s="1"/>
  <c r="BD553" i="5" s="1"/>
  <c r="BD555" i="5" s="1"/>
  <c r="BD557" i="5" s="1"/>
  <c r="BD559" i="5" s="1"/>
  <c r="BD561" i="5" s="1"/>
  <c r="BD563" i="5" s="1"/>
  <c r="BD565" i="5" s="1"/>
  <c r="BD567" i="5" s="1"/>
  <c r="BD569" i="5" s="1"/>
  <c r="BD571" i="5" s="1"/>
  <c r="BD573" i="5" s="1"/>
  <c r="BD575" i="5" s="1"/>
  <c r="BD577" i="5" s="1"/>
  <c r="BD579" i="5" s="1"/>
  <c r="BD581" i="5" s="1"/>
  <c r="BD583" i="5" s="1"/>
  <c r="BD585" i="5" s="1"/>
  <c r="BD587" i="5" s="1"/>
  <c r="BD589" i="5" s="1"/>
  <c r="BD591" i="5" s="1"/>
  <c r="BD593" i="5" s="1"/>
  <c r="BD595" i="5" s="1"/>
  <c r="BD597" i="5" s="1"/>
  <c r="BD599" i="5" s="1"/>
  <c r="BD601" i="5" s="1"/>
  <c r="BD603" i="5" s="1"/>
  <c r="BD605" i="5" s="1"/>
  <c r="BD607" i="5" s="1"/>
  <c r="BD609" i="5" s="1"/>
  <c r="BD611" i="5" s="1"/>
  <c r="BD613" i="5" s="1"/>
  <c r="BD615" i="5" s="1"/>
  <c r="BD617" i="5" s="1"/>
  <c r="BD619" i="5" s="1"/>
  <c r="BD621" i="5" s="1"/>
  <c r="BD623" i="5" s="1"/>
  <c r="BD625" i="5" s="1"/>
  <c r="BD627" i="5" s="1"/>
  <c r="BD629" i="5" s="1"/>
  <c r="BD631" i="5" s="1"/>
  <c r="BD633" i="5" s="1"/>
  <c r="BD635" i="5" s="1"/>
  <c r="BA7" i="5"/>
  <c r="BA9" i="5" s="1"/>
  <c r="BA11" i="5" s="1"/>
  <c r="BA13" i="5" s="1"/>
  <c r="BA15" i="5" s="1"/>
  <c r="BA17" i="5" s="1"/>
  <c r="BA19" i="5" s="1"/>
  <c r="BA21" i="5" s="1"/>
  <c r="BA23" i="5" s="1"/>
  <c r="BA25" i="5" s="1"/>
  <c r="BA27" i="5" s="1"/>
  <c r="BA29" i="5" s="1"/>
  <c r="BA31" i="5" s="1"/>
  <c r="BA33" i="5" s="1"/>
  <c r="BA35" i="5" s="1"/>
  <c r="BA37" i="5" s="1"/>
  <c r="BA39" i="5" s="1"/>
  <c r="BA41" i="5" s="1"/>
  <c r="BA43" i="5" s="1"/>
  <c r="BA45" i="5" s="1"/>
  <c r="BA47" i="5" s="1"/>
  <c r="BA49" i="5" s="1"/>
  <c r="BA51" i="5" s="1"/>
  <c r="BA53" i="5" s="1"/>
  <c r="BA55" i="5" s="1"/>
  <c r="BA57" i="5" s="1"/>
  <c r="BA59" i="5" s="1"/>
  <c r="BA61" i="5" s="1"/>
  <c r="BA63" i="5" s="1"/>
  <c r="BA65" i="5" s="1"/>
  <c r="BA67" i="5" s="1"/>
  <c r="BA69" i="5" s="1"/>
  <c r="BA71" i="5" s="1"/>
  <c r="BA73" i="5" s="1"/>
  <c r="BA75" i="5" s="1"/>
  <c r="BA77" i="5" s="1"/>
  <c r="BA79" i="5" s="1"/>
  <c r="BA81" i="5" s="1"/>
  <c r="BA83" i="5" s="1"/>
  <c r="BA85" i="5" s="1"/>
  <c r="BA87" i="5" s="1"/>
  <c r="BA89" i="5" s="1"/>
  <c r="BA91" i="5" s="1"/>
  <c r="BA93" i="5" s="1"/>
  <c r="BA95" i="5" s="1"/>
  <c r="BA97" i="5" s="1"/>
  <c r="BA99" i="5" s="1"/>
  <c r="BA101" i="5" s="1"/>
  <c r="BA103" i="5" s="1"/>
  <c r="BA105" i="5" s="1"/>
  <c r="BA107" i="5" s="1"/>
  <c r="BA109" i="5" s="1"/>
  <c r="BA111" i="5" s="1"/>
  <c r="BA113" i="5" s="1"/>
  <c r="BA115" i="5" s="1"/>
  <c r="BA117" i="5" s="1"/>
  <c r="BA119" i="5" s="1"/>
  <c r="BA121" i="5" s="1"/>
  <c r="BA123" i="5" s="1"/>
  <c r="BA125" i="5" s="1"/>
  <c r="BA127" i="5" s="1"/>
  <c r="BA129" i="5" s="1"/>
  <c r="BA131" i="5" s="1"/>
  <c r="BA133" i="5" s="1"/>
  <c r="BA135" i="5" s="1"/>
  <c r="BA137" i="5" s="1"/>
  <c r="BA139" i="5" s="1"/>
  <c r="BA141" i="5" s="1"/>
  <c r="BA143" i="5" s="1"/>
  <c r="BA145" i="5" s="1"/>
  <c r="BA147" i="5" s="1"/>
  <c r="BA149" i="5" s="1"/>
  <c r="BA151" i="5" s="1"/>
  <c r="BA153" i="5" s="1"/>
  <c r="BA155" i="5" s="1"/>
  <c r="BA157" i="5" s="1"/>
  <c r="BA159" i="5" s="1"/>
  <c r="BA161" i="5" s="1"/>
  <c r="BA163" i="5" s="1"/>
  <c r="BA165" i="5" s="1"/>
  <c r="BA167" i="5" s="1"/>
  <c r="BA169" i="5" s="1"/>
  <c r="BA171" i="5" s="1"/>
  <c r="BA173" i="5" s="1"/>
  <c r="BA175" i="5" s="1"/>
  <c r="BA177" i="5" s="1"/>
  <c r="BA179" i="5" s="1"/>
  <c r="BA181" i="5" s="1"/>
  <c r="BA183" i="5" s="1"/>
  <c r="BA185" i="5" s="1"/>
  <c r="BA187" i="5" s="1"/>
  <c r="BA189" i="5" s="1"/>
  <c r="BA191" i="5" s="1"/>
  <c r="BA193" i="5" s="1"/>
  <c r="BA195" i="5" s="1"/>
  <c r="BA197" i="5" s="1"/>
  <c r="BA199" i="5" s="1"/>
  <c r="BA201" i="5" s="1"/>
  <c r="BA203" i="5" s="1"/>
  <c r="BA205" i="5" s="1"/>
  <c r="BA207" i="5" s="1"/>
  <c r="BA209" i="5" s="1"/>
  <c r="BA211" i="5" s="1"/>
  <c r="BA213" i="5" s="1"/>
  <c r="BA215" i="5" s="1"/>
  <c r="BA217" i="5" s="1"/>
  <c r="BA219" i="5" s="1"/>
  <c r="BA221" i="5" s="1"/>
  <c r="BA223" i="5" s="1"/>
  <c r="BA225" i="5" s="1"/>
  <c r="BA227" i="5" s="1"/>
  <c r="BA229" i="5" s="1"/>
  <c r="BA231" i="5" s="1"/>
  <c r="BA233" i="5" s="1"/>
  <c r="BA235" i="5" s="1"/>
  <c r="BA237" i="5" s="1"/>
  <c r="BA239" i="5" s="1"/>
  <c r="BA241" i="5" s="1"/>
  <c r="BA243" i="5" s="1"/>
  <c r="BA245" i="5" s="1"/>
  <c r="BA247" i="5" s="1"/>
  <c r="BA249" i="5" s="1"/>
  <c r="BA251" i="5" s="1"/>
  <c r="BA253" i="5" s="1"/>
  <c r="BA255" i="5" s="1"/>
  <c r="BA257" i="5" s="1"/>
  <c r="BA259" i="5" s="1"/>
  <c r="BA261" i="5" s="1"/>
  <c r="BA263" i="5" s="1"/>
  <c r="BA265" i="5" s="1"/>
  <c r="BA267" i="5" s="1"/>
  <c r="BA269" i="5" s="1"/>
  <c r="BA271" i="5" s="1"/>
  <c r="BA273" i="5" s="1"/>
  <c r="BA275" i="5" s="1"/>
  <c r="BA277" i="5" s="1"/>
  <c r="BA279" i="5" s="1"/>
  <c r="BA281" i="5" s="1"/>
  <c r="BA283" i="5" s="1"/>
  <c r="BA285" i="5" s="1"/>
  <c r="BA287" i="5" s="1"/>
  <c r="BA289" i="5" s="1"/>
  <c r="BA291" i="5" s="1"/>
  <c r="BA293" i="5" s="1"/>
  <c r="BA295" i="5" s="1"/>
  <c r="BA297" i="5" s="1"/>
  <c r="BA299" i="5" s="1"/>
  <c r="BA301" i="5" s="1"/>
  <c r="BA303" i="5" s="1"/>
  <c r="BA305" i="5" s="1"/>
  <c r="BA307" i="5" s="1"/>
  <c r="BA309" i="5" s="1"/>
  <c r="BA311" i="5" s="1"/>
  <c r="BA313" i="5" s="1"/>
  <c r="BA315" i="5" s="1"/>
  <c r="BA317" i="5" s="1"/>
  <c r="BA319" i="5" s="1"/>
  <c r="BA321" i="5" s="1"/>
  <c r="BA323" i="5" s="1"/>
  <c r="BA325" i="5" s="1"/>
  <c r="BA327" i="5" s="1"/>
  <c r="BA329" i="5" s="1"/>
  <c r="BA331" i="5" s="1"/>
  <c r="BA333" i="5" s="1"/>
  <c r="BA335" i="5" s="1"/>
  <c r="BA337" i="5" s="1"/>
  <c r="BA339" i="5" s="1"/>
  <c r="BA341" i="5" s="1"/>
  <c r="BA343" i="5" s="1"/>
  <c r="BA345" i="5" s="1"/>
  <c r="BA347" i="5" s="1"/>
  <c r="BA349" i="5" s="1"/>
  <c r="BA351" i="5" s="1"/>
  <c r="BA353" i="5" s="1"/>
  <c r="BA355" i="5" s="1"/>
  <c r="BA357" i="5" s="1"/>
  <c r="BA359" i="5" s="1"/>
  <c r="BA361" i="5" s="1"/>
  <c r="BA363" i="5" s="1"/>
  <c r="BA365" i="5" s="1"/>
  <c r="BA367" i="5" s="1"/>
  <c r="BA369" i="5" s="1"/>
  <c r="BA371" i="5" s="1"/>
  <c r="BA373" i="5" s="1"/>
  <c r="BA375" i="5" s="1"/>
  <c r="BA377" i="5" s="1"/>
  <c r="BA379" i="5" s="1"/>
  <c r="BA381" i="5" s="1"/>
  <c r="BA383" i="5" s="1"/>
  <c r="BA385" i="5" s="1"/>
  <c r="BA387" i="5" s="1"/>
  <c r="BA389" i="5" s="1"/>
  <c r="BA391" i="5" s="1"/>
  <c r="BA393" i="5" s="1"/>
  <c r="BA395" i="5" s="1"/>
  <c r="BA397" i="5" s="1"/>
  <c r="BA399" i="5" s="1"/>
  <c r="BA401" i="5" s="1"/>
  <c r="BA403" i="5" s="1"/>
  <c r="BA405" i="5" s="1"/>
  <c r="BA407" i="5" s="1"/>
  <c r="BA409" i="5" s="1"/>
  <c r="BA411" i="5" s="1"/>
  <c r="BA413" i="5" s="1"/>
  <c r="BA415" i="5" s="1"/>
  <c r="BA417" i="5" s="1"/>
  <c r="BA419" i="5" s="1"/>
  <c r="BA421" i="5" s="1"/>
  <c r="BA423" i="5" s="1"/>
  <c r="BA425" i="5" s="1"/>
  <c r="BA427" i="5" s="1"/>
  <c r="BA429" i="5" s="1"/>
  <c r="BA431" i="5" s="1"/>
  <c r="BA433" i="5" s="1"/>
  <c r="BA435" i="5" s="1"/>
  <c r="BA437" i="5" s="1"/>
  <c r="BA439" i="5" s="1"/>
  <c r="BA441" i="5" s="1"/>
  <c r="BA443" i="5" s="1"/>
  <c r="BA445" i="5" s="1"/>
  <c r="BA447" i="5" s="1"/>
  <c r="BA449" i="5" s="1"/>
  <c r="BA451" i="5" s="1"/>
  <c r="BA453" i="5" s="1"/>
  <c r="BA455" i="5" s="1"/>
  <c r="BA457" i="5" s="1"/>
  <c r="BA459" i="5" s="1"/>
  <c r="BA461" i="5" s="1"/>
  <c r="BA463" i="5" s="1"/>
  <c r="BA465" i="5" s="1"/>
  <c r="BA467" i="5" s="1"/>
  <c r="BA469" i="5" s="1"/>
  <c r="BA471" i="5" s="1"/>
  <c r="BA473" i="5" s="1"/>
  <c r="BA475" i="5" s="1"/>
  <c r="BA477" i="5" s="1"/>
  <c r="BA479" i="5" s="1"/>
  <c r="BA481" i="5" s="1"/>
  <c r="BA483" i="5" s="1"/>
  <c r="BA485" i="5" s="1"/>
  <c r="BA487" i="5" s="1"/>
  <c r="BA489" i="5" s="1"/>
  <c r="BA491" i="5" s="1"/>
  <c r="BA493" i="5" s="1"/>
  <c r="BA495" i="5" s="1"/>
  <c r="BA497" i="5" s="1"/>
  <c r="BA499" i="5" s="1"/>
  <c r="BA501" i="5" s="1"/>
  <c r="BA503" i="5" s="1"/>
  <c r="BA505" i="5" s="1"/>
  <c r="BA507" i="5" s="1"/>
  <c r="BA509" i="5" s="1"/>
  <c r="BA511" i="5" s="1"/>
  <c r="BA513" i="5" s="1"/>
  <c r="BA515" i="5" s="1"/>
  <c r="BA517" i="5" s="1"/>
  <c r="BA519" i="5" s="1"/>
  <c r="BA521" i="5" s="1"/>
  <c r="BA523" i="5" s="1"/>
  <c r="BA525" i="5" s="1"/>
  <c r="BA527" i="5" s="1"/>
  <c r="BA529" i="5" s="1"/>
  <c r="BA531" i="5" s="1"/>
  <c r="BA533" i="5" s="1"/>
  <c r="BA535" i="5" s="1"/>
  <c r="BA537" i="5" s="1"/>
  <c r="BA539" i="5" s="1"/>
  <c r="BA541" i="5" s="1"/>
  <c r="BA543" i="5" s="1"/>
  <c r="BA545" i="5" s="1"/>
  <c r="BA547" i="5" s="1"/>
  <c r="BA549" i="5" s="1"/>
  <c r="BA551" i="5" s="1"/>
  <c r="BA553" i="5" s="1"/>
  <c r="BA555" i="5" s="1"/>
  <c r="BA557" i="5" s="1"/>
  <c r="BA559" i="5" s="1"/>
  <c r="BA561" i="5" s="1"/>
  <c r="BA563" i="5" s="1"/>
  <c r="BA565" i="5" s="1"/>
  <c r="BA567" i="5" s="1"/>
  <c r="BA569" i="5" s="1"/>
  <c r="BA571" i="5" s="1"/>
  <c r="BA573" i="5" s="1"/>
  <c r="BA575" i="5" s="1"/>
  <c r="BA577" i="5" s="1"/>
  <c r="BA579" i="5" s="1"/>
  <c r="BA581" i="5" s="1"/>
  <c r="BA583" i="5" s="1"/>
  <c r="BA585" i="5" s="1"/>
  <c r="BA587" i="5" s="1"/>
  <c r="BA589" i="5" s="1"/>
  <c r="BA591" i="5" s="1"/>
  <c r="BA593" i="5" s="1"/>
  <c r="BA595" i="5" s="1"/>
  <c r="BA597" i="5" s="1"/>
  <c r="BA599" i="5" s="1"/>
  <c r="BA601" i="5" s="1"/>
  <c r="BA603" i="5" s="1"/>
  <c r="BA605" i="5" s="1"/>
  <c r="BA607" i="5" s="1"/>
  <c r="BA609" i="5" s="1"/>
  <c r="BA611" i="5" s="1"/>
  <c r="BA613" i="5" s="1"/>
  <c r="BA615" i="5" s="1"/>
  <c r="BA617" i="5" s="1"/>
  <c r="BA619" i="5" s="1"/>
  <c r="BA621" i="5" s="1"/>
  <c r="BA623" i="5" s="1"/>
  <c r="BA625" i="5" s="1"/>
  <c r="BA627" i="5" s="1"/>
  <c r="BA629" i="5" s="1"/>
  <c r="BA631" i="5" s="1"/>
  <c r="BA633" i="5" s="1"/>
  <c r="BA635" i="5" s="1"/>
  <c r="BE6" i="5"/>
  <c r="BE8" i="5" s="1"/>
  <c r="BE10" i="5" s="1"/>
  <c r="BE12" i="5" s="1"/>
  <c r="BE14" i="5" s="1"/>
  <c r="BE16" i="5" s="1"/>
  <c r="BE18" i="5" s="1"/>
  <c r="BE20" i="5" s="1"/>
  <c r="BE22" i="5" s="1"/>
  <c r="BE24" i="5" s="1"/>
  <c r="BE26" i="5" s="1"/>
  <c r="BE28" i="5" s="1"/>
  <c r="BE30" i="5" s="1"/>
  <c r="BE32" i="5" s="1"/>
  <c r="BE34" i="5" s="1"/>
  <c r="BE36" i="5" s="1"/>
  <c r="BE38" i="5" s="1"/>
  <c r="BE40" i="5" s="1"/>
  <c r="BE42" i="5" s="1"/>
  <c r="BE44" i="5" s="1"/>
  <c r="BE46" i="5" s="1"/>
  <c r="BE48" i="5" s="1"/>
  <c r="BE50" i="5" s="1"/>
  <c r="BE52" i="5" s="1"/>
  <c r="BE54" i="5" s="1"/>
  <c r="BE56" i="5" s="1"/>
  <c r="BE58" i="5" s="1"/>
  <c r="BE60" i="5" s="1"/>
  <c r="BE62" i="5" s="1"/>
  <c r="BE64" i="5" s="1"/>
  <c r="BE66" i="5" s="1"/>
  <c r="BE68" i="5" s="1"/>
  <c r="BE70" i="5" s="1"/>
  <c r="BE72" i="5" s="1"/>
  <c r="BE74" i="5" s="1"/>
  <c r="BE76" i="5" s="1"/>
  <c r="BE78" i="5" s="1"/>
  <c r="BE80" i="5" s="1"/>
  <c r="BE82" i="5" s="1"/>
  <c r="BE84" i="5" s="1"/>
  <c r="BE86" i="5" s="1"/>
  <c r="BE88" i="5" s="1"/>
  <c r="BE90" i="5" s="1"/>
  <c r="BE92" i="5" s="1"/>
  <c r="BE94" i="5" s="1"/>
  <c r="BE96" i="5" s="1"/>
  <c r="BE98" i="5" s="1"/>
  <c r="BE100" i="5" s="1"/>
  <c r="BE102" i="5" s="1"/>
  <c r="BE104" i="5" s="1"/>
  <c r="BE106" i="5" s="1"/>
  <c r="BE108" i="5" s="1"/>
  <c r="BE110" i="5" s="1"/>
  <c r="BE112" i="5" s="1"/>
  <c r="BE114" i="5" s="1"/>
  <c r="BE116" i="5" s="1"/>
  <c r="BE118" i="5" s="1"/>
  <c r="BE120" i="5" s="1"/>
  <c r="BE122" i="5" s="1"/>
  <c r="BE124" i="5" s="1"/>
  <c r="BE126" i="5" s="1"/>
  <c r="BE128" i="5" s="1"/>
  <c r="BE130" i="5" s="1"/>
  <c r="BE132" i="5" s="1"/>
  <c r="BE134" i="5" s="1"/>
  <c r="BE136" i="5" s="1"/>
  <c r="BE138" i="5" s="1"/>
  <c r="BE140" i="5" s="1"/>
  <c r="BE142" i="5" s="1"/>
  <c r="BE144" i="5" s="1"/>
  <c r="BE146" i="5" s="1"/>
  <c r="BE148" i="5" s="1"/>
  <c r="BE150" i="5" s="1"/>
  <c r="BE152" i="5" s="1"/>
  <c r="BE154" i="5" s="1"/>
  <c r="BE156" i="5" s="1"/>
  <c r="BE158" i="5" s="1"/>
  <c r="BE160" i="5" s="1"/>
  <c r="BE162" i="5" s="1"/>
  <c r="BE164" i="5" s="1"/>
  <c r="BE166" i="5" s="1"/>
  <c r="BE168" i="5" s="1"/>
  <c r="BE170" i="5" s="1"/>
  <c r="BE172" i="5" s="1"/>
  <c r="BE174" i="5" s="1"/>
  <c r="BE176" i="5" s="1"/>
  <c r="BE178" i="5" s="1"/>
  <c r="BE180" i="5" s="1"/>
  <c r="BE182" i="5" s="1"/>
  <c r="BE184" i="5" s="1"/>
  <c r="BE186" i="5" s="1"/>
  <c r="BE188" i="5" s="1"/>
  <c r="BE190" i="5" s="1"/>
  <c r="BE192" i="5" s="1"/>
  <c r="BE194" i="5" s="1"/>
  <c r="BE196" i="5" s="1"/>
  <c r="BE198" i="5" s="1"/>
  <c r="BE200" i="5" s="1"/>
  <c r="BE202" i="5" s="1"/>
  <c r="BE204" i="5" s="1"/>
  <c r="BE206" i="5" s="1"/>
  <c r="BE208" i="5" s="1"/>
  <c r="BE210" i="5" s="1"/>
  <c r="BE212" i="5" s="1"/>
  <c r="BE214" i="5" s="1"/>
  <c r="BE216" i="5" s="1"/>
  <c r="BE218" i="5" s="1"/>
  <c r="BE220" i="5" s="1"/>
  <c r="BE222" i="5" s="1"/>
  <c r="BE224" i="5" s="1"/>
  <c r="BE226" i="5" s="1"/>
  <c r="BE228" i="5" s="1"/>
  <c r="BE230" i="5" s="1"/>
  <c r="BE232" i="5" s="1"/>
  <c r="BE234" i="5" s="1"/>
  <c r="BE236" i="5" s="1"/>
  <c r="BE238" i="5" s="1"/>
  <c r="BE240" i="5" s="1"/>
  <c r="BE242" i="5" s="1"/>
  <c r="BE244" i="5" s="1"/>
  <c r="BE246" i="5" s="1"/>
  <c r="BE248" i="5" s="1"/>
  <c r="BE250" i="5" s="1"/>
  <c r="BE252" i="5" s="1"/>
  <c r="BE254" i="5" s="1"/>
  <c r="BE256" i="5" s="1"/>
  <c r="BE258" i="5" s="1"/>
  <c r="BE260" i="5" s="1"/>
  <c r="BE262" i="5" s="1"/>
  <c r="BE264" i="5" s="1"/>
  <c r="BE266" i="5" s="1"/>
  <c r="BE268" i="5" s="1"/>
  <c r="BE270" i="5" s="1"/>
  <c r="BE272" i="5" s="1"/>
  <c r="BE274" i="5" s="1"/>
  <c r="BE276" i="5" s="1"/>
  <c r="BE278" i="5" s="1"/>
  <c r="BE280" i="5" s="1"/>
  <c r="BE282" i="5" s="1"/>
  <c r="BE284" i="5" s="1"/>
  <c r="BE286" i="5" s="1"/>
  <c r="BE288" i="5" s="1"/>
  <c r="BE290" i="5" s="1"/>
  <c r="BE292" i="5" s="1"/>
  <c r="BE294" i="5" s="1"/>
  <c r="BE296" i="5" s="1"/>
  <c r="BE298" i="5" s="1"/>
  <c r="BE300" i="5" s="1"/>
  <c r="BE302" i="5" s="1"/>
  <c r="BE304" i="5" s="1"/>
  <c r="BE306" i="5" s="1"/>
  <c r="BE308" i="5" s="1"/>
  <c r="BE310" i="5" s="1"/>
  <c r="BE312" i="5" s="1"/>
  <c r="BE314" i="5" s="1"/>
  <c r="BE316" i="5" s="1"/>
  <c r="BE318" i="5" s="1"/>
  <c r="BE320" i="5" s="1"/>
  <c r="BE322" i="5" s="1"/>
  <c r="BE324" i="5" s="1"/>
  <c r="BE326" i="5" s="1"/>
  <c r="BE328" i="5" s="1"/>
  <c r="BE330" i="5" s="1"/>
  <c r="BE332" i="5" s="1"/>
  <c r="BE334" i="5" s="1"/>
  <c r="BE336" i="5" s="1"/>
  <c r="BE338" i="5" s="1"/>
  <c r="BE340" i="5" s="1"/>
  <c r="BE342" i="5" s="1"/>
  <c r="BE344" i="5" s="1"/>
  <c r="BE346" i="5" s="1"/>
  <c r="BE348" i="5" s="1"/>
  <c r="BE350" i="5" s="1"/>
  <c r="BE352" i="5" s="1"/>
  <c r="BE354" i="5" s="1"/>
  <c r="BE356" i="5" s="1"/>
  <c r="BE358" i="5" s="1"/>
  <c r="BE360" i="5" s="1"/>
  <c r="BE362" i="5" s="1"/>
  <c r="BE364" i="5" s="1"/>
  <c r="BE366" i="5" s="1"/>
  <c r="BE368" i="5" s="1"/>
  <c r="BE370" i="5" s="1"/>
  <c r="BE372" i="5" s="1"/>
  <c r="BE374" i="5" s="1"/>
  <c r="BE376" i="5" s="1"/>
  <c r="BE378" i="5" s="1"/>
  <c r="BE380" i="5" s="1"/>
  <c r="BE382" i="5" s="1"/>
  <c r="BE384" i="5" s="1"/>
  <c r="BE386" i="5" s="1"/>
  <c r="BE388" i="5" s="1"/>
  <c r="BE390" i="5" s="1"/>
  <c r="BE392" i="5" s="1"/>
  <c r="BE394" i="5" s="1"/>
  <c r="BE396" i="5" s="1"/>
  <c r="BE398" i="5" s="1"/>
  <c r="BE400" i="5" s="1"/>
  <c r="BE402" i="5" s="1"/>
  <c r="BE404" i="5" s="1"/>
  <c r="BE406" i="5" s="1"/>
  <c r="BE408" i="5" s="1"/>
  <c r="BE410" i="5" s="1"/>
  <c r="BE412" i="5" s="1"/>
  <c r="BE414" i="5" s="1"/>
  <c r="BE416" i="5" s="1"/>
  <c r="BE418" i="5" s="1"/>
  <c r="BE420" i="5" s="1"/>
  <c r="BE422" i="5" s="1"/>
  <c r="BE424" i="5" s="1"/>
  <c r="BE426" i="5" s="1"/>
  <c r="BE428" i="5" s="1"/>
  <c r="BE430" i="5" s="1"/>
  <c r="BE432" i="5" s="1"/>
  <c r="BE434" i="5" s="1"/>
  <c r="BE436" i="5" s="1"/>
  <c r="BE438" i="5" s="1"/>
  <c r="BE440" i="5" s="1"/>
  <c r="BE442" i="5" s="1"/>
  <c r="BE444" i="5" s="1"/>
  <c r="BE446" i="5" s="1"/>
  <c r="BE448" i="5" s="1"/>
  <c r="BE450" i="5" s="1"/>
  <c r="BE452" i="5" s="1"/>
  <c r="BE454" i="5" s="1"/>
  <c r="BE456" i="5" s="1"/>
  <c r="BE458" i="5" s="1"/>
  <c r="BE460" i="5" s="1"/>
  <c r="BE462" i="5" s="1"/>
  <c r="BE464" i="5" s="1"/>
  <c r="BE466" i="5" s="1"/>
  <c r="BE468" i="5" s="1"/>
  <c r="BE470" i="5" s="1"/>
  <c r="BE472" i="5" s="1"/>
  <c r="BE474" i="5" s="1"/>
  <c r="BE476" i="5" s="1"/>
  <c r="BE478" i="5" s="1"/>
  <c r="BE480" i="5" s="1"/>
  <c r="BE482" i="5" s="1"/>
  <c r="BE484" i="5" s="1"/>
  <c r="BE486" i="5" s="1"/>
  <c r="BE488" i="5" s="1"/>
  <c r="BE490" i="5" s="1"/>
  <c r="BE492" i="5" s="1"/>
  <c r="BE494" i="5" s="1"/>
  <c r="BE496" i="5" s="1"/>
  <c r="BE498" i="5" s="1"/>
  <c r="BE500" i="5" s="1"/>
  <c r="BE502" i="5" s="1"/>
  <c r="BE504" i="5" s="1"/>
  <c r="BE506" i="5" s="1"/>
  <c r="BE508" i="5" s="1"/>
  <c r="BE510" i="5" s="1"/>
  <c r="BE512" i="5" s="1"/>
  <c r="BE514" i="5" s="1"/>
  <c r="BE516" i="5" s="1"/>
  <c r="BE518" i="5" s="1"/>
  <c r="BE520" i="5" s="1"/>
  <c r="BE522" i="5" s="1"/>
  <c r="BE524" i="5" s="1"/>
  <c r="BE526" i="5" s="1"/>
  <c r="BE528" i="5" s="1"/>
  <c r="BE530" i="5" s="1"/>
  <c r="BE532" i="5" s="1"/>
  <c r="BE534" i="5" s="1"/>
  <c r="BE536" i="5" s="1"/>
  <c r="BE538" i="5" s="1"/>
  <c r="BE540" i="5" s="1"/>
  <c r="BE542" i="5" s="1"/>
  <c r="BE544" i="5" s="1"/>
  <c r="BE546" i="5" s="1"/>
  <c r="BE548" i="5" s="1"/>
  <c r="BE550" i="5" s="1"/>
  <c r="BE552" i="5" s="1"/>
  <c r="BE554" i="5" s="1"/>
  <c r="BE556" i="5" s="1"/>
  <c r="BE558" i="5" s="1"/>
  <c r="BE560" i="5" s="1"/>
  <c r="BE562" i="5" s="1"/>
  <c r="BE564" i="5" s="1"/>
  <c r="BE566" i="5" s="1"/>
  <c r="BE568" i="5" s="1"/>
  <c r="BE570" i="5" s="1"/>
  <c r="BE572" i="5" s="1"/>
  <c r="BE574" i="5" s="1"/>
  <c r="BE576" i="5" s="1"/>
  <c r="BE578" i="5" s="1"/>
  <c r="BE580" i="5" s="1"/>
  <c r="BE582" i="5" s="1"/>
  <c r="BE584" i="5" s="1"/>
  <c r="BE586" i="5" s="1"/>
  <c r="BE588" i="5" s="1"/>
  <c r="BE590" i="5" s="1"/>
  <c r="BE592" i="5" s="1"/>
  <c r="BE594" i="5" s="1"/>
  <c r="BE596" i="5" s="1"/>
  <c r="BE598" i="5" s="1"/>
  <c r="BE600" i="5" s="1"/>
  <c r="BE602" i="5" s="1"/>
  <c r="BE604" i="5" s="1"/>
  <c r="BE606" i="5" s="1"/>
  <c r="BE608" i="5" s="1"/>
  <c r="BE610" i="5" s="1"/>
  <c r="BE612" i="5" s="1"/>
  <c r="BE614" i="5" s="1"/>
  <c r="BE616" i="5" s="1"/>
  <c r="BE618" i="5" s="1"/>
  <c r="BE620" i="5" s="1"/>
  <c r="BE622" i="5" s="1"/>
  <c r="BE624" i="5" s="1"/>
  <c r="BE626" i="5" s="1"/>
  <c r="BE628" i="5" s="1"/>
  <c r="BE630" i="5" s="1"/>
  <c r="BE632" i="5" s="1"/>
  <c r="BE634" i="5" s="1"/>
  <c r="BE636" i="5" s="1"/>
  <c r="BD6" i="5"/>
  <c r="BD8" i="5" s="1"/>
  <c r="BD10" i="5" s="1"/>
  <c r="BD12" i="5" s="1"/>
  <c r="BD14" i="5" s="1"/>
  <c r="BD16" i="5" s="1"/>
  <c r="BD18" i="5" s="1"/>
  <c r="BD20" i="5" s="1"/>
  <c r="BD22" i="5" s="1"/>
  <c r="BD24" i="5" s="1"/>
  <c r="BD26" i="5" s="1"/>
  <c r="BD28" i="5" s="1"/>
  <c r="BD30" i="5" s="1"/>
  <c r="BD32" i="5" s="1"/>
  <c r="BD34" i="5" s="1"/>
  <c r="BD36" i="5" s="1"/>
  <c r="BD38" i="5" s="1"/>
  <c r="BD40" i="5" s="1"/>
  <c r="BD42" i="5" s="1"/>
  <c r="BD44" i="5" s="1"/>
  <c r="BD46" i="5" s="1"/>
  <c r="BD48" i="5" s="1"/>
  <c r="BD50" i="5" s="1"/>
  <c r="BD52" i="5" s="1"/>
  <c r="BD54" i="5" s="1"/>
  <c r="BD56" i="5" s="1"/>
  <c r="BD58" i="5" s="1"/>
  <c r="BD60" i="5" s="1"/>
  <c r="BD62" i="5" s="1"/>
  <c r="BD64" i="5" s="1"/>
  <c r="BD66" i="5" s="1"/>
  <c r="BD68" i="5" s="1"/>
  <c r="BD70" i="5" s="1"/>
  <c r="BD72" i="5" s="1"/>
  <c r="BD74" i="5" s="1"/>
  <c r="BD76" i="5" s="1"/>
  <c r="BD78" i="5" s="1"/>
  <c r="BD80" i="5" s="1"/>
  <c r="BD82" i="5" s="1"/>
  <c r="BD84" i="5" s="1"/>
  <c r="BD86" i="5" s="1"/>
  <c r="BD88" i="5" s="1"/>
  <c r="BD90" i="5" s="1"/>
  <c r="BD92" i="5" s="1"/>
  <c r="BD94" i="5" s="1"/>
  <c r="BD96" i="5" s="1"/>
  <c r="BD98" i="5" s="1"/>
  <c r="BD100" i="5" s="1"/>
  <c r="BD102" i="5" s="1"/>
  <c r="BD104" i="5" s="1"/>
  <c r="BD106" i="5" s="1"/>
  <c r="BD108" i="5" s="1"/>
  <c r="BD110" i="5" s="1"/>
  <c r="BD112" i="5" s="1"/>
  <c r="BD114" i="5" s="1"/>
  <c r="BD116" i="5" s="1"/>
  <c r="BD118" i="5" s="1"/>
  <c r="BD120" i="5" s="1"/>
  <c r="BD122" i="5" s="1"/>
  <c r="BD124" i="5" s="1"/>
  <c r="BD126" i="5" s="1"/>
  <c r="BD128" i="5" s="1"/>
  <c r="BD130" i="5" s="1"/>
  <c r="BD132" i="5" s="1"/>
  <c r="BD134" i="5" s="1"/>
  <c r="BD136" i="5" s="1"/>
  <c r="BD138" i="5" s="1"/>
  <c r="BD140" i="5" s="1"/>
  <c r="BD142" i="5" s="1"/>
  <c r="BD144" i="5" s="1"/>
  <c r="BD146" i="5" s="1"/>
  <c r="BD148" i="5" s="1"/>
  <c r="BD150" i="5" s="1"/>
  <c r="BD152" i="5" s="1"/>
  <c r="BD154" i="5" s="1"/>
  <c r="BD156" i="5" s="1"/>
  <c r="BD158" i="5" s="1"/>
  <c r="BD160" i="5" s="1"/>
  <c r="BD162" i="5" s="1"/>
  <c r="BD164" i="5" s="1"/>
  <c r="BD166" i="5" s="1"/>
  <c r="BD168" i="5" s="1"/>
  <c r="BD170" i="5" s="1"/>
  <c r="BD172" i="5" s="1"/>
  <c r="BD174" i="5" s="1"/>
  <c r="BD176" i="5" s="1"/>
  <c r="BD178" i="5" s="1"/>
  <c r="BD180" i="5" s="1"/>
  <c r="BD182" i="5" s="1"/>
  <c r="BD184" i="5" s="1"/>
  <c r="BD186" i="5" s="1"/>
  <c r="BD188" i="5" s="1"/>
  <c r="BD190" i="5" s="1"/>
  <c r="BD192" i="5" s="1"/>
  <c r="BD194" i="5" s="1"/>
  <c r="BD196" i="5" s="1"/>
  <c r="BD198" i="5" s="1"/>
  <c r="BD200" i="5" s="1"/>
  <c r="BD202" i="5" s="1"/>
  <c r="BD204" i="5" s="1"/>
  <c r="BD206" i="5" s="1"/>
  <c r="BD208" i="5" s="1"/>
  <c r="BD210" i="5" s="1"/>
  <c r="BD212" i="5" s="1"/>
  <c r="BD214" i="5" s="1"/>
  <c r="BD216" i="5" s="1"/>
  <c r="BD218" i="5" s="1"/>
  <c r="BD220" i="5" s="1"/>
  <c r="BD222" i="5" s="1"/>
  <c r="BD224" i="5" s="1"/>
  <c r="BD226" i="5" s="1"/>
  <c r="BD228" i="5" s="1"/>
  <c r="BD230" i="5" s="1"/>
  <c r="BD232" i="5" s="1"/>
  <c r="BD234" i="5" s="1"/>
  <c r="BD236" i="5" s="1"/>
  <c r="BD238" i="5" s="1"/>
  <c r="BD240" i="5" s="1"/>
  <c r="BD242" i="5" s="1"/>
  <c r="BD244" i="5" s="1"/>
  <c r="BD246" i="5" s="1"/>
  <c r="BD248" i="5" s="1"/>
  <c r="BD250" i="5" s="1"/>
  <c r="BD252" i="5" s="1"/>
  <c r="BD254" i="5" s="1"/>
  <c r="BD256" i="5" s="1"/>
  <c r="BD258" i="5" s="1"/>
  <c r="BD260" i="5" s="1"/>
  <c r="BD262" i="5" s="1"/>
  <c r="BD264" i="5" s="1"/>
  <c r="BD266" i="5" s="1"/>
  <c r="BD268" i="5" s="1"/>
  <c r="BD270" i="5" s="1"/>
  <c r="BD272" i="5" s="1"/>
  <c r="BD274" i="5" s="1"/>
  <c r="BD276" i="5" s="1"/>
  <c r="BD278" i="5" s="1"/>
  <c r="BD280" i="5" s="1"/>
  <c r="BD282" i="5" s="1"/>
  <c r="BD284" i="5" s="1"/>
  <c r="BD286" i="5" s="1"/>
  <c r="BD288" i="5" s="1"/>
  <c r="BD290" i="5" s="1"/>
  <c r="BD292" i="5" s="1"/>
  <c r="BD294" i="5" s="1"/>
  <c r="BD296" i="5" s="1"/>
  <c r="BD298" i="5" s="1"/>
  <c r="BD300" i="5" s="1"/>
  <c r="BD302" i="5" s="1"/>
  <c r="BD304" i="5" s="1"/>
  <c r="BD306" i="5" s="1"/>
  <c r="BD308" i="5" s="1"/>
  <c r="BD310" i="5" s="1"/>
  <c r="BD312" i="5" s="1"/>
  <c r="BD314" i="5" s="1"/>
  <c r="BD316" i="5" s="1"/>
  <c r="BD318" i="5" s="1"/>
  <c r="BD320" i="5" s="1"/>
  <c r="BD322" i="5" s="1"/>
  <c r="BD324" i="5" s="1"/>
  <c r="BD326" i="5" s="1"/>
  <c r="BD328" i="5" s="1"/>
  <c r="BD330" i="5" s="1"/>
  <c r="BD332" i="5" s="1"/>
  <c r="BD334" i="5" s="1"/>
  <c r="BD336" i="5" s="1"/>
  <c r="BD338" i="5" s="1"/>
  <c r="BD340" i="5" s="1"/>
  <c r="BD342" i="5" s="1"/>
  <c r="BD344" i="5" s="1"/>
  <c r="BD346" i="5" s="1"/>
  <c r="BD348" i="5" s="1"/>
  <c r="BD350" i="5" s="1"/>
  <c r="BD352" i="5" s="1"/>
  <c r="BD354" i="5" s="1"/>
  <c r="BD356" i="5" s="1"/>
  <c r="BD358" i="5" s="1"/>
  <c r="BD360" i="5" s="1"/>
  <c r="BD362" i="5" s="1"/>
  <c r="BD364" i="5" s="1"/>
  <c r="BD366" i="5" s="1"/>
  <c r="BD368" i="5" s="1"/>
  <c r="BD370" i="5" s="1"/>
  <c r="BD372" i="5" s="1"/>
  <c r="BD374" i="5" s="1"/>
  <c r="BD376" i="5" s="1"/>
  <c r="BD378" i="5" s="1"/>
  <c r="BD380" i="5" s="1"/>
  <c r="BD382" i="5" s="1"/>
  <c r="BD384" i="5" s="1"/>
  <c r="BD386" i="5" s="1"/>
  <c r="BD388" i="5" s="1"/>
  <c r="BD390" i="5" s="1"/>
  <c r="BD392" i="5" s="1"/>
  <c r="BD394" i="5" s="1"/>
  <c r="BD396" i="5" s="1"/>
  <c r="BD398" i="5" s="1"/>
  <c r="BD400" i="5" s="1"/>
  <c r="BD402" i="5" s="1"/>
  <c r="BD404" i="5" s="1"/>
  <c r="BD406" i="5" s="1"/>
  <c r="BD408" i="5" s="1"/>
  <c r="BD410" i="5" s="1"/>
  <c r="BD412" i="5" s="1"/>
  <c r="BD414" i="5" s="1"/>
  <c r="BD416" i="5" s="1"/>
  <c r="BD418" i="5" s="1"/>
  <c r="BD420" i="5" s="1"/>
  <c r="BD422" i="5" s="1"/>
  <c r="BD424" i="5" s="1"/>
  <c r="BD426" i="5" s="1"/>
  <c r="BD428" i="5" s="1"/>
  <c r="BD430" i="5" s="1"/>
  <c r="BD432" i="5" s="1"/>
  <c r="BD434" i="5" s="1"/>
  <c r="BD436" i="5" s="1"/>
  <c r="BD438" i="5" s="1"/>
  <c r="BD440" i="5" s="1"/>
  <c r="BD442" i="5" s="1"/>
  <c r="BD444" i="5" s="1"/>
  <c r="BD446" i="5" s="1"/>
  <c r="BD448" i="5" s="1"/>
  <c r="BD450" i="5" s="1"/>
  <c r="BD452" i="5" s="1"/>
  <c r="BD454" i="5" s="1"/>
  <c r="BD456" i="5" s="1"/>
  <c r="BD458" i="5" s="1"/>
  <c r="BD460" i="5" s="1"/>
  <c r="BD462" i="5" s="1"/>
  <c r="BD464" i="5" s="1"/>
  <c r="BD466" i="5" s="1"/>
  <c r="BD468" i="5" s="1"/>
  <c r="BD470" i="5" s="1"/>
  <c r="BD472" i="5" s="1"/>
  <c r="BD474" i="5" s="1"/>
  <c r="BD476" i="5" s="1"/>
  <c r="BD478" i="5" s="1"/>
  <c r="BD480" i="5" s="1"/>
  <c r="BD482" i="5" s="1"/>
  <c r="BD484" i="5" s="1"/>
  <c r="BD486" i="5" s="1"/>
  <c r="BD488" i="5" s="1"/>
  <c r="BD490" i="5" s="1"/>
  <c r="BD492" i="5" s="1"/>
  <c r="BD494" i="5" s="1"/>
  <c r="BD496" i="5" s="1"/>
  <c r="BD498" i="5" s="1"/>
  <c r="BD500" i="5" s="1"/>
  <c r="BD502" i="5" s="1"/>
  <c r="BD504" i="5" s="1"/>
  <c r="BD506" i="5" s="1"/>
  <c r="BD508" i="5" s="1"/>
  <c r="BD510" i="5" s="1"/>
  <c r="BD512" i="5" s="1"/>
  <c r="BD514" i="5" s="1"/>
  <c r="BD516" i="5" s="1"/>
  <c r="BD518" i="5" s="1"/>
  <c r="BD520" i="5" s="1"/>
  <c r="BD522" i="5" s="1"/>
  <c r="BD524" i="5" s="1"/>
  <c r="BD526" i="5" s="1"/>
  <c r="BD528" i="5" s="1"/>
  <c r="BD530" i="5" s="1"/>
  <c r="BD532" i="5" s="1"/>
  <c r="BD534" i="5" s="1"/>
  <c r="BD536" i="5" s="1"/>
  <c r="BD538" i="5" s="1"/>
  <c r="BD540" i="5" s="1"/>
  <c r="BD542" i="5" s="1"/>
  <c r="BD544" i="5" s="1"/>
  <c r="BD546" i="5" s="1"/>
  <c r="BD548" i="5" s="1"/>
  <c r="BD550" i="5" s="1"/>
  <c r="BD552" i="5" s="1"/>
  <c r="BD554" i="5" s="1"/>
  <c r="BD556" i="5" s="1"/>
  <c r="BD558" i="5" s="1"/>
  <c r="BD560" i="5" s="1"/>
  <c r="BD562" i="5" s="1"/>
  <c r="BD564" i="5" s="1"/>
  <c r="BD566" i="5" s="1"/>
  <c r="BD568" i="5" s="1"/>
  <c r="BD570" i="5" s="1"/>
  <c r="BD572" i="5" s="1"/>
  <c r="BD574" i="5" s="1"/>
  <c r="BD576" i="5" s="1"/>
  <c r="BD578" i="5" s="1"/>
  <c r="BD580" i="5" s="1"/>
  <c r="BD582" i="5" s="1"/>
  <c r="BD584" i="5" s="1"/>
  <c r="BD586" i="5" s="1"/>
  <c r="BD588" i="5" s="1"/>
  <c r="BD590" i="5" s="1"/>
  <c r="BD592" i="5" s="1"/>
  <c r="BD594" i="5" s="1"/>
  <c r="BD596" i="5" s="1"/>
  <c r="BD598" i="5" s="1"/>
  <c r="BD600" i="5" s="1"/>
  <c r="BD602" i="5" s="1"/>
  <c r="BD604" i="5" s="1"/>
  <c r="BD606" i="5" s="1"/>
  <c r="BD608" i="5" s="1"/>
  <c r="BD610" i="5" s="1"/>
  <c r="BD612" i="5" s="1"/>
  <c r="BD614" i="5" s="1"/>
  <c r="BD616" i="5" s="1"/>
  <c r="BD618" i="5" s="1"/>
  <c r="BD620" i="5" s="1"/>
  <c r="BD622" i="5" s="1"/>
  <c r="BD624" i="5" s="1"/>
  <c r="BD626" i="5" s="1"/>
  <c r="BD628" i="5" s="1"/>
  <c r="BD630" i="5" s="1"/>
  <c r="BD632" i="5" s="1"/>
  <c r="BD634" i="5" s="1"/>
  <c r="BD636" i="5" s="1"/>
  <c r="BA6" i="5"/>
  <c r="BA8" i="5" s="1"/>
  <c r="BA10" i="5" s="1"/>
  <c r="BA12" i="5" s="1"/>
  <c r="BA14" i="5" s="1"/>
  <c r="BA16" i="5" s="1"/>
  <c r="BA18" i="5" s="1"/>
  <c r="BA20" i="5" s="1"/>
  <c r="BA22" i="5" s="1"/>
  <c r="BA24" i="5" s="1"/>
  <c r="BA26" i="5" s="1"/>
  <c r="BA28" i="5" s="1"/>
  <c r="BA30" i="5" s="1"/>
  <c r="BA32" i="5" s="1"/>
  <c r="BA34" i="5" s="1"/>
  <c r="BA36" i="5" s="1"/>
  <c r="BA38" i="5" s="1"/>
  <c r="BA40" i="5" s="1"/>
  <c r="BA42" i="5" s="1"/>
  <c r="BA44" i="5" s="1"/>
  <c r="BA46" i="5" s="1"/>
  <c r="BA48" i="5" s="1"/>
  <c r="BA50" i="5" s="1"/>
  <c r="BA52" i="5" s="1"/>
  <c r="BA54" i="5" s="1"/>
  <c r="BA56" i="5" s="1"/>
  <c r="BA58" i="5" s="1"/>
  <c r="BA60" i="5" s="1"/>
  <c r="BA62" i="5" s="1"/>
  <c r="BA64" i="5" s="1"/>
  <c r="BA66" i="5" s="1"/>
  <c r="BA68" i="5" s="1"/>
  <c r="BA70" i="5" s="1"/>
  <c r="BA72" i="5" s="1"/>
  <c r="BA74" i="5" s="1"/>
  <c r="BA76" i="5" s="1"/>
  <c r="BA78" i="5" s="1"/>
  <c r="BA80" i="5" s="1"/>
  <c r="BA82" i="5" s="1"/>
  <c r="BA84" i="5" s="1"/>
  <c r="BA86" i="5" s="1"/>
  <c r="BA88" i="5" s="1"/>
  <c r="BA90" i="5" s="1"/>
  <c r="BA92" i="5" s="1"/>
  <c r="BA94" i="5" s="1"/>
  <c r="BA96" i="5" s="1"/>
  <c r="BA98" i="5" s="1"/>
  <c r="BA100" i="5" s="1"/>
  <c r="BA102" i="5" s="1"/>
  <c r="BA104" i="5" s="1"/>
  <c r="BA106" i="5" s="1"/>
  <c r="BA108" i="5" s="1"/>
  <c r="BA110" i="5" s="1"/>
  <c r="BA112" i="5" s="1"/>
  <c r="BA114" i="5" s="1"/>
  <c r="BA116" i="5" s="1"/>
  <c r="BA118" i="5" s="1"/>
  <c r="BA120" i="5" s="1"/>
  <c r="BA122" i="5" s="1"/>
  <c r="BA124" i="5" s="1"/>
  <c r="BA126" i="5" s="1"/>
  <c r="BA128" i="5" s="1"/>
  <c r="BA130" i="5" s="1"/>
  <c r="BA132" i="5" s="1"/>
  <c r="BA134" i="5" s="1"/>
  <c r="BA136" i="5" s="1"/>
  <c r="BA138" i="5" s="1"/>
  <c r="BA140" i="5" s="1"/>
  <c r="BA142" i="5" s="1"/>
  <c r="BA144" i="5" s="1"/>
  <c r="BA146" i="5" s="1"/>
  <c r="BA148" i="5" s="1"/>
  <c r="BA150" i="5" s="1"/>
  <c r="BA152" i="5" s="1"/>
  <c r="BA154" i="5" s="1"/>
  <c r="BA156" i="5" s="1"/>
  <c r="BA158" i="5" s="1"/>
  <c r="BA160" i="5" s="1"/>
  <c r="BA162" i="5" s="1"/>
  <c r="BA164" i="5" s="1"/>
  <c r="BA166" i="5" s="1"/>
  <c r="BA168" i="5" s="1"/>
  <c r="BA170" i="5" s="1"/>
  <c r="BA172" i="5" s="1"/>
  <c r="BA174" i="5" s="1"/>
  <c r="BA176" i="5" s="1"/>
  <c r="BA178" i="5" s="1"/>
  <c r="BA180" i="5" s="1"/>
  <c r="BA182" i="5" s="1"/>
  <c r="BA184" i="5" s="1"/>
  <c r="BA186" i="5" s="1"/>
  <c r="BA188" i="5" s="1"/>
  <c r="BA190" i="5" s="1"/>
  <c r="BA192" i="5" s="1"/>
  <c r="BA194" i="5" s="1"/>
  <c r="BA196" i="5" s="1"/>
  <c r="BA198" i="5" s="1"/>
  <c r="BA200" i="5" s="1"/>
  <c r="BA202" i="5" s="1"/>
  <c r="BA204" i="5" s="1"/>
  <c r="BA206" i="5" s="1"/>
  <c r="BA208" i="5" s="1"/>
  <c r="BA210" i="5" s="1"/>
  <c r="BA212" i="5" s="1"/>
  <c r="BA214" i="5" s="1"/>
  <c r="BA216" i="5" s="1"/>
  <c r="BA218" i="5" s="1"/>
  <c r="BA220" i="5" s="1"/>
  <c r="BA222" i="5" s="1"/>
  <c r="BA224" i="5" s="1"/>
  <c r="BA226" i="5" s="1"/>
  <c r="BA228" i="5" s="1"/>
  <c r="BA230" i="5" s="1"/>
  <c r="BA232" i="5" s="1"/>
  <c r="BA234" i="5" s="1"/>
  <c r="BA236" i="5" s="1"/>
  <c r="BA238" i="5" s="1"/>
  <c r="BA240" i="5" s="1"/>
  <c r="BA242" i="5" s="1"/>
  <c r="BA244" i="5" s="1"/>
  <c r="BA246" i="5" s="1"/>
  <c r="BA248" i="5" s="1"/>
  <c r="BA250" i="5" s="1"/>
  <c r="BA252" i="5" s="1"/>
  <c r="BA254" i="5" s="1"/>
  <c r="BA256" i="5" s="1"/>
  <c r="BA258" i="5" s="1"/>
  <c r="BA260" i="5" s="1"/>
  <c r="BA262" i="5" s="1"/>
  <c r="BA264" i="5" s="1"/>
  <c r="BA266" i="5" s="1"/>
  <c r="BA268" i="5" s="1"/>
  <c r="BA270" i="5" s="1"/>
  <c r="BA272" i="5" s="1"/>
  <c r="BA274" i="5" s="1"/>
  <c r="BA276" i="5" s="1"/>
  <c r="BA278" i="5" s="1"/>
  <c r="BA280" i="5" s="1"/>
  <c r="BA282" i="5" s="1"/>
  <c r="BA284" i="5" s="1"/>
  <c r="BA286" i="5" s="1"/>
  <c r="BA288" i="5" s="1"/>
  <c r="BA290" i="5" s="1"/>
  <c r="BA292" i="5" s="1"/>
  <c r="BA294" i="5" s="1"/>
  <c r="BA296" i="5" s="1"/>
  <c r="BA298" i="5" s="1"/>
  <c r="BA300" i="5" s="1"/>
  <c r="BA302" i="5" s="1"/>
  <c r="BA304" i="5" s="1"/>
  <c r="BA306" i="5" s="1"/>
  <c r="BA308" i="5" s="1"/>
  <c r="BA310" i="5" s="1"/>
  <c r="BA312" i="5" s="1"/>
  <c r="BA314" i="5" s="1"/>
  <c r="BA316" i="5" s="1"/>
  <c r="BA318" i="5" s="1"/>
  <c r="BA320" i="5" s="1"/>
  <c r="BA322" i="5" s="1"/>
  <c r="BA324" i="5" s="1"/>
  <c r="BA326" i="5" s="1"/>
  <c r="BA328" i="5" s="1"/>
  <c r="BA330" i="5" s="1"/>
  <c r="BA332" i="5" s="1"/>
  <c r="BA334" i="5" s="1"/>
  <c r="BA336" i="5" s="1"/>
  <c r="BA338" i="5" s="1"/>
  <c r="BA340" i="5" s="1"/>
  <c r="BA342" i="5" s="1"/>
  <c r="BA344" i="5" s="1"/>
  <c r="BA346" i="5" s="1"/>
  <c r="BA348" i="5" s="1"/>
  <c r="BA350" i="5" s="1"/>
  <c r="BA352" i="5" s="1"/>
  <c r="BA354" i="5" s="1"/>
  <c r="BA356" i="5" s="1"/>
  <c r="BA358" i="5" s="1"/>
  <c r="BA360" i="5" s="1"/>
  <c r="BA362" i="5" s="1"/>
  <c r="BA364" i="5" s="1"/>
  <c r="BA366" i="5" s="1"/>
  <c r="BA368" i="5" s="1"/>
  <c r="BA370" i="5" s="1"/>
  <c r="BA372" i="5" s="1"/>
  <c r="BA374" i="5" s="1"/>
  <c r="BA376" i="5" s="1"/>
  <c r="BA378" i="5" s="1"/>
  <c r="BA380" i="5" s="1"/>
  <c r="BA382" i="5" s="1"/>
  <c r="BA384" i="5" s="1"/>
  <c r="BA386" i="5" s="1"/>
  <c r="BA388" i="5" s="1"/>
  <c r="BA390" i="5" s="1"/>
  <c r="BA392" i="5" s="1"/>
  <c r="BA394" i="5" s="1"/>
  <c r="BA396" i="5" s="1"/>
  <c r="BA398" i="5" s="1"/>
  <c r="BA400" i="5" s="1"/>
  <c r="BA402" i="5" s="1"/>
  <c r="BA404" i="5" s="1"/>
  <c r="BA406" i="5" s="1"/>
  <c r="BA408" i="5" s="1"/>
  <c r="BA410" i="5" s="1"/>
  <c r="BA412" i="5" s="1"/>
  <c r="BA414" i="5" s="1"/>
  <c r="BA416" i="5" s="1"/>
  <c r="BA418" i="5" s="1"/>
  <c r="BA420" i="5" s="1"/>
  <c r="BA422" i="5" s="1"/>
  <c r="BA424" i="5" s="1"/>
  <c r="BA426" i="5" s="1"/>
  <c r="BA428" i="5" s="1"/>
  <c r="BA430" i="5" s="1"/>
  <c r="BA432" i="5" s="1"/>
  <c r="BA434" i="5" s="1"/>
  <c r="BA436" i="5" s="1"/>
  <c r="BA438" i="5" s="1"/>
  <c r="BA440" i="5" s="1"/>
  <c r="BA442" i="5" s="1"/>
  <c r="BA444" i="5" s="1"/>
  <c r="BA446" i="5" s="1"/>
  <c r="BA448" i="5" s="1"/>
  <c r="BA450" i="5" s="1"/>
  <c r="BA452" i="5" s="1"/>
  <c r="BA454" i="5" s="1"/>
  <c r="BA456" i="5" s="1"/>
  <c r="BA458" i="5" s="1"/>
  <c r="BA460" i="5" s="1"/>
  <c r="BA462" i="5" s="1"/>
  <c r="BA464" i="5" s="1"/>
  <c r="BA466" i="5" s="1"/>
  <c r="BA468" i="5" s="1"/>
  <c r="BA470" i="5" s="1"/>
  <c r="BA472" i="5" s="1"/>
  <c r="BA474" i="5" s="1"/>
  <c r="BA476" i="5" s="1"/>
  <c r="BA478" i="5" s="1"/>
  <c r="BA480" i="5" s="1"/>
  <c r="BA482" i="5" s="1"/>
  <c r="BA484" i="5" s="1"/>
  <c r="BA486" i="5" s="1"/>
  <c r="BA488" i="5" s="1"/>
  <c r="BA490" i="5" s="1"/>
  <c r="BA492" i="5" s="1"/>
  <c r="BA494" i="5" s="1"/>
  <c r="BA496" i="5" s="1"/>
  <c r="BA498" i="5" s="1"/>
  <c r="BA500" i="5" s="1"/>
  <c r="BA502" i="5" s="1"/>
  <c r="BA504" i="5" s="1"/>
  <c r="BA506" i="5" s="1"/>
  <c r="BA508" i="5" s="1"/>
  <c r="BA510" i="5" s="1"/>
  <c r="BA512" i="5" s="1"/>
  <c r="BA514" i="5" s="1"/>
  <c r="BA516" i="5" s="1"/>
  <c r="BA518" i="5" s="1"/>
  <c r="BA520" i="5" s="1"/>
  <c r="BA522" i="5" s="1"/>
  <c r="BA524" i="5" s="1"/>
  <c r="BA526" i="5" s="1"/>
  <c r="BA528" i="5" s="1"/>
  <c r="BA530" i="5" s="1"/>
  <c r="BA532" i="5" s="1"/>
  <c r="BA534" i="5" s="1"/>
  <c r="BA536" i="5" s="1"/>
  <c r="BA538" i="5" s="1"/>
  <c r="BA540" i="5" s="1"/>
  <c r="BA542" i="5" s="1"/>
  <c r="BA544" i="5" s="1"/>
  <c r="BA546" i="5" s="1"/>
  <c r="BA548" i="5" s="1"/>
  <c r="BA550" i="5" s="1"/>
  <c r="BA552" i="5" s="1"/>
  <c r="BA554" i="5" s="1"/>
  <c r="BA556" i="5" s="1"/>
  <c r="BA558" i="5" s="1"/>
  <c r="BA560" i="5" s="1"/>
  <c r="BA562" i="5" s="1"/>
  <c r="BA564" i="5" s="1"/>
  <c r="BA566" i="5" s="1"/>
  <c r="BA568" i="5" s="1"/>
  <c r="BA570" i="5" s="1"/>
  <c r="BA572" i="5" s="1"/>
  <c r="BA574" i="5" s="1"/>
  <c r="BA576" i="5" s="1"/>
  <c r="BA578" i="5" s="1"/>
  <c r="BA580" i="5" s="1"/>
  <c r="BA582" i="5" s="1"/>
  <c r="BA584" i="5" s="1"/>
  <c r="BA586" i="5" s="1"/>
  <c r="BA588" i="5" s="1"/>
  <c r="BA590" i="5" s="1"/>
  <c r="BA592" i="5" s="1"/>
  <c r="BA594" i="5" s="1"/>
  <c r="BA596" i="5" s="1"/>
  <c r="BA598" i="5" s="1"/>
  <c r="BA600" i="5" s="1"/>
  <c r="BA602" i="5" s="1"/>
  <c r="BA604" i="5" s="1"/>
  <c r="BA606" i="5" s="1"/>
  <c r="BA608" i="5" s="1"/>
  <c r="BA610" i="5" s="1"/>
  <c r="BA612" i="5" s="1"/>
  <c r="BA614" i="5" s="1"/>
  <c r="BA616" i="5" s="1"/>
  <c r="BA618" i="5" s="1"/>
  <c r="BA620" i="5" s="1"/>
  <c r="BA622" i="5" s="1"/>
  <c r="BA624" i="5" s="1"/>
  <c r="BA626" i="5" s="1"/>
  <c r="BA628" i="5" s="1"/>
  <c r="BA630" i="5" s="1"/>
  <c r="BA632" i="5" s="1"/>
  <c r="BA634" i="5" s="1"/>
  <c r="BA636" i="5" s="1"/>
  <c r="B20" i="7" l="1"/>
  <c r="L12" i="8" l="1"/>
  <c r="J12" i="8"/>
  <c r="H12" i="8"/>
  <c r="F12" i="8"/>
  <c r="D12" i="8"/>
  <c r="B12" i="8"/>
  <c r="L11" i="8"/>
  <c r="J11" i="8"/>
  <c r="H11" i="8"/>
  <c r="F11" i="8"/>
  <c r="D11" i="8"/>
  <c r="B11" i="8"/>
  <c r="L10" i="8"/>
  <c r="J10" i="8"/>
  <c r="H10" i="8"/>
  <c r="F10" i="8"/>
  <c r="D10" i="8"/>
  <c r="B10" i="8"/>
  <c r="L9" i="8"/>
  <c r="J9" i="8"/>
  <c r="H9" i="8"/>
  <c r="F9" i="8"/>
  <c r="D9" i="8"/>
  <c r="B9" i="8"/>
  <c r="L8" i="8"/>
  <c r="J8" i="8"/>
  <c r="H8" i="8"/>
  <c r="F8" i="8"/>
  <c r="D8" i="8"/>
  <c r="B8" i="8"/>
  <c r="L7" i="8"/>
  <c r="J7" i="8"/>
  <c r="H7" i="8"/>
  <c r="F7" i="8"/>
  <c r="D7" i="8"/>
  <c r="B7" i="8"/>
  <c r="L6" i="8"/>
  <c r="J6" i="8"/>
  <c r="H6" i="8"/>
  <c r="F6" i="8"/>
  <c r="D6" i="8"/>
  <c r="L167" i="7"/>
  <c r="J167" i="7"/>
  <c r="H167" i="7"/>
  <c r="F167" i="7"/>
  <c r="D167" i="7"/>
  <c r="B167" i="7"/>
  <c r="B138" i="5"/>
  <c r="L24" i="5"/>
  <c r="J24" i="5"/>
  <c r="H24" i="5"/>
  <c r="F24" i="5"/>
  <c r="D24" i="5"/>
  <c r="B24" i="5"/>
  <c r="L23" i="5"/>
  <c r="J23" i="5"/>
  <c r="H23" i="5"/>
  <c r="F23" i="5"/>
  <c r="D23" i="5"/>
  <c r="B23" i="5"/>
  <c r="L22" i="5"/>
  <c r="J22" i="5"/>
  <c r="H22" i="5"/>
  <c r="F22" i="5"/>
  <c r="D22" i="5"/>
  <c r="B22" i="5"/>
  <c r="L21" i="5"/>
  <c r="J21" i="5"/>
  <c r="H21" i="5"/>
  <c r="F21" i="5"/>
  <c r="D21" i="5"/>
  <c r="B21" i="5"/>
  <c r="L20" i="5"/>
  <c r="J20" i="5"/>
  <c r="H20" i="5"/>
  <c r="F20" i="5"/>
  <c r="D20" i="5"/>
  <c r="B20" i="5"/>
  <c r="L19" i="5"/>
  <c r="J19" i="5"/>
  <c r="H19" i="5"/>
  <c r="F19" i="5"/>
  <c r="D19" i="5"/>
  <c r="B19" i="5"/>
  <c r="L18" i="5"/>
  <c r="J18" i="5"/>
  <c r="H18" i="5"/>
  <c r="F18" i="5"/>
  <c r="D18" i="5"/>
  <c r="B18" i="5"/>
  <c r="L36" i="5"/>
  <c r="J36" i="5"/>
  <c r="H36" i="5"/>
  <c r="F36" i="5"/>
  <c r="D36" i="5"/>
  <c r="B36" i="5"/>
  <c r="L35" i="5"/>
  <c r="J35" i="5"/>
  <c r="H35" i="5"/>
  <c r="F35" i="5"/>
  <c r="D35" i="5"/>
  <c r="B35" i="5"/>
  <c r="L34" i="5"/>
  <c r="J34" i="5"/>
  <c r="H34" i="5"/>
  <c r="F34" i="5"/>
  <c r="D34" i="5"/>
  <c r="B34" i="5"/>
  <c r="L33" i="5"/>
  <c r="J33" i="5"/>
  <c r="H33" i="5"/>
  <c r="F33" i="5"/>
  <c r="D33" i="5"/>
  <c r="B33" i="5"/>
  <c r="L32" i="5"/>
  <c r="J32" i="5"/>
  <c r="H32" i="5"/>
  <c r="F32" i="5"/>
  <c r="D32" i="5"/>
  <c r="B32" i="5"/>
  <c r="L31" i="5"/>
  <c r="J31" i="5"/>
  <c r="H31" i="5"/>
  <c r="F31" i="5"/>
  <c r="D31" i="5"/>
  <c r="B31" i="5"/>
  <c r="L30" i="5"/>
  <c r="J30" i="5"/>
  <c r="H30" i="5"/>
  <c r="F30" i="5"/>
  <c r="D30" i="5"/>
  <c r="B30" i="5"/>
  <c r="B117" i="5"/>
  <c r="D117" i="5"/>
  <c r="F117" i="5"/>
  <c r="H117" i="5"/>
  <c r="J117" i="5"/>
  <c r="L117" i="5"/>
  <c r="Y61" i="12"/>
  <c r="AF6" i="19" s="1"/>
  <c r="Y55" i="12" l="1"/>
  <c r="AF5" i="18" s="1"/>
  <c r="AH29" i="18" l="1"/>
  <c r="BG12" i="18"/>
  <c r="BG11" i="18" s="1"/>
  <c r="A23" i="18" s="1"/>
  <c r="AH26" i="18"/>
  <c r="AH28" i="18"/>
  <c r="BJ25" i="18"/>
  <c r="AB25" i="18"/>
  <c r="CB22" i="18"/>
  <c r="BC5" i="18"/>
  <c r="AH27" i="18"/>
  <c r="O102" i="12"/>
  <c r="O91" i="12"/>
  <c r="BJ26" i="19"/>
  <c r="Y60" i="12"/>
  <c r="AF5" i="19" s="1"/>
  <c r="W58" i="19"/>
  <c r="BI38" i="19"/>
  <c r="BI37" i="19"/>
  <c r="L31" i="19"/>
  <c r="L32" i="19" s="1"/>
  <c r="AX21" i="19"/>
  <c r="AD15" i="19"/>
  <c r="F12" i="19"/>
  <c r="F14" i="19" s="1"/>
  <c r="AQ8" i="19"/>
  <c r="AQ9" i="19" s="1"/>
  <c r="AQ10" i="19" s="1"/>
  <c r="AQ11" i="19" s="1"/>
  <c r="AQ12" i="19" s="1"/>
  <c r="AQ15" i="19" s="1"/>
  <c r="AQ17" i="19" s="1"/>
  <c r="AQ18" i="19" s="1"/>
  <c r="AQ19" i="19" s="1"/>
  <c r="AQ20" i="19" s="1"/>
  <c r="AQ21" i="19" s="1"/>
  <c r="AQ22" i="19" s="1"/>
  <c r="AQ23" i="19" s="1"/>
  <c r="AQ24" i="19" s="1"/>
  <c r="AQ25" i="19" s="1"/>
  <c r="AQ26" i="19" s="1"/>
  <c r="AQ27" i="19" s="1"/>
  <c r="AQ28" i="19" s="1"/>
  <c r="AQ29" i="19" s="1"/>
  <c r="AQ30" i="19" s="1"/>
  <c r="AQ31" i="19" s="1"/>
  <c r="AQ32" i="19" s="1"/>
  <c r="AQ33" i="19" s="1"/>
  <c r="AQ34" i="19" s="1"/>
  <c r="AQ35" i="19" s="1"/>
  <c r="AQ36" i="19" s="1"/>
  <c r="AQ37" i="19" s="1"/>
  <c r="AQ38" i="19" s="1"/>
  <c r="AQ39" i="19" s="1"/>
  <c r="AQ40" i="19" s="1"/>
  <c r="AQ41" i="19" s="1"/>
  <c r="AQ42" i="19" s="1"/>
  <c r="AQ43" i="19" s="1"/>
  <c r="AQ44" i="19" s="1"/>
  <c r="AQ45" i="19" s="1"/>
  <c r="AQ46" i="19" s="1"/>
  <c r="AQ47" i="19" s="1"/>
  <c r="AQ48" i="19" s="1"/>
  <c r="AQ49" i="19" s="1"/>
  <c r="AQ50" i="19" s="1"/>
  <c r="AQ51" i="19" s="1"/>
  <c r="AQ52" i="19" s="1"/>
  <c r="AQ53" i="19" s="1"/>
  <c r="AQ54" i="19" s="1"/>
  <c r="AQ55" i="19" s="1"/>
  <c r="AQ56" i="19" s="1"/>
  <c r="AQ57" i="19" s="1"/>
  <c r="AQ58" i="19" s="1"/>
  <c r="AQ59" i="19" s="1"/>
  <c r="AQ60" i="19" s="1"/>
  <c r="AQ61" i="19" s="1"/>
  <c r="AQ62" i="19" s="1"/>
  <c r="AQ63" i="19" s="1"/>
  <c r="AQ64" i="19" s="1"/>
  <c r="AQ65" i="19" s="1"/>
  <c r="AQ66" i="19" s="1"/>
  <c r="AQ67" i="19" s="1"/>
  <c r="AQ68" i="19" s="1"/>
  <c r="AQ69" i="19" s="1"/>
  <c r="AQ70" i="19" s="1"/>
  <c r="AQ71" i="19" s="1"/>
  <c r="AQ72" i="19" s="1"/>
  <c r="AQ73" i="19" s="1"/>
  <c r="AQ74" i="19" s="1"/>
  <c r="AQ75" i="19" s="1"/>
  <c r="AQ76" i="19" s="1"/>
  <c r="AQ77" i="19" s="1"/>
  <c r="AP8" i="19"/>
  <c r="AP9" i="19" s="1"/>
  <c r="AP10" i="19" s="1"/>
  <c r="AP11" i="19" s="1"/>
  <c r="AP12" i="19" s="1"/>
  <c r="AP15" i="19" s="1"/>
  <c r="AP17" i="19" s="1"/>
  <c r="AP18" i="19" s="1"/>
  <c r="AP19" i="19" s="1"/>
  <c r="AP20" i="19" s="1"/>
  <c r="AP21" i="19" s="1"/>
  <c r="AP22" i="19" s="1"/>
  <c r="AP23" i="19" s="1"/>
  <c r="AP24" i="19" s="1"/>
  <c r="AP25" i="19" s="1"/>
  <c r="AP26" i="19" s="1"/>
  <c r="AP27" i="19" s="1"/>
  <c r="AP28" i="19" s="1"/>
  <c r="AP29" i="19" s="1"/>
  <c r="AP30" i="19" s="1"/>
  <c r="AP31" i="19" s="1"/>
  <c r="AP32" i="19" s="1"/>
  <c r="AP33" i="19" s="1"/>
  <c r="AP34" i="19" s="1"/>
  <c r="AP35" i="19" s="1"/>
  <c r="AP36" i="19" s="1"/>
  <c r="AP37" i="19" s="1"/>
  <c r="AP38" i="19" s="1"/>
  <c r="AP39" i="19" s="1"/>
  <c r="AP40" i="19" s="1"/>
  <c r="AP41" i="19" s="1"/>
  <c r="AP42" i="19" s="1"/>
  <c r="AP43" i="19" s="1"/>
  <c r="AP44" i="19" s="1"/>
  <c r="AP45" i="19" s="1"/>
  <c r="AP46" i="19" s="1"/>
  <c r="AP47" i="19" s="1"/>
  <c r="AP48" i="19" s="1"/>
  <c r="AP49" i="19" s="1"/>
  <c r="AP50" i="19" s="1"/>
  <c r="AP51" i="19" s="1"/>
  <c r="AP52" i="19" s="1"/>
  <c r="AP53" i="19" s="1"/>
  <c r="AP54" i="19" s="1"/>
  <c r="AP55" i="19" s="1"/>
  <c r="AP56" i="19" s="1"/>
  <c r="AP57" i="19" s="1"/>
  <c r="AP58" i="19" s="1"/>
  <c r="AP59" i="19" s="1"/>
  <c r="AP60" i="19" s="1"/>
  <c r="AP61" i="19" s="1"/>
  <c r="AP62" i="19" s="1"/>
  <c r="AP63" i="19" s="1"/>
  <c r="AP64" i="19" s="1"/>
  <c r="AP65" i="19" s="1"/>
  <c r="AP66" i="19" s="1"/>
  <c r="AP67" i="19" s="1"/>
  <c r="AP68" i="19" s="1"/>
  <c r="AP69" i="19" s="1"/>
  <c r="AP70" i="19" s="1"/>
  <c r="AP71" i="19" s="1"/>
  <c r="AP72" i="19" s="1"/>
  <c r="AP73" i="19" s="1"/>
  <c r="AP74" i="19" s="1"/>
  <c r="AP75" i="19" s="1"/>
  <c r="AP76" i="19" s="1"/>
  <c r="AP77" i="19" s="1"/>
  <c r="AO8" i="19"/>
  <c r="AO9" i="19" s="1"/>
  <c r="AO10" i="19" s="1"/>
  <c r="AO11" i="19" s="1"/>
  <c r="AO12" i="19" s="1"/>
  <c r="AO15" i="19" s="1"/>
  <c r="AO17" i="19" s="1"/>
  <c r="AO18" i="19" s="1"/>
  <c r="AO19" i="19" s="1"/>
  <c r="AO20" i="19" s="1"/>
  <c r="AO21" i="19" s="1"/>
  <c r="AO22" i="19" s="1"/>
  <c r="AO23" i="19" s="1"/>
  <c r="AO24" i="19" s="1"/>
  <c r="AO25" i="19" s="1"/>
  <c r="AO26" i="19" s="1"/>
  <c r="AO27" i="19" s="1"/>
  <c r="AO28" i="19" s="1"/>
  <c r="AO29" i="19" s="1"/>
  <c r="AO30" i="19" s="1"/>
  <c r="AO31" i="19" s="1"/>
  <c r="AO32" i="19" s="1"/>
  <c r="AO33" i="19" s="1"/>
  <c r="AO34" i="19" s="1"/>
  <c r="AO35" i="19" s="1"/>
  <c r="AO36" i="19" s="1"/>
  <c r="AO37" i="19" s="1"/>
  <c r="AO38" i="19" s="1"/>
  <c r="AO39" i="19" s="1"/>
  <c r="AO40" i="19" s="1"/>
  <c r="AO41" i="19" s="1"/>
  <c r="AO42" i="19" s="1"/>
  <c r="AO43" i="19" s="1"/>
  <c r="AO44" i="19" s="1"/>
  <c r="AO45" i="19" s="1"/>
  <c r="AO46" i="19" s="1"/>
  <c r="AO47" i="19" s="1"/>
  <c r="AO48" i="19" s="1"/>
  <c r="AO49" i="19" s="1"/>
  <c r="AO50" i="19" s="1"/>
  <c r="AO51" i="19" s="1"/>
  <c r="AO52" i="19" s="1"/>
  <c r="AO53" i="19" s="1"/>
  <c r="AO54" i="19" s="1"/>
  <c r="AO55" i="19" s="1"/>
  <c r="AO56" i="19" s="1"/>
  <c r="AO57" i="19" s="1"/>
  <c r="AO58" i="19" s="1"/>
  <c r="AO59" i="19" s="1"/>
  <c r="AO60" i="19" s="1"/>
  <c r="AO61" i="19" s="1"/>
  <c r="AO62" i="19" s="1"/>
  <c r="AO63" i="19" s="1"/>
  <c r="AO64" i="19" s="1"/>
  <c r="AO65" i="19" s="1"/>
  <c r="AO66" i="19" s="1"/>
  <c r="AO67" i="19" s="1"/>
  <c r="AO68" i="19" s="1"/>
  <c r="AO69" i="19" s="1"/>
  <c r="AO70" i="19" s="1"/>
  <c r="AO71" i="19" s="1"/>
  <c r="AO72" i="19" s="1"/>
  <c r="AO73" i="19" s="1"/>
  <c r="AO74" i="19" s="1"/>
  <c r="AO75" i="19" s="1"/>
  <c r="AO76" i="19" s="1"/>
  <c r="AO77" i="19" s="1"/>
  <c r="AN8" i="19"/>
  <c r="AN9" i="19" s="1"/>
  <c r="AN10" i="19" s="1"/>
  <c r="AN11" i="19" s="1"/>
  <c r="AN12" i="19" s="1"/>
  <c r="AN15" i="19" s="1"/>
  <c r="AN17" i="19" s="1"/>
  <c r="AN18" i="19" s="1"/>
  <c r="AN19" i="19" s="1"/>
  <c r="AN20" i="19" s="1"/>
  <c r="AN21" i="19" s="1"/>
  <c r="AN22" i="19" s="1"/>
  <c r="AN23" i="19" s="1"/>
  <c r="AN24" i="19" s="1"/>
  <c r="AN25" i="19" s="1"/>
  <c r="AN26" i="19" s="1"/>
  <c r="AN27" i="19" s="1"/>
  <c r="AN28" i="19" s="1"/>
  <c r="AN29" i="19" s="1"/>
  <c r="AN30" i="19" s="1"/>
  <c r="AN31" i="19" s="1"/>
  <c r="AN32" i="19" s="1"/>
  <c r="AN33" i="19" s="1"/>
  <c r="AN34" i="19" s="1"/>
  <c r="AN35" i="19" s="1"/>
  <c r="AN36" i="19" s="1"/>
  <c r="AN37" i="19" s="1"/>
  <c r="AN38" i="19" s="1"/>
  <c r="AN39" i="19" s="1"/>
  <c r="AN40" i="19" s="1"/>
  <c r="AN41" i="19" s="1"/>
  <c r="AN42" i="19" s="1"/>
  <c r="AN43" i="19" s="1"/>
  <c r="AN44" i="19" s="1"/>
  <c r="AN45" i="19" s="1"/>
  <c r="AN46" i="19" s="1"/>
  <c r="AN47" i="19" s="1"/>
  <c r="AN48" i="19" s="1"/>
  <c r="AN49" i="19" s="1"/>
  <c r="AN50" i="19" s="1"/>
  <c r="AN51" i="19" s="1"/>
  <c r="AN52" i="19" s="1"/>
  <c r="AN53" i="19" s="1"/>
  <c r="AN54" i="19" s="1"/>
  <c r="AN55" i="19" s="1"/>
  <c r="AN56" i="19" s="1"/>
  <c r="AN57" i="19" s="1"/>
  <c r="AN58" i="19" s="1"/>
  <c r="AN59" i="19" s="1"/>
  <c r="AN60" i="19" s="1"/>
  <c r="AN61" i="19" s="1"/>
  <c r="AN62" i="19" s="1"/>
  <c r="AN63" i="19" s="1"/>
  <c r="AN64" i="19" s="1"/>
  <c r="AN65" i="19" s="1"/>
  <c r="AN66" i="19" s="1"/>
  <c r="AN67" i="19" s="1"/>
  <c r="AN68" i="19" s="1"/>
  <c r="AN69" i="19" s="1"/>
  <c r="AN70" i="19" s="1"/>
  <c r="AN71" i="19" s="1"/>
  <c r="AN72" i="19" s="1"/>
  <c r="AN73" i="19" s="1"/>
  <c r="AN74" i="19" s="1"/>
  <c r="AN75" i="19" s="1"/>
  <c r="AN76" i="19" s="1"/>
  <c r="AN77" i="19" s="1"/>
  <c r="AM8" i="19"/>
  <c r="AM9" i="19" s="1"/>
  <c r="AM10" i="19" s="1"/>
  <c r="AM11" i="19" s="1"/>
  <c r="AM12" i="19" s="1"/>
  <c r="AM15" i="19" s="1"/>
  <c r="AM17" i="19" s="1"/>
  <c r="AM18" i="19" s="1"/>
  <c r="AM19" i="19" s="1"/>
  <c r="AM20" i="19" s="1"/>
  <c r="AM21" i="19" s="1"/>
  <c r="AM22" i="19" s="1"/>
  <c r="AM23" i="19" s="1"/>
  <c r="AM24" i="19" s="1"/>
  <c r="AM25" i="19" s="1"/>
  <c r="AM26" i="19" s="1"/>
  <c r="AM27" i="19" s="1"/>
  <c r="AM28" i="19" s="1"/>
  <c r="AM29" i="19" s="1"/>
  <c r="AM30" i="19" s="1"/>
  <c r="AM31" i="19" s="1"/>
  <c r="AM32" i="19" s="1"/>
  <c r="AM33" i="19" s="1"/>
  <c r="AM34" i="19" s="1"/>
  <c r="AM35" i="19" s="1"/>
  <c r="AM36" i="19" s="1"/>
  <c r="AM37" i="19" s="1"/>
  <c r="AM38" i="19" s="1"/>
  <c r="AM39" i="19" s="1"/>
  <c r="AM40" i="19" s="1"/>
  <c r="AM41" i="19" s="1"/>
  <c r="AM42" i="19" s="1"/>
  <c r="AM43" i="19" s="1"/>
  <c r="AM44" i="19" s="1"/>
  <c r="AM45" i="19" s="1"/>
  <c r="AM46" i="19" s="1"/>
  <c r="AM47" i="19" s="1"/>
  <c r="AM48" i="19" s="1"/>
  <c r="AM49" i="19" s="1"/>
  <c r="AM50" i="19" s="1"/>
  <c r="AM51" i="19" s="1"/>
  <c r="AM52" i="19" s="1"/>
  <c r="AM53" i="19" s="1"/>
  <c r="AM54" i="19" s="1"/>
  <c r="AM55" i="19" s="1"/>
  <c r="AM56" i="19" s="1"/>
  <c r="AM57" i="19" s="1"/>
  <c r="AM58" i="19" s="1"/>
  <c r="AM59" i="19" s="1"/>
  <c r="AM60" i="19" s="1"/>
  <c r="AM61" i="19" s="1"/>
  <c r="AM62" i="19" s="1"/>
  <c r="AM63" i="19" s="1"/>
  <c r="AM64" i="19" s="1"/>
  <c r="AM65" i="19" s="1"/>
  <c r="AM66" i="19" s="1"/>
  <c r="AM67" i="19" s="1"/>
  <c r="AM68" i="19" s="1"/>
  <c r="AM69" i="19" s="1"/>
  <c r="AM70" i="19" s="1"/>
  <c r="AM71" i="19" s="1"/>
  <c r="AM72" i="19" s="1"/>
  <c r="AM73" i="19" s="1"/>
  <c r="AM74" i="19" s="1"/>
  <c r="AM75" i="19" s="1"/>
  <c r="AM76" i="19" s="1"/>
  <c r="AM77" i="19" s="1"/>
  <c r="AT11" i="18" l="1"/>
  <c r="AU11" i="18" s="1"/>
  <c r="AT10" i="18"/>
  <c r="Q40" i="18"/>
  <c r="Q37" i="18"/>
  <c r="BG5" i="18"/>
  <c r="Q35" i="18"/>
  <c r="BC5" i="19"/>
  <c r="BG5" i="19" s="1"/>
  <c r="BG15" i="19"/>
  <c r="CB23" i="19"/>
  <c r="AH29" i="19"/>
  <c r="CB22" i="19"/>
  <c r="AH27" i="19"/>
  <c r="BJ25" i="19"/>
  <c r="BG12" i="19"/>
  <c r="AH26" i="19"/>
  <c r="BJ27" i="19"/>
  <c r="BJ29" i="19" s="1"/>
  <c r="AU26" i="19"/>
  <c r="CC29" i="19"/>
  <c r="AH28" i="19"/>
  <c r="AB25" i="19"/>
  <c r="B20" i="6"/>
  <c r="AU9" i="18" l="1"/>
  <c r="AU10" i="18"/>
  <c r="Q42" i="18"/>
  <c r="AW11" i="18"/>
  <c r="AX11" i="18" s="1"/>
  <c r="AW10" i="18"/>
  <c r="AT10" i="19"/>
  <c r="AU10" i="19" s="1"/>
  <c r="BG11" i="19"/>
  <c r="A23" i="19" s="1"/>
  <c r="Q40" i="19"/>
  <c r="Q35" i="19"/>
  <c r="AW10" i="19"/>
  <c r="AT11" i="19"/>
  <c r="AU11" i="19" s="1"/>
  <c r="Q37" i="19"/>
  <c r="AP6" i="8"/>
  <c r="AO6" i="8"/>
  <c r="AN6" i="8"/>
  <c r="AM6" i="8"/>
  <c r="AP20" i="7"/>
  <c r="AO20" i="7"/>
  <c r="AN20" i="7"/>
  <c r="AM20" i="7"/>
  <c r="AP20" i="6"/>
  <c r="AO20" i="6"/>
  <c r="AN20" i="6"/>
  <c r="AM20" i="6"/>
  <c r="AX10" i="18" l="1"/>
  <c r="AX9" i="18"/>
  <c r="AU9" i="19"/>
  <c r="AW11" i="19"/>
  <c r="AX11" i="19" s="1"/>
  <c r="Q42" i="19"/>
  <c r="AX10" i="19"/>
  <c r="AG28" i="12"/>
  <c r="AX9" i="19" l="1"/>
  <c r="AG30" i="12"/>
  <c r="B42" i="5"/>
  <c r="B43" i="5"/>
  <c r="B126" i="5" l="1"/>
  <c r="B116" i="5" l="1"/>
  <c r="D116" i="5"/>
  <c r="F116" i="5"/>
  <c r="H116" i="5" l="1"/>
  <c r="Z2" i="8"/>
  <c r="Z2" i="7"/>
  <c r="Z2" i="6"/>
  <c r="Z2" i="5"/>
  <c r="L116" i="5" l="1"/>
  <c r="J116" i="5"/>
  <c r="H132" i="8" l="1"/>
  <c r="F143" i="8"/>
  <c r="P156" i="8"/>
  <c r="P155" i="8"/>
  <c r="Q155" i="8" s="1"/>
  <c r="P151" i="8"/>
  <c r="L150" i="8"/>
  <c r="J150" i="8"/>
  <c r="H150" i="8"/>
  <c r="F150" i="8"/>
  <c r="D150" i="8"/>
  <c r="B150" i="8"/>
  <c r="D144" i="8"/>
  <c r="B144" i="8"/>
  <c r="D143" i="8"/>
  <c r="B143" i="8"/>
  <c r="F142" i="8"/>
  <c r="D142" i="8"/>
  <c r="B142" i="8"/>
  <c r="L141" i="8"/>
  <c r="J141" i="8"/>
  <c r="H141" i="8"/>
  <c r="F141" i="8"/>
  <c r="D141" i="8"/>
  <c r="B141" i="8"/>
  <c r="L140" i="8"/>
  <c r="J140" i="8"/>
  <c r="H140" i="8"/>
  <c r="F140" i="8"/>
  <c r="D140" i="8"/>
  <c r="B140" i="8"/>
  <c r="L139" i="8"/>
  <c r="J139" i="8"/>
  <c r="H139" i="8"/>
  <c r="F139" i="8"/>
  <c r="P139" i="8" s="1"/>
  <c r="D139" i="8"/>
  <c r="B139" i="8"/>
  <c r="T139" i="8" s="1"/>
  <c r="L138" i="8"/>
  <c r="J138" i="8"/>
  <c r="H138" i="8"/>
  <c r="F138" i="8"/>
  <c r="D138" i="8"/>
  <c r="B138" i="8"/>
  <c r="D132" i="8"/>
  <c r="B132" i="8"/>
  <c r="F131" i="8"/>
  <c r="D131" i="8"/>
  <c r="B131" i="8"/>
  <c r="F130" i="8"/>
  <c r="D130" i="8"/>
  <c r="B130" i="8"/>
  <c r="L129" i="8"/>
  <c r="J129" i="8"/>
  <c r="H129" i="8"/>
  <c r="F129" i="8"/>
  <c r="D129" i="8"/>
  <c r="B129" i="8"/>
  <c r="T129" i="8" s="1"/>
  <c r="L128" i="8"/>
  <c r="J128" i="8"/>
  <c r="H128" i="8"/>
  <c r="F128" i="8"/>
  <c r="D128" i="8"/>
  <c r="B128" i="8"/>
  <c r="L127" i="8"/>
  <c r="J127" i="8"/>
  <c r="H127" i="8"/>
  <c r="F127" i="8"/>
  <c r="D127" i="8"/>
  <c r="B127" i="8"/>
  <c r="T127" i="8" s="1"/>
  <c r="L126" i="8"/>
  <c r="J126" i="8"/>
  <c r="H126" i="8"/>
  <c r="F126" i="8"/>
  <c r="D126" i="8"/>
  <c r="B126" i="8"/>
  <c r="D120" i="8"/>
  <c r="B120" i="8"/>
  <c r="F119" i="8"/>
  <c r="D119" i="8"/>
  <c r="B119" i="8"/>
  <c r="H118" i="8"/>
  <c r="F118" i="8"/>
  <c r="D118" i="8"/>
  <c r="B118" i="8"/>
  <c r="L117" i="8"/>
  <c r="J117" i="8"/>
  <c r="H117" i="8"/>
  <c r="F117" i="8"/>
  <c r="D117" i="8"/>
  <c r="B117" i="8"/>
  <c r="L116" i="8"/>
  <c r="J116" i="8"/>
  <c r="H116" i="8"/>
  <c r="F116" i="8"/>
  <c r="D116" i="8"/>
  <c r="B116" i="8"/>
  <c r="L115" i="8"/>
  <c r="J115" i="8"/>
  <c r="H115" i="8"/>
  <c r="F115" i="8"/>
  <c r="D115" i="8"/>
  <c r="B115" i="8"/>
  <c r="L114" i="8"/>
  <c r="J114" i="8"/>
  <c r="H114" i="8"/>
  <c r="F114" i="8"/>
  <c r="D114" i="8"/>
  <c r="B114" i="8"/>
  <c r="D108" i="8"/>
  <c r="B108" i="8"/>
  <c r="F107" i="8"/>
  <c r="D107" i="8"/>
  <c r="B107" i="8"/>
  <c r="H106" i="8"/>
  <c r="F106" i="8"/>
  <c r="D106" i="8"/>
  <c r="B106" i="8"/>
  <c r="L105" i="8"/>
  <c r="J105" i="8"/>
  <c r="H105" i="8"/>
  <c r="F105" i="8"/>
  <c r="D105" i="8"/>
  <c r="B105" i="8"/>
  <c r="L104" i="8"/>
  <c r="J104" i="8"/>
  <c r="H104" i="8"/>
  <c r="F104" i="8"/>
  <c r="D104" i="8"/>
  <c r="B104" i="8"/>
  <c r="T104" i="8" s="1"/>
  <c r="L103" i="8"/>
  <c r="J103" i="8"/>
  <c r="H103" i="8"/>
  <c r="F103" i="8"/>
  <c r="D103" i="8"/>
  <c r="B103" i="8"/>
  <c r="L102" i="8"/>
  <c r="J102" i="8"/>
  <c r="H102" i="8"/>
  <c r="F102" i="8"/>
  <c r="D102" i="8"/>
  <c r="B102" i="8"/>
  <c r="T102" i="8" s="1"/>
  <c r="D96" i="8"/>
  <c r="B96" i="8"/>
  <c r="F95" i="8"/>
  <c r="D95" i="8"/>
  <c r="B95" i="8"/>
  <c r="H94" i="8"/>
  <c r="F94" i="8"/>
  <c r="D94" i="8"/>
  <c r="B94" i="8"/>
  <c r="L93" i="8"/>
  <c r="J93" i="8"/>
  <c r="H93" i="8"/>
  <c r="F93" i="8"/>
  <c r="D93" i="8"/>
  <c r="B93" i="8"/>
  <c r="L92" i="8"/>
  <c r="J92" i="8"/>
  <c r="H92" i="8"/>
  <c r="F92" i="8"/>
  <c r="D92" i="8"/>
  <c r="B92" i="8"/>
  <c r="L91" i="8"/>
  <c r="J91" i="8"/>
  <c r="H91" i="8"/>
  <c r="F91" i="8"/>
  <c r="D91" i="8"/>
  <c r="B91" i="8"/>
  <c r="L90" i="8"/>
  <c r="J90" i="8"/>
  <c r="H90" i="8"/>
  <c r="F90" i="8"/>
  <c r="P90" i="8" s="1"/>
  <c r="D90" i="8"/>
  <c r="B90" i="8"/>
  <c r="T90" i="8" s="1"/>
  <c r="D84" i="8"/>
  <c r="B84" i="8"/>
  <c r="F83" i="8"/>
  <c r="D83" i="8"/>
  <c r="B83" i="8"/>
  <c r="H82" i="8"/>
  <c r="F82" i="8"/>
  <c r="D82" i="8"/>
  <c r="B82" i="8"/>
  <c r="L81" i="8"/>
  <c r="J81" i="8"/>
  <c r="H81" i="8"/>
  <c r="F81" i="8"/>
  <c r="D81" i="8"/>
  <c r="B81" i="8"/>
  <c r="T81" i="8" s="1"/>
  <c r="L80" i="8"/>
  <c r="J80" i="8"/>
  <c r="H80" i="8"/>
  <c r="F80" i="8"/>
  <c r="D80" i="8"/>
  <c r="B80" i="8"/>
  <c r="L79" i="8"/>
  <c r="J79" i="8"/>
  <c r="H79" i="8"/>
  <c r="F79" i="8"/>
  <c r="D79" i="8"/>
  <c r="B79" i="8"/>
  <c r="T79" i="8" s="1"/>
  <c r="L78" i="8"/>
  <c r="J78" i="8"/>
  <c r="H78" i="8"/>
  <c r="F78" i="8"/>
  <c r="D78" i="8"/>
  <c r="B78" i="8"/>
  <c r="F72" i="8"/>
  <c r="D72" i="8"/>
  <c r="B72" i="8"/>
  <c r="F71" i="8"/>
  <c r="D71" i="8"/>
  <c r="B71" i="8"/>
  <c r="H70" i="8"/>
  <c r="F70" i="8"/>
  <c r="D70" i="8"/>
  <c r="B70" i="8"/>
  <c r="T70" i="8" s="1"/>
  <c r="L69" i="8"/>
  <c r="J69" i="8"/>
  <c r="H69" i="8"/>
  <c r="F69" i="8"/>
  <c r="D69" i="8"/>
  <c r="B69" i="8"/>
  <c r="L68" i="8"/>
  <c r="J68" i="8"/>
  <c r="H68" i="8"/>
  <c r="F68" i="8"/>
  <c r="D68" i="8"/>
  <c r="B68" i="8"/>
  <c r="L67" i="8"/>
  <c r="J67" i="8"/>
  <c r="H67" i="8"/>
  <c r="F67" i="8"/>
  <c r="D67" i="8"/>
  <c r="B67" i="8"/>
  <c r="L66" i="8"/>
  <c r="J66" i="8"/>
  <c r="H66" i="8"/>
  <c r="F66" i="8"/>
  <c r="P66" i="8" s="1"/>
  <c r="D66" i="8"/>
  <c r="B66" i="8"/>
  <c r="T66" i="8" s="1"/>
  <c r="D60" i="8"/>
  <c r="B60" i="8"/>
  <c r="F59" i="8"/>
  <c r="D59" i="8"/>
  <c r="B59" i="8"/>
  <c r="H58" i="8"/>
  <c r="F58" i="8"/>
  <c r="D58" i="8"/>
  <c r="B58" i="8"/>
  <c r="L57" i="8"/>
  <c r="J57" i="8"/>
  <c r="H57" i="8"/>
  <c r="F57" i="8"/>
  <c r="D57" i="8"/>
  <c r="B57" i="8"/>
  <c r="L56" i="8"/>
  <c r="J56" i="8"/>
  <c r="H56" i="8"/>
  <c r="F56" i="8"/>
  <c r="D56" i="8"/>
  <c r="B56" i="8"/>
  <c r="L55" i="8"/>
  <c r="J55" i="8"/>
  <c r="H55" i="8"/>
  <c r="F55" i="8"/>
  <c r="D55" i="8"/>
  <c r="B55" i="8"/>
  <c r="L54" i="8"/>
  <c r="J54" i="8"/>
  <c r="H54" i="8"/>
  <c r="F54" i="8"/>
  <c r="P54" i="8" s="1"/>
  <c r="D54" i="8"/>
  <c r="B54" i="8"/>
  <c r="D48" i="8"/>
  <c r="B48" i="8"/>
  <c r="F47" i="8"/>
  <c r="D47" i="8"/>
  <c r="B47" i="8"/>
  <c r="H46" i="8"/>
  <c r="F46" i="8"/>
  <c r="D46" i="8"/>
  <c r="B46" i="8"/>
  <c r="L45" i="8"/>
  <c r="J45" i="8"/>
  <c r="H45" i="8"/>
  <c r="F45" i="8"/>
  <c r="D45" i="8"/>
  <c r="B45" i="8"/>
  <c r="L44" i="8"/>
  <c r="J44" i="8"/>
  <c r="H44" i="8"/>
  <c r="F44" i="8"/>
  <c r="D44" i="8"/>
  <c r="B44" i="8"/>
  <c r="L43" i="8"/>
  <c r="J43" i="8"/>
  <c r="H43" i="8"/>
  <c r="F43" i="8"/>
  <c r="D43" i="8"/>
  <c r="B43" i="8"/>
  <c r="L42" i="8"/>
  <c r="J42" i="8"/>
  <c r="H42" i="8"/>
  <c r="F42" i="8"/>
  <c r="P42" i="8" s="1"/>
  <c r="D42" i="8"/>
  <c r="B42" i="8"/>
  <c r="H36" i="8"/>
  <c r="D36" i="8"/>
  <c r="B36" i="8"/>
  <c r="F35" i="8"/>
  <c r="D35" i="8"/>
  <c r="B35" i="8"/>
  <c r="H34" i="8"/>
  <c r="F34" i="8"/>
  <c r="D34" i="8"/>
  <c r="B34" i="8"/>
  <c r="T34" i="8" s="1"/>
  <c r="L33" i="8"/>
  <c r="J33" i="8"/>
  <c r="H33" i="8"/>
  <c r="F33" i="8"/>
  <c r="D33" i="8"/>
  <c r="B33" i="8"/>
  <c r="L32" i="8"/>
  <c r="J32" i="8"/>
  <c r="H32" i="8"/>
  <c r="F32" i="8"/>
  <c r="D32" i="8"/>
  <c r="B32" i="8"/>
  <c r="T32" i="8" s="1"/>
  <c r="L31" i="8"/>
  <c r="J31" i="8"/>
  <c r="H31" i="8"/>
  <c r="F31" i="8"/>
  <c r="D31" i="8"/>
  <c r="B31" i="8"/>
  <c r="L30" i="8"/>
  <c r="J30" i="8"/>
  <c r="H30" i="8"/>
  <c r="F30" i="8"/>
  <c r="D30" i="8"/>
  <c r="B30" i="8"/>
  <c r="T30" i="8" s="1"/>
  <c r="D24" i="8"/>
  <c r="B24" i="8"/>
  <c r="F23" i="8"/>
  <c r="D23" i="8"/>
  <c r="B23" i="8"/>
  <c r="H22" i="8"/>
  <c r="F22" i="8"/>
  <c r="D22" i="8"/>
  <c r="B22" i="8"/>
  <c r="L21" i="8"/>
  <c r="J21" i="8"/>
  <c r="H21" i="8"/>
  <c r="F21" i="8"/>
  <c r="D21" i="8"/>
  <c r="B21" i="8"/>
  <c r="L20" i="8"/>
  <c r="J20" i="8"/>
  <c r="H20" i="8"/>
  <c r="F20" i="8"/>
  <c r="D20" i="8"/>
  <c r="B20" i="8"/>
  <c r="L19" i="8"/>
  <c r="J19" i="8"/>
  <c r="H19" i="8"/>
  <c r="F19" i="8"/>
  <c r="D19" i="8"/>
  <c r="B19" i="8"/>
  <c r="L18" i="8"/>
  <c r="J18" i="8"/>
  <c r="H18" i="8"/>
  <c r="F18" i="8"/>
  <c r="P18" i="8" s="1"/>
  <c r="D18" i="8"/>
  <c r="B18" i="8"/>
  <c r="T7" i="8"/>
  <c r="T6" i="8"/>
  <c r="D168" i="7"/>
  <c r="B168" i="7"/>
  <c r="H166" i="7"/>
  <c r="F166" i="7"/>
  <c r="D166" i="7"/>
  <c r="B166" i="7"/>
  <c r="L165" i="7"/>
  <c r="J165" i="7"/>
  <c r="H165" i="7"/>
  <c r="F165" i="7"/>
  <c r="D165" i="7"/>
  <c r="B165" i="7"/>
  <c r="L164" i="7"/>
  <c r="J164" i="7"/>
  <c r="H164" i="7"/>
  <c r="F164" i="7"/>
  <c r="D164" i="7"/>
  <c r="B164" i="7"/>
  <c r="L163" i="7"/>
  <c r="J163" i="7"/>
  <c r="H163" i="7"/>
  <c r="F163" i="7"/>
  <c r="P163" i="7" s="1"/>
  <c r="D163" i="7"/>
  <c r="B163" i="7"/>
  <c r="L162" i="7"/>
  <c r="J162" i="7"/>
  <c r="H162" i="7"/>
  <c r="F162" i="7"/>
  <c r="D162" i="7"/>
  <c r="B162" i="7"/>
  <c r="T162" i="7" s="1"/>
  <c r="D156" i="7"/>
  <c r="B156" i="7"/>
  <c r="F155" i="7"/>
  <c r="D155" i="7"/>
  <c r="B155" i="7"/>
  <c r="H154" i="7"/>
  <c r="F154" i="7"/>
  <c r="D154" i="7"/>
  <c r="B154" i="7"/>
  <c r="L153" i="7"/>
  <c r="J153" i="7"/>
  <c r="H153" i="7"/>
  <c r="F153" i="7"/>
  <c r="D153" i="7"/>
  <c r="B153" i="7"/>
  <c r="L152" i="7"/>
  <c r="J152" i="7"/>
  <c r="H152" i="7"/>
  <c r="F152" i="7"/>
  <c r="D152" i="7"/>
  <c r="B152" i="7"/>
  <c r="L151" i="7"/>
  <c r="J151" i="7"/>
  <c r="H151" i="7"/>
  <c r="F151" i="7"/>
  <c r="D151" i="7"/>
  <c r="B151" i="7"/>
  <c r="L150" i="7"/>
  <c r="J150" i="7"/>
  <c r="H150" i="7"/>
  <c r="F150" i="7"/>
  <c r="D150" i="7"/>
  <c r="B150" i="7"/>
  <c r="F144" i="7"/>
  <c r="D144" i="7"/>
  <c r="B144" i="7"/>
  <c r="F143" i="7"/>
  <c r="D143" i="7"/>
  <c r="B143" i="7"/>
  <c r="H142" i="7"/>
  <c r="F142" i="7"/>
  <c r="D142" i="7"/>
  <c r="B142" i="7"/>
  <c r="L141" i="7"/>
  <c r="J141" i="7"/>
  <c r="H141" i="7"/>
  <c r="F141" i="7"/>
  <c r="D141" i="7"/>
  <c r="B141" i="7"/>
  <c r="L140" i="7"/>
  <c r="J140" i="7"/>
  <c r="H140" i="7"/>
  <c r="F140" i="7"/>
  <c r="D140" i="7"/>
  <c r="B140" i="7"/>
  <c r="L139" i="7"/>
  <c r="J139" i="7"/>
  <c r="H139" i="7"/>
  <c r="F139" i="7"/>
  <c r="D139" i="7"/>
  <c r="B139" i="7"/>
  <c r="L138" i="7"/>
  <c r="J138" i="7"/>
  <c r="H138" i="7"/>
  <c r="F138" i="7"/>
  <c r="D138" i="7"/>
  <c r="B138" i="7"/>
  <c r="D132" i="7"/>
  <c r="B132" i="7"/>
  <c r="F131" i="7"/>
  <c r="D131" i="7"/>
  <c r="B131" i="7"/>
  <c r="H130" i="7"/>
  <c r="F130" i="7"/>
  <c r="D130" i="7"/>
  <c r="B130" i="7"/>
  <c r="L129" i="7"/>
  <c r="J129" i="7"/>
  <c r="H129" i="7"/>
  <c r="F129" i="7"/>
  <c r="D129" i="7"/>
  <c r="B129" i="7"/>
  <c r="L128" i="7"/>
  <c r="J128" i="7"/>
  <c r="H128" i="7"/>
  <c r="F128" i="7"/>
  <c r="D128" i="7"/>
  <c r="B128" i="7"/>
  <c r="L127" i="7"/>
  <c r="J127" i="7"/>
  <c r="H127" i="7"/>
  <c r="F127" i="7"/>
  <c r="D127" i="7"/>
  <c r="B127" i="7"/>
  <c r="L126" i="7"/>
  <c r="J126" i="7"/>
  <c r="H126" i="7"/>
  <c r="F126" i="7"/>
  <c r="D126" i="7"/>
  <c r="B126" i="7"/>
  <c r="D120" i="7"/>
  <c r="B120" i="7"/>
  <c r="F119" i="7"/>
  <c r="D119" i="7"/>
  <c r="B119" i="7"/>
  <c r="H118" i="7"/>
  <c r="F118" i="7"/>
  <c r="D118" i="7"/>
  <c r="B118" i="7"/>
  <c r="L117" i="7"/>
  <c r="J117" i="7"/>
  <c r="H117" i="7"/>
  <c r="F117" i="7"/>
  <c r="D117" i="7"/>
  <c r="B117" i="7"/>
  <c r="L116" i="7"/>
  <c r="J116" i="7"/>
  <c r="H116" i="7"/>
  <c r="F116" i="7"/>
  <c r="D116" i="7"/>
  <c r="B116" i="7"/>
  <c r="L115" i="7"/>
  <c r="J115" i="7"/>
  <c r="H115" i="7"/>
  <c r="F115" i="7"/>
  <c r="D115" i="7"/>
  <c r="B115" i="7"/>
  <c r="L114" i="7"/>
  <c r="J114" i="7"/>
  <c r="H114" i="7"/>
  <c r="F114" i="7"/>
  <c r="P114" i="7" s="1"/>
  <c r="D114" i="7"/>
  <c r="B114" i="7"/>
  <c r="H12" i="7"/>
  <c r="D12" i="7"/>
  <c r="B12" i="7"/>
  <c r="F11" i="7"/>
  <c r="D11" i="7"/>
  <c r="B11" i="7"/>
  <c r="H10" i="7"/>
  <c r="F10" i="7"/>
  <c r="D10" i="7"/>
  <c r="B10" i="7"/>
  <c r="L9" i="7"/>
  <c r="J9" i="7"/>
  <c r="H9" i="7"/>
  <c r="F9" i="7"/>
  <c r="D9" i="7"/>
  <c r="B9" i="7"/>
  <c r="L8" i="7"/>
  <c r="J8" i="7"/>
  <c r="H8" i="7"/>
  <c r="F8" i="7"/>
  <c r="D8" i="7"/>
  <c r="B8" i="7"/>
  <c r="L7" i="7"/>
  <c r="J7" i="7"/>
  <c r="H7" i="7"/>
  <c r="F7" i="7"/>
  <c r="D7" i="7"/>
  <c r="B7" i="7"/>
  <c r="L6" i="7"/>
  <c r="J6" i="7"/>
  <c r="H6" i="7"/>
  <c r="F6" i="7"/>
  <c r="D6" i="7"/>
  <c r="B6" i="7"/>
  <c r="D24" i="7"/>
  <c r="B24" i="7"/>
  <c r="F23" i="7"/>
  <c r="D23" i="7"/>
  <c r="B23" i="7"/>
  <c r="H22" i="7"/>
  <c r="F22" i="7"/>
  <c r="D22" i="7"/>
  <c r="B22" i="7"/>
  <c r="L21" i="7"/>
  <c r="J21" i="7"/>
  <c r="H21" i="7"/>
  <c r="F21" i="7"/>
  <c r="D21" i="7"/>
  <c r="B21" i="7"/>
  <c r="L20" i="7"/>
  <c r="J20" i="7"/>
  <c r="H20" i="7"/>
  <c r="F20" i="7"/>
  <c r="D20" i="7"/>
  <c r="L19" i="7"/>
  <c r="J19" i="7"/>
  <c r="H19" i="7"/>
  <c r="F19" i="7"/>
  <c r="D19" i="7"/>
  <c r="B19" i="7"/>
  <c r="L18" i="7"/>
  <c r="J18" i="7"/>
  <c r="H18" i="7"/>
  <c r="F18" i="7"/>
  <c r="D18" i="7"/>
  <c r="B18" i="7"/>
  <c r="D36" i="7"/>
  <c r="B36" i="7"/>
  <c r="F35" i="7"/>
  <c r="D35" i="7"/>
  <c r="B35" i="7"/>
  <c r="H34" i="7"/>
  <c r="F34" i="7"/>
  <c r="D34" i="7"/>
  <c r="B34" i="7"/>
  <c r="L33" i="7"/>
  <c r="J33" i="7"/>
  <c r="H33" i="7"/>
  <c r="F33" i="7"/>
  <c r="D33" i="7"/>
  <c r="B33" i="7"/>
  <c r="L32" i="7"/>
  <c r="J32" i="7"/>
  <c r="H32" i="7"/>
  <c r="F32" i="7"/>
  <c r="D32" i="7"/>
  <c r="B32" i="7"/>
  <c r="L31" i="7"/>
  <c r="J31" i="7"/>
  <c r="H31" i="7"/>
  <c r="F31" i="7"/>
  <c r="D31" i="7"/>
  <c r="B31" i="7"/>
  <c r="L30" i="7"/>
  <c r="J30" i="7"/>
  <c r="H30" i="7"/>
  <c r="F30" i="7"/>
  <c r="D30" i="7"/>
  <c r="B30" i="7"/>
  <c r="T30" i="7" s="1"/>
  <c r="D48" i="7"/>
  <c r="B48" i="7"/>
  <c r="F47" i="7"/>
  <c r="D47" i="7"/>
  <c r="B47" i="7"/>
  <c r="H46" i="7"/>
  <c r="F46" i="7"/>
  <c r="D46" i="7"/>
  <c r="B46" i="7"/>
  <c r="L45" i="7"/>
  <c r="J45" i="7"/>
  <c r="H45" i="7"/>
  <c r="F45" i="7"/>
  <c r="D45" i="7"/>
  <c r="B45" i="7"/>
  <c r="L44" i="7"/>
  <c r="J44" i="7"/>
  <c r="H44" i="7"/>
  <c r="F44" i="7"/>
  <c r="D44" i="7"/>
  <c r="B44" i="7"/>
  <c r="L43" i="7"/>
  <c r="J43" i="7"/>
  <c r="H43" i="7"/>
  <c r="F43" i="7"/>
  <c r="D43" i="7"/>
  <c r="B43" i="7"/>
  <c r="L42" i="7"/>
  <c r="J42" i="7"/>
  <c r="H42" i="7"/>
  <c r="F42" i="7"/>
  <c r="P42" i="7" s="1"/>
  <c r="D42" i="7"/>
  <c r="B42" i="7"/>
  <c r="D60" i="7"/>
  <c r="B60" i="7"/>
  <c r="F59" i="7"/>
  <c r="D59" i="7"/>
  <c r="B59" i="7"/>
  <c r="H58" i="7"/>
  <c r="F58" i="7"/>
  <c r="D58" i="7"/>
  <c r="B58" i="7"/>
  <c r="L57" i="7"/>
  <c r="J57" i="7"/>
  <c r="H57" i="7"/>
  <c r="F57" i="7"/>
  <c r="D57" i="7"/>
  <c r="B57" i="7"/>
  <c r="L56" i="7"/>
  <c r="J56" i="7"/>
  <c r="H56" i="7"/>
  <c r="F56" i="7"/>
  <c r="D56" i="7"/>
  <c r="B56" i="7"/>
  <c r="L55" i="7"/>
  <c r="J55" i="7"/>
  <c r="H55" i="7"/>
  <c r="F55" i="7"/>
  <c r="D55" i="7"/>
  <c r="B55" i="7"/>
  <c r="L54" i="7"/>
  <c r="J54" i="7"/>
  <c r="H54" i="7"/>
  <c r="F54" i="7"/>
  <c r="D54" i="7"/>
  <c r="B54" i="7"/>
  <c r="F72" i="7"/>
  <c r="D72" i="7"/>
  <c r="B72" i="7"/>
  <c r="F71" i="7"/>
  <c r="D71" i="7"/>
  <c r="B71" i="7"/>
  <c r="H70" i="7"/>
  <c r="F70" i="7"/>
  <c r="D70" i="7"/>
  <c r="B70" i="7"/>
  <c r="L69" i="7"/>
  <c r="J69" i="7"/>
  <c r="H69" i="7"/>
  <c r="F69" i="7"/>
  <c r="D69" i="7"/>
  <c r="B69" i="7"/>
  <c r="L68" i="7"/>
  <c r="J68" i="7"/>
  <c r="H68" i="7"/>
  <c r="F68" i="7"/>
  <c r="D68" i="7"/>
  <c r="B68" i="7"/>
  <c r="L67" i="7"/>
  <c r="J67" i="7"/>
  <c r="H67" i="7"/>
  <c r="F67" i="7"/>
  <c r="D67" i="7"/>
  <c r="B67" i="7"/>
  <c r="L66" i="7"/>
  <c r="J66" i="7"/>
  <c r="H66" i="7"/>
  <c r="F66" i="7"/>
  <c r="P66" i="7" s="1"/>
  <c r="D66" i="7"/>
  <c r="B66" i="7"/>
  <c r="D84" i="7"/>
  <c r="B84" i="7"/>
  <c r="F83" i="7"/>
  <c r="D83" i="7"/>
  <c r="B83" i="7"/>
  <c r="H82" i="7"/>
  <c r="F82" i="7"/>
  <c r="D82" i="7"/>
  <c r="B82" i="7"/>
  <c r="L81" i="7"/>
  <c r="J81" i="7"/>
  <c r="H81" i="7"/>
  <c r="F81" i="7"/>
  <c r="D81" i="7"/>
  <c r="B81" i="7"/>
  <c r="L80" i="7"/>
  <c r="J80" i="7"/>
  <c r="H80" i="7"/>
  <c r="F80" i="7"/>
  <c r="D80" i="7"/>
  <c r="B80" i="7"/>
  <c r="L79" i="7"/>
  <c r="J79" i="7"/>
  <c r="H79" i="7"/>
  <c r="F79" i="7"/>
  <c r="D79" i="7"/>
  <c r="B79" i="7"/>
  <c r="L78" i="7"/>
  <c r="J78" i="7"/>
  <c r="H78" i="7"/>
  <c r="F78" i="7"/>
  <c r="D78" i="7"/>
  <c r="B78" i="7"/>
  <c r="D96" i="7"/>
  <c r="B96" i="7"/>
  <c r="F95" i="7"/>
  <c r="D95" i="7"/>
  <c r="B95" i="7"/>
  <c r="H94" i="7"/>
  <c r="F94" i="7"/>
  <c r="D94" i="7"/>
  <c r="B94" i="7"/>
  <c r="L93" i="7"/>
  <c r="J93" i="7"/>
  <c r="H93" i="7"/>
  <c r="F93" i="7"/>
  <c r="D93" i="7"/>
  <c r="B93" i="7"/>
  <c r="L92" i="7"/>
  <c r="J92" i="7"/>
  <c r="H92" i="7"/>
  <c r="F92" i="7"/>
  <c r="D92" i="7"/>
  <c r="B92" i="7"/>
  <c r="L91" i="7"/>
  <c r="J91" i="7"/>
  <c r="H91" i="7"/>
  <c r="F91" i="7"/>
  <c r="D91" i="7"/>
  <c r="B91" i="7"/>
  <c r="L90" i="7"/>
  <c r="J90" i="7"/>
  <c r="H90" i="7"/>
  <c r="F90" i="7"/>
  <c r="P90" i="7" s="1"/>
  <c r="D90" i="7"/>
  <c r="B90" i="7"/>
  <c r="H108" i="7"/>
  <c r="D108" i="7"/>
  <c r="B108" i="7"/>
  <c r="F107" i="7"/>
  <c r="D107" i="7"/>
  <c r="B107" i="7"/>
  <c r="H106" i="7"/>
  <c r="F106" i="7"/>
  <c r="D106" i="7"/>
  <c r="B106" i="7"/>
  <c r="L105" i="7"/>
  <c r="J105" i="7"/>
  <c r="H105" i="7"/>
  <c r="F105" i="7"/>
  <c r="D105" i="7"/>
  <c r="B105" i="7"/>
  <c r="L104" i="7"/>
  <c r="J104" i="7"/>
  <c r="H104" i="7"/>
  <c r="F104" i="7"/>
  <c r="D104" i="7"/>
  <c r="B104" i="7"/>
  <c r="L103" i="7"/>
  <c r="J103" i="7"/>
  <c r="H103" i="7"/>
  <c r="F103" i="7"/>
  <c r="D103" i="7"/>
  <c r="B103" i="7"/>
  <c r="L102" i="7"/>
  <c r="J102" i="7"/>
  <c r="H102" i="7"/>
  <c r="F102" i="7"/>
  <c r="P102" i="7" s="1"/>
  <c r="Q102" i="7" s="1"/>
  <c r="D102" i="7"/>
  <c r="B102" i="7"/>
  <c r="T102" i="7" s="1"/>
  <c r="D156" i="6"/>
  <c r="B156" i="6"/>
  <c r="F155" i="6"/>
  <c r="D155" i="6"/>
  <c r="B155" i="6"/>
  <c r="H154" i="6"/>
  <c r="F154" i="6"/>
  <c r="D154" i="6"/>
  <c r="B154" i="6"/>
  <c r="L153" i="6"/>
  <c r="J153" i="6"/>
  <c r="H153" i="6"/>
  <c r="F153" i="6"/>
  <c r="D153" i="6"/>
  <c r="B153" i="6"/>
  <c r="L152" i="6"/>
  <c r="J152" i="6"/>
  <c r="H152" i="6"/>
  <c r="F152" i="6"/>
  <c r="P152" i="6" s="1"/>
  <c r="D152" i="6"/>
  <c r="B152" i="6"/>
  <c r="L151" i="6"/>
  <c r="J151" i="6"/>
  <c r="H151" i="6"/>
  <c r="F151" i="6"/>
  <c r="D151" i="6"/>
  <c r="B151" i="6"/>
  <c r="L150" i="6"/>
  <c r="J150" i="6"/>
  <c r="H150" i="6"/>
  <c r="F150" i="6"/>
  <c r="D150" i="6"/>
  <c r="B150" i="6"/>
  <c r="D144" i="6"/>
  <c r="B144" i="6"/>
  <c r="F143" i="6"/>
  <c r="D143" i="6"/>
  <c r="B143" i="6"/>
  <c r="H142" i="6"/>
  <c r="F142" i="6"/>
  <c r="D142" i="6"/>
  <c r="B142" i="6"/>
  <c r="L141" i="6"/>
  <c r="J141" i="6"/>
  <c r="H141" i="6"/>
  <c r="F141" i="6"/>
  <c r="D141" i="6"/>
  <c r="B141" i="6"/>
  <c r="L140" i="6"/>
  <c r="J140" i="6"/>
  <c r="H140" i="6"/>
  <c r="F140" i="6"/>
  <c r="D140" i="6"/>
  <c r="B140" i="6"/>
  <c r="L139" i="6"/>
  <c r="J139" i="6"/>
  <c r="H139" i="6"/>
  <c r="F139" i="6"/>
  <c r="D139" i="6"/>
  <c r="B139" i="6"/>
  <c r="L138" i="6"/>
  <c r="J138" i="6"/>
  <c r="H138" i="6"/>
  <c r="F138" i="6"/>
  <c r="D138" i="6"/>
  <c r="B138" i="6"/>
  <c r="D132" i="6"/>
  <c r="B132" i="6"/>
  <c r="F131" i="6"/>
  <c r="D131" i="6"/>
  <c r="B131" i="6"/>
  <c r="H130" i="6"/>
  <c r="F130" i="6"/>
  <c r="D130" i="6"/>
  <c r="B130" i="6"/>
  <c r="L129" i="6"/>
  <c r="J129" i="6"/>
  <c r="H129" i="6"/>
  <c r="F129" i="6"/>
  <c r="D129" i="6"/>
  <c r="B129" i="6"/>
  <c r="L128" i="6"/>
  <c r="J128" i="6"/>
  <c r="H128" i="6"/>
  <c r="F128" i="6"/>
  <c r="D128" i="6"/>
  <c r="B128" i="6"/>
  <c r="L127" i="6"/>
  <c r="J127" i="6"/>
  <c r="H127" i="6"/>
  <c r="F127" i="6"/>
  <c r="D127" i="6"/>
  <c r="B127" i="6"/>
  <c r="L126" i="6"/>
  <c r="J126" i="6"/>
  <c r="H126" i="6"/>
  <c r="F126" i="6"/>
  <c r="D126" i="6"/>
  <c r="B126" i="6"/>
  <c r="D120" i="6"/>
  <c r="B120" i="6"/>
  <c r="F119" i="6"/>
  <c r="D119" i="6"/>
  <c r="B119" i="6"/>
  <c r="H118" i="6"/>
  <c r="F118" i="6"/>
  <c r="D118" i="6"/>
  <c r="B118" i="6"/>
  <c r="L117" i="6"/>
  <c r="J117" i="6"/>
  <c r="H117" i="6"/>
  <c r="F117" i="6"/>
  <c r="D117" i="6"/>
  <c r="B117" i="6"/>
  <c r="L116" i="6"/>
  <c r="J116" i="6"/>
  <c r="H116" i="6"/>
  <c r="F116" i="6"/>
  <c r="D116" i="6"/>
  <c r="B116" i="6"/>
  <c r="L115" i="6"/>
  <c r="J115" i="6"/>
  <c r="H115" i="6"/>
  <c r="F115" i="6"/>
  <c r="D115" i="6"/>
  <c r="B115" i="6"/>
  <c r="L114" i="6"/>
  <c r="J114" i="6"/>
  <c r="H114" i="6"/>
  <c r="F114" i="6"/>
  <c r="P114" i="6" s="1"/>
  <c r="Q114" i="6" s="1"/>
  <c r="D114" i="6"/>
  <c r="B114" i="6"/>
  <c r="T114" i="6" s="1"/>
  <c r="F12" i="6"/>
  <c r="D12" i="6"/>
  <c r="B12" i="6"/>
  <c r="F11" i="6"/>
  <c r="D11" i="6"/>
  <c r="B11" i="6"/>
  <c r="H10" i="6"/>
  <c r="F10" i="6"/>
  <c r="D10" i="6"/>
  <c r="B10" i="6"/>
  <c r="L9" i="6"/>
  <c r="J9" i="6"/>
  <c r="H9" i="6"/>
  <c r="F9" i="6"/>
  <c r="D9" i="6"/>
  <c r="B9" i="6"/>
  <c r="L8" i="6"/>
  <c r="J8" i="6"/>
  <c r="H8" i="6"/>
  <c r="F8" i="6"/>
  <c r="D8" i="6"/>
  <c r="B8" i="6"/>
  <c r="L7" i="6"/>
  <c r="J7" i="6"/>
  <c r="H7" i="6"/>
  <c r="F7" i="6"/>
  <c r="D7" i="6"/>
  <c r="B7" i="6"/>
  <c r="L6" i="6"/>
  <c r="J6" i="6"/>
  <c r="H6" i="6"/>
  <c r="F6" i="6"/>
  <c r="D6" i="6"/>
  <c r="B6" i="6"/>
  <c r="D24" i="6"/>
  <c r="B24" i="6"/>
  <c r="F23" i="6"/>
  <c r="D23" i="6"/>
  <c r="B23" i="6"/>
  <c r="H22" i="6"/>
  <c r="F22" i="6"/>
  <c r="D22" i="6"/>
  <c r="B22" i="6"/>
  <c r="L21" i="6"/>
  <c r="J21" i="6"/>
  <c r="H21" i="6"/>
  <c r="F21" i="6"/>
  <c r="D21" i="6"/>
  <c r="B21" i="6"/>
  <c r="L20" i="6"/>
  <c r="J20" i="6"/>
  <c r="H20" i="6"/>
  <c r="F20" i="6"/>
  <c r="D20" i="6"/>
  <c r="L19" i="6"/>
  <c r="J19" i="6"/>
  <c r="H19" i="6"/>
  <c r="F19" i="6"/>
  <c r="D19" i="6"/>
  <c r="B19" i="6"/>
  <c r="L18" i="6"/>
  <c r="J18" i="6"/>
  <c r="H18" i="6"/>
  <c r="F18" i="6"/>
  <c r="D18" i="6"/>
  <c r="B18" i="6"/>
  <c r="D36" i="6"/>
  <c r="B36" i="6"/>
  <c r="F35" i="6"/>
  <c r="D35" i="6"/>
  <c r="B35" i="6"/>
  <c r="H34" i="6"/>
  <c r="F34" i="6"/>
  <c r="D34" i="6"/>
  <c r="B34" i="6"/>
  <c r="T34" i="6" s="1"/>
  <c r="L33" i="6"/>
  <c r="J33" i="6"/>
  <c r="H33" i="6"/>
  <c r="F33" i="6"/>
  <c r="D33" i="6"/>
  <c r="B33" i="6"/>
  <c r="L32" i="6"/>
  <c r="J32" i="6"/>
  <c r="H32" i="6"/>
  <c r="F32" i="6"/>
  <c r="D32" i="6"/>
  <c r="B32" i="6"/>
  <c r="L31" i="6"/>
  <c r="J31" i="6"/>
  <c r="H31" i="6"/>
  <c r="F31" i="6"/>
  <c r="D31" i="6"/>
  <c r="B31" i="6"/>
  <c r="L30" i="6"/>
  <c r="J30" i="6"/>
  <c r="H30" i="6"/>
  <c r="F30" i="6"/>
  <c r="P30" i="6" s="1"/>
  <c r="D30" i="6"/>
  <c r="B30" i="6"/>
  <c r="T30" i="6" s="1"/>
  <c r="H48" i="6"/>
  <c r="D48" i="6"/>
  <c r="B48" i="6"/>
  <c r="F47" i="6"/>
  <c r="D47" i="6"/>
  <c r="B47" i="6"/>
  <c r="H46" i="6"/>
  <c r="F46" i="6"/>
  <c r="D46" i="6"/>
  <c r="B46" i="6"/>
  <c r="L45" i="6"/>
  <c r="J45" i="6"/>
  <c r="H45" i="6"/>
  <c r="F45" i="6"/>
  <c r="D45" i="6"/>
  <c r="B45" i="6"/>
  <c r="L44" i="6"/>
  <c r="J44" i="6"/>
  <c r="H44" i="6"/>
  <c r="F44" i="6"/>
  <c r="D44" i="6"/>
  <c r="B44" i="6"/>
  <c r="L43" i="6"/>
  <c r="J43" i="6"/>
  <c r="H43" i="6"/>
  <c r="F43" i="6"/>
  <c r="D43" i="6"/>
  <c r="B43" i="6"/>
  <c r="T43" i="6" s="1"/>
  <c r="L42" i="6"/>
  <c r="J42" i="6"/>
  <c r="H42" i="6"/>
  <c r="F42" i="6"/>
  <c r="P42" i="6" s="1"/>
  <c r="D42" i="6"/>
  <c r="B42" i="6"/>
  <c r="D60" i="6"/>
  <c r="B60" i="6"/>
  <c r="F59" i="6"/>
  <c r="D59" i="6"/>
  <c r="B59" i="6"/>
  <c r="H58" i="6"/>
  <c r="F58" i="6"/>
  <c r="D58" i="6"/>
  <c r="B58" i="6"/>
  <c r="L57" i="6"/>
  <c r="J57" i="6"/>
  <c r="H57" i="6"/>
  <c r="F57" i="6"/>
  <c r="D57" i="6"/>
  <c r="B57" i="6"/>
  <c r="L56" i="6"/>
  <c r="J56" i="6"/>
  <c r="H56" i="6"/>
  <c r="F56" i="6"/>
  <c r="D56" i="6"/>
  <c r="B56" i="6"/>
  <c r="L55" i="6"/>
  <c r="J55" i="6"/>
  <c r="H55" i="6"/>
  <c r="F55" i="6"/>
  <c r="D55" i="6"/>
  <c r="B55" i="6"/>
  <c r="L54" i="6"/>
  <c r="J54" i="6"/>
  <c r="H54" i="6"/>
  <c r="F54" i="6"/>
  <c r="D54" i="6"/>
  <c r="B54" i="6"/>
  <c r="D72" i="6"/>
  <c r="B72" i="6"/>
  <c r="F71" i="6"/>
  <c r="D71" i="6"/>
  <c r="B71" i="6"/>
  <c r="H70" i="6"/>
  <c r="F70" i="6"/>
  <c r="D70" i="6"/>
  <c r="B70" i="6"/>
  <c r="L69" i="6"/>
  <c r="J69" i="6"/>
  <c r="H69" i="6"/>
  <c r="F69" i="6"/>
  <c r="D69" i="6"/>
  <c r="B69" i="6"/>
  <c r="L68" i="6"/>
  <c r="J68" i="6"/>
  <c r="H68" i="6"/>
  <c r="F68" i="6"/>
  <c r="D68" i="6"/>
  <c r="B68" i="6"/>
  <c r="L67" i="6"/>
  <c r="J67" i="6"/>
  <c r="H67" i="6"/>
  <c r="F67" i="6"/>
  <c r="D67" i="6"/>
  <c r="B67" i="6"/>
  <c r="L66" i="6"/>
  <c r="J66" i="6"/>
  <c r="H66" i="6"/>
  <c r="F66" i="6"/>
  <c r="P66" i="6" s="1"/>
  <c r="D66" i="6"/>
  <c r="B66" i="6"/>
  <c r="T66" i="6" s="1"/>
  <c r="D84" i="6"/>
  <c r="B84" i="6"/>
  <c r="F83" i="6"/>
  <c r="D83" i="6"/>
  <c r="B83" i="6"/>
  <c r="H82" i="6"/>
  <c r="F82" i="6"/>
  <c r="D82" i="6"/>
  <c r="B82" i="6"/>
  <c r="L81" i="6"/>
  <c r="J81" i="6"/>
  <c r="H81" i="6"/>
  <c r="F81" i="6"/>
  <c r="D81" i="6"/>
  <c r="B81" i="6"/>
  <c r="L80" i="6"/>
  <c r="J80" i="6"/>
  <c r="H80" i="6"/>
  <c r="F80" i="6"/>
  <c r="D80" i="6"/>
  <c r="B80" i="6"/>
  <c r="L79" i="6"/>
  <c r="J79" i="6"/>
  <c r="H79" i="6"/>
  <c r="F79" i="6"/>
  <c r="D79" i="6"/>
  <c r="B79" i="6"/>
  <c r="L78" i="6"/>
  <c r="J78" i="6"/>
  <c r="H78" i="6"/>
  <c r="F78" i="6"/>
  <c r="P78" i="6" s="1"/>
  <c r="D78" i="6"/>
  <c r="B78" i="6"/>
  <c r="D96" i="6"/>
  <c r="B96" i="6"/>
  <c r="F95" i="6"/>
  <c r="D95" i="6"/>
  <c r="B95" i="6"/>
  <c r="H94" i="6"/>
  <c r="F94" i="6"/>
  <c r="D94" i="6"/>
  <c r="B94" i="6"/>
  <c r="L93" i="6"/>
  <c r="J93" i="6"/>
  <c r="H93" i="6"/>
  <c r="F93" i="6"/>
  <c r="D93" i="6"/>
  <c r="B93" i="6"/>
  <c r="T93" i="6" s="1"/>
  <c r="L92" i="6"/>
  <c r="J92" i="6"/>
  <c r="H92" i="6"/>
  <c r="F92" i="6"/>
  <c r="D92" i="6"/>
  <c r="B92" i="6"/>
  <c r="L91" i="6"/>
  <c r="J91" i="6"/>
  <c r="H91" i="6"/>
  <c r="F91" i="6"/>
  <c r="D91" i="6"/>
  <c r="B91" i="6"/>
  <c r="T91" i="6" s="1"/>
  <c r="L90" i="6"/>
  <c r="J90" i="6"/>
  <c r="H90" i="6"/>
  <c r="F90" i="6"/>
  <c r="P90" i="6" s="1"/>
  <c r="D90" i="6"/>
  <c r="B90" i="6"/>
  <c r="F108" i="6"/>
  <c r="D108" i="6"/>
  <c r="B108" i="6"/>
  <c r="F107" i="6"/>
  <c r="D107" i="6"/>
  <c r="B107" i="6"/>
  <c r="H106" i="6"/>
  <c r="F106" i="6"/>
  <c r="D106" i="6"/>
  <c r="B106" i="6"/>
  <c r="T106" i="6" s="1"/>
  <c r="L105" i="6"/>
  <c r="J105" i="6"/>
  <c r="H105" i="6"/>
  <c r="F105" i="6"/>
  <c r="D105" i="6"/>
  <c r="B105" i="6"/>
  <c r="L104" i="6"/>
  <c r="J104" i="6"/>
  <c r="H104" i="6"/>
  <c r="F104" i="6"/>
  <c r="D104" i="6"/>
  <c r="B104" i="6"/>
  <c r="L103" i="6"/>
  <c r="J103" i="6"/>
  <c r="H103" i="6"/>
  <c r="F103" i="6"/>
  <c r="D103" i="6"/>
  <c r="B103" i="6"/>
  <c r="L102" i="6"/>
  <c r="J102" i="6"/>
  <c r="H102" i="6"/>
  <c r="F102" i="6"/>
  <c r="P102" i="6" s="1"/>
  <c r="D102" i="6"/>
  <c r="B102" i="6"/>
  <c r="T102" i="6" s="1"/>
  <c r="T156" i="8"/>
  <c r="T150" i="6"/>
  <c r="T9" i="5"/>
  <c r="T8" i="5"/>
  <c r="T7" i="5"/>
  <c r="T6" i="5"/>
  <c r="D139" i="5"/>
  <c r="P9" i="5"/>
  <c r="P8" i="5"/>
  <c r="Q8" i="5" s="1"/>
  <c r="P7" i="5"/>
  <c r="P6" i="5"/>
  <c r="Q6" i="5" s="1"/>
  <c r="D119" i="5"/>
  <c r="H156" i="5"/>
  <c r="D156" i="5"/>
  <c r="B156" i="5"/>
  <c r="F155" i="5"/>
  <c r="D155" i="5"/>
  <c r="B155" i="5"/>
  <c r="H154" i="5"/>
  <c r="F154" i="5"/>
  <c r="D154" i="5"/>
  <c r="B154" i="5"/>
  <c r="L153" i="5"/>
  <c r="J153" i="5"/>
  <c r="H153" i="5"/>
  <c r="F153" i="5"/>
  <c r="D153" i="5"/>
  <c r="B153" i="5"/>
  <c r="L152" i="5"/>
  <c r="J152" i="5"/>
  <c r="H152" i="5"/>
  <c r="F152" i="5"/>
  <c r="D152" i="5"/>
  <c r="B152" i="5"/>
  <c r="L151" i="5"/>
  <c r="J151" i="5"/>
  <c r="H151" i="5"/>
  <c r="F151" i="5"/>
  <c r="D151" i="5"/>
  <c r="B151" i="5"/>
  <c r="L150" i="5"/>
  <c r="J150" i="5"/>
  <c r="H150" i="5"/>
  <c r="F150" i="5"/>
  <c r="D150" i="5"/>
  <c r="B150" i="5"/>
  <c r="T150" i="5" s="1"/>
  <c r="D144" i="5"/>
  <c r="B144" i="5"/>
  <c r="F143" i="5"/>
  <c r="D143" i="5"/>
  <c r="B143" i="5"/>
  <c r="H142" i="5"/>
  <c r="F142" i="5"/>
  <c r="D142" i="5"/>
  <c r="B142" i="5"/>
  <c r="L141" i="5"/>
  <c r="J141" i="5"/>
  <c r="H141" i="5"/>
  <c r="F141" i="5"/>
  <c r="D141" i="5"/>
  <c r="B141" i="5"/>
  <c r="L140" i="5"/>
  <c r="J140" i="5"/>
  <c r="H140" i="5"/>
  <c r="F140" i="5"/>
  <c r="D140" i="5"/>
  <c r="B140" i="5"/>
  <c r="L139" i="5"/>
  <c r="J139" i="5"/>
  <c r="H139" i="5"/>
  <c r="F139" i="5"/>
  <c r="B139" i="5"/>
  <c r="L138" i="5"/>
  <c r="J138" i="5"/>
  <c r="H138" i="5"/>
  <c r="F138" i="5"/>
  <c r="D138" i="5"/>
  <c r="T138" i="5"/>
  <c r="D132" i="5"/>
  <c r="B132" i="5"/>
  <c r="F131" i="5"/>
  <c r="D131" i="5"/>
  <c r="B131" i="5"/>
  <c r="H130" i="5"/>
  <c r="F130" i="5"/>
  <c r="D130" i="5"/>
  <c r="B130" i="5"/>
  <c r="L129" i="5"/>
  <c r="J129" i="5"/>
  <c r="H129" i="5"/>
  <c r="F129" i="5"/>
  <c r="D129" i="5"/>
  <c r="B129" i="5"/>
  <c r="L128" i="5"/>
  <c r="J128" i="5"/>
  <c r="H128" i="5"/>
  <c r="F128" i="5"/>
  <c r="D128" i="5"/>
  <c r="B128" i="5"/>
  <c r="L127" i="5"/>
  <c r="J127" i="5"/>
  <c r="H127" i="5"/>
  <c r="F127" i="5"/>
  <c r="D127" i="5"/>
  <c r="B127" i="5"/>
  <c r="L126" i="5"/>
  <c r="J126" i="5"/>
  <c r="H126" i="5"/>
  <c r="F126" i="5"/>
  <c r="D126" i="5"/>
  <c r="T126" i="5"/>
  <c r="H120" i="5"/>
  <c r="D120" i="5"/>
  <c r="B120" i="5"/>
  <c r="F119" i="5"/>
  <c r="B119" i="5"/>
  <c r="H118" i="5"/>
  <c r="F118" i="5"/>
  <c r="D118" i="5"/>
  <c r="B118" i="5"/>
  <c r="P116" i="5"/>
  <c r="L115" i="5"/>
  <c r="J115" i="5"/>
  <c r="H115" i="5"/>
  <c r="F115" i="5"/>
  <c r="D115" i="5"/>
  <c r="B115" i="5"/>
  <c r="L114" i="5"/>
  <c r="J114" i="5"/>
  <c r="H114" i="5"/>
  <c r="F114" i="5"/>
  <c r="D114" i="5"/>
  <c r="B114" i="5"/>
  <c r="T114" i="5" s="1"/>
  <c r="D108" i="5"/>
  <c r="B108" i="5"/>
  <c r="F107" i="5"/>
  <c r="D107" i="5"/>
  <c r="B107" i="5"/>
  <c r="H106" i="5"/>
  <c r="F106" i="5"/>
  <c r="D106" i="5"/>
  <c r="B106" i="5"/>
  <c r="L105" i="5"/>
  <c r="J105" i="5"/>
  <c r="H105" i="5"/>
  <c r="F105" i="5"/>
  <c r="D105" i="5"/>
  <c r="B105" i="5"/>
  <c r="L104" i="5"/>
  <c r="J104" i="5"/>
  <c r="H104" i="5"/>
  <c r="F104" i="5"/>
  <c r="D104" i="5"/>
  <c r="B104" i="5"/>
  <c r="L103" i="5"/>
  <c r="J103" i="5"/>
  <c r="H103" i="5"/>
  <c r="F103" i="5"/>
  <c r="D103" i="5"/>
  <c r="B103" i="5"/>
  <c r="L102" i="5"/>
  <c r="J102" i="5"/>
  <c r="H102" i="5"/>
  <c r="F102" i="5"/>
  <c r="D102" i="5"/>
  <c r="B102" i="5"/>
  <c r="T102" i="5" s="1"/>
  <c r="D96" i="5"/>
  <c r="B96" i="5"/>
  <c r="F95" i="5"/>
  <c r="D95" i="5"/>
  <c r="B95" i="5"/>
  <c r="H94" i="5"/>
  <c r="F94" i="5"/>
  <c r="D94" i="5"/>
  <c r="B94" i="5"/>
  <c r="L93" i="5"/>
  <c r="J93" i="5"/>
  <c r="H93" i="5"/>
  <c r="F93" i="5"/>
  <c r="D93" i="5"/>
  <c r="B93" i="5"/>
  <c r="L92" i="5"/>
  <c r="J92" i="5"/>
  <c r="H92" i="5"/>
  <c r="F92" i="5"/>
  <c r="D92" i="5"/>
  <c r="B92" i="5"/>
  <c r="L91" i="5"/>
  <c r="J91" i="5"/>
  <c r="H91" i="5"/>
  <c r="F91" i="5"/>
  <c r="D91" i="5"/>
  <c r="B91" i="5"/>
  <c r="L90" i="5"/>
  <c r="J90" i="5"/>
  <c r="H90" i="5"/>
  <c r="F90" i="5"/>
  <c r="D90" i="5"/>
  <c r="B90" i="5"/>
  <c r="T90" i="5" s="1"/>
  <c r="D84" i="5"/>
  <c r="B84" i="5"/>
  <c r="F83" i="5"/>
  <c r="D83" i="5"/>
  <c r="B83" i="5"/>
  <c r="H82" i="5"/>
  <c r="F82" i="5"/>
  <c r="D82" i="5"/>
  <c r="B82" i="5"/>
  <c r="L81" i="5"/>
  <c r="J81" i="5"/>
  <c r="H81" i="5"/>
  <c r="F81" i="5"/>
  <c r="D81" i="5"/>
  <c r="B81" i="5"/>
  <c r="L80" i="5"/>
  <c r="J80" i="5"/>
  <c r="H80" i="5"/>
  <c r="F80" i="5"/>
  <c r="D80" i="5"/>
  <c r="B80" i="5"/>
  <c r="L79" i="5"/>
  <c r="J79" i="5"/>
  <c r="H79" i="5"/>
  <c r="F79" i="5"/>
  <c r="D79" i="5"/>
  <c r="B79" i="5"/>
  <c r="L78" i="5"/>
  <c r="J78" i="5"/>
  <c r="H78" i="5"/>
  <c r="F78" i="5"/>
  <c r="D78" i="5"/>
  <c r="B78" i="5"/>
  <c r="T78" i="5" s="1"/>
  <c r="D72" i="5"/>
  <c r="B72" i="5"/>
  <c r="F71" i="5"/>
  <c r="D71" i="5"/>
  <c r="B71" i="5"/>
  <c r="H70" i="5"/>
  <c r="F70" i="5"/>
  <c r="D70" i="5"/>
  <c r="B70" i="5"/>
  <c r="L69" i="5"/>
  <c r="J69" i="5"/>
  <c r="H69" i="5"/>
  <c r="F69" i="5"/>
  <c r="D69" i="5"/>
  <c r="B69" i="5"/>
  <c r="L68" i="5"/>
  <c r="J68" i="5"/>
  <c r="H68" i="5"/>
  <c r="F68" i="5"/>
  <c r="D68" i="5"/>
  <c r="B68" i="5"/>
  <c r="L67" i="5"/>
  <c r="J67" i="5"/>
  <c r="H67" i="5"/>
  <c r="F67" i="5"/>
  <c r="D67" i="5"/>
  <c r="B67" i="5"/>
  <c r="L66" i="5"/>
  <c r="J66" i="5"/>
  <c r="H66" i="5"/>
  <c r="F66" i="5"/>
  <c r="D66" i="5"/>
  <c r="B66" i="5"/>
  <c r="T66" i="5" s="1"/>
  <c r="D60" i="5"/>
  <c r="B60" i="5"/>
  <c r="F59" i="5"/>
  <c r="D59" i="5"/>
  <c r="B59" i="5"/>
  <c r="H58" i="5"/>
  <c r="F58" i="5"/>
  <c r="D58" i="5"/>
  <c r="B58" i="5"/>
  <c r="L57" i="5"/>
  <c r="J57" i="5"/>
  <c r="H57" i="5"/>
  <c r="F57" i="5"/>
  <c r="D57" i="5"/>
  <c r="B57" i="5"/>
  <c r="L56" i="5"/>
  <c r="J56" i="5"/>
  <c r="H56" i="5"/>
  <c r="F56" i="5"/>
  <c r="D56" i="5"/>
  <c r="B56" i="5"/>
  <c r="L55" i="5"/>
  <c r="J55" i="5"/>
  <c r="H55" i="5"/>
  <c r="F55" i="5"/>
  <c r="D55" i="5"/>
  <c r="B55" i="5"/>
  <c r="L54" i="5"/>
  <c r="J54" i="5"/>
  <c r="H54" i="5"/>
  <c r="F54" i="5"/>
  <c r="D54" i="5"/>
  <c r="B54" i="5"/>
  <c r="D48" i="5"/>
  <c r="B48" i="5"/>
  <c r="F47" i="5"/>
  <c r="D47" i="5"/>
  <c r="B47" i="5"/>
  <c r="H46" i="5"/>
  <c r="F46" i="5"/>
  <c r="D46" i="5"/>
  <c r="B46" i="5"/>
  <c r="L45" i="5"/>
  <c r="J45" i="5"/>
  <c r="H45" i="5"/>
  <c r="F45" i="5"/>
  <c r="D45" i="5"/>
  <c r="B45" i="5"/>
  <c r="L44" i="5"/>
  <c r="J44" i="5"/>
  <c r="H44" i="5"/>
  <c r="F44" i="5"/>
  <c r="D44" i="5"/>
  <c r="B44" i="5"/>
  <c r="L43" i="5"/>
  <c r="J43" i="5"/>
  <c r="H43" i="5"/>
  <c r="F43" i="5"/>
  <c r="D43" i="5"/>
  <c r="L42" i="5"/>
  <c r="J42" i="5"/>
  <c r="H42" i="5"/>
  <c r="F42" i="5"/>
  <c r="D42" i="5"/>
  <c r="T42" i="5"/>
  <c r="T30" i="5"/>
  <c r="P10" i="5"/>
  <c r="T10" i="5"/>
  <c r="T18" i="5"/>
  <c r="T7" i="7" l="1"/>
  <c r="T118" i="7"/>
  <c r="T116" i="6"/>
  <c r="T141" i="6"/>
  <c r="T70" i="7"/>
  <c r="Q7" i="5"/>
  <c r="U7" i="5" s="1"/>
  <c r="T56" i="7"/>
  <c r="T104" i="7"/>
  <c r="Q66" i="6"/>
  <c r="Q30" i="6"/>
  <c r="T19" i="6"/>
  <c r="T55" i="7"/>
  <c r="U8" i="5"/>
  <c r="U6" i="5"/>
  <c r="T54" i="5"/>
  <c r="BY3" i="19"/>
  <c r="BY3" i="18"/>
  <c r="T127" i="7"/>
  <c r="P54" i="6"/>
  <c r="Q54" i="6" s="1"/>
  <c r="U54" i="6" s="1"/>
  <c r="AM94" i="6"/>
  <c r="AP94" i="6"/>
  <c r="AO94" i="6"/>
  <c r="AN94" i="6"/>
  <c r="T42" i="6"/>
  <c r="AM42" i="6"/>
  <c r="AP42" i="6"/>
  <c r="AO42" i="6"/>
  <c r="AN42" i="6"/>
  <c r="AM44" i="6"/>
  <c r="AP44" i="6"/>
  <c r="AO44" i="6"/>
  <c r="AN44" i="6"/>
  <c r="AM46" i="6"/>
  <c r="AP46" i="6"/>
  <c r="AO46" i="6"/>
  <c r="AN46" i="6"/>
  <c r="T31" i="6"/>
  <c r="AO31" i="6"/>
  <c r="AN31" i="6"/>
  <c r="AM31" i="6"/>
  <c r="AP31" i="6"/>
  <c r="AM21" i="6"/>
  <c r="AP21" i="6"/>
  <c r="AO21" i="6"/>
  <c r="AN21" i="6"/>
  <c r="AO127" i="6"/>
  <c r="AN127" i="6"/>
  <c r="AM127" i="6"/>
  <c r="AP127" i="6"/>
  <c r="AO152" i="6"/>
  <c r="AN152" i="6"/>
  <c r="AM152" i="6"/>
  <c r="AP152" i="6"/>
  <c r="AN78" i="7"/>
  <c r="AM78" i="7"/>
  <c r="AP78" i="7"/>
  <c r="AO78" i="7"/>
  <c r="AN82" i="7"/>
  <c r="AM82" i="7"/>
  <c r="AP82" i="7"/>
  <c r="AO82" i="7"/>
  <c r="AO44" i="7"/>
  <c r="AN44" i="7"/>
  <c r="AM44" i="7"/>
  <c r="AP44" i="7"/>
  <c r="AM9" i="7"/>
  <c r="AP9" i="7"/>
  <c r="AO9" i="7"/>
  <c r="AN9" i="7"/>
  <c r="AP114" i="7"/>
  <c r="AO114" i="7"/>
  <c r="AN114" i="7"/>
  <c r="AM114" i="7"/>
  <c r="AP118" i="7"/>
  <c r="AO118" i="7"/>
  <c r="AN118" i="7"/>
  <c r="AM118" i="7"/>
  <c r="AP141" i="7"/>
  <c r="AO141" i="7"/>
  <c r="AN141" i="7"/>
  <c r="AM141" i="7"/>
  <c r="AN152" i="7"/>
  <c r="AM152" i="7"/>
  <c r="AP152" i="7"/>
  <c r="AO152" i="7"/>
  <c r="AN154" i="7"/>
  <c r="AM154" i="7"/>
  <c r="AP154" i="7"/>
  <c r="AO154" i="7"/>
  <c r="AN19" i="8"/>
  <c r="AM19" i="8"/>
  <c r="AP19" i="8"/>
  <c r="AO19" i="8"/>
  <c r="AN21" i="8"/>
  <c r="AM21" i="8"/>
  <c r="AP21" i="8"/>
  <c r="AO21" i="8"/>
  <c r="AO105" i="6"/>
  <c r="AN105" i="6"/>
  <c r="AM105" i="6"/>
  <c r="AP105" i="6"/>
  <c r="AM92" i="6"/>
  <c r="AP92" i="6"/>
  <c r="AO92" i="6"/>
  <c r="AN92" i="6"/>
  <c r="T67" i="6"/>
  <c r="AM67" i="6"/>
  <c r="AP67" i="6"/>
  <c r="AO67" i="6"/>
  <c r="AN67" i="6"/>
  <c r="AM69" i="6"/>
  <c r="AP69" i="6"/>
  <c r="AO69" i="6"/>
  <c r="AN69" i="6"/>
  <c r="AO33" i="6"/>
  <c r="AN33" i="6"/>
  <c r="AM33" i="6"/>
  <c r="AP33" i="6"/>
  <c r="AO129" i="6"/>
  <c r="AN129" i="6"/>
  <c r="AM129" i="6"/>
  <c r="AP129" i="6"/>
  <c r="AO150" i="6"/>
  <c r="AN150" i="6"/>
  <c r="AM150" i="6"/>
  <c r="AP150" i="6"/>
  <c r="AO154" i="6"/>
  <c r="AN154" i="6"/>
  <c r="AM154" i="6"/>
  <c r="AP154" i="6"/>
  <c r="AN80" i="7"/>
  <c r="AM80" i="7"/>
  <c r="AP80" i="7"/>
  <c r="AO80" i="7"/>
  <c r="T42" i="7"/>
  <c r="AO42" i="7"/>
  <c r="AN42" i="7"/>
  <c r="AM42" i="7"/>
  <c r="AP42" i="7"/>
  <c r="AO46" i="7"/>
  <c r="AN46" i="7"/>
  <c r="AP46" i="7"/>
  <c r="AM46" i="7"/>
  <c r="AO19" i="7"/>
  <c r="AN19" i="7"/>
  <c r="AM19" i="7"/>
  <c r="AP19" i="7"/>
  <c r="AM7" i="7"/>
  <c r="AP7" i="7"/>
  <c r="AO7" i="7"/>
  <c r="AN7" i="7"/>
  <c r="AP116" i="7"/>
  <c r="AO116" i="7"/>
  <c r="AN116" i="7"/>
  <c r="AM116" i="7"/>
  <c r="AP139" i="7"/>
  <c r="AO139" i="7"/>
  <c r="AN139" i="7"/>
  <c r="AM139" i="7"/>
  <c r="T150" i="7"/>
  <c r="AN150" i="7"/>
  <c r="AM150" i="7"/>
  <c r="AP150" i="7"/>
  <c r="AO150" i="7"/>
  <c r="AP55" i="8"/>
  <c r="AO55" i="8"/>
  <c r="AN55" i="8"/>
  <c r="AM55" i="8"/>
  <c r="AP57" i="8"/>
  <c r="AO57" i="8"/>
  <c r="AN57" i="8"/>
  <c r="AM57" i="8"/>
  <c r="AN91" i="8"/>
  <c r="AM91" i="8"/>
  <c r="AP91" i="8"/>
  <c r="AO91" i="8"/>
  <c r="AN93" i="8"/>
  <c r="AM93" i="8"/>
  <c r="AP93" i="8"/>
  <c r="AO93" i="8"/>
  <c r="AP114" i="8"/>
  <c r="AO114" i="8"/>
  <c r="AN114" i="8"/>
  <c r="AM114" i="8"/>
  <c r="AP116" i="8"/>
  <c r="AO116" i="8"/>
  <c r="AN116" i="8"/>
  <c r="AM116" i="8"/>
  <c r="AP118" i="8"/>
  <c r="AO118" i="8"/>
  <c r="AN118" i="8"/>
  <c r="AM118" i="8"/>
  <c r="AN150" i="8"/>
  <c r="AM150" i="8"/>
  <c r="AP150" i="8"/>
  <c r="AO150" i="8"/>
  <c r="AN152" i="8"/>
  <c r="AM152" i="8"/>
  <c r="AP152" i="8"/>
  <c r="AO152" i="8"/>
  <c r="T78" i="7"/>
  <c r="T139" i="7"/>
  <c r="AO80" i="6"/>
  <c r="AN80" i="6"/>
  <c r="AM80" i="6"/>
  <c r="AP80" i="6"/>
  <c r="AO57" i="6"/>
  <c r="AN57" i="6"/>
  <c r="AM57" i="6"/>
  <c r="AP57" i="6"/>
  <c r="AM19" i="6"/>
  <c r="AP19" i="6"/>
  <c r="AO19" i="6"/>
  <c r="AN19" i="6"/>
  <c r="AO7" i="6"/>
  <c r="AN7" i="6"/>
  <c r="AM7" i="6"/>
  <c r="AP7" i="6"/>
  <c r="AM114" i="6"/>
  <c r="AP114" i="6"/>
  <c r="AO114" i="6"/>
  <c r="AN114" i="6"/>
  <c r="AM139" i="6"/>
  <c r="AP139" i="6"/>
  <c r="AO139" i="6"/>
  <c r="AN139" i="6"/>
  <c r="AN102" i="7"/>
  <c r="AM102" i="7"/>
  <c r="AP102" i="7"/>
  <c r="AO102" i="7"/>
  <c r="AN106" i="7"/>
  <c r="AM106" i="7"/>
  <c r="AP106" i="7"/>
  <c r="AO106" i="7"/>
  <c r="AP91" i="7"/>
  <c r="AO91" i="7"/>
  <c r="AN91" i="7"/>
  <c r="AM91" i="7"/>
  <c r="AP66" i="7"/>
  <c r="AO66" i="7"/>
  <c r="AN66" i="7"/>
  <c r="AM66" i="7"/>
  <c r="AP68" i="7"/>
  <c r="AO68" i="7"/>
  <c r="AN68" i="7"/>
  <c r="AM68" i="7"/>
  <c r="AP70" i="7"/>
  <c r="AO70" i="7"/>
  <c r="AN70" i="7"/>
  <c r="AM70" i="7"/>
  <c r="AN57" i="7"/>
  <c r="AM57" i="7"/>
  <c r="AP57" i="7"/>
  <c r="AO57" i="7"/>
  <c r="AM32" i="7"/>
  <c r="AP32" i="7"/>
  <c r="AO32" i="7"/>
  <c r="AN32" i="7"/>
  <c r="AM34" i="7"/>
  <c r="AP34" i="7"/>
  <c r="AO34" i="7"/>
  <c r="AN34" i="7"/>
  <c r="T8" i="8"/>
  <c r="AP8" i="8"/>
  <c r="AO8" i="8"/>
  <c r="AN8" i="8"/>
  <c r="AM8" i="8"/>
  <c r="T19" i="8"/>
  <c r="T21" i="8"/>
  <c r="T31" i="8"/>
  <c r="AP31" i="8"/>
  <c r="AO31" i="8"/>
  <c r="AN31" i="8"/>
  <c r="AM31" i="8"/>
  <c r="AN44" i="8"/>
  <c r="AM44" i="8"/>
  <c r="AP44" i="8"/>
  <c r="AO44" i="8"/>
  <c r="T46" i="8"/>
  <c r="AN46" i="8"/>
  <c r="AM46" i="8"/>
  <c r="AP46" i="8"/>
  <c r="AO46" i="8"/>
  <c r="AP82" i="8"/>
  <c r="AO82" i="8"/>
  <c r="AN82" i="8"/>
  <c r="AM82" i="8"/>
  <c r="T103" i="8"/>
  <c r="AN103" i="8"/>
  <c r="AM103" i="8"/>
  <c r="AP103" i="8"/>
  <c r="AO103" i="8"/>
  <c r="AN105" i="8"/>
  <c r="AM105" i="8"/>
  <c r="AP105" i="8"/>
  <c r="AO105" i="8"/>
  <c r="T142" i="8"/>
  <c r="AP142" i="8"/>
  <c r="AO142" i="8"/>
  <c r="AN142" i="8"/>
  <c r="AM142" i="8"/>
  <c r="AN153" i="8"/>
  <c r="AM153" i="8"/>
  <c r="AP153" i="8"/>
  <c r="AO153" i="8"/>
  <c r="T57" i="7"/>
  <c r="T91" i="7"/>
  <c r="T114" i="7"/>
  <c r="AO102" i="6"/>
  <c r="AN102" i="6"/>
  <c r="AM102" i="6"/>
  <c r="AP102" i="6"/>
  <c r="AO104" i="6"/>
  <c r="AN104" i="6"/>
  <c r="AM104" i="6"/>
  <c r="AP104" i="6"/>
  <c r="AO106" i="6"/>
  <c r="AN106" i="6"/>
  <c r="AM106" i="6"/>
  <c r="AP106" i="6"/>
  <c r="AM91" i="6"/>
  <c r="AP91" i="6"/>
  <c r="AO91" i="6"/>
  <c r="AN91" i="6"/>
  <c r="AM93" i="6"/>
  <c r="AP93" i="6"/>
  <c r="AO93" i="6"/>
  <c r="AN93" i="6"/>
  <c r="AM66" i="6"/>
  <c r="AP66" i="6"/>
  <c r="AO66" i="6"/>
  <c r="AN66" i="6"/>
  <c r="AM68" i="6"/>
  <c r="AP68" i="6"/>
  <c r="AO68" i="6"/>
  <c r="AN68" i="6"/>
  <c r="AM70" i="6"/>
  <c r="AP70" i="6"/>
  <c r="AO70" i="6"/>
  <c r="AN70" i="6"/>
  <c r="AM43" i="6"/>
  <c r="AP43" i="6"/>
  <c r="AO43" i="6"/>
  <c r="AN43" i="6"/>
  <c r="AM45" i="6"/>
  <c r="AP45" i="6"/>
  <c r="AO45" i="6"/>
  <c r="AN45" i="6"/>
  <c r="AO30" i="6"/>
  <c r="AN30" i="6"/>
  <c r="AM30" i="6"/>
  <c r="AP30" i="6"/>
  <c r="AO32" i="6"/>
  <c r="AN32" i="6"/>
  <c r="AM32" i="6"/>
  <c r="AP32" i="6"/>
  <c r="AO34" i="6"/>
  <c r="AN34" i="6"/>
  <c r="AM34" i="6"/>
  <c r="AP34" i="6"/>
  <c r="AM22" i="6"/>
  <c r="AP22" i="6"/>
  <c r="AO22" i="6"/>
  <c r="AN22" i="6"/>
  <c r="T126" i="6"/>
  <c r="AO126" i="6"/>
  <c r="AN126" i="6"/>
  <c r="AM126" i="6"/>
  <c r="AP126" i="6"/>
  <c r="AO128" i="6"/>
  <c r="AN128" i="6"/>
  <c r="AM128" i="6"/>
  <c r="AP128" i="6"/>
  <c r="AO130" i="6"/>
  <c r="AN130" i="6"/>
  <c r="AM130" i="6"/>
  <c r="AP130" i="6"/>
  <c r="AO151" i="6"/>
  <c r="AN151" i="6"/>
  <c r="AM151" i="6"/>
  <c r="AP151" i="6"/>
  <c r="AO153" i="6"/>
  <c r="AN153" i="6"/>
  <c r="AM153" i="6"/>
  <c r="AP153" i="6"/>
  <c r="AN79" i="7"/>
  <c r="AM79" i="7"/>
  <c r="AP79" i="7"/>
  <c r="AO79" i="7"/>
  <c r="AN81" i="7"/>
  <c r="AM81" i="7"/>
  <c r="AP81" i="7"/>
  <c r="AO81" i="7"/>
  <c r="AO43" i="7"/>
  <c r="AN43" i="7"/>
  <c r="AP43" i="7"/>
  <c r="AM43" i="7"/>
  <c r="AO45" i="7"/>
  <c r="AN45" i="7"/>
  <c r="AM45" i="7"/>
  <c r="AP45" i="7"/>
  <c r="T18" i="7"/>
  <c r="AO18" i="7"/>
  <c r="AN18" i="7"/>
  <c r="AM18" i="7"/>
  <c r="AP18" i="7"/>
  <c r="T6" i="7"/>
  <c r="AM6" i="7"/>
  <c r="AP6" i="7"/>
  <c r="AO6" i="7"/>
  <c r="AN6" i="7"/>
  <c r="T8" i="7"/>
  <c r="AM8" i="7"/>
  <c r="AP8" i="7"/>
  <c r="AO8" i="7"/>
  <c r="AN8" i="7"/>
  <c r="AM10" i="7"/>
  <c r="AP10" i="7"/>
  <c r="AO10" i="7"/>
  <c r="AN10" i="7"/>
  <c r="AP115" i="7"/>
  <c r="AO115" i="7"/>
  <c r="AN115" i="7"/>
  <c r="AM115" i="7"/>
  <c r="T117" i="7"/>
  <c r="AP117" i="7"/>
  <c r="AO117" i="7"/>
  <c r="AN117" i="7"/>
  <c r="AM117" i="7"/>
  <c r="T138" i="7"/>
  <c r="AP138" i="7"/>
  <c r="AO138" i="7"/>
  <c r="AN138" i="7"/>
  <c r="AM138" i="7"/>
  <c r="T140" i="7"/>
  <c r="AP140" i="7"/>
  <c r="AO140" i="7"/>
  <c r="AN140" i="7"/>
  <c r="AM140" i="7"/>
  <c r="T142" i="7"/>
  <c r="AP142" i="7"/>
  <c r="AO142" i="7"/>
  <c r="AN142" i="7"/>
  <c r="AM142" i="7"/>
  <c r="AN151" i="7"/>
  <c r="AM151" i="7"/>
  <c r="AP151" i="7"/>
  <c r="AO151" i="7"/>
  <c r="AN153" i="7"/>
  <c r="AM153" i="7"/>
  <c r="AP153" i="7"/>
  <c r="AO153" i="7"/>
  <c r="T18" i="8"/>
  <c r="AN18" i="8"/>
  <c r="AM18" i="8"/>
  <c r="AP18" i="8"/>
  <c r="AO18" i="8"/>
  <c r="AN20" i="8"/>
  <c r="AM20" i="8"/>
  <c r="AP20" i="8"/>
  <c r="AO20" i="8"/>
  <c r="AN22" i="8"/>
  <c r="AM22" i="8"/>
  <c r="AP22" i="8"/>
  <c r="AO22" i="8"/>
  <c r="T54" i="8"/>
  <c r="AP54" i="8"/>
  <c r="AO54" i="8"/>
  <c r="AN54" i="8"/>
  <c r="AM54" i="8"/>
  <c r="AP56" i="8"/>
  <c r="AO56" i="8"/>
  <c r="AN56" i="8"/>
  <c r="AM56" i="8"/>
  <c r="AP58" i="8"/>
  <c r="AO58" i="8"/>
  <c r="AN58" i="8"/>
  <c r="AM58" i="8"/>
  <c r="AN90" i="8"/>
  <c r="AM90" i="8"/>
  <c r="AP90" i="8"/>
  <c r="AO90" i="8"/>
  <c r="AN92" i="8"/>
  <c r="AM92" i="8"/>
  <c r="AP92" i="8"/>
  <c r="AO92" i="8"/>
  <c r="AP94" i="8"/>
  <c r="AN94" i="8"/>
  <c r="AM94" i="8"/>
  <c r="AO94" i="8"/>
  <c r="AP115" i="8"/>
  <c r="AO115" i="8"/>
  <c r="AN115" i="8"/>
  <c r="AM115" i="8"/>
  <c r="AP117" i="8"/>
  <c r="AO117" i="8"/>
  <c r="AN117" i="8"/>
  <c r="AM117" i="8"/>
  <c r="AN151" i="8"/>
  <c r="AM151" i="8"/>
  <c r="AP151" i="8"/>
  <c r="AO151" i="8"/>
  <c r="T103" i="6"/>
  <c r="AO103" i="6"/>
  <c r="AN103" i="6"/>
  <c r="AM103" i="6"/>
  <c r="AP103" i="6"/>
  <c r="T90" i="6"/>
  <c r="AM90" i="6"/>
  <c r="AP90" i="6"/>
  <c r="AO90" i="6"/>
  <c r="AN90" i="6"/>
  <c r="T114" i="8"/>
  <c r="T150" i="8"/>
  <c r="T9" i="7"/>
  <c r="T78" i="6"/>
  <c r="AO78" i="6"/>
  <c r="AN78" i="6"/>
  <c r="AM78" i="6"/>
  <c r="AP78" i="6"/>
  <c r="AO82" i="6"/>
  <c r="AN82" i="6"/>
  <c r="AM82" i="6"/>
  <c r="AP82" i="6"/>
  <c r="AO55" i="6"/>
  <c r="AN55" i="6"/>
  <c r="AM55" i="6"/>
  <c r="AP55" i="6"/>
  <c r="AO9" i="6"/>
  <c r="AN9" i="6"/>
  <c r="AM9" i="6"/>
  <c r="AP9" i="6"/>
  <c r="AM116" i="6"/>
  <c r="AP116" i="6"/>
  <c r="AO116" i="6"/>
  <c r="AN116" i="6"/>
  <c r="AM118" i="6"/>
  <c r="AP118" i="6"/>
  <c r="AO118" i="6"/>
  <c r="AN118" i="6"/>
  <c r="AM141" i="6"/>
  <c r="AP141" i="6"/>
  <c r="AO141" i="6"/>
  <c r="AN141" i="6"/>
  <c r="AN104" i="7"/>
  <c r="AM104" i="7"/>
  <c r="AP104" i="7"/>
  <c r="AO104" i="7"/>
  <c r="AP93" i="7"/>
  <c r="AO93" i="7"/>
  <c r="AN93" i="7"/>
  <c r="AM93" i="7"/>
  <c r="AN55" i="7"/>
  <c r="AP55" i="7"/>
  <c r="AM55" i="7"/>
  <c r="AO55" i="7"/>
  <c r="AM30" i="7"/>
  <c r="AP30" i="7"/>
  <c r="AO30" i="7"/>
  <c r="AN30" i="7"/>
  <c r="AO22" i="7"/>
  <c r="AN22" i="7"/>
  <c r="AM22" i="7"/>
  <c r="AP22" i="7"/>
  <c r="T126" i="7"/>
  <c r="AN126" i="7"/>
  <c r="AM126" i="7"/>
  <c r="AP126" i="7"/>
  <c r="AO126" i="7"/>
  <c r="AN128" i="7"/>
  <c r="AM128" i="7"/>
  <c r="AP128" i="7"/>
  <c r="AO128" i="7"/>
  <c r="AN130" i="7"/>
  <c r="AM130" i="7"/>
  <c r="AP130" i="7"/>
  <c r="AO130" i="7"/>
  <c r="AP10" i="8"/>
  <c r="AO10" i="8"/>
  <c r="AN10" i="8"/>
  <c r="AM10" i="8"/>
  <c r="T33" i="8"/>
  <c r="AP33" i="8"/>
  <c r="AO33" i="8"/>
  <c r="AN33" i="8"/>
  <c r="AM33" i="8"/>
  <c r="T42" i="8"/>
  <c r="AN42" i="8"/>
  <c r="AM42" i="8"/>
  <c r="AP42" i="8"/>
  <c r="AO42" i="8"/>
  <c r="T55" i="8"/>
  <c r="T67" i="8"/>
  <c r="AN67" i="8"/>
  <c r="AM67" i="8"/>
  <c r="AP67" i="8"/>
  <c r="AO67" i="8"/>
  <c r="AN69" i="8"/>
  <c r="AM69" i="8"/>
  <c r="AP69" i="8"/>
  <c r="AO69" i="8"/>
  <c r="T78" i="8"/>
  <c r="AP78" i="8"/>
  <c r="AO78" i="8"/>
  <c r="AN78" i="8"/>
  <c r="AM78" i="8"/>
  <c r="T80" i="8"/>
  <c r="AP80" i="8"/>
  <c r="AO80" i="8"/>
  <c r="AN80" i="8"/>
  <c r="AM80" i="8"/>
  <c r="T126" i="8"/>
  <c r="AN126" i="8"/>
  <c r="AM126" i="8"/>
  <c r="AP126" i="8"/>
  <c r="AO126" i="8"/>
  <c r="T128" i="8"/>
  <c r="AN128" i="8"/>
  <c r="AM128" i="8"/>
  <c r="AP128" i="8"/>
  <c r="AO128" i="8"/>
  <c r="AN130" i="8"/>
  <c r="AM130" i="8"/>
  <c r="AP130" i="8"/>
  <c r="AO130" i="8"/>
  <c r="T138" i="8"/>
  <c r="AP138" i="8"/>
  <c r="AO138" i="8"/>
  <c r="AN138" i="8"/>
  <c r="AM138" i="8"/>
  <c r="T140" i="8"/>
  <c r="AP140" i="8"/>
  <c r="AO140" i="8"/>
  <c r="AN140" i="8"/>
  <c r="AM140" i="8"/>
  <c r="T139" i="6"/>
  <c r="T32" i="7"/>
  <c r="T66" i="7"/>
  <c r="T93" i="7"/>
  <c r="T116" i="7"/>
  <c r="AO79" i="6"/>
  <c r="AN79" i="6"/>
  <c r="AM79" i="6"/>
  <c r="AP79" i="6"/>
  <c r="AO81" i="6"/>
  <c r="AN81" i="6"/>
  <c r="AM81" i="6"/>
  <c r="AP81" i="6"/>
  <c r="T54" i="6"/>
  <c r="AO54" i="6"/>
  <c r="AN54" i="6"/>
  <c r="AM54" i="6"/>
  <c r="AP54" i="6"/>
  <c r="AO56" i="6"/>
  <c r="AN56" i="6"/>
  <c r="AM56" i="6"/>
  <c r="AP56" i="6"/>
  <c r="AO58" i="6"/>
  <c r="AN58" i="6"/>
  <c r="AM58" i="6"/>
  <c r="AP58" i="6"/>
  <c r="T18" i="6"/>
  <c r="AM18" i="6"/>
  <c r="AP18" i="6"/>
  <c r="AO18" i="6"/>
  <c r="AN18" i="6"/>
  <c r="T6" i="6"/>
  <c r="AO6" i="6"/>
  <c r="AN6" i="6"/>
  <c r="AM6" i="6"/>
  <c r="AP6" i="6"/>
  <c r="T8" i="6"/>
  <c r="AO8" i="6"/>
  <c r="AN8" i="6"/>
  <c r="AM8" i="6"/>
  <c r="AP8" i="6"/>
  <c r="T10" i="6"/>
  <c r="AO10" i="6"/>
  <c r="AN10" i="6"/>
  <c r="AM10" i="6"/>
  <c r="AP10" i="6"/>
  <c r="T115" i="6"/>
  <c r="AM115" i="6"/>
  <c r="AP115" i="6"/>
  <c r="AO115" i="6"/>
  <c r="AN115" i="6"/>
  <c r="AM117" i="6"/>
  <c r="AP117" i="6"/>
  <c r="AO117" i="6"/>
  <c r="AN117" i="6"/>
  <c r="P126" i="6"/>
  <c r="Q126" i="6" s="1"/>
  <c r="T138" i="6"/>
  <c r="AM138" i="6"/>
  <c r="AP138" i="6"/>
  <c r="AO138" i="6"/>
  <c r="AN138" i="6"/>
  <c r="T140" i="6"/>
  <c r="AM140" i="6"/>
  <c r="AP140" i="6"/>
  <c r="AO140" i="6"/>
  <c r="AN140" i="6"/>
  <c r="AM142" i="6"/>
  <c r="AP142" i="6"/>
  <c r="AO142" i="6"/>
  <c r="AN142" i="6"/>
  <c r="T154" i="6"/>
  <c r="T103" i="7"/>
  <c r="AN103" i="7"/>
  <c r="AM103" i="7"/>
  <c r="AP103" i="7"/>
  <c r="AO103" i="7"/>
  <c r="AN105" i="7"/>
  <c r="AM105" i="7"/>
  <c r="AP105" i="7"/>
  <c r="AO105" i="7"/>
  <c r="T90" i="7"/>
  <c r="AP90" i="7"/>
  <c r="AO90" i="7"/>
  <c r="AN90" i="7"/>
  <c r="AM90" i="7"/>
  <c r="T92" i="7"/>
  <c r="AP92" i="7"/>
  <c r="AO92" i="7"/>
  <c r="AN92" i="7"/>
  <c r="AM92" i="7"/>
  <c r="T94" i="7"/>
  <c r="AP94" i="7"/>
  <c r="AO94" i="7"/>
  <c r="AN94" i="7"/>
  <c r="AM94" i="7"/>
  <c r="T67" i="7"/>
  <c r="AP67" i="7"/>
  <c r="AO67" i="7"/>
  <c r="AN67" i="7"/>
  <c r="AM67" i="7"/>
  <c r="T69" i="7"/>
  <c r="AP69" i="7"/>
  <c r="AO69" i="7"/>
  <c r="AN69" i="7"/>
  <c r="AM69" i="7"/>
  <c r="T54" i="7"/>
  <c r="AM54" i="7"/>
  <c r="AP54" i="7"/>
  <c r="AO54" i="7"/>
  <c r="AN54" i="7"/>
  <c r="AN56" i="7"/>
  <c r="AM56" i="7"/>
  <c r="AP56" i="7"/>
  <c r="AO56" i="7"/>
  <c r="AN58" i="7"/>
  <c r="AM58" i="7"/>
  <c r="AP58" i="7"/>
  <c r="AO58" i="7"/>
  <c r="T46" i="7"/>
  <c r="T31" i="7"/>
  <c r="AM31" i="7"/>
  <c r="AP31" i="7"/>
  <c r="AO31" i="7"/>
  <c r="AN31" i="7"/>
  <c r="AM33" i="7"/>
  <c r="AP33" i="7"/>
  <c r="AO33" i="7"/>
  <c r="AN33" i="7"/>
  <c r="T19" i="7"/>
  <c r="AO21" i="7"/>
  <c r="AN21" i="7"/>
  <c r="AM21" i="7"/>
  <c r="AP21" i="7"/>
  <c r="AN127" i="7"/>
  <c r="AM127" i="7"/>
  <c r="AP127" i="7"/>
  <c r="AO127" i="7"/>
  <c r="AN129" i="7"/>
  <c r="AM129" i="7"/>
  <c r="AP129" i="7"/>
  <c r="AO129" i="7"/>
  <c r="AP7" i="8"/>
  <c r="AO7" i="8"/>
  <c r="AN7" i="8"/>
  <c r="AM7" i="8"/>
  <c r="AP9" i="8"/>
  <c r="AO9" i="8"/>
  <c r="AN9" i="8"/>
  <c r="AM9" i="8"/>
  <c r="AP30" i="8"/>
  <c r="AO30" i="8"/>
  <c r="AN30" i="8"/>
  <c r="AM30" i="8"/>
  <c r="AP32" i="8"/>
  <c r="AO32" i="8"/>
  <c r="AN32" i="8"/>
  <c r="AM32" i="8"/>
  <c r="AP34" i="8"/>
  <c r="AO34" i="8"/>
  <c r="AN34" i="8"/>
  <c r="AM34" i="8"/>
  <c r="AN43" i="8"/>
  <c r="AM43" i="8"/>
  <c r="AP43" i="8"/>
  <c r="AO43" i="8"/>
  <c r="AN45" i="8"/>
  <c r="AM45" i="8"/>
  <c r="AP45" i="8"/>
  <c r="AO45" i="8"/>
  <c r="AN66" i="8"/>
  <c r="AM66" i="8"/>
  <c r="AP66" i="8"/>
  <c r="AO66" i="8"/>
  <c r="AN68" i="8"/>
  <c r="AM68" i="8"/>
  <c r="AP68" i="8"/>
  <c r="AO68" i="8"/>
  <c r="AN70" i="8"/>
  <c r="AM70" i="8"/>
  <c r="AP70" i="8"/>
  <c r="AO70" i="8"/>
  <c r="AP79" i="8"/>
  <c r="AO79" i="8"/>
  <c r="AN79" i="8"/>
  <c r="AM79" i="8"/>
  <c r="AP81" i="8"/>
  <c r="AO81" i="8"/>
  <c r="AN81" i="8"/>
  <c r="AM81" i="8"/>
  <c r="AN102" i="8"/>
  <c r="AM102" i="8"/>
  <c r="AP102" i="8"/>
  <c r="AO102" i="8"/>
  <c r="AN104" i="8"/>
  <c r="AM104" i="8"/>
  <c r="AP104" i="8"/>
  <c r="AO104" i="8"/>
  <c r="AN106" i="8"/>
  <c r="AM106" i="8"/>
  <c r="AP106" i="8"/>
  <c r="AO106" i="8"/>
  <c r="AN127" i="8"/>
  <c r="AM127" i="8"/>
  <c r="AP127" i="8"/>
  <c r="AO127" i="8"/>
  <c r="AN129" i="8"/>
  <c r="AM129" i="8"/>
  <c r="AP129" i="8"/>
  <c r="AO129" i="8"/>
  <c r="AP139" i="8"/>
  <c r="AO139" i="8"/>
  <c r="AN139" i="8"/>
  <c r="AM139" i="8"/>
  <c r="AP141" i="8"/>
  <c r="AO141" i="8"/>
  <c r="AN141" i="8"/>
  <c r="AM141" i="8"/>
  <c r="AN154" i="8"/>
  <c r="AM154" i="8"/>
  <c r="AP154" i="8"/>
  <c r="AO154" i="8"/>
  <c r="P139" i="7"/>
  <c r="Q139" i="7" s="1"/>
  <c r="P114" i="8"/>
  <c r="Q114" i="8" s="1"/>
  <c r="T118" i="8"/>
  <c r="T151" i="8"/>
  <c r="T152" i="8"/>
  <c r="T58" i="6"/>
  <c r="T20" i="6"/>
  <c r="T130" i="6"/>
  <c r="T151" i="6"/>
  <c r="T153" i="6"/>
  <c r="T79" i="7"/>
  <c r="T22" i="7"/>
  <c r="T128" i="7"/>
  <c r="P18" i="7"/>
  <c r="Q18" i="7" s="1"/>
  <c r="U18" i="7" s="1"/>
  <c r="Q42" i="7"/>
  <c r="U42" i="7" s="1"/>
  <c r="P139" i="5"/>
  <c r="Q139" i="5" s="1"/>
  <c r="U139" i="5" s="1"/>
  <c r="Q18" i="8"/>
  <c r="U18" i="8" s="1"/>
  <c r="T104" i="6"/>
  <c r="Q78" i="6"/>
  <c r="U78" i="6" s="1"/>
  <c r="P67" i="5"/>
  <c r="P115" i="5"/>
  <c r="T82" i="6"/>
  <c r="T22" i="8"/>
  <c r="T94" i="8"/>
  <c r="P151" i="6"/>
  <c r="Q151" i="6" s="1"/>
  <c r="P126" i="7"/>
  <c r="Q126" i="7" s="1"/>
  <c r="P164" i="7"/>
  <c r="Q164" i="7" s="1"/>
  <c r="P166" i="7"/>
  <c r="P150" i="8"/>
  <c r="Q150" i="8" s="1"/>
  <c r="U150" i="8" s="1"/>
  <c r="P44" i="5"/>
  <c r="P31" i="5"/>
  <c r="P54" i="5"/>
  <c r="Q54" i="5" s="1"/>
  <c r="U54" i="5" s="1"/>
  <c r="P79" i="5"/>
  <c r="P102" i="5"/>
  <c r="Q102" i="5" s="1"/>
  <c r="U102" i="5" s="1"/>
  <c r="T116" i="5"/>
  <c r="P45" i="5"/>
  <c r="P93" i="5"/>
  <c r="Q90" i="6"/>
  <c r="U90" i="6" s="1"/>
  <c r="Q42" i="6"/>
  <c r="U42" i="6" s="1"/>
  <c r="T32" i="6"/>
  <c r="P138" i="6"/>
  <c r="Q138" i="6" s="1"/>
  <c r="T68" i="7"/>
  <c r="P140" i="7"/>
  <c r="Q140" i="7" s="1"/>
  <c r="T68" i="8"/>
  <c r="T128" i="6"/>
  <c r="T20" i="7"/>
  <c r="Q163" i="7"/>
  <c r="Q54" i="8"/>
  <c r="P151" i="5"/>
  <c r="Q151" i="5" s="1"/>
  <c r="T80" i="7"/>
  <c r="T56" i="8"/>
  <c r="T92" i="8"/>
  <c r="T68" i="5"/>
  <c r="P30" i="7"/>
  <c r="Q30" i="7" s="1"/>
  <c r="P54" i="7"/>
  <c r="Q54" i="7" s="1"/>
  <c r="P138" i="7"/>
  <c r="Q138" i="7" s="1"/>
  <c r="U138" i="7" s="1"/>
  <c r="P30" i="8"/>
  <c r="Q30" i="8" s="1"/>
  <c r="P6" i="7"/>
  <c r="Q6" i="7" s="1"/>
  <c r="P6" i="8"/>
  <c r="Q6" i="8" s="1"/>
  <c r="T140" i="5"/>
  <c r="T80" i="6"/>
  <c r="T152" i="6"/>
  <c r="T44" i="7"/>
  <c r="T20" i="8"/>
  <c r="T56" i="6"/>
  <c r="T164" i="7"/>
  <c r="P42" i="5"/>
  <c r="Q42" i="5" s="1"/>
  <c r="U42" i="5" s="1"/>
  <c r="P90" i="5"/>
  <c r="Q90" i="5" s="1"/>
  <c r="U90" i="5" s="1"/>
  <c r="P138" i="5"/>
  <c r="P18" i="6"/>
  <c r="Q18" i="6" s="1"/>
  <c r="P126" i="5"/>
  <c r="Q126" i="5" s="1"/>
  <c r="U126" i="5" s="1"/>
  <c r="P78" i="7"/>
  <c r="Q78" i="7" s="1"/>
  <c r="P12" i="5"/>
  <c r="H84" i="5"/>
  <c r="F144" i="5"/>
  <c r="P144" i="5" s="1"/>
  <c r="H96" i="6"/>
  <c r="F60" i="6"/>
  <c r="P60" i="6" s="1"/>
  <c r="H120" i="6"/>
  <c r="F156" i="6"/>
  <c r="P156" i="6" s="1"/>
  <c r="H60" i="7"/>
  <c r="F24" i="7"/>
  <c r="P24" i="7" s="1"/>
  <c r="H156" i="7"/>
  <c r="F24" i="8"/>
  <c r="P24" i="8" s="1"/>
  <c r="H84" i="8"/>
  <c r="F120" i="8"/>
  <c r="P120" i="8" s="1"/>
  <c r="F72" i="5"/>
  <c r="P72" i="5" s="1"/>
  <c r="F108" i="5"/>
  <c r="P108" i="5" s="1"/>
  <c r="H144" i="5"/>
  <c r="H108" i="6"/>
  <c r="F72" i="6"/>
  <c r="P72" i="6" s="1"/>
  <c r="H60" i="6"/>
  <c r="F24" i="6"/>
  <c r="P24" i="6" s="1"/>
  <c r="H12" i="6"/>
  <c r="F144" i="6"/>
  <c r="P144" i="6" s="1"/>
  <c r="P154" i="6"/>
  <c r="H156" i="6"/>
  <c r="F84" i="7"/>
  <c r="P84" i="7" s="1"/>
  <c r="H72" i="7"/>
  <c r="F36" i="7"/>
  <c r="P36" i="7" s="1"/>
  <c r="H24" i="7"/>
  <c r="F132" i="7"/>
  <c r="P142" i="7"/>
  <c r="H144" i="7"/>
  <c r="P12" i="8"/>
  <c r="H24" i="8"/>
  <c r="F60" i="8"/>
  <c r="P60" i="8" s="1"/>
  <c r="H72" i="8"/>
  <c r="F108" i="8"/>
  <c r="P108" i="8" s="1"/>
  <c r="H120" i="8"/>
  <c r="H72" i="5"/>
  <c r="P24" i="5"/>
  <c r="F48" i="5"/>
  <c r="P48" i="5" s="1"/>
  <c r="H60" i="5"/>
  <c r="F96" i="5"/>
  <c r="P96" i="5" s="1"/>
  <c r="H108" i="5"/>
  <c r="F132" i="5"/>
  <c r="P132" i="5" s="1"/>
  <c r="F84" i="6"/>
  <c r="P84" i="6" s="1"/>
  <c r="H72" i="6"/>
  <c r="F36" i="6"/>
  <c r="P36" i="6" s="1"/>
  <c r="H24" i="6"/>
  <c r="F132" i="6"/>
  <c r="P132" i="6" s="1"/>
  <c r="H144" i="6"/>
  <c r="F96" i="7"/>
  <c r="P96" i="7" s="1"/>
  <c r="H84" i="7"/>
  <c r="F48" i="7"/>
  <c r="P48" i="7" s="1"/>
  <c r="H36" i="7"/>
  <c r="F120" i="7"/>
  <c r="P120" i="7" s="1"/>
  <c r="H132" i="7"/>
  <c r="F168" i="7"/>
  <c r="P168" i="7" s="1"/>
  <c r="F48" i="8"/>
  <c r="P48" i="8" s="1"/>
  <c r="H60" i="8"/>
  <c r="F96" i="8"/>
  <c r="P96" i="8" s="1"/>
  <c r="H108" i="8"/>
  <c r="F132" i="8"/>
  <c r="P132" i="8" s="1"/>
  <c r="H144" i="8"/>
  <c r="F60" i="5"/>
  <c r="P60" i="5" s="1"/>
  <c r="P36" i="5"/>
  <c r="H48" i="5"/>
  <c r="F84" i="5"/>
  <c r="P84" i="5" s="1"/>
  <c r="H96" i="5"/>
  <c r="F120" i="5"/>
  <c r="H132" i="5"/>
  <c r="F156" i="5"/>
  <c r="P156" i="5" s="1"/>
  <c r="F96" i="6"/>
  <c r="P96" i="6" s="1"/>
  <c r="H84" i="6"/>
  <c r="F48" i="6"/>
  <c r="P48" i="6" s="1"/>
  <c r="H36" i="6"/>
  <c r="F120" i="6"/>
  <c r="P120" i="6" s="1"/>
  <c r="H132" i="6"/>
  <c r="F108" i="7"/>
  <c r="P108" i="7" s="1"/>
  <c r="H96" i="7"/>
  <c r="F60" i="7"/>
  <c r="P60" i="7" s="1"/>
  <c r="H48" i="7"/>
  <c r="F12" i="7"/>
  <c r="P12" i="7" s="1"/>
  <c r="H120" i="7"/>
  <c r="F156" i="7"/>
  <c r="P156" i="7" s="1"/>
  <c r="H168" i="7"/>
  <c r="F36" i="8"/>
  <c r="P36" i="8" s="1"/>
  <c r="H48" i="8"/>
  <c r="F84" i="8"/>
  <c r="P84" i="8" s="1"/>
  <c r="H96" i="8"/>
  <c r="F144" i="8"/>
  <c r="P144" i="8" s="1"/>
  <c r="P55" i="5"/>
  <c r="T56" i="5"/>
  <c r="P103" i="5"/>
  <c r="T104" i="5"/>
  <c r="T68" i="6"/>
  <c r="P139" i="6"/>
  <c r="Q139" i="6" s="1"/>
  <c r="P19" i="5"/>
  <c r="Q19" i="5" s="1"/>
  <c r="U19" i="5" s="1"/>
  <c r="P43" i="5"/>
  <c r="T44" i="5"/>
  <c r="P68" i="5"/>
  <c r="P91" i="5"/>
  <c r="T92" i="5"/>
  <c r="P127" i="5"/>
  <c r="T128" i="5"/>
  <c r="P140" i="5"/>
  <c r="T44" i="8"/>
  <c r="T20" i="5"/>
  <c r="T32" i="5"/>
  <c r="T80" i="5"/>
  <c r="T152" i="5"/>
  <c r="T92" i="6"/>
  <c r="T44" i="6"/>
  <c r="P151" i="7"/>
  <c r="Q151" i="7" s="1"/>
  <c r="T152" i="7"/>
  <c r="T116" i="8"/>
  <c r="P30" i="5"/>
  <c r="Q30" i="5" s="1"/>
  <c r="U30" i="5" s="1"/>
  <c r="P78" i="5"/>
  <c r="Q78" i="5" s="1"/>
  <c r="U78" i="5" s="1"/>
  <c r="P150" i="5"/>
  <c r="Q150" i="5" s="1"/>
  <c r="P150" i="7"/>
  <c r="Q150" i="7" s="1"/>
  <c r="P78" i="8"/>
  <c r="Q78" i="8" s="1"/>
  <c r="P126" i="8"/>
  <c r="Q126" i="8" s="1"/>
  <c r="P18" i="5"/>
  <c r="P66" i="5"/>
  <c r="Q66" i="5" s="1"/>
  <c r="U66" i="5" s="1"/>
  <c r="P114" i="5"/>
  <c r="Q114" i="5" s="1"/>
  <c r="U114" i="5" s="1"/>
  <c r="P6" i="6"/>
  <c r="Q6" i="6" s="1"/>
  <c r="U6" i="6" s="1"/>
  <c r="P150" i="6"/>
  <c r="Q150" i="6" s="1"/>
  <c r="U150" i="6" s="1"/>
  <c r="P102" i="8"/>
  <c r="Q102" i="8" s="1"/>
  <c r="P138" i="8"/>
  <c r="Q138" i="8" s="1"/>
  <c r="U138" i="8" s="1"/>
  <c r="P162" i="7"/>
  <c r="Q162" i="7" s="1"/>
  <c r="U162" i="7" s="1"/>
  <c r="H130" i="8"/>
  <c r="P20" i="5"/>
  <c r="Q20" i="5" s="1"/>
  <c r="P153" i="8"/>
  <c r="Q153" i="8" s="1"/>
  <c r="P32" i="5"/>
  <c r="P34" i="5"/>
  <c r="P35" i="5"/>
  <c r="P57" i="5"/>
  <c r="P80" i="5"/>
  <c r="P82" i="5"/>
  <c r="P83" i="5"/>
  <c r="H142" i="8"/>
  <c r="P154" i="8"/>
  <c r="P142" i="5"/>
  <c r="P33" i="5"/>
  <c r="P56" i="5"/>
  <c r="P58" i="5"/>
  <c r="P59" i="5"/>
  <c r="P81" i="5"/>
  <c r="P104" i="5"/>
  <c r="P106" i="5"/>
  <c r="P153" i="5"/>
  <c r="Q153" i="5" s="1"/>
  <c r="P140" i="6"/>
  <c r="Q140" i="6" s="1"/>
  <c r="P143" i="6"/>
  <c r="P153" i="7"/>
  <c r="Q153" i="7" s="1"/>
  <c r="P69" i="5"/>
  <c r="P92" i="5"/>
  <c r="P117" i="5"/>
  <c r="Q117" i="5" s="1"/>
  <c r="U117" i="5" s="1"/>
  <c r="P120" i="5"/>
  <c r="P141" i="6"/>
  <c r="Q141" i="6" s="1"/>
  <c r="P144" i="7"/>
  <c r="P152" i="7"/>
  <c r="Q152" i="7" s="1"/>
  <c r="P155" i="7"/>
  <c r="P129" i="5"/>
  <c r="P105" i="5"/>
  <c r="P107" i="5"/>
  <c r="P141" i="5"/>
  <c r="Q141" i="5" s="1"/>
  <c r="U141" i="5" s="1"/>
  <c r="P143" i="5"/>
  <c r="P152" i="5"/>
  <c r="Q152" i="5" s="1"/>
  <c r="P128" i="5"/>
  <c r="P152" i="8"/>
  <c r="Q152" i="8" s="1"/>
  <c r="P140" i="8"/>
  <c r="Q140" i="8" s="1"/>
  <c r="P142" i="8"/>
  <c r="P11" i="5"/>
  <c r="P119" i="5"/>
  <c r="P155" i="6"/>
  <c r="P143" i="7"/>
  <c r="P167" i="7"/>
  <c r="P143" i="8"/>
  <c r="P47" i="5"/>
  <c r="P71" i="5"/>
  <c r="P95" i="5"/>
  <c r="P155" i="5"/>
  <c r="P23" i="5"/>
  <c r="P131" i="5"/>
  <c r="P46" i="5"/>
  <c r="P154" i="5"/>
  <c r="P130" i="5"/>
  <c r="P142" i="6"/>
  <c r="P154" i="7"/>
  <c r="P70" i="5"/>
  <c r="P94" i="5"/>
  <c r="P118" i="5"/>
  <c r="P22" i="5"/>
  <c r="P21" i="5"/>
  <c r="Q21" i="5" s="1"/>
  <c r="U21" i="5" s="1"/>
  <c r="P153" i="6"/>
  <c r="Q153" i="6" s="1"/>
  <c r="P141" i="7"/>
  <c r="Q141" i="7" s="1"/>
  <c r="P165" i="7"/>
  <c r="Q165" i="7" s="1"/>
  <c r="P141" i="8"/>
  <c r="Q141" i="8" s="1"/>
  <c r="T127" i="5"/>
  <c r="T43" i="8"/>
  <c r="T45" i="5"/>
  <c r="T69" i="5"/>
  <c r="T93" i="5"/>
  <c r="T117" i="5"/>
  <c r="T153" i="5"/>
  <c r="T79" i="6"/>
  <c r="T69" i="6"/>
  <c r="T55" i="6"/>
  <c r="T45" i="6"/>
  <c r="T21" i="6"/>
  <c r="T7" i="6"/>
  <c r="T117" i="6"/>
  <c r="T127" i="6"/>
  <c r="T105" i="7"/>
  <c r="T81" i="7"/>
  <c r="T43" i="7"/>
  <c r="T33" i="7"/>
  <c r="T115" i="7"/>
  <c r="T129" i="7"/>
  <c r="T151" i="7"/>
  <c r="T153" i="7"/>
  <c r="T166" i="7"/>
  <c r="T9" i="8"/>
  <c r="T57" i="8"/>
  <c r="T91" i="8"/>
  <c r="T105" i="8"/>
  <c r="T115" i="8"/>
  <c r="T153" i="8"/>
  <c r="T34" i="5"/>
  <c r="T58" i="5"/>
  <c r="T82" i="5"/>
  <c r="T106" i="5"/>
  <c r="T142" i="5"/>
  <c r="T22" i="6"/>
  <c r="T106" i="7"/>
  <c r="T34" i="7"/>
  <c r="T130" i="7"/>
  <c r="T58" i="8"/>
  <c r="T105" i="6"/>
  <c r="T81" i="6"/>
  <c r="T57" i="6"/>
  <c r="T33" i="6"/>
  <c r="T9" i="6"/>
  <c r="T129" i="6"/>
  <c r="T45" i="7"/>
  <c r="T21" i="7"/>
  <c r="T141" i="7"/>
  <c r="T45" i="8"/>
  <c r="T69" i="8"/>
  <c r="T93" i="8"/>
  <c r="T117" i="8"/>
  <c r="T141" i="8"/>
  <c r="T94" i="6"/>
  <c r="T70" i="6"/>
  <c r="T46" i="6"/>
  <c r="T118" i="6"/>
  <c r="T142" i="6"/>
  <c r="T82" i="7"/>
  <c r="T58" i="7"/>
  <c r="T10" i="7"/>
  <c r="T10" i="8"/>
  <c r="T82" i="8"/>
  <c r="T106" i="8"/>
  <c r="T130" i="8"/>
  <c r="T154" i="8"/>
  <c r="T31" i="5"/>
  <c r="T55" i="5"/>
  <c r="T79" i="5"/>
  <c r="T103" i="5"/>
  <c r="T129" i="5"/>
  <c r="T165" i="7"/>
  <c r="Q156" i="8"/>
  <c r="T46" i="5"/>
  <c r="T70" i="5"/>
  <c r="T94" i="5"/>
  <c r="T118" i="5"/>
  <c r="T154" i="5"/>
  <c r="T22" i="5"/>
  <c r="T130" i="5"/>
  <c r="T154" i="7"/>
  <c r="T21" i="5"/>
  <c r="T57" i="5"/>
  <c r="T81" i="5"/>
  <c r="T105" i="5"/>
  <c r="T141" i="5"/>
  <c r="Q152" i="6"/>
  <c r="T33" i="5"/>
  <c r="Q151" i="8"/>
  <c r="Q139" i="8"/>
  <c r="Q90" i="8"/>
  <c r="U90" i="8" s="1"/>
  <c r="T139" i="5"/>
  <c r="Q102" i="6"/>
  <c r="U102" i="6" s="1"/>
  <c r="Q90" i="7"/>
  <c r="U90" i="7" s="1"/>
  <c r="Q66" i="8"/>
  <c r="U66" i="8" s="1"/>
  <c r="Q66" i="7"/>
  <c r="U66" i="7" s="1"/>
  <c r="T19" i="5"/>
  <c r="T43" i="5"/>
  <c r="T67" i="5"/>
  <c r="T91" i="5"/>
  <c r="T115" i="5"/>
  <c r="T151" i="5"/>
  <c r="Q114" i="7"/>
  <c r="U114" i="7" s="1"/>
  <c r="Q42" i="8"/>
  <c r="U42" i="8" s="1"/>
  <c r="T163" i="7"/>
  <c r="U155" i="8"/>
  <c r="U156" i="8"/>
  <c r="Q9" i="5"/>
  <c r="U9" i="5" s="1"/>
  <c r="U30" i="6"/>
  <c r="U102" i="7"/>
  <c r="U66" i="6"/>
  <c r="U114" i="6"/>
  <c r="U54" i="8"/>
  <c r="P128" i="7"/>
  <c r="P119" i="7"/>
  <c r="P118" i="7"/>
  <c r="P116" i="7"/>
  <c r="P106" i="7"/>
  <c r="P104" i="7"/>
  <c r="P95" i="7"/>
  <c r="P94" i="7"/>
  <c r="P92" i="7"/>
  <c r="P83" i="7"/>
  <c r="P82" i="7"/>
  <c r="P80" i="7"/>
  <c r="P72" i="7"/>
  <c r="P71" i="7"/>
  <c r="P70" i="7"/>
  <c r="P68" i="7"/>
  <c r="P59" i="7"/>
  <c r="P58" i="7"/>
  <c r="P56" i="7"/>
  <c r="P47" i="7"/>
  <c r="P46" i="7"/>
  <c r="P44" i="7"/>
  <c r="P35" i="7"/>
  <c r="P34" i="7"/>
  <c r="P32" i="7"/>
  <c r="P23" i="7"/>
  <c r="P22" i="7"/>
  <c r="P20" i="7"/>
  <c r="P11" i="7"/>
  <c r="P10" i="7"/>
  <c r="P8" i="7"/>
  <c r="P131" i="8"/>
  <c r="P130" i="8"/>
  <c r="P128" i="8"/>
  <c r="P119" i="8"/>
  <c r="P118" i="8"/>
  <c r="P116" i="8"/>
  <c r="P107" i="8"/>
  <c r="P106" i="8"/>
  <c r="P104" i="8"/>
  <c r="P95" i="8"/>
  <c r="P94" i="8"/>
  <c r="P92" i="8"/>
  <c r="P83" i="8"/>
  <c r="P82" i="8"/>
  <c r="P80" i="8"/>
  <c r="P72" i="8"/>
  <c r="P71" i="8"/>
  <c r="P70" i="8"/>
  <c r="P68" i="8"/>
  <c r="P59" i="8"/>
  <c r="P58" i="8"/>
  <c r="P56" i="8"/>
  <c r="P47" i="8"/>
  <c r="P46" i="8"/>
  <c r="P44" i="8"/>
  <c r="P35" i="8"/>
  <c r="P34" i="8"/>
  <c r="P32" i="8"/>
  <c r="P23" i="8"/>
  <c r="P22" i="8"/>
  <c r="P20" i="8"/>
  <c r="P11" i="8"/>
  <c r="P10" i="8"/>
  <c r="P8" i="8"/>
  <c r="P130" i="6"/>
  <c r="P128" i="6"/>
  <c r="P118" i="6"/>
  <c r="P116" i="6"/>
  <c r="P108" i="6"/>
  <c r="P106" i="6"/>
  <c r="P104" i="6"/>
  <c r="P95" i="6"/>
  <c r="P94" i="6"/>
  <c r="P92" i="6"/>
  <c r="P83" i="6"/>
  <c r="P82" i="6"/>
  <c r="P80" i="6"/>
  <c r="P71" i="6"/>
  <c r="P70" i="6"/>
  <c r="P68" i="6"/>
  <c r="P59" i="6"/>
  <c r="P58" i="6"/>
  <c r="P56" i="6"/>
  <c r="P47" i="6"/>
  <c r="P46" i="6"/>
  <c r="P44" i="6"/>
  <c r="P35" i="6"/>
  <c r="P34" i="6"/>
  <c r="P32" i="6"/>
  <c r="P23" i="6"/>
  <c r="P22" i="6"/>
  <c r="P20" i="6"/>
  <c r="P12" i="6"/>
  <c r="P11" i="6"/>
  <c r="P10" i="6"/>
  <c r="P8" i="6"/>
  <c r="Q116" i="5"/>
  <c r="U116" i="5" s="1"/>
  <c r="U126" i="6" l="1"/>
  <c r="U114" i="8"/>
  <c r="U30" i="7"/>
  <c r="U6" i="8"/>
  <c r="U78" i="7"/>
  <c r="U18" i="6"/>
  <c r="U138" i="6"/>
  <c r="U54" i="7"/>
  <c r="U126" i="8"/>
  <c r="U126" i="7"/>
  <c r="U20" i="5"/>
  <c r="U30" i="8"/>
  <c r="U150" i="7"/>
  <c r="U102" i="8"/>
  <c r="Q140" i="5"/>
  <c r="U140" i="5" s="1"/>
  <c r="U78" i="8"/>
  <c r="U6" i="7"/>
  <c r="Q138" i="5"/>
  <c r="U138" i="5" s="1"/>
  <c r="J130" i="8"/>
  <c r="Q130" i="8" s="1"/>
  <c r="U130" i="8" s="1"/>
  <c r="J106" i="8"/>
  <c r="Q106" i="8" s="1"/>
  <c r="U106" i="8" s="1"/>
  <c r="J82" i="8"/>
  <c r="Q82" i="8" s="1"/>
  <c r="U82" i="8" s="1"/>
  <c r="J58" i="8"/>
  <c r="J34" i="8"/>
  <c r="Q34" i="8" s="1"/>
  <c r="U34" i="8" s="1"/>
  <c r="Q10" i="8"/>
  <c r="U10" i="8" s="1"/>
  <c r="J154" i="7"/>
  <c r="Q154" i="7" s="1"/>
  <c r="J130" i="7"/>
  <c r="J10" i="7"/>
  <c r="Q10" i="7" s="1"/>
  <c r="U10" i="7" s="1"/>
  <c r="J34" i="7"/>
  <c r="Q34" i="7" s="1"/>
  <c r="U34" i="7" s="1"/>
  <c r="J58" i="7"/>
  <c r="Q58" i="7" s="1"/>
  <c r="U58" i="7" s="1"/>
  <c r="J82" i="7"/>
  <c r="J106" i="7"/>
  <c r="J142" i="6"/>
  <c r="Q142" i="6" s="1"/>
  <c r="U142" i="6" s="1"/>
  <c r="J118" i="6"/>
  <c r="Q118" i="6" s="1"/>
  <c r="U118" i="6" s="1"/>
  <c r="J22" i="6"/>
  <c r="J46" i="6"/>
  <c r="Q46" i="6" s="1"/>
  <c r="U46" i="6" s="1"/>
  <c r="J70" i="6"/>
  <c r="Q70" i="6" s="1"/>
  <c r="U70" i="6" s="1"/>
  <c r="Q154" i="8"/>
  <c r="U154" i="8" s="1"/>
  <c r="J142" i="8"/>
  <c r="Q142" i="8" s="1"/>
  <c r="J118" i="8"/>
  <c r="Q118" i="8" s="1"/>
  <c r="U118" i="8" s="1"/>
  <c r="J94" i="8"/>
  <c r="Q94" i="8" s="1"/>
  <c r="U94" i="8" s="1"/>
  <c r="J70" i="8"/>
  <c r="Q70" i="8" s="1"/>
  <c r="U70" i="8" s="1"/>
  <c r="J46" i="8"/>
  <c r="J22" i="8"/>
  <c r="Q22" i="8" s="1"/>
  <c r="U22" i="8" s="1"/>
  <c r="J166" i="7"/>
  <c r="Q166" i="7" s="1"/>
  <c r="J142" i="7"/>
  <c r="Q142" i="7" s="1"/>
  <c r="J118" i="7"/>
  <c r="J22" i="7"/>
  <c r="Q22" i="7" s="1"/>
  <c r="U22" i="7" s="1"/>
  <c r="J46" i="7"/>
  <c r="Q46" i="7" s="1"/>
  <c r="U46" i="7" s="1"/>
  <c r="J70" i="7"/>
  <c r="Q70" i="7" s="1"/>
  <c r="U70" i="7" s="1"/>
  <c r="J94" i="7"/>
  <c r="J154" i="6"/>
  <c r="Q154" i="6" s="1"/>
  <c r="U154" i="6" s="1"/>
  <c r="J34" i="6"/>
  <c r="Q34" i="6" s="1"/>
  <c r="U34" i="6" s="1"/>
  <c r="J58" i="5"/>
  <c r="Q58" i="5" s="1"/>
  <c r="U58" i="5" s="1"/>
  <c r="J58" i="6"/>
  <c r="Q58" i="6" s="1"/>
  <c r="U58" i="6" s="1"/>
  <c r="J94" i="6"/>
  <c r="Q94" i="6" s="1"/>
  <c r="U94" i="6" s="1"/>
  <c r="J142" i="5"/>
  <c r="Q142" i="5" s="1"/>
  <c r="U142" i="5" s="1"/>
  <c r="J106" i="5"/>
  <c r="J82" i="5"/>
  <c r="Q82" i="5" s="1"/>
  <c r="U82" i="5" s="1"/>
  <c r="Q22" i="5"/>
  <c r="U22" i="5" s="1"/>
  <c r="J130" i="6"/>
  <c r="Q130" i="6" s="1"/>
  <c r="U130" i="6" s="1"/>
  <c r="J130" i="5"/>
  <c r="J46" i="5"/>
  <c r="Q46" i="5" s="1"/>
  <c r="U46" i="5" s="1"/>
  <c r="J10" i="6"/>
  <c r="Q10" i="6" s="1"/>
  <c r="U10" i="6" s="1"/>
  <c r="J82" i="6"/>
  <c r="Q82" i="6" s="1"/>
  <c r="U82" i="6" s="1"/>
  <c r="J106" i="6"/>
  <c r="Q106" i="6" s="1"/>
  <c r="U106" i="6" s="1"/>
  <c r="J154" i="5"/>
  <c r="Q154" i="5" s="1"/>
  <c r="J118" i="5"/>
  <c r="Q118" i="5" s="1"/>
  <c r="U118" i="5" s="1"/>
  <c r="J94" i="5"/>
  <c r="Q94" i="5" s="1"/>
  <c r="U94" i="5" s="1"/>
  <c r="J70" i="5"/>
  <c r="H131" i="8"/>
  <c r="H107" i="8"/>
  <c r="H83" i="8"/>
  <c r="H59" i="8"/>
  <c r="H35" i="8"/>
  <c r="H155" i="7"/>
  <c r="H131" i="7"/>
  <c r="H11" i="7"/>
  <c r="H35" i="7"/>
  <c r="H59" i="7"/>
  <c r="H83" i="7"/>
  <c r="H107" i="7"/>
  <c r="H143" i="6"/>
  <c r="H119" i="6"/>
  <c r="H23" i="6"/>
  <c r="H47" i="6"/>
  <c r="H71" i="6"/>
  <c r="H95" i="6"/>
  <c r="H143" i="8"/>
  <c r="H119" i="8"/>
  <c r="H95" i="8"/>
  <c r="H71" i="8"/>
  <c r="H47" i="8"/>
  <c r="H23" i="8"/>
  <c r="H143" i="7"/>
  <c r="H119" i="7"/>
  <c r="H23" i="7"/>
  <c r="H47" i="7"/>
  <c r="H71" i="7"/>
  <c r="H95" i="7"/>
  <c r="H155" i="6"/>
  <c r="H131" i="6"/>
  <c r="H11" i="6"/>
  <c r="H35" i="6"/>
  <c r="H59" i="6"/>
  <c r="H83" i="6"/>
  <c r="H107" i="6"/>
  <c r="H143" i="5"/>
  <c r="H107" i="5"/>
  <c r="H83" i="5"/>
  <c r="H59" i="5"/>
  <c r="H131" i="5"/>
  <c r="H155" i="5"/>
  <c r="H95" i="5"/>
  <c r="H71" i="5"/>
  <c r="H47" i="5"/>
  <c r="H119" i="5"/>
  <c r="J132" i="8"/>
  <c r="Q132" i="8" s="1"/>
  <c r="U132" i="8" s="1"/>
  <c r="J108" i="8"/>
  <c r="Q108" i="8" s="1"/>
  <c r="U108" i="8" s="1"/>
  <c r="J84" i="8"/>
  <c r="Q84" i="8" s="1"/>
  <c r="U84" i="8" s="1"/>
  <c r="J60" i="8"/>
  <c r="J36" i="8"/>
  <c r="Q36" i="8" s="1"/>
  <c r="U36" i="8" s="1"/>
  <c r="Q12" i="8"/>
  <c r="U12" i="8" s="1"/>
  <c r="J156" i="7"/>
  <c r="Q156" i="7" s="1"/>
  <c r="J132" i="7"/>
  <c r="J12" i="7"/>
  <c r="Q12" i="7" s="1"/>
  <c r="U12" i="7" s="1"/>
  <c r="J36" i="7"/>
  <c r="J60" i="7"/>
  <c r="Q60" i="7" s="1"/>
  <c r="U60" i="7" s="1"/>
  <c r="J84" i="7"/>
  <c r="J108" i="7"/>
  <c r="Q108" i="7" s="1"/>
  <c r="U108" i="7" s="1"/>
  <c r="J144" i="6"/>
  <c r="Q144" i="6" s="1"/>
  <c r="U144" i="6" s="1"/>
  <c r="J120" i="6"/>
  <c r="Q120" i="6" s="1"/>
  <c r="U120" i="6" s="1"/>
  <c r="J24" i="6"/>
  <c r="Q24" i="6" s="1"/>
  <c r="U24" i="6" s="1"/>
  <c r="J48" i="6"/>
  <c r="Q48" i="6" s="1"/>
  <c r="U48" i="6" s="1"/>
  <c r="J72" i="6"/>
  <c r="Q72" i="6" s="1"/>
  <c r="U72" i="6" s="1"/>
  <c r="J144" i="8"/>
  <c r="Q144" i="8" s="1"/>
  <c r="U144" i="8" s="1"/>
  <c r="J120" i="8"/>
  <c r="J96" i="8"/>
  <c r="Q96" i="8" s="1"/>
  <c r="U96" i="8" s="1"/>
  <c r="J72" i="8"/>
  <c r="Q72" i="8" s="1"/>
  <c r="U72" i="8" s="1"/>
  <c r="J48" i="8"/>
  <c r="Q48" i="8" s="1"/>
  <c r="U48" i="8" s="1"/>
  <c r="J24" i="8"/>
  <c r="J168" i="7"/>
  <c r="Q168" i="7" s="1"/>
  <c r="J144" i="7"/>
  <c r="Q144" i="7" s="1"/>
  <c r="J120" i="7"/>
  <c r="Q120" i="7" s="1"/>
  <c r="U120" i="7" s="1"/>
  <c r="J24" i="7"/>
  <c r="Q24" i="7" s="1"/>
  <c r="U24" i="7" s="1"/>
  <c r="J48" i="7"/>
  <c r="Q48" i="7" s="1"/>
  <c r="U48" i="7" s="1"/>
  <c r="J72" i="7"/>
  <c r="Q72" i="7" s="1"/>
  <c r="U72" i="7" s="1"/>
  <c r="J96" i="7"/>
  <c r="Q96" i="7" s="1"/>
  <c r="U96" i="7" s="1"/>
  <c r="J156" i="6"/>
  <c r="Q156" i="6" s="1"/>
  <c r="J36" i="6"/>
  <c r="Q36" i="6" s="1"/>
  <c r="U36" i="6" s="1"/>
  <c r="J96" i="6"/>
  <c r="Q96" i="6" s="1"/>
  <c r="U96" i="6" s="1"/>
  <c r="J120" i="5"/>
  <c r="Q120" i="5" s="1"/>
  <c r="U120" i="5" s="1"/>
  <c r="J60" i="6"/>
  <c r="J144" i="5"/>
  <c r="Q144" i="5" s="1"/>
  <c r="U144" i="5" s="1"/>
  <c r="J108" i="5"/>
  <c r="J84" i="5"/>
  <c r="Q84" i="5" s="1"/>
  <c r="U84" i="5" s="1"/>
  <c r="J60" i="5"/>
  <c r="Q24" i="5"/>
  <c r="U24" i="5" s="1"/>
  <c r="J132" i="6"/>
  <c r="Q132" i="6" s="1"/>
  <c r="U132" i="6" s="1"/>
  <c r="J84" i="6"/>
  <c r="Q84" i="6" s="1"/>
  <c r="U84" i="6" s="1"/>
  <c r="J108" i="6"/>
  <c r="Q108" i="6" s="1"/>
  <c r="U108" i="6" s="1"/>
  <c r="J132" i="5"/>
  <c r="Q132" i="5" s="1"/>
  <c r="U132" i="5" s="1"/>
  <c r="Q12" i="5"/>
  <c r="U12" i="5" s="1"/>
  <c r="J12" i="6"/>
  <c r="Q12" i="6" s="1"/>
  <c r="U12" i="6" s="1"/>
  <c r="J156" i="5"/>
  <c r="Q156" i="5" s="1"/>
  <c r="J96" i="5"/>
  <c r="Q96" i="5" s="1"/>
  <c r="U96" i="5" s="1"/>
  <c r="J72" i="5"/>
  <c r="Q72" i="5" s="1"/>
  <c r="U72" i="5" s="1"/>
  <c r="J48" i="5"/>
  <c r="Q48" i="5" s="1"/>
  <c r="U48" i="5" s="1"/>
  <c r="P7" i="6"/>
  <c r="P19" i="6"/>
  <c r="P33" i="6"/>
  <c r="P45" i="6"/>
  <c r="P57" i="6"/>
  <c r="P69" i="6"/>
  <c r="P79" i="6"/>
  <c r="P91" i="6"/>
  <c r="P103" i="6"/>
  <c r="P105" i="6"/>
  <c r="P115" i="6"/>
  <c r="P127" i="6"/>
  <c r="P129" i="6"/>
  <c r="P7" i="8"/>
  <c r="P9" i="8"/>
  <c r="P19" i="8"/>
  <c r="P21" i="8"/>
  <c r="P31" i="8"/>
  <c r="P33" i="8"/>
  <c r="P43" i="8"/>
  <c r="P45" i="8"/>
  <c r="P55" i="8"/>
  <c r="P57" i="8"/>
  <c r="P67" i="8"/>
  <c r="P69" i="8"/>
  <c r="P79" i="8"/>
  <c r="P81" i="8"/>
  <c r="P91" i="8"/>
  <c r="P93" i="8"/>
  <c r="P103" i="8"/>
  <c r="P105" i="8"/>
  <c r="P115" i="8"/>
  <c r="P117" i="8"/>
  <c r="P127" i="8"/>
  <c r="P129" i="8"/>
  <c r="P145" i="8"/>
  <c r="P7" i="7"/>
  <c r="P9" i="7"/>
  <c r="P19" i="7"/>
  <c r="P21" i="7"/>
  <c r="P31" i="7"/>
  <c r="P33" i="7"/>
  <c r="P43" i="7"/>
  <c r="P45" i="7"/>
  <c r="P55" i="7"/>
  <c r="P57" i="7"/>
  <c r="P67" i="7"/>
  <c r="P69" i="7"/>
  <c r="P79" i="7"/>
  <c r="P81" i="7"/>
  <c r="P91" i="7"/>
  <c r="P93" i="7"/>
  <c r="P103" i="7"/>
  <c r="P105" i="7"/>
  <c r="P115" i="7"/>
  <c r="P117" i="7"/>
  <c r="P127" i="7"/>
  <c r="P129" i="7"/>
  <c r="P9" i="6"/>
  <c r="P21" i="6"/>
  <c r="P31" i="6"/>
  <c r="P43" i="6"/>
  <c r="P55" i="6"/>
  <c r="P67" i="6"/>
  <c r="P81" i="6"/>
  <c r="P93" i="6"/>
  <c r="P117" i="6"/>
  <c r="Q8" i="6"/>
  <c r="U8" i="6" s="1"/>
  <c r="Q20" i="6"/>
  <c r="U20" i="6" s="1"/>
  <c r="Q22" i="6"/>
  <c r="U22" i="6" s="1"/>
  <c r="Q32" i="6"/>
  <c r="U32" i="6" s="1"/>
  <c r="Q44" i="6"/>
  <c r="U44" i="6" s="1"/>
  <c r="Q56" i="6"/>
  <c r="U56" i="6" s="1"/>
  <c r="Q60" i="6"/>
  <c r="U60" i="6" s="1"/>
  <c r="Q68" i="6"/>
  <c r="U68" i="6" s="1"/>
  <c r="Q80" i="6"/>
  <c r="U80" i="6" s="1"/>
  <c r="Q92" i="6"/>
  <c r="U92" i="6" s="1"/>
  <c r="Q104" i="6"/>
  <c r="U104" i="6" s="1"/>
  <c r="Q116" i="6"/>
  <c r="U116" i="6" s="1"/>
  <c r="Q128" i="6"/>
  <c r="U128" i="6" s="1"/>
  <c r="U140" i="6"/>
  <c r="U152" i="6"/>
  <c r="U156" i="6"/>
  <c r="Q8" i="8"/>
  <c r="U8" i="8" s="1"/>
  <c r="Q20" i="8"/>
  <c r="U20" i="8" s="1"/>
  <c r="Q24" i="8"/>
  <c r="U24" i="8" s="1"/>
  <c r="Q32" i="8"/>
  <c r="U32" i="8" s="1"/>
  <c r="Q44" i="8"/>
  <c r="U44" i="8" s="1"/>
  <c r="Q46" i="8"/>
  <c r="U46" i="8" s="1"/>
  <c r="Q56" i="8"/>
  <c r="U56" i="8" s="1"/>
  <c r="Q58" i="8"/>
  <c r="U58" i="8" s="1"/>
  <c r="Q60" i="8"/>
  <c r="U60" i="8" s="1"/>
  <c r="Q68" i="8"/>
  <c r="U68" i="8" s="1"/>
  <c r="Q80" i="8"/>
  <c r="U80" i="8" s="1"/>
  <c r="Q92" i="8"/>
  <c r="U92" i="8" s="1"/>
  <c r="Q104" i="8"/>
  <c r="U104" i="8" s="1"/>
  <c r="Q116" i="8"/>
  <c r="U116" i="8" s="1"/>
  <c r="Q120" i="8"/>
  <c r="U120" i="8" s="1"/>
  <c r="Q128" i="8"/>
  <c r="U128" i="8" s="1"/>
  <c r="U140" i="8"/>
  <c r="U142" i="8"/>
  <c r="U152" i="8"/>
  <c r="Q8" i="7"/>
  <c r="U8" i="7" s="1"/>
  <c r="Q20" i="7"/>
  <c r="U20" i="7" s="1"/>
  <c r="Q32" i="7"/>
  <c r="U32" i="7" s="1"/>
  <c r="Q36" i="7"/>
  <c r="U36" i="7" s="1"/>
  <c r="Q44" i="7"/>
  <c r="U44" i="7" s="1"/>
  <c r="Q56" i="7"/>
  <c r="U56" i="7" s="1"/>
  <c r="Q68" i="7"/>
  <c r="U68" i="7" s="1"/>
  <c r="Q80" i="7"/>
  <c r="U80" i="7" s="1"/>
  <c r="Q82" i="7"/>
  <c r="U82" i="7" s="1"/>
  <c r="Q84" i="7"/>
  <c r="U84" i="7" s="1"/>
  <c r="Q92" i="7"/>
  <c r="U92" i="7" s="1"/>
  <c r="Q94" i="7"/>
  <c r="U94" i="7" s="1"/>
  <c r="Q104" i="7"/>
  <c r="U104" i="7" s="1"/>
  <c r="Q106" i="7"/>
  <c r="U106" i="7" s="1"/>
  <c r="Q116" i="7"/>
  <c r="U116" i="7" s="1"/>
  <c r="Q118" i="7"/>
  <c r="U118" i="7" s="1"/>
  <c r="Q128" i="7"/>
  <c r="U128" i="7" s="1"/>
  <c r="P130" i="7"/>
  <c r="P132" i="7"/>
  <c r="P119" i="6"/>
  <c r="P107" i="7"/>
  <c r="P131" i="7"/>
  <c r="P107" i="6"/>
  <c r="P131" i="6"/>
  <c r="P145" i="6"/>
  <c r="Q60" i="5"/>
  <c r="U60" i="5" s="1"/>
  <c r="Q106" i="5"/>
  <c r="Q34" i="5"/>
  <c r="U34" i="5" s="1"/>
  <c r="Q70" i="5"/>
  <c r="U70" i="5" s="1"/>
  <c r="Q10" i="5"/>
  <c r="U10" i="5" s="1"/>
  <c r="Q130" i="5"/>
  <c r="U130" i="5" s="1"/>
  <c r="Q93" i="5"/>
  <c r="Q45" i="5"/>
  <c r="U45" i="5" s="1"/>
  <c r="Q69" i="5"/>
  <c r="U69" i="5" s="1"/>
  <c r="Q129" i="5"/>
  <c r="U129" i="5" s="1"/>
  <c r="Q57" i="5"/>
  <c r="U57" i="5" s="1"/>
  <c r="Q81" i="5"/>
  <c r="U81" i="5" s="1"/>
  <c r="Q105" i="5"/>
  <c r="U105" i="5" s="1"/>
  <c r="Q33" i="5"/>
  <c r="U33" i="5" s="1"/>
  <c r="Q91" i="5"/>
  <c r="Q56" i="5"/>
  <c r="U56" i="5" s="1"/>
  <c r="Q80" i="5"/>
  <c r="U80" i="5" s="1"/>
  <c r="Q104" i="5"/>
  <c r="U104" i="5" s="1"/>
  <c r="Q32" i="5"/>
  <c r="U32" i="5" s="1"/>
  <c r="Q68" i="5"/>
  <c r="U68" i="5" s="1"/>
  <c r="Q92" i="5"/>
  <c r="U92" i="5" s="1"/>
  <c r="Q44" i="5"/>
  <c r="U44" i="5" s="1"/>
  <c r="Q128" i="5"/>
  <c r="U128" i="5" s="1"/>
  <c r="Q31" i="5"/>
  <c r="U31" i="5" s="1"/>
  <c r="Q67" i="5"/>
  <c r="U67" i="5" s="1"/>
  <c r="Q115" i="5"/>
  <c r="U115" i="5" s="1"/>
  <c r="Q43" i="5"/>
  <c r="U43" i="5" s="1"/>
  <c r="Q127" i="5"/>
  <c r="U127" i="5" s="1"/>
  <c r="Q55" i="5"/>
  <c r="U55" i="5" s="1"/>
  <c r="Q79" i="5"/>
  <c r="U79" i="5" s="1"/>
  <c r="Q103" i="5"/>
  <c r="U103" i="5" s="1"/>
  <c r="Q18" i="5"/>
  <c r="U18" i="5" s="1"/>
  <c r="AA27" i="12"/>
  <c r="AG29" i="12"/>
  <c r="AR3" i="8"/>
  <c r="AR3" i="7"/>
  <c r="AR3" i="6"/>
  <c r="AR3" i="5"/>
  <c r="AG31" i="12"/>
  <c r="P85" i="7" l="1"/>
  <c r="P133" i="8"/>
  <c r="P109" i="8"/>
  <c r="P85" i="8"/>
  <c r="P25" i="6"/>
  <c r="P49" i="8"/>
  <c r="L132" i="8"/>
  <c r="L108" i="8"/>
  <c r="L84" i="8"/>
  <c r="L60" i="8"/>
  <c r="L36" i="8"/>
  <c r="L156" i="7"/>
  <c r="L132" i="7"/>
  <c r="L12" i="7"/>
  <c r="L36" i="7"/>
  <c r="L60" i="7"/>
  <c r="L84" i="7"/>
  <c r="L108" i="7"/>
  <c r="L144" i="6"/>
  <c r="L120" i="6"/>
  <c r="L24" i="6"/>
  <c r="L48" i="6"/>
  <c r="L72" i="6"/>
  <c r="L96" i="6"/>
  <c r="L144" i="8"/>
  <c r="L120" i="8"/>
  <c r="L96" i="8"/>
  <c r="L72" i="8"/>
  <c r="L48" i="8"/>
  <c r="L24" i="8"/>
  <c r="L168" i="7"/>
  <c r="L144" i="7"/>
  <c r="L120" i="7"/>
  <c r="L24" i="7"/>
  <c r="L48" i="7"/>
  <c r="L72" i="7"/>
  <c r="L96" i="7"/>
  <c r="L156" i="6"/>
  <c r="L132" i="6"/>
  <c r="L12" i="6"/>
  <c r="L36" i="6"/>
  <c r="L60" i="6"/>
  <c r="L84" i="6"/>
  <c r="L108" i="6"/>
  <c r="L144" i="5"/>
  <c r="L108" i="5"/>
  <c r="L84" i="5"/>
  <c r="L60" i="5"/>
  <c r="L132" i="5"/>
  <c r="L156" i="5"/>
  <c r="L96" i="5"/>
  <c r="L72" i="5"/>
  <c r="L48" i="5"/>
  <c r="L120" i="5"/>
  <c r="Q11" i="5"/>
  <c r="U11" i="5" s="1"/>
  <c r="J143" i="8"/>
  <c r="Q143" i="8" s="1"/>
  <c r="U143" i="8" s="1"/>
  <c r="J119" i="8"/>
  <c r="Q119" i="8" s="1"/>
  <c r="U119" i="8" s="1"/>
  <c r="J95" i="8"/>
  <c r="Q95" i="8" s="1"/>
  <c r="U95" i="8" s="1"/>
  <c r="J71" i="8"/>
  <c r="Q71" i="8" s="1"/>
  <c r="U71" i="8" s="1"/>
  <c r="J47" i="8"/>
  <c r="Q47" i="8" s="1"/>
  <c r="U47" i="8" s="1"/>
  <c r="J23" i="8"/>
  <c r="Q23" i="8" s="1"/>
  <c r="Q167" i="7"/>
  <c r="U167" i="7" s="1"/>
  <c r="J143" i="7"/>
  <c r="Q143" i="7" s="1"/>
  <c r="U143" i="7" s="1"/>
  <c r="J119" i="7"/>
  <c r="Q119" i="7" s="1"/>
  <c r="U119" i="7" s="1"/>
  <c r="J23" i="7"/>
  <c r="Q23" i="7" s="1"/>
  <c r="J47" i="7"/>
  <c r="Q47" i="7" s="1"/>
  <c r="U47" i="7" s="1"/>
  <c r="J71" i="7"/>
  <c r="Q71" i="7" s="1"/>
  <c r="U71" i="7" s="1"/>
  <c r="J95" i="7"/>
  <c r="Q95" i="7" s="1"/>
  <c r="U95" i="7" s="1"/>
  <c r="J155" i="6"/>
  <c r="Q155" i="6" s="1"/>
  <c r="U155" i="6" s="1"/>
  <c r="J131" i="6"/>
  <c r="Q131" i="6" s="1"/>
  <c r="U131" i="6" s="1"/>
  <c r="J11" i="6"/>
  <c r="Q11" i="6" s="1"/>
  <c r="U11" i="6" s="1"/>
  <c r="J35" i="6"/>
  <c r="Q35" i="6" s="1"/>
  <c r="U35" i="6" s="1"/>
  <c r="J59" i="6"/>
  <c r="Q59" i="6" s="1"/>
  <c r="U59" i="6" s="1"/>
  <c r="J131" i="8"/>
  <c r="Q131" i="8" s="1"/>
  <c r="U131" i="8" s="1"/>
  <c r="J107" i="8"/>
  <c r="Q107" i="8" s="1"/>
  <c r="J83" i="8"/>
  <c r="Q83" i="8" s="1"/>
  <c r="U83" i="8" s="1"/>
  <c r="J59" i="8"/>
  <c r="Q59" i="8" s="1"/>
  <c r="U59" i="8" s="1"/>
  <c r="J35" i="8"/>
  <c r="Q35" i="8" s="1"/>
  <c r="U35" i="8" s="1"/>
  <c r="Q11" i="8"/>
  <c r="U11" i="8" s="1"/>
  <c r="J155" i="7"/>
  <c r="Q155" i="7" s="1"/>
  <c r="U155" i="7" s="1"/>
  <c r="J131" i="7"/>
  <c r="J11" i="7"/>
  <c r="Q11" i="7" s="1"/>
  <c r="U11" i="7" s="1"/>
  <c r="J35" i="7"/>
  <c r="Q35" i="7" s="1"/>
  <c r="U35" i="7" s="1"/>
  <c r="J59" i="7"/>
  <c r="Q59" i="7" s="1"/>
  <c r="U59" i="7" s="1"/>
  <c r="J83" i="7"/>
  <c r="Q83" i="7" s="1"/>
  <c r="U83" i="7" s="1"/>
  <c r="J107" i="7"/>
  <c r="Q107" i="7" s="1"/>
  <c r="U107" i="7" s="1"/>
  <c r="J143" i="6"/>
  <c r="Q143" i="6" s="1"/>
  <c r="U143" i="6" s="1"/>
  <c r="J23" i="6"/>
  <c r="Q23" i="6" s="1"/>
  <c r="U23" i="6" s="1"/>
  <c r="J131" i="5"/>
  <c r="Q131" i="5" s="1"/>
  <c r="U131" i="5" s="1"/>
  <c r="Q23" i="5"/>
  <c r="U23" i="5" s="1"/>
  <c r="J47" i="6"/>
  <c r="Q47" i="6" s="1"/>
  <c r="U47" i="6" s="1"/>
  <c r="J95" i="6"/>
  <c r="Q95" i="6" s="1"/>
  <c r="U95" i="6" s="1"/>
  <c r="J155" i="5"/>
  <c r="Q155" i="5" s="1"/>
  <c r="J95" i="5"/>
  <c r="Q95" i="5" s="1"/>
  <c r="U95" i="5" s="1"/>
  <c r="J71" i="5"/>
  <c r="Q71" i="5" s="1"/>
  <c r="U71" i="5" s="1"/>
  <c r="J47" i="5"/>
  <c r="Q47" i="5" s="1"/>
  <c r="U47" i="5" s="1"/>
  <c r="J71" i="6"/>
  <c r="Q71" i="6" s="1"/>
  <c r="U71" i="6" s="1"/>
  <c r="J119" i="5"/>
  <c r="Q119" i="5" s="1"/>
  <c r="U119" i="5" s="1"/>
  <c r="Q35" i="5"/>
  <c r="U35" i="5" s="1"/>
  <c r="J119" i="6"/>
  <c r="Q119" i="6" s="1"/>
  <c r="U119" i="6" s="1"/>
  <c r="J83" i="6"/>
  <c r="Q83" i="6" s="1"/>
  <c r="U83" i="6" s="1"/>
  <c r="J107" i="6"/>
  <c r="Q107" i="6" s="1"/>
  <c r="U107" i="6" s="1"/>
  <c r="J143" i="5"/>
  <c r="Q143" i="5" s="1"/>
  <c r="U143" i="5" s="1"/>
  <c r="J107" i="5"/>
  <c r="Q107" i="5" s="1"/>
  <c r="U107" i="5" s="1"/>
  <c r="J83" i="5"/>
  <c r="Q83" i="5" s="1"/>
  <c r="U83" i="5" s="1"/>
  <c r="J59" i="5"/>
  <c r="Q59" i="5" s="1"/>
  <c r="U59" i="5" s="1"/>
  <c r="T11" i="5"/>
  <c r="W50" i="12"/>
  <c r="L130" i="8"/>
  <c r="T131" i="8" s="1"/>
  <c r="L106" i="8"/>
  <c r="T107" i="8" s="1"/>
  <c r="L82" i="8"/>
  <c r="T83" i="8" s="1"/>
  <c r="L58" i="8"/>
  <c r="T59" i="8" s="1"/>
  <c r="L34" i="8"/>
  <c r="T35" i="8" s="1"/>
  <c r="T11" i="8"/>
  <c r="L154" i="7"/>
  <c r="T155" i="7" s="1"/>
  <c r="L130" i="7"/>
  <c r="T131" i="7" s="1"/>
  <c r="L10" i="7"/>
  <c r="T11" i="7" s="1"/>
  <c r="L34" i="7"/>
  <c r="T35" i="7" s="1"/>
  <c r="L58" i="7"/>
  <c r="T59" i="7" s="1"/>
  <c r="L82" i="7"/>
  <c r="T83" i="7" s="1"/>
  <c r="L106" i="7"/>
  <c r="T107" i="7" s="1"/>
  <c r="L142" i="6"/>
  <c r="T143" i="6" s="1"/>
  <c r="L118" i="6"/>
  <c r="T119" i="6" s="1"/>
  <c r="L22" i="6"/>
  <c r="T23" i="6" s="1"/>
  <c r="L46" i="6"/>
  <c r="T47" i="6" s="1"/>
  <c r="L70" i="6"/>
  <c r="T71" i="6" s="1"/>
  <c r="L94" i="6"/>
  <c r="T95" i="6" s="1"/>
  <c r="T155" i="8"/>
  <c r="L142" i="8"/>
  <c r="T143" i="8" s="1"/>
  <c r="L118" i="8"/>
  <c r="T119" i="8" s="1"/>
  <c r="L94" i="8"/>
  <c r="T95" i="8" s="1"/>
  <c r="L70" i="8"/>
  <c r="T71" i="8" s="1"/>
  <c r="L46" i="8"/>
  <c r="T47" i="8" s="1"/>
  <c r="L22" i="8"/>
  <c r="T23" i="8" s="1"/>
  <c r="L166" i="7"/>
  <c r="T167" i="7" s="1"/>
  <c r="L142" i="7"/>
  <c r="T143" i="7" s="1"/>
  <c r="L118" i="7"/>
  <c r="T119" i="7" s="1"/>
  <c r="L22" i="7"/>
  <c r="T23" i="7" s="1"/>
  <c r="L46" i="7"/>
  <c r="T47" i="7" s="1"/>
  <c r="L70" i="7"/>
  <c r="T71" i="7" s="1"/>
  <c r="L94" i="7"/>
  <c r="T95" i="7" s="1"/>
  <c r="L154" i="6"/>
  <c r="T155" i="6" s="1"/>
  <c r="L130" i="6"/>
  <c r="T131" i="6" s="1"/>
  <c r="L10" i="6"/>
  <c r="T11" i="6" s="1"/>
  <c r="L34" i="6"/>
  <c r="T35" i="6" s="1"/>
  <c r="L58" i="6"/>
  <c r="T59" i="6" s="1"/>
  <c r="L82" i="6"/>
  <c r="T83" i="6" s="1"/>
  <c r="L106" i="6"/>
  <c r="T107" i="6" s="1"/>
  <c r="L142" i="5"/>
  <c r="T143" i="5" s="1"/>
  <c r="L106" i="5"/>
  <c r="T107" i="5" s="1"/>
  <c r="L82" i="5"/>
  <c r="T83" i="5" s="1"/>
  <c r="L58" i="5"/>
  <c r="T59" i="5" s="1"/>
  <c r="T35" i="5"/>
  <c r="L130" i="5"/>
  <c r="T131" i="5" s="1"/>
  <c r="T23" i="5"/>
  <c r="L154" i="5"/>
  <c r="T155" i="5" s="1"/>
  <c r="L118" i="5"/>
  <c r="T119" i="5" s="1"/>
  <c r="L94" i="5"/>
  <c r="T95" i="5" s="1"/>
  <c r="L70" i="5"/>
  <c r="T71" i="5" s="1"/>
  <c r="L46" i="5"/>
  <c r="T47" i="5" s="1"/>
  <c r="Q131" i="7"/>
  <c r="U131" i="7" s="1"/>
  <c r="P61" i="8"/>
  <c r="P37" i="8"/>
  <c r="P13" i="8"/>
  <c r="P97" i="7"/>
  <c r="P25" i="8"/>
  <c r="P13" i="7"/>
  <c r="P109" i="6"/>
  <c r="P85" i="6"/>
  <c r="P133" i="6"/>
  <c r="P49" i="6"/>
  <c r="P97" i="8"/>
  <c r="P97" i="6"/>
  <c r="P73" i="7"/>
  <c r="P61" i="7"/>
  <c r="P37" i="7"/>
  <c r="P121" i="7"/>
  <c r="P49" i="7"/>
  <c r="P25" i="7"/>
  <c r="P109" i="7"/>
  <c r="U156" i="7"/>
  <c r="U142" i="7"/>
  <c r="Q117" i="6"/>
  <c r="U117" i="6" s="1"/>
  <c r="Q55" i="6"/>
  <c r="U55" i="6" s="1"/>
  <c r="Q9" i="6"/>
  <c r="U9" i="6" s="1"/>
  <c r="U164" i="7"/>
  <c r="U139" i="7"/>
  <c r="Q115" i="7"/>
  <c r="U115" i="7" s="1"/>
  <c r="Q91" i="7"/>
  <c r="U91" i="7" s="1"/>
  <c r="Q67" i="7"/>
  <c r="U67" i="7" s="1"/>
  <c r="Q43" i="7"/>
  <c r="U43" i="7" s="1"/>
  <c r="Q19" i="7"/>
  <c r="U19" i="7" s="1"/>
  <c r="U151" i="8"/>
  <c r="Q127" i="8"/>
  <c r="U127" i="8" s="1"/>
  <c r="Q103" i="8"/>
  <c r="U103" i="8" s="1"/>
  <c r="Q79" i="8"/>
  <c r="U79" i="8" s="1"/>
  <c r="Q55" i="8"/>
  <c r="U55" i="8" s="1"/>
  <c r="Q31" i="8"/>
  <c r="U31" i="8" s="1"/>
  <c r="Q7" i="8"/>
  <c r="U7" i="8" s="1"/>
  <c r="U139" i="6"/>
  <c r="Q105" i="6"/>
  <c r="U105" i="6" s="1"/>
  <c r="Q69" i="6"/>
  <c r="U69" i="6" s="1"/>
  <c r="Q19" i="6"/>
  <c r="U19" i="6" s="1"/>
  <c r="Q108" i="5"/>
  <c r="U108" i="5" s="1"/>
  <c r="P121" i="6"/>
  <c r="P133" i="7"/>
  <c r="U154" i="7"/>
  <c r="U140" i="7"/>
  <c r="Q93" i="6"/>
  <c r="U93" i="6" s="1"/>
  <c r="Q43" i="6"/>
  <c r="U43" i="6" s="1"/>
  <c r="P13" i="6"/>
  <c r="U153" i="7"/>
  <c r="Q129" i="7"/>
  <c r="U129" i="7" s="1"/>
  <c r="Q105" i="7"/>
  <c r="U105" i="7" s="1"/>
  <c r="Q81" i="7"/>
  <c r="U81" i="7" s="1"/>
  <c r="Q57" i="7"/>
  <c r="U57" i="7" s="1"/>
  <c r="Q33" i="7"/>
  <c r="U33" i="7" s="1"/>
  <c r="Q9" i="7"/>
  <c r="U9" i="7" s="1"/>
  <c r="U141" i="8"/>
  <c r="Q117" i="8"/>
  <c r="U117" i="8" s="1"/>
  <c r="Q93" i="8"/>
  <c r="U93" i="8" s="1"/>
  <c r="Q69" i="8"/>
  <c r="U69" i="8" s="1"/>
  <c r="Q45" i="8"/>
  <c r="U45" i="8" s="1"/>
  <c r="Q21" i="8"/>
  <c r="U21" i="8" s="1"/>
  <c r="U153" i="6"/>
  <c r="Q129" i="6"/>
  <c r="U129" i="6" s="1"/>
  <c r="Q103" i="6"/>
  <c r="U103" i="6" s="1"/>
  <c r="Q57" i="6"/>
  <c r="U57" i="6" s="1"/>
  <c r="Q7" i="6"/>
  <c r="U165" i="7"/>
  <c r="U152" i="7"/>
  <c r="Q132" i="7"/>
  <c r="U132" i="7" s="1"/>
  <c r="Q81" i="6"/>
  <c r="U81" i="6" s="1"/>
  <c r="Q31" i="6"/>
  <c r="U31" i="6" s="1"/>
  <c r="U168" i="7"/>
  <c r="U151" i="7"/>
  <c r="Q127" i="7"/>
  <c r="U127" i="7" s="1"/>
  <c r="Q103" i="7"/>
  <c r="Q79" i="7"/>
  <c r="Q55" i="7"/>
  <c r="Q31" i="7"/>
  <c r="Q7" i="7"/>
  <c r="U139" i="8"/>
  <c r="Q115" i="8"/>
  <c r="Q91" i="8"/>
  <c r="U91" i="8" s="1"/>
  <c r="Q67" i="8"/>
  <c r="Q43" i="8"/>
  <c r="U43" i="8" s="1"/>
  <c r="Q19" i="8"/>
  <c r="U151" i="6"/>
  <c r="Q127" i="6"/>
  <c r="Q91" i="6"/>
  <c r="Q45" i="6"/>
  <c r="U45" i="6" s="1"/>
  <c r="P121" i="8"/>
  <c r="P73" i="8"/>
  <c r="P145" i="7"/>
  <c r="U163" i="7"/>
  <c r="U144" i="7"/>
  <c r="Q130" i="7"/>
  <c r="Q67" i="6"/>
  <c r="Q21" i="6"/>
  <c r="U21" i="6" s="1"/>
  <c r="P73" i="6"/>
  <c r="U166" i="7"/>
  <c r="U141" i="7"/>
  <c r="Q117" i="7"/>
  <c r="U117" i="7" s="1"/>
  <c r="Q93" i="7"/>
  <c r="U93" i="7" s="1"/>
  <c r="Q69" i="7"/>
  <c r="U69" i="7" s="1"/>
  <c r="Q45" i="7"/>
  <c r="U45" i="7" s="1"/>
  <c r="Q21" i="7"/>
  <c r="U21" i="7" s="1"/>
  <c r="U153" i="8"/>
  <c r="Q129" i="8"/>
  <c r="U129" i="8" s="1"/>
  <c r="Q105" i="8"/>
  <c r="U105" i="8" s="1"/>
  <c r="Q81" i="8"/>
  <c r="U81" i="8" s="1"/>
  <c r="Q57" i="8"/>
  <c r="U57" i="8" s="1"/>
  <c r="Q33" i="8"/>
  <c r="U33" i="8" s="1"/>
  <c r="Q9" i="8"/>
  <c r="U9" i="8" s="1"/>
  <c r="U141" i="6"/>
  <c r="Q115" i="6"/>
  <c r="Q79" i="6"/>
  <c r="Q33" i="6"/>
  <c r="U33" i="6" s="1"/>
  <c r="P37" i="6"/>
  <c r="P61" i="6"/>
  <c r="U23" i="7"/>
  <c r="U107" i="8"/>
  <c r="U23" i="8"/>
  <c r="Q36" i="5"/>
  <c r="U36" i="5" s="1"/>
  <c r="U106" i="5"/>
  <c r="U93" i="5"/>
  <c r="U91" i="5"/>
  <c r="AD16" i="12"/>
  <c r="B86" i="1" s="1"/>
  <c r="Q145" i="6" l="1"/>
  <c r="Q145" i="8"/>
  <c r="Q85" i="7"/>
  <c r="Q37" i="7"/>
  <c r="Q73" i="6"/>
  <c r="Q97" i="6"/>
  <c r="T12" i="5"/>
  <c r="L143" i="8"/>
  <c r="T144" i="8" s="1"/>
  <c r="L119" i="8"/>
  <c r="T120" i="8" s="1"/>
  <c r="L95" i="8"/>
  <c r="T96" i="8" s="1"/>
  <c r="L71" i="8"/>
  <c r="T72" i="8" s="1"/>
  <c r="L47" i="8"/>
  <c r="T48" i="8" s="1"/>
  <c r="L23" i="8"/>
  <c r="T24" i="8" s="1"/>
  <c r="T168" i="7"/>
  <c r="L143" i="7"/>
  <c r="T144" i="7" s="1"/>
  <c r="L119" i="7"/>
  <c r="T120" i="7" s="1"/>
  <c r="L23" i="7"/>
  <c r="T24" i="7" s="1"/>
  <c r="L47" i="7"/>
  <c r="T48" i="7" s="1"/>
  <c r="L71" i="7"/>
  <c r="T72" i="7" s="1"/>
  <c r="L95" i="7"/>
  <c r="T96" i="7" s="1"/>
  <c r="L155" i="6"/>
  <c r="T156" i="6" s="1"/>
  <c r="L131" i="6"/>
  <c r="T132" i="6" s="1"/>
  <c r="L11" i="6"/>
  <c r="T12" i="6" s="1"/>
  <c r="L35" i="6"/>
  <c r="T36" i="6" s="1"/>
  <c r="L59" i="6"/>
  <c r="T60" i="6" s="1"/>
  <c r="L83" i="6"/>
  <c r="T84" i="6" s="1"/>
  <c r="L107" i="6"/>
  <c r="T108" i="6" s="1"/>
  <c r="L131" i="8"/>
  <c r="T132" i="8" s="1"/>
  <c r="L107" i="8"/>
  <c r="T108" i="8" s="1"/>
  <c r="L83" i="8"/>
  <c r="T84" i="8" s="1"/>
  <c r="L59" i="8"/>
  <c r="T60" i="8" s="1"/>
  <c r="L35" i="8"/>
  <c r="T36" i="8" s="1"/>
  <c r="T12" i="8"/>
  <c r="L155" i="7"/>
  <c r="T156" i="7" s="1"/>
  <c r="L131" i="7"/>
  <c r="T132" i="7" s="1"/>
  <c r="L11" i="7"/>
  <c r="T12" i="7" s="1"/>
  <c r="L35" i="7"/>
  <c r="T36" i="7" s="1"/>
  <c r="L59" i="7"/>
  <c r="T60" i="7" s="1"/>
  <c r="L83" i="7"/>
  <c r="T84" i="7" s="1"/>
  <c r="L107" i="7"/>
  <c r="T108" i="7" s="1"/>
  <c r="L143" i="6"/>
  <c r="T144" i="6" s="1"/>
  <c r="L119" i="6"/>
  <c r="T120" i="6" s="1"/>
  <c r="L23" i="6"/>
  <c r="T24" i="6" s="1"/>
  <c r="L47" i="6"/>
  <c r="T48" i="6" s="1"/>
  <c r="L71" i="6"/>
  <c r="T72" i="6" s="1"/>
  <c r="L95" i="6"/>
  <c r="T96" i="6" s="1"/>
  <c r="L155" i="5"/>
  <c r="T156" i="5" s="1"/>
  <c r="L95" i="5"/>
  <c r="T96" i="5" s="1"/>
  <c r="L71" i="5"/>
  <c r="T72" i="5" s="1"/>
  <c r="L47" i="5"/>
  <c r="T48" i="5" s="1"/>
  <c r="T24" i="5"/>
  <c r="L119" i="5"/>
  <c r="T120" i="5" s="1"/>
  <c r="L143" i="5"/>
  <c r="T144" i="5" s="1"/>
  <c r="L107" i="5"/>
  <c r="T108" i="5" s="1"/>
  <c r="L83" i="5"/>
  <c r="T84" i="5" s="1"/>
  <c r="L59" i="5"/>
  <c r="T60" i="5" s="1"/>
  <c r="T36" i="5"/>
  <c r="L131" i="5"/>
  <c r="T132" i="5" s="1"/>
  <c r="Q121" i="6"/>
  <c r="Q25" i="8"/>
  <c r="U79" i="7"/>
  <c r="U31" i="7"/>
  <c r="Q61" i="6"/>
  <c r="Q37" i="8"/>
  <c r="Q133" i="8"/>
  <c r="Q121" i="8"/>
  <c r="Q133" i="6"/>
  <c r="U127" i="6"/>
  <c r="Q109" i="6"/>
  <c r="Q97" i="8"/>
  <c r="Q49" i="8"/>
  <c r="Q85" i="6"/>
  <c r="Q73" i="8"/>
  <c r="Q133" i="7"/>
  <c r="U130" i="7"/>
  <c r="Q109" i="7"/>
  <c r="Q13" i="6"/>
  <c r="Q61" i="7"/>
  <c r="Q13" i="7"/>
  <c r="U91" i="6"/>
  <c r="U19" i="8"/>
  <c r="U67" i="8"/>
  <c r="U115" i="8"/>
  <c r="U7" i="7"/>
  <c r="U55" i="7"/>
  <c r="U103" i="7"/>
  <c r="Q25" i="7"/>
  <c r="Q121" i="7"/>
  <c r="U7" i="6"/>
  <c r="U79" i="6"/>
  <c r="Q49" i="6"/>
  <c r="Q49" i="7"/>
  <c r="Q97" i="7"/>
  <c r="U115" i="6"/>
  <c r="U67" i="6"/>
  <c r="Q61" i="8"/>
  <c r="Q109" i="8"/>
  <c r="Q25" i="6"/>
  <c r="Q37" i="6"/>
  <c r="Q13" i="8"/>
  <c r="Q145" i="7"/>
  <c r="Q85" i="8"/>
  <c r="Q73" i="7"/>
  <c r="F13" i="12"/>
  <c r="F15" i="12" s="1"/>
  <c r="Y156" i="6" l="1"/>
  <c r="R156" i="6"/>
  <c r="W156" i="6" s="1"/>
  <c r="O156" i="6"/>
  <c r="N156" i="6"/>
  <c r="Z35" i="1" s="1"/>
  <c r="Y155" i="6"/>
  <c r="R155" i="6"/>
  <c r="W155" i="6" s="1"/>
  <c r="O155" i="6"/>
  <c r="N155" i="6"/>
  <c r="Y154" i="6"/>
  <c r="R154" i="6"/>
  <c r="W154" i="6" s="1"/>
  <c r="O154" i="6"/>
  <c r="N154" i="6"/>
  <c r="Z33" i="1" s="1"/>
  <c r="Y153" i="6"/>
  <c r="R153" i="6"/>
  <c r="W153" i="6" s="1"/>
  <c r="O153" i="6"/>
  <c r="N153" i="6"/>
  <c r="Y152" i="6"/>
  <c r="R152" i="6"/>
  <c r="W152" i="6" s="1"/>
  <c r="O152" i="6"/>
  <c r="N152" i="6"/>
  <c r="V152" i="6" s="1"/>
  <c r="Y151" i="6"/>
  <c r="R151" i="6"/>
  <c r="W151" i="6" s="1"/>
  <c r="O151" i="6"/>
  <c r="N151" i="6"/>
  <c r="Y150" i="6"/>
  <c r="R150" i="6"/>
  <c r="W150" i="6" s="1"/>
  <c r="O150" i="6"/>
  <c r="N150" i="6"/>
  <c r="Y156" i="8"/>
  <c r="R156" i="8"/>
  <c r="W156" i="8" s="1"/>
  <c r="O156" i="8"/>
  <c r="N156" i="8"/>
  <c r="V156" i="8" s="1"/>
  <c r="Y155" i="8"/>
  <c r="R155" i="8"/>
  <c r="W155" i="8" s="1"/>
  <c r="O155" i="8"/>
  <c r="N155" i="8"/>
  <c r="V155" i="8" s="1"/>
  <c r="Y154" i="8"/>
  <c r="R154" i="8"/>
  <c r="W154" i="8" s="1"/>
  <c r="O154" i="8"/>
  <c r="N154" i="8"/>
  <c r="Y153" i="8"/>
  <c r="R153" i="8"/>
  <c r="W153" i="8" s="1"/>
  <c r="O153" i="8"/>
  <c r="N153" i="8"/>
  <c r="V153" i="8" s="1"/>
  <c r="Y152" i="8"/>
  <c r="R152" i="8"/>
  <c r="W152" i="8" s="1"/>
  <c r="O152" i="8"/>
  <c r="N152" i="8"/>
  <c r="V152" i="8" s="1"/>
  <c r="Y151" i="8"/>
  <c r="R151" i="8"/>
  <c r="W151" i="8" s="1"/>
  <c r="O151" i="8"/>
  <c r="N151" i="8"/>
  <c r="Y150" i="8"/>
  <c r="R150" i="8"/>
  <c r="W150" i="8" s="1"/>
  <c r="O150" i="8"/>
  <c r="N150" i="8"/>
  <c r="Y156" i="5"/>
  <c r="R156" i="5"/>
  <c r="W156" i="5" s="1"/>
  <c r="O156" i="5"/>
  <c r="AA17" i="1" s="1"/>
  <c r="N156" i="5"/>
  <c r="V156" i="5" s="1"/>
  <c r="Y155" i="5"/>
  <c r="R155" i="5"/>
  <c r="W155" i="5" s="1"/>
  <c r="O155" i="5"/>
  <c r="AA16" i="1" s="1"/>
  <c r="N155" i="5"/>
  <c r="V155" i="5" s="1"/>
  <c r="Y154" i="5"/>
  <c r="R154" i="5"/>
  <c r="W154" i="5" s="1"/>
  <c r="N154" i="5"/>
  <c r="Z15" i="1" s="1"/>
  <c r="Y153" i="5"/>
  <c r="R153" i="5"/>
  <c r="W153" i="5" s="1"/>
  <c r="N153" i="5"/>
  <c r="Y152" i="5"/>
  <c r="R152" i="5"/>
  <c r="W152" i="5" s="1"/>
  <c r="N152" i="5"/>
  <c r="Z13" i="1" s="1"/>
  <c r="Y151" i="5"/>
  <c r="R151" i="5"/>
  <c r="W151" i="5" s="1"/>
  <c r="N151" i="5"/>
  <c r="V151" i="5" s="1"/>
  <c r="Y150" i="5"/>
  <c r="R150" i="5"/>
  <c r="W150" i="5" s="1"/>
  <c r="N150" i="5"/>
  <c r="V150" i="5" s="1"/>
  <c r="Y144" i="6"/>
  <c r="R144" i="6"/>
  <c r="W144" i="6" s="1"/>
  <c r="O144" i="6"/>
  <c r="N144" i="6"/>
  <c r="X35" i="1" s="1"/>
  <c r="Y143" i="6"/>
  <c r="R143" i="6"/>
  <c r="W143" i="6" s="1"/>
  <c r="O143" i="6"/>
  <c r="N143" i="6"/>
  <c r="Y142" i="6"/>
  <c r="R142" i="6"/>
  <c r="W142" i="6" s="1"/>
  <c r="O142" i="6"/>
  <c r="N142" i="6"/>
  <c r="X33" i="1" s="1"/>
  <c r="Y141" i="6"/>
  <c r="R141" i="6"/>
  <c r="W141" i="6" s="1"/>
  <c r="O141" i="6"/>
  <c r="N141" i="6"/>
  <c r="V141" i="6" s="1"/>
  <c r="Y140" i="6"/>
  <c r="R140" i="6"/>
  <c r="W140" i="6" s="1"/>
  <c r="O140" i="6"/>
  <c r="N140" i="6"/>
  <c r="V140" i="6" s="1"/>
  <c r="Y139" i="6"/>
  <c r="R139" i="6"/>
  <c r="W139" i="6" s="1"/>
  <c r="O139" i="6"/>
  <c r="N139" i="6"/>
  <c r="X30" i="1" s="1"/>
  <c r="Y138" i="6"/>
  <c r="R138" i="6"/>
  <c r="W138" i="6" s="1"/>
  <c r="O138" i="6"/>
  <c r="N138" i="6"/>
  <c r="Y144" i="8"/>
  <c r="R144" i="8"/>
  <c r="W144" i="8" s="1"/>
  <c r="O144" i="8"/>
  <c r="N144" i="8"/>
  <c r="V144" i="8" s="1"/>
  <c r="Y143" i="8"/>
  <c r="R143" i="8"/>
  <c r="W143" i="8" s="1"/>
  <c r="O143" i="8"/>
  <c r="N143" i="8"/>
  <c r="X70" i="1" s="1"/>
  <c r="Y142" i="8"/>
  <c r="R142" i="8"/>
  <c r="W142" i="8" s="1"/>
  <c r="O142" i="8"/>
  <c r="N142" i="8"/>
  <c r="Y141" i="8"/>
  <c r="R141" i="8"/>
  <c r="W141" i="8" s="1"/>
  <c r="O141" i="8"/>
  <c r="N141" i="8"/>
  <c r="X68" i="1" s="1"/>
  <c r="Y140" i="8"/>
  <c r="R140" i="8"/>
  <c r="W140" i="8" s="1"/>
  <c r="O140" i="8"/>
  <c r="N140" i="8"/>
  <c r="Y139" i="8"/>
  <c r="R139" i="8"/>
  <c r="W139" i="8" s="1"/>
  <c r="O139" i="8"/>
  <c r="N139" i="8"/>
  <c r="X66" i="1" s="1"/>
  <c r="Y138" i="8"/>
  <c r="R138" i="8"/>
  <c r="W138" i="8" s="1"/>
  <c r="O138" i="8"/>
  <c r="N138" i="8"/>
  <c r="X65" i="1" s="1"/>
  <c r="Y144" i="5"/>
  <c r="R144" i="5"/>
  <c r="W144" i="5" s="1"/>
  <c r="O144" i="5"/>
  <c r="Y17" i="1" s="1"/>
  <c r="N144" i="5"/>
  <c r="V144" i="5" s="1"/>
  <c r="Y143" i="5"/>
  <c r="R143" i="5"/>
  <c r="W143" i="5" s="1"/>
  <c r="O143" i="5"/>
  <c r="Y16" i="1" s="1"/>
  <c r="N143" i="5"/>
  <c r="V143" i="5" s="1"/>
  <c r="Y142" i="5"/>
  <c r="R142" i="5"/>
  <c r="W142" i="5" s="1"/>
  <c r="N142" i="5"/>
  <c r="V142" i="5" s="1"/>
  <c r="Y141" i="5"/>
  <c r="R141" i="5"/>
  <c r="W141" i="5" s="1"/>
  <c r="N141" i="5"/>
  <c r="X14" i="1" s="1"/>
  <c r="Y140" i="5"/>
  <c r="R140" i="5"/>
  <c r="W140" i="5" s="1"/>
  <c r="N140" i="5"/>
  <c r="X13" i="1" s="1"/>
  <c r="Y139" i="5"/>
  <c r="R139" i="5"/>
  <c r="W139" i="5" s="1"/>
  <c r="N139" i="5"/>
  <c r="Y138" i="5"/>
  <c r="R138" i="5"/>
  <c r="W138" i="5" s="1"/>
  <c r="N138" i="5"/>
  <c r="X11" i="1" s="1"/>
  <c r="Y132" i="6"/>
  <c r="R132" i="6"/>
  <c r="W132" i="6" s="1"/>
  <c r="O132" i="6"/>
  <c r="N132" i="6"/>
  <c r="V35" i="1" s="1"/>
  <c r="Y131" i="6"/>
  <c r="R131" i="6"/>
  <c r="W131" i="6" s="1"/>
  <c r="O131" i="6"/>
  <c r="N131" i="6"/>
  <c r="Y130" i="6"/>
  <c r="R130" i="6"/>
  <c r="W130" i="6" s="1"/>
  <c r="O130" i="6"/>
  <c r="N130" i="6"/>
  <c r="Y129" i="6"/>
  <c r="R129" i="6"/>
  <c r="W129" i="6" s="1"/>
  <c r="O129" i="6"/>
  <c r="N129" i="6"/>
  <c r="Y128" i="6"/>
  <c r="R128" i="6"/>
  <c r="W128" i="6" s="1"/>
  <c r="O128" i="6"/>
  <c r="N128" i="6"/>
  <c r="V128" i="6" s="1"/>
  <c r="Y127" i="6"/>
  <c r="R127" i="6"/>
  <c r="W127" i="6" s="1"/>
  <c r="O127" i="6"/>
  <c r="N127" i="6"/>
  <c r="Y126" i="6"/>
  <c r="R126" i="6"/>
  <c r="W126" i="6" s="1"/>
  <c r="O126" i="6"/>
  <c r="N126" i="6"/>
  <c r="V29" i="1" s="1"/>
  <c r="Y132" i="8"/>
  <c r="R132" i="8"/>
  <c r="W132" i="8" s="1"/>
  <c r="O132" i="8"/>
  <c r="N132" i="8"/>
  <c r="V132" i="8" s="1"/>
  <c r="Y131" i="8"/>
  <c r="R131" i="8"/>
  <c r="W131" i="8" s="1"/>
  <c r="O131" i="8"/>
  <c r="N131" i="8"/>
  <c r="V70" i="1" s="1"/>
  <c r="Y130" i="8"/>
  <c r="R130" i="8"/>
  <c r="W130" i="8" s="1"/>
  <c r="O130" i="8"/>
  <c r="N130" i="8"/>
  <c r="V69" i="1" s="1"/>
  <c r="Y129" i="8"/>
  <c r="R129" i="8"/>
  <c r="W129" i="8" s="1"/>
  <c r="O129" i="8"/>
  <c r="N129" i="8"/>
  <c r="Y128" i="8"/>
  <c r="R128" i="8"/>
  <c r="W128" i="8" s="1"/>
  <c r="O128" i="8"/>
  <c r="N128" i="8"/>
  <c r="V128" i="8" s="1"/>
  <c r="Y127" i="8"/>
  <c r="R127" i="8"/>
  <c r="W127" i="8" s="1"/>
  <c r="O127" i="8"/>
  <c r="N127" i="8"/>
  <c r="V66" i="1" s="1"/>
  <c r="Y126" i="8"/>
  <c r="R126" i="8"/>
  <c r="W126" i="8" s="1"/>
  <c r="O126" i="8"/>
  <c r="N126" i="8"/>
  <c r="Y132" i="5"/>
  <c r="R132" i="5"/>
  <c r="W132" i="5" s="1"/>
  <c r="O132" i="5"/>
  <c r="W17" i="1" s="1"/>
  <c r="N132" i="5"/>
  <c r="V132" i="5" s="1"/>
  <c r="Y131" i="5"/>
  <c r="R131" i="5"/>
  <c r="W131" i="5" s="1"/>
  <c r="O131" i="5"/>
  <c r="W16" i="1" s="1"/>
  <c r="N131" i="5"/>
  <c r="V131" i="5" s="1"/>
  <c r="Y130" i="5"/>
  <c r="R130" i="5"/>
  <c r="W130" i="5" s="1"/>
  <c r="N130" i="5"/>
  <c r="V15" i="1" s="1"/>
  <c r="Y129" i="5"/>
  <c r="R129" i="5"/>
  <c r="W129" i="5" s="1"/>
  <c r="N129" i="5"/>
  <c r="Y128" i="5"/>
  <c r="R128" i="5"/>
  <c r="W128" i="5" s="1"/>
  <c r="N128" i="5"/>
  <c r="V128" i="5" s="1"/>
  <c r="Y127" i="5"/>
  <c r="R127" i="5"/>
  <c r="W127" i="5" s="1"/>
  <c r="N127" i="5"/>
  <c r="V127" i="5" s="1"/>
  <c r="Y126" i="5"/>
  <c r="R126" i="5"/>
  <c r="W126" i="5" s="1"/>
  <c r="N126" i="5"/>
  <c r="V126" i="5" s="1"/>
  <c r="Y120" i="6"/>
  <c r="R120" i="6"/>
  <c r="W120" i="6" s="1"/>
  <c r="O120" i="6"/>
  <c r="N120" i="6"/>
  <c r="T35" i="1" s="1"/>
  <c r="Y119" i="6"/>
  <c r="R119" i="6"/>
  <c r="W119" i="6" s="1"/>
  <c r="O119" i="6"/>
  <c r="N119" i="6"/>
  <c r="Y118" i="6"/>
  <c r="R118" i="6"/>
  <c r="W118" i="6" s="1"/>
  <c r="O118" i="6"/>
  <c r="N118" i="6"/>
  <c r="T33" i="1" s="1"/>
  <c r="Y117" i="6"/>
  <c r="R117" i="6"/>
  <c r="W117" i="6" s="1"/>
  <c r="O117" i="6"/>
  <c r="N117" i="6"/>
  <c r="Y116" i="6"/>
  <c r="R116" i="6"/>
  <c r="W116" i="6" s="1"/>
  <c r="O116" i="6"/>
  <c r="N116" i="6"/>
  <c r="T31" i="1" s="1"/>
  <c r="Y115" i="6"/>
  <c r="R115" i="6"/>
  <c r="W115" i="6" s="1"/>
  <c r="O115" i="6"/>
  <c r="N115" i="6"/>
  <c r="Y114" i="6"/>
  <c r="R114" i="6"/>
  <c r="W114" i="6" s="1"/>
  <c r="O114" i="6"/>
  <c r="N114" i="6"/>
  <c r="T29" i="1" s="1"/>
  <c r="Y120" i="8"/>
  <c r="R120" i="8"/>
  <c r="W120" i="8" s="1"/>
  <c r="O120" i="8"/>
  <c r="N120" i="8"/>
  <c r="V120" i="8" s="1"/>
  <c r="Y119" i="8"/>
  <c r="R119" i="8"/>
  <c r="W119" i="8" s="1"/>
  <c r="O119" i="8"/>
  <c r="N119" i="8"/>
  <c r="Y118" i="8"/>
  <c r="R118" i="8"/>
  <c r="W118" i="8" s="1"/>
  <c r="O118" i="8"/>
  <c r="N118" i="8"/>
  <c r="Y117" i="8"/>
  <c r="R117" i="8"/>
  <c r="W117" i="8" s="1"/>
  <c r="O117" i="8"/>
  <c r="N117" i="8"/>
  <c r="Y116" i="8"/>
  <c r="R116" i="8"/>
  <c r="W116" i="8" s="1"/>
  <c r="O116" i="8"/>
  <c r="N116" i="8"/>
  <c r="Y115" i="8"/>
  <c r="R115" i="8"/>
  <c r="W115" i="8" s="1"/>
  <c r="O115" i="8"/>
  <c r="N115" i="8"/>
  <c r="V115" i="8" s="1"/>
  <c r="Y114" i="8"/>
  <c r="R114" i="8"/>
  <c r="W114" i="8" s="1"/>
  <c r="O114" i="8"/>
  <c r="N114" i="8"/>
  <c r="T65" i="1" s="1"/>
  <c r="Y120" i="5"/>
  <c r="R120" i="5"/>
  <c r="W120" i="5" s="1"/>
  <c r="O120" i="5"/>
  <c r="U17" i="1" s="1"/>
  <c r="N120" i="5"/>
  <c r="V120" i="5" s="1"/>
  <c r="Y119" i="5"/>
  <c r="R119" i="5"/>
  <c r="W119" i="5" s="1"/>
  <c r="O119" i="5"/>
  <c r="U16" i="1" s="1"/>
  <c r="N119" i="5"/>
  <c r="V119" i="5" s="1"/>
  <c r="Y118" i="5"/>
  <c r="R118" i="5"/>
  <c r="W118" i="5" s="1"/>
  <c r="N118" i="5"/>
  <c r="T15" i="1" s="1"/>
  <c r="Y117" i="5"/>
  <c r="R117" i="5"/>
  <c r="W117" i="5" s="1"/>
  <c r="N117" i="5"/>
  <c r="Y116" i="5"/>
  <c r="R116" i="5"/>
  <c r="W116" i="5" s="1"/>
  <c r="N116" i="5"/>
  <c r="V116" i="5" s="1"/>
  <c r="Y115" i="5"/>
  <c r="R115" i="5"/>
  <c r="W115" i="5" s="1"/>
  <c r="N115" i="5"/>
  <c r="V115" i="5" s="1"/>
  <c r="Y114" i="5"/>
  <c r="R114" i="5"/>
  <c r="W114" i="5" s="1"/>
  <c r="N114" i="5"/>
  <c r="V114" i="5" s="1"/>
  <c r="Y108" i="6"/>
  <c r="R108" i="6"/>
  <c r="W108" i="6" s="1"/>
  <c r="O108" i="6"/>
  <c r="N108" i="6"/>
  <c r="V108" i="6" s="1"/>
  <c r="Y107" i="6"/>
  <c r="R107" i="6"/>
  <c r="W107" i="6" s="1"/>
  <c r="O107" i="6"/>
  <c r="N107" i="6"/>
  <c r="Y106" i="6"/>
  <c r="R106" i="6"/>
  <c r="W106" i="6" s="1"/>
  <c r="O106" i="6"/>
  <c r="N106" i="6"/>
  <c r="V106" i="6" s="1"/>
  <c r="Y105" i="6"/>
  <c r="R105" i="6"/>
  <c r="W105" i="6" s="1"/>
  <c r="O105" i="6"/>
  <c r="N105" i="6"/>
  <c r="V105" i="6" s="1"/>
  <c r="Y104" i="6"/>
  <c r="R104" i="6"/>
  <c r="W104" i="6" s="1"/>
  <c r="O104" i="6"/>
  <c r="N104" i="6"/>
  <c r="R31" i="1" s="1"/>
  <c r="Y103" i="6"/>
  <c r="R103" i="6"/>
  <c r="W103" i="6" s="1"/>
  <c r="O103" i="6"/>
  <c r="N103" i="6"/>
  <c r="Y102" i="6"/>
  <c r="R102" i="6"/>
  <c r="W102" i="6" s="1"/>
  <c r="O102" i="6"/>
  <c r="N102" i="6"/>
  <c r="V102" i="6" s="1"/>
  <c r="Y108" i="8"/>
  <c r="R108" i="8"/>
  <c r="W108" i="8" s="1"/>
  <c r="O108" i="8"/>
  <c r="N108" i="8"/>
  <c r="V108" i="8" s="1"/>
  <c r="Y107" i="8"/>
  <c r="R107" i="8"/>
  <c r="W107" i="8" s="1"/>
  <c r="O107" i="8"/>
  <c r="N107" i="8"/>
  <c r="R70" i="1" s="1"/>
  <c r="Y106" i="8"/>
  <c r="R106" i="8"/>
  <c r="W106" i="8" s="1"/>
  <c r="O106" i="8"/>
  <c r="N106" i="8"/>
  <c r="Y105" i="8"/>
  <c r="R105" i="8"/>
  <c r="W105" i="8" s="1"/>
  <c r="O105" i="8"/>
  <c r="N105" i="8"/>
  <c r="Y104" i="8"/>
  <c r="R104" i="8"/>
  <c r="W104" i="8" s="1"/>
  <c r="O104" i="8"/>
  <c r="N104" i="8"/>
  <c r="V104" i="8" s="1"/>
  <c r="Y103" i="8"/>
  <c r="R103" i="8"/>
  <c r="W103" i="8" s="1"/>
  <c r="O103" i="8"/>
  <c r="N103" i="8"/>
  <c r="V103" i="8" s="1"/>
  <c r="Y102" i="8"/>
  <c r="R102" i="8"/>
  <c r="W102" i="8" s="1"/>
  <c r="O102" i="8"/>
  <c r="N102" i="8"/>
  <c r="Y108" i="5"/>
  <c r="R108" i="5"/>
  <c r="W108" i="5" s="1"/>
  <c r="O108" i="5"/>
  <c r="S17" i="1" s="1"/>
  <c r="N108" i="5"/>
  <c r="V108" i="5" s="1"/>
  <c r="Y107" i="5"/>
  <c r="R107" i="5"/>
  <c r="W107" i="5" s="1"/>
  <c r="O107" i="5"/>
  <c r="S16" i="1" s="1"/>
  <c r="N107" i="5"/>
  <c r="V107" i="5" s="1"/>
  <c r="Y106" i="5"/>
  <c r="R106" i="5"/>
  <c r="W106" i="5" s="1"/>
  <c r="N106" i="5"/>
  <c r="V106" i="5" s="1"/>
  <c r="Y105" i="5"/>
  <c r="R105" i="5"/>
  <c r="W105" i="5" s="1"/>
  <c r="N105" i="5"/>
  <c r="V105" i="5" s="1"/>
  <c r="Y104" i="5"/>
  <c r="R104" i="5"/>
  <c r="W104" i="5" s="1"/>
  <c r="N104" i="5"/>
  <c r="V104" i="5" s="1"/>
  <c r="Y103" i="5"/>
  <c r="R103" i="5"/>
  <c r="W103" i="5" s="1"/>
  <c r="N103" i="5"/>
  <c r="V103" i="5" s="1"/>
  <c r="Y102" i="5"/>
  <c r="R102" i="5"/>
  <c r="W102" i="5" s="1"/>
  <c r="N102" i="5"/>
  <c r="R11" i="1" s="1"/>
  <c r="Y96" i="6"/>
  <c r="R96" i="6"/>
  <c r="W96" i="6" s="1"/>
  <c r="O96" i="6"/>
  <c r="N96" i="6"/>
  <c r="P35" i="1" s="1"/>
  <c r="Y95" i="6"/>
  <c r="R95" i="6"/>
  <c r="W95" i="6" s="1"/>
  <c r="O95" i="6"/>
  <c r="N95" i="6"/>
  <c r="Y94" i="6"/>
  <c r="R94" i="6"/>
  <c r="W94" i="6" s="1"/>
  <c r="O94" i="6"/>
  <c r="N94" i="6"/>
  <c r="P33" i="1" s="1"/>
  <c r="Y93" i="6"/>
  <c r="R93" i="6"/>
  <c r="W93" i="6" s="1"/>
  <c r="O93" i="6"/>
  <c r="N93" i="6"/>
  <c r="Y92" i="6"/>
  <c r="R92" i="6"/>
  <c r="W92" i="6" s="1"/>
  <c r="O92" i="6"/>
  <c r="N92" i="6"/>
  <c r="V92" i="6" s="1"/>
  <c r="Y91" i="6"/>
  <c r="R91" i="6"/>
  <c r="W91" i="6" s="1"/>
  <c r="O91" i="6"/>
  <c r="N91" i="6"/>
  <c r="Y90" i="6"/>
  <c r="R90" i="6"/>
  <c r="W90" i="6" s="1"/>
  <c r="O90" i="6"/>
  <c r="N90" i="6"/>
  <c r="Y96" i="8"/>
  <c r="R96" i="8"/>
  <c r="W96" i="8" s="1"/>
  <c r="O96" i="8"/>
  <c r="N96" i="8"/>
  <c r="V96" i="8" s="1"/>
  <c r="Y95" i="8"/>
  <c r="R95" i="8"/>
  <c r="W95" i="8" s="1"/>
  <c r="O95" i="8"/>
  <c r="N95" i="8"/>
  <c r="P70" i="1" s="1"/>
  <c r="Y94" i="8"/>
  <c r="R94" i="8"/>
  <c r="W94" i="8" s="1"/>
  <c r="O94" i="8"/>
  <c r="N94" i="8"/>
  <c r="Y93" i="8"/>
  <c r="R93" i="8"/>
  <c r="W93" i="8" s="1"/>
  <c r="O93" i="8"/>
  <c r="N93" i="8"/>
  <c r="P68" i="1" s="1"/>
  <c r="Y92" i="8"/>
  <c r="R92" i="8"/>
  <c r="W92" i="8" s="1"/>
  <c r="O92" i="8"/>
  <c r="N92" i="8"/>
  <c r="Y91" i="8"/>
  <c r="R91" i="8"/>
  <c r="W91" i="8" s="1"/>
  <c r="O91" i="8"/>
  <c r="N91" i="8"/>
  <c r="P66" i="1" s="1"/>
  <c r="Y90" i="8"/>
  <c r="R90" i="8"/>
  <c r="W90" i="8" s="1"/>
  <c r="O90" i="8"/>
  <c r="N90" i="8"/>
  <c r="P65" i="1" s="1"/>
  <c r="Y96" i="5"/>
  <c r="R96" i="5"/>
  <c r="W96" i="5" s="1"/>
  <c r="O96" i="5"/>
  <c r="Q17" i="1" s="1"/>
  <c r="N96" i="5"/>
  <c r="V96" i="5" s="1"/>
  <c r="Y95" i="5"/>
  <c r="R95" i="5"/>
  <c r="W95" i="5" s="1"/>
  <c r="O95" i="5"/>
  <c r="Q16" i="1" s="1"/>
  <c r="N95" i="5"/>
  <c r="V95" i="5" s="1"/>
  <c r="Y94" i="5"/>
  <c r="R94" i="5"/>
  <c r="W94" i="5" s="1"/>
  <c r="N94" i="5"/>
  <c r="V94" i="5" s="1"/>
  <c r="Y93" i="5"/>
  <c r="R93" i="5"/>
  <c r="W93" i="5" s="1"/>
  <c r="N93" i="5"/>
  <c r="P14" i="1" s="1"/>
  <c r="Y92" i="5"/>
  <c r="R92" i="5"/>
  <c r="W92" i="5" s="1"/>
  <c r="N92" i="5"/>
  <c r="P13" i="1" s="1"/>
  <c r="Y91" i="5"/>
  <c r="R91" i="5"/>
  <c r="W91" i="5" s="1"/>
  <c r="N91" i="5"/>
  <c r="V91" i="5" s="1"/>
  <c r="Y90" i="5"/>
  <c r="R90" i="5"/>
  <c r="W90" i="5" s="1"/>
  <c r="N90" i="5"/>
  <c r="P11" i="1" s="1"/>
  <c r="Y84" i="6"/>
  <c r="R84" i="6"/>
  <c r="W84" i="6" s="1"/>
  <c r="O84" i="6"/>
  <c r="N84" i="6"/>
  <c r="V84" i="6" s="1"/>
  <c r="Y83" i="6"/>
  <c r="R83" i="6"/>
  <c r="W83" i="6" s="1"/>
  <c r="O83" i="6"/>
  <c r="N83" i="6"/>
  <c r="Y82" i="6"/>
  <c r="R82" i="6"/>
  <c r="W82" i="6" s="1"/>
  <c r="O82" i="6"/>
  <c r="N82" i="6"/>
  <c r="V82" i="6" s="1"/>
  <c r="Y81" i="6"/>
  <c r="R81" i="6"/>
  <c r="W81" i="6" s="1"/>
  <c r="O81" i="6"/>
  <c r="N81" i="6"/>
  <c r="Y80" i="6"/>
  <c r="R80" i="6"/>
  <c r="W80" i="6" s="1"/>
  <c r="O80" i="6"/>
  <c r="N80" i="6"/>
  <c r="V80" i="6" s="1"/>
  <c r="Y79" i="6"/>
  <c r="R79" i="6"/>
  <c r="W79" i="6" s="1"/>
  <c r="O79" i="6"/>
  <c r="N79" i="6"/>
  <c r="N30" i="1" s="1"/>
  <c r="Y78" i="6"/>
  <c r="R78" i="6"/>
  <c r="W78" i="6" s="1"/>
  <c r="O78" i="6"/>
  <c r="N78" i="6"/>
  <c r="V78" i="6" s="1"/>
  <c r="Y84" i="8"/>
  <c r="R84" i="8"/>
  <c r="W84" i="8" s="1"/>
  <c r="O84" i="8"/>
  <c r="N84" i="8"/>
  <c r="V84" i="8" s="1"/>
  <c r="Y83" i="8"/>
  <c r="R83" i="8"/>
  <c r="W83" i="8" s="1"/>
  <c r="O83" i="8"/>
  <c r="N83" i="8"/>
  <c r="Y82" i="8"/>
  <c r="R82" i="8"/>
  <c r="W82" i="8" s="1"/>
  <c r="O82" i="8"/>
  <c r="N82" i="8"/>
  <c r="Y81" i="8"/>
  <c r="R81" i="8"/>
  <c r="W81" i="8" s="1"/>
  <c r="O81" i="8"/>
  <c r="N81" i="8"/>
  <c r="Y80" i="8"/>
  <c r="R80" i="8"/>
  <c r="W80" i="8" s="1"/>
  <c r="O80" i="8"/>
  <c r="N80" i="8"/>
  <c r="Y79" i="8"/>
  <c r="R79" i="8"/>
  <c r="W79" i="8" s="1"/>
  <c r="O79" i="8"/>
  <c r="N79" i="8"/>
  <c r="Y78" i="8"/>
  <c r="R78" i="8"/>
  <c r="W78" i="8" s="1"/>
  <c r="O78" i="8"/>
  <c r="N78" i="8"/>
  <c r="Y84" i="5"/>
  <c r="R84" i="5"/>
  <c r="W84" i="5" s="1"/>
  <c r="O84" i="5"/>
  <c r="O17" i="1" s="1"/>
  <c r="N84" i="5"/>
  <c r="V84" i="5" s="1"/>
  <c r="Y83" i="5"/>
  <c r="R83" i="5"/>
  <c r="W83" i="5" s="1"/>
  <c r="O83" i="5"/>
  <c r="O16" i="1" s="1"/>
  <c r="N83" i="5"/>
  <c r="V83" i="5" s="1"/>
  <c r="Y82" i="5"/>
  <c r="R82" i="5"/>
  <c r="W82" i="5" s="1"/>
  <c r="N82" i="5"/>
  <c r="Y81" i="5"/>
  <c r="R81" i="5"/>
  <c r="W81" i="5" s="1"/>
  <c r="N81" i="5"/>
  <c r="Y80" i="5"/>
  <c r="R80" i="5"/>
  <c r="W80" i="5" s="1"/>
  <c r="N80" i="5"/>
  <c r="V80" i="5" s="1"/>
  <c r="Y79" i="5"/>
  <c r="R79" i="5"/>
  <c r="W79" i="5" s="1"/>
  <c r="N79" i="5"/>
  <c r="V79" i="5" s="1"/>
  <c r="Y78" i="5"/>
  <c r="R78" i="5"/>
  <c r="W78" i="5" s="1"/>
  <c r="N78" i="5"/>
  <c r="V78" i="5" s="1"/>
  <c r="Y72" i="6"/>
  <c r="R72" i="6"/>
  <c r="W72" i="6" s="1"/>
  <c r="O72" i="6"/>
  <c r="N72" i="6"/>
  <c r="V72" i="6" s="1"/>
  <c r="Y71" i="6"/>
  <c r="R71" i="6"/>
  <c r="W71" i="6" s="1"/>
  <c r="O71" i="6"/>
  <c r="N71" i="6"/>
  <c r="Y70" i="6"/>
  <c r="R70" i="6"/>
  <c r="W70" i="6" s="1"/>
  <c r="O70" i="6"/>
  <c r="N70" i="6"/>
  <c r="L33" i="1" s="1"/>
  <c r="Y69" i="6"/>
  <c r="R69" i="6"/>
  <c r="W69" i="6" s="1"/>
  <c r="O69" i="6"/>
  <c r="N69" i="6"/>
  <c r="Y68" i="6"/>
  <c r="R68" i="6"/>
  <c r="W68" i="6" s="1"/>
  <c r="O68" i="6"/>
  <c r="N68" i="6"/>
  <c r="V68" i="6" s="1"/>
  <c r="Y67" i="6"/>
  <c r="R67" i="6"/>
  <c r="W67" i="6" s="1"/>
  <c r="O67" i="6"/>
  <c r="N67" i="6"/>
  <c r="Y66" i="6"/>
  <c r="R66" i="6"/>
  <c r="W66" i="6" s="1"/>
  <c r="O66" i="6"/>
  <c r="N66" i="6"/>
  <c r="L29" i="1" s="1"/>
  <c r="Y72" i="8"/>
  <c r="R72" i="8"/>
  <c r="W72" i="8" s="1"/>
  <c r="O72" i="8"/>
  <c r="N72" i="8"/>
  <c r="V72" i="8" s="1"/>
  <c r="Y71" i="8"/>
  <c r="R71" i="8"/>
  <c r="W71" i="8" s="1"/>
  <c r="O71" i="8"/>
  <c r="N71" i="8"/>
  <c r="V71" i="8" s="1"/>
  <c r="Y70" i="8"/>
  <c r="R70" i="8"/>
  <c r="W70" i="8" s="1"/>
  <c r="O70" i="8"/>
  <c r="N70" i="8"/>
  <c r="Y69" i="8"/>
  <c r="R69" i="8"/>
  <c r="W69" i="8" s="1"/>
  <c r="O69" i="8"/>
  <c r="N69" i="8"/>
  <c r="L68" i="1" s="1"/>
  <c r="Y68" i="8"/>
  <c r="R68" i="8"/>
  <c r="W68" i="8" s="1"/>
  <c r="O68" i="8"/>
  <c r="N68" i="8"/>
  <c r="Y67" i="8"/>
  <c r="R67" i="8"/>
  <c r="W67" i="8" s="1"/>
  <c r="O67" i="8"/>
  <c r="N67" i="8"/>
  <c r="L66" i="1" s="1"/>
  <c r="Y66" i="8"/>
  <c r="R66" i="8"/>
  <c r="W66" i="8" s="1"/>
  <c r="O66" i="8"/>
  <c r="N66" i="8"/>
  <c r="Y72" i="5"/>
  <c r="R72" i="5"/>
  <c r="W72" i="5" s="1"/>
  <c r="O72" i="5"/>
  <c r="M17" i="1" s="1"/>
  <c r="N72" i="5"/>
  <c r="V72" i="5" s="1"/>
  <c r="Y71" i="5"/>
  <c r="R71" i="5"/>
  <c r="W71" i="5" s="1"/>
  <c r="O71" i="5"/>
  <c r="M16" i="1" s="1"/>
  <c r="N71" i="5"/>
  <c r="V71" i="5" s="1"/>
  <c r="Y70" i="5"/>
  <c r="R70" i="5"/>
  <c r="W70" i="5" s="1"/>
  <c r="N70" i="5"/>
  <c r="L15" i="1" s="1"/>
  <c r="Y69" i="5"/>
  <c r="R69" i="5"/>
  <c r="W69" i="5" s="1"/>
  <c r="N69" i="5"/>
  <c r="Y68" i="5"/>
  <c r="R68" i="5"/>
  <c r="W68" i="5" s="1"/>
  <c r="N68" i="5"/>
  <c r="L13" i="1" s="1"/>
  <c r="Y67" i="5"/>
  <c r="R67" i="5"/>
  <c r="W67" i="5" s="1"/>
  <c r="N67" i="5"/>
  <c r="V67" i="5" s="1"/>
  <c r="Y66" i="5"/>
  <c r="R66" i="5"/>
  <c r="W66" i="5" s="1"/>
  <c r="N66" i="5"/>
  <c r="V66" i="5" s="1"/>
  <c r="Y60" i="6"/>
  <c r="R60" i="6"/>
  <c r="W60" i="6" s="1"/>
  <c r="O60" i="6"/>
  <c r="N60" i="6"/>
  <c r="J35" i="1" s="1"/>
  <c r="Y59" i="6"/>
  <c r="R59" i="6"/>
  <c r="W59" i="6" s="1"/>
  <c r="O59" i="6"/>
  <c r="N59" i="6"/>
  <c r="Y58" i="6"/>
  <c r="R58" i="6"/>
  <c r="W58" i="6" s="1"/>
  <c r="O58" i="6"/>
  <c r="N58" i="6"/>
  <c r="J33" i="1" s="1"/>
  <c r="Y57" i="6"/>
  <c r="R57" i="6"/>
  <c r="W57" i="6" s="1"/>
  <c r="O57" i="6"/>
  <c r="N57" i="6"/>
  <c r="Y56" i="6"/>
  <c r="R56" i="6"/>
  <c r="W56" i="6" s="1"/>
  <c r="O56" i="6"/>
  <c r="N56" i="6"/>
  <c r="V56" i="6" s="1"/>
  <c r="Y55" i="6"/>
  <c r="R55" i="6"/>
  <c r="W55" i="6" s="1"/>
  <c r="O55" i="6"/>
  <c r="N55" i="6"/>
  <c r="Y54" i="6"/>
  <c r="R54" i="6"/>
  <c r="W54" i="6" s="1"/>
  <c r="O54" i="6"/>
  <c r="N54" i="6"/>
  <c r="J29" i="1" s="1"/>
  <c r="Y60" i="8"/>
  <c r="R60" i="8"/>
  <c r="W60" i="8" s="1"/>
  <c r="O60" i="8"/>
  <c r="N60" i="8"/>
  <c r="V60" i="8" s="1"/>
  <c r="Y59" i="8"/>
  <c r="R59" i="8"/>
  <c r="W59" i="8" s="1"/>
  <c r="O59" i="8"/>
  <c r="N59" i="8"/>
  <c r="J70" i="1" s="1"/>
  <c r="Y58" i="8"/>
  <c r="R58" i="8"/>
  <c r="W58" i="8" s="1"/>
  <c r="O58" i="8"/>
  <c r="N58" i="8"/>
  <c r="Y57" i="8"/>
  <c r="R57" i="8"/>
  <c r="W57" i="8" s="1"/>
  <c r="O57" i="8"/>
  <c r="N57" i="8"/>
  <c r="V57" i="8" s="1"/>
  <c r="Y56" i="8"/>
  <c r="R56" i="8"/>
  <c r="W56" i="8" s="1"/>
  <c r="O56" i="8"/>
  <c r="N56" i="8"/>
  <c r="Y55" i="8"/>
  <c r="R55" i="8"/>
  <c r="W55" i="8" s="1"/>
  <c r="O55" i="8"/>
  <c r="N55" i="8"/>
  <c r="J66" i="1" s="1"/>
  <c r="Y54" i="8"/>
  <c r="R54" i="8"/>
  <c r="W54" i="8" s="1"/>
  <c r="O54" i="8"/>
  <c r="N54" i="8"/>
  <c r="Y60" i="5"/>
  <c r="R60" i="5"/>
  <c r="W60" i="5" s="1"/>
  <c r="O60" i="5"/>
  <c r="K17" i="1" s="1"/>
  <c r="N60" i="5"/>
  <c r="V60" i="5" s="1"/>
  <c r="Y59" i="5"/>
  <c r="R59" i="5"/>
  <c r="W59" i="5" s="1"/>
  <c r="O59" i="5"/>
  <c r="K16" i="1" s="1"/>
  <c r="N59" i="5"/>
  <c r="V59" i="5" s="1"/>
  <c r="Y58" i="5"/>
  <c r="R58" i="5"/>
  <c r="W58" i="5" s="1"/>
  <c r="N58" i="5"/>
  <c r="J15" i="1" s="1"/>
  <c r="Y57" i="5"/>
  <c r="R57" i="5"/>
  <c r="W57" i="5" s="1"/>
  <c r="N57" i="5"/>
  <c r="Y56" i="5"/>
  <c r="R56" i="5"/>
  <c r="W56" i="5" s="1"/>
  <c r="N56" i="5"/>
  <c r="J13" i="1" s="1"/>
  <c r="Y55" i="5"/>
  <c r="R55" i="5"/>
  <c r="W55" i="5" s="1"/>
  <c r="N55" i="5"/>
  <c r="V55" i="5" s="1"/>
  <c r="Y54" i="5"/>
  <c r="R54" i="5"/>
  <c r="W54" i="5" s="1"/>
  <c r="N54" i="5"/>
  <c r="V54" i="5" s="1"/>
  <c r="Y48" i="6"/>
  <c r="R48" i="6"/>
  <c r="W48" i="6" s="1"/>
  <c r="O48" i="6"/>
  <c r="N48" i="6"/>
  <c r="H35" i="1" s="1"/>
  <c r="Y47" i="6"/>
  <c r="R47" i="6"/>
  <c r="W47" i="6" s="1"/>
  <c r="O47" i="6"/>
  <c r="N47" i="6"/>
  <c r="Y46" i="6"/>
  <c r="R46" i="6"/>
  <c r="W46" i="6" s="1"/>
  <c r="O46" i="6"/>
  <c r="N46" i="6"/>
  <c r="V46" i="6" s="1"/>
  <c r="Y45" i="6"/>
  <c r="R45" i="6"/>
  <c r="W45" i="6" s="1"/>
  <c r="O45" i="6"/>
  <c r="N45" i="6"/>
  <c r="Y44" i="6"/>
  <c r="R44" i="6"/>
  <c r="W44" i="6" s="1"/>
  <c r="O44" i="6"/>
  <c r="N44" i="6"/>
  <c r="Y43" i="6"/>
  <c r="R43" i="6"/>
  <c r="W43" i="6" s="1"/>
  <c r="O43" i="6"/>
  <c r="N43" i="6"/>
  <c r="Y42" i="6"/>
  <c r="R42" i="6"/>
  <c r="W42" i="6" s="1"/>
  <c r="O42" i="6"/>
  <c r="N42" i="6"/>
  <c r="Y48" i="8"/>
  <c r="R48" i="8"/>
  <c r="W48" i="8" s="1"/>
  <c r="O48" i="8"/>
  <c r="N48" i="8"/>
  <c r="V48" i="8" s="1"/>
  <c r="Y47" i="8"/>
  <c r="R47" i="8"/>
  <c r="W47" i="8" s="1"/>
  <c r="O47" i="8"/>
  <c r="N47" i="8"/>
  <c r="Y46" i="8"/>
  <c r="R46" i="8"/>
  <c r="W46" i="8" s="1"/>
  <c r="O46" i="8"/>
  <c r="N46" i="8"/>
  <c r="Y45" i="8"/>
  <c r="R45" i="8"/>
  <c r="W45" i="8" s="1"/>
  <c r="O45" i="8"/>
  <c r="N45" i="8"/>
  <c r="V45" i="8" s="1"/>
  <c r="Y44" i="8"/>
  <c r="R44" i="8"/>
  <c r="W44" i="8" s="1"/>
  <c r="O44" i="8"/>
  <c r="N44" i="8"/>
  <c r="Y43" i="8"/>
  <c r="R43" i="8"/>
  <c r="W43" i="8" s="1"/>
  <c r="O43" i="8"/>
  <c r="N43" i="8"/>
  <c r="Y42" i="8"/>
  <c r="R42" i="8"/>
  <c r="W42" i="8" s="1"/>
  <c r="O42" i="8"/>
  <c r="N42" i="8"/>
  <c r="Y48" i="5"/>
  <c r="R48" i="5"/>
  <c r="W48" i="5" s="1"/>
  <c r="O48" i="5"/>
  <c r="I17" i="1" s="1"/>
  <c r="N48" i="5"/>
  <c r="V48" i="5" s="1"/>
  <c r="Y47" i="5"/>
  <c r="R47" i="5"/>
  <c r="W47" i="5" s="1"/>
  <c r="O47" i="5"/>
  <c r="I16" i="1" s="1"/>
  <c r="N47" i="5"/>
  <c r="V47" i="5" s="1"/>
  <c r="Y46" i="5"/>
  <c r="R46" i="5"/>
  <c r="W46" i="5" s="1"/>
  <c r="N46" i="5"/>
  <c r="H15" i="1" s="1"/>
  <c r="Y45" i="5"/>
  <c r="R45" i="5"/>
  <c r="W45" i="5" s="1"/>
  <c r="N45" i="5"/>
  <c r="Y44" i="5"/>
  <c r="R44" i="5"/>
  <c r="W44" i="5" s="1"/>
  <c r="N44" i="5"/>
  <c r="Y43" i="5"/>
  <c r="R43" i="5"/>
  <c r="W43" i="5" s="1"/>
  <c r="N43" i="5"/>
  <c r="V43" i="5" s="1"/>
  <c r="Y42" i="5"/>
  <c r="R42" i="5"/>
  <c r="W42" i="5" s="1"/>
  <c r="N42" i="5"/>
  <c r="H11" i="1" s="1"/>
  <c r="Y36" i="6"/>
  <c r="R36" i="6"/>
  <c r="W36" i="6" s="1"/>
  <c r="O36" i="6"/>
  <c r="N36" i="6"/>
  <c r="F35" i="1" s="1"/>
  <c r="Y35" i="6"/>
  <c r="R35" i="6"/>
  <c r="W35" i="6" s="1"/>
  <c r="O35" i="6"/>
  <c r="N35" i="6"/>
  <c r="V35" i="6" s="1"/>
  <c r="Y34" i="6"/>
  <c r="R34" i="6"/>
  <c r="W34" i="6" s="1"/>
  <c r="O34" i="6"/>
  <c r="N34" i="6"/>
  <c r="F33" i="1" s="1"/>
  <c r="Y33" i="6"/>
  <c r="R33" i="6"/>
  <c r="W33" i="6" s="1"/>
  <c r="O33" i="6"/>
  <c r="N33" i="6"/>
  <c r="Y32" i="6"/>
  <c r="R32" i="6"/>
  <c r="W32" i="6" s="1"/>
  <c r="O32" i="6"/>
  <c r="N32" i="6"/>
  <c r="V32" i="6" s="1"/>
  <c r="Y31" i="6"/>
  <c r="R31" i="6"/>
  <c r="W31" i="6" s="1"/>
  <c r="O31" i="6"/>
  <c r="N31" i="6"/>
  <c r="V31" i="6" s="1"/>
  <c r="Y30" i="6"/>
  <c r="R30" i="6"/>
  <c r="W30" i="6" s="1"/>
  <c r="O30" i="6"/>
  <c r="N30" i="6"/>
  <c r="F29" i="1" s="1"/>
  <c r="Y36" i="8"/>
  <c r="R36" i="8"/>
  <c r="W36" i="8" s="1"/>
  <c r="O36" i="8"/>
  <c r="N36" i="8"/>
  <c r="V36" i="8" s="1"/>
  <c r="Y35" i="8"/>
  <c r="R35" i="8"/>
  <c r="W35" i="8" s="1"/>
  <c r="O35" i="8"/>
  <c r="N35" i="8"/>
  <c r="V35" i="8" s="1"/>
  <c r="Y34" i="8"/>
  <c r="R34" i="8"/>
  <c r="W34" i="8" s="1"/>
  <c r="O34" i="8"/>
  <c r="N34" i="8"/>
  <c r="V34" i="8" s="1"/>
  <c r="Y33" i="8"/>
  <c r="R33" i="8"/>
  <c r="W33" i="8" s="1"/>
  <c r="O33" i="8"/>
  <c r="N33" i="8"/>
  <c r="Y32" i="8"/>
  <c r="R32" i="8"/>
  <c r="W32" i="8" s="1"/>
  <c r="O32" i="8"/>
  <c r="N32" i="8"/>
  <c r="Y31" i="8"/>
  <c r="R31" i="8"/>
  <c r="W31" i="8" s="1"/>
  <c r="O31" i="8"/>
  <c r="N31" i="8"/>
  <c r="Y30" i="8"/>
  <c r="R30" i="8"/>
  <c r="W30" i="8" s="1"/>
  <c r="O30" i="8"/>
  <c r="N30" i="8"/>
  <c r="V30" i="8" s="1"/>
  <c r="Y36" i="5"/>
  <c r="R36" i="5"/>
  <c r="W36" i="5" s="1"/>
  <c r="O36" i="5"/>
  <c r="G17" i="1" s="1"/>
  <c r="N36" i="5"/>
  <c r="V36" i="5" s="1"/>
  <c r="Y35" i="5"/>
  <c r="R35" i="5"/>
  <c r="W35" i="5" s="1"/>
  <c r="O35" i="5"/>
  <c r="G16" i="1" s="1"/>
  <c r="N35" i="5"/>
  <c r="Y34" i="5"/>
  <c r="R34" i="5"/>
  <c r="W34" i="5" s="1"/>
  <c r="N34" i="5"/>
  <c r="F15" i="1" s="1"/>
  <c r="Y33" i="5"/>
  <c r="R33" i="5"/>
  <c r="W33" i="5" s="1"/>
  <c r="N33" i="5"/>
  <c r="F14" i="1" s="1"/>
  <c r="Y32" i="5"/>
  <c r="R32" i="5"/>
  <c r="W32" i="5" s="1"/>
  <c r="N32" i="5"/>
  <c r="V32" i="5" s="1"/>
  <c r="Y31" i="5"/>
  <c r="R31" i="5"/>
  <c r="W31" i="5" s="1"/>
  <c r="N31" i="5"/>
  <c r="V31" i="5" s="1"/>
  <c r="Y30" i="5"/>
  <c r="R30" i="5"/>
  <c r="W30" i="5" s="1"/>
  <c r="N30" i="5"/>
  <c r="F11" i="1" s="1"/>
  <c r="Y24" i="6"/>
  <c r="R24" i="6"/>
  <c r="W24" i="6" s="1"/>
  <c r="O24" i="6"/>
  <c r="N24" i="6"/>
  <c r="D35" i="1" s="1"/>
  <c r="Y23" i="6"/>
  <c r="R23" i="6"/>
  <c r="W23" i="6" s="1"/>
  <c r="O23" i="6"/>
  <c r="N23" i="6"/>
  <c r="Y22" i="6"/>
  <c r="R22" i="6"/>
  <c r="W22" i="6" s="1"/>
  <c r="O22" i="6"/>
  <c r="N22" i="6"/>
  <c r="D33" i="1" s="1"/>
  <c r="Y21" i="6"/>
  <c r="R21" i="6"/>
  <c r="W21" i="6" s="1"/>
  <c r="O21" i="6"/>
  <c r="N21" i="6"/>
  <c r="Y20" i="6"/>
  <c r="R20" i="6"/>
  <c r="W20" i="6" s="1"/>
  <c r="O20" i="6"/>
  <c r="N20" i="6"/>
  <c r="Y19" i="6"/>
  <c r="R19" i="6"/>
  <c r="W19" i="6" s="1"/>
  <c r="O19" i="6"/>
  <c r="N19" i="6"/>
  <c r="Y18" i="6"/>
  <c r="R18" i="6"/>
  <c r="W18" i="6" s="1"/>
  <c r="O18" i="6"/>
  <c r="N18" i="6"/>
  <c r="D29" i="1" s="1"/>
  <c r="Y24" i="8"/>
  <c r="R24" i="8"/>
  <c r="W24" i="8" s="1"/>
  <c r="O24" i="8"/>
  <c r="N24" i="8"/>
  <c r="V24" i="8" s="1"/>
  <c r="Y23" i="8"/>
  <c r="R23" i="8"/>
  <c r="W23" i="8" s="1"/>
  <c r="O23" i="8"/>
  <c r="N23" i="8"/>
  <c r="D70" i="1" s="1"/>
  <c r="Y22" i="8"/>
  <c r="R22" i="8"/>
  <c r="W22" i="8" s="1"/>
  <c r="O22" i="8"/>
  <c r="N22" i="8"/>
  <c r="Y21" i="8"/>
  <c r="R21" i="8"/>
  <c r="W21" i="8" s="1"/>
  <c r="O21" i="8"/>
  <c r="N21" i="8"/>
  <c r="D68" i="1" s="1"/>
  <c r="Y20" i="8"/>
  <c r="R20" i="8"/>
  <c r="W20" i="8" s="1"/>
  <c r="O20" i="8"/>
  <c r="N20" i="8"/>
  <c r="V20" i="8" s="1"/>
  <c r="Y19" i="8"/>
  <c r="R19" i="8"/>
  <c r="W19" i="8" s="1"/>
  <c r="O19" i="8"/>
  <c r="N19" i="8"/>
  <c r="D66" i="1" s="1"/>
  <c r="Y18" i="8"/>
  <c r="R18" i="8"/>
  <c r="W18" i="8" s="1"/>
  <c r="O18" i="8"/>
  <c r="N18" i="8"/>
  <c r="Y24" i="5"/>
  <c r="R24" i="5"/>
  <c r="W24" i="5" s="1"/>
  <c r="O24" i="5"/>
  <c r="E17" i="1" s="1"/>
  <c r="N24" i="5"/>
  <c r="V24" i="5" s="1"/>
  <c r="Y23" i="5"/>
  <c r="R23" i="5"/>
  <c r="W23" i="5" s="1"/>
  <c r="O23" i="5"/>
  <c r="E16" i="1" s="1"/>
  <c r="N23" i="5"/>
  <c r="D16" i="1" s="1"/>
  <c r="Y22" i="5"/>
  <c r="R22" i="5"/>
  <c r="W22" i="5" s="1"/>
  <c r="N22" i="5"/>
  <c r="D15" i="1" s="1"/>
  <c r="Y21" i="5"/>
  <c r="R21" i="5"/>
  <c r="W21" i="5" s="1"/>
  <c r="N21" i="5"/>
  <c r="D14" i="1" s="1"/>
  <c r="Y20" i="5"/>
  <c r="R20" i="5"/>
  <c r="W20" i="5" s="1"/>
  <c r="N20" i="5"/>
  <c r="D13" i="1" s="1"/>
  <c r="Y19" i="5"/>
  <c r="R19" i="5"/>
  <c r="W19" i="5" s="1"/>
  <c r="N19" i="5"/>
  <c r="D12" i="1" s="1"/>
  <c r="Y18" i="5"/>
  <c r="R18" i="5"/>
  <c r="W18" i="5" s="1"/>
  <c r="N18" i="5"/>
  <c r="D11" i="1" s="1"/>
  <c r="Y12" i="6"/>
  <c r="R12" i="6"/>
  <c r="W12" i="6" s="1"/>
  <c r="O12" i="6"/>
  <c r="N12" i="6"/>
  <c r="B35" i="1" s="1"/>
  <c r="Y11" i="6"/>
  <c r="R11" i="6"/>
  <c r="W11" i="6" s="1"/>
  <c r="O11" i="6"/>
  <c r="N11" i="6"/>
  <c r="Y10" i="6"/>
  <c r="R10" i="6"/>
  <c r="W10" i="6" s="1"/>
  <c r="O10" i="6"/>
  <c r="N10" i="6"/>
  <c r="Y9" i="6"/>
  <c r="R9" i="6"/>
  <c r="W9" i="6" s="1"/>
  <c r="O9" i="6"/>
  <c r="N9" i="6"/>
  <c r="Y8" i="6"/>
  <c r="R8" i="6"/>
  <c r="W8" i="6" s="1"/>
  <c r="O8" i="6"/>
  <c r="N8" i="6"/>
  <c r="Y7" i="6"/>
  <c r="R7" i="6"/>
  <c r="W7" i="6" s="1"/>
  <c r="O7" i="6"/>
  <c r="N7" i="6"/>
  <c r="Y6" i="6"/>
  <c r="R6" i="6"/>
  <c r="W6" i="6" s="1"/>
  <c r="O6" i="6"/>
  <c r="N6" i="6"/>
  <c r="V6" i="6" s="1"/>
  <c r="Y12" i="8"/>
  <c r="R12" i="8"/>
  <c r="W12" i="8" s="1"/>
  <c r="O12" i="8"/>
  <c r="N12" i="8"/>
  <c r="V12" i="8" s="1"/>
  <c r="Y11" i="8"/>
  <c r="R11" i="8"/>
  <c r="W11" i="8" s="1"/>
  <c r="O11" i="8"/>
  <c r="N11" i="8"/>
  <c r="Y10" i="8"/>
  <c r="R10" i="8"/>
  <c r="W10" i="8" s="1"/>
  <c r="O10" i="8"/>
  <c r="N10" i="8"/>
  <c r="B69" i="1" s="1"/>
  <c r="Y9" i="8"/>
  <c r="R9" i="8"/>
  <c r="W9" i="8" s="1"/>
  <c r="O9" i="8"/>
  <c r="N9" i="8"/>
  <c r="Y8" i="8"/>
  <c r="R8" i="8"/>
  <c r="W8" i="8" s="1"/>
  <c r="O8" i="8"/>
  <c r="N8" i="8"/>
  <c r="Y7" i="8"/>
  <c r="R7" i="8"/>
  <c r="W7" i="8" s="1"/>
  <c r="O7" i="8"/>
  <c r="N7" i="8"/>
  <c r="Y6" i="8"/>
  <c r="R6" i="8"/>
  <c r="W6" i="8" s="1"/>
  <c r="O6" i="8"/>
  <c r="N6" i="8"/>
  <c r="B65" i="1" s="1"/>
  <c r="Y12" i="5"/>
  <c r="R12" i="5"/>
  <c r="W12" i="5" s="1"/>
  <c r="O12" i="5"/>
  <c r="C17" i="1" s="1"/>
  <c r="N12" i="5"/>
  <c r="V12" i="5" s="1"/>
  <c r="Y11" i="5"/>
  <c r="R11" i="5"/>
  <c r="W11" i="5" s="1"/>
  <c r="O11" i="5"/>
  <c r="C16" i="1" s="1"/>
  <c r="N11" i="5"/>
  <c r="V11" i="5" s="1"/>
  <c r="Y10" i="5"/>
  <c r="R10" i="5"/>
  <c r="W10" i="5" s="1"/>
  <c r="N10" i="5"/>
  <c r="Y9" i="5"/>
  <c r="R9" i="5"/>
  <c r="W9" i="5" s="1"/>
  <c r="N9" i="5"/>
  <c r="B14" i="1" s="1"/>
  <c r="Y8" i="5"/>
  <c r="R8" i="5"/>
  <c r="W8" i="5" s="1"/>
  <c r="N8" i="5"/>
  <c r="Y7" i="5"/>
  <c r="R7" i="5"/>
  <c r="W7" i="5" s="1"/>
  <c r="N7" i="5"/>
  <c r="Y6" i="5"/>
  <c r="R6" i="5"/>
  <c r="W6" i="5" s="1"/>
  <c r="N6" i="5"/>
  <c r="B11" i="1" s="1"/>
  <c r="Y12" i="7"/>
  <c r="R12" i="7"/>
  <c r="W12" i="7" s="1"/>
  <c r="O12" i="7"/>
  <c r="N12" i="7"/>
  <c r="B53" i="1" s="1"/>
  <c r="Y11" i="7"/>
  <c r="R11" i="7"/>
  <c r="W11" i="7" s="1"/>
  <c r="O11" i="7"/>
  <c r="N11" i="7"/>
  <c r="Y10" i="7"/>
  <c r="R10" i="7"/>
  <c r="W10" i="7" s="1"/>
  <c r="O10" i="7"/>
  <c r="AG322" i="8" s="1"/>
  <c r="N10" i="7"/>
  <c r="B51" i="1" s="1"/>
  <c r="Y9" i="7"/>
  <c r="R9" i="7"/>
  <c r="W9" i="7" s="1"/>
  <c r="O9" i="7"/>
  <c r="AG321" i="8" s="1"/>
  <c r="N9" i="7"/>
  <c r="Y8" i="7"/>
  <c r="R8" i="7"/>
  <c r="W8" i="7" s="1"/>
  <c r="O8" i="7"/>
  <c r="AG320" i="8" s="1"/>
  <c r="N8" i="7"/>
  <c r="Y7" i="7"/>
  <c r="R7" i="7"/>
  <c r="W7" i="7" s="1"/>
  <c r="O7" i="7"/>
  <c r="AG319" i="8" s="1"/>
  <c r="N7" i="7"/>
  <c r="Y6" i="7"/>
  <c r="R6" i="7"/>
  <c r="W6" i="7" s="1"/>
  <c r="O6" i="7"/>
  <c r="AG318" i="8" s="1"/>
  <c r="N6" i="7"/>
  <c r="B47" i="1" s="1"/>
  <c r="Y24" i="7"/>
  <c r="R24" i="7"/>
  <c r="W24" i="7" s="1"/>
  <c r="O24" i="7"/>
  <c r="N24" i="7"/>
  <c r="V24" i="7" s="1"/>
  <c r="Y23" i="7"/>
  <c r="R23" i="7"/>
  <c r="W23" i="7" s="1"/>
  <c r="O23" i="7"/>
  <c r="N23" i="7"/>
  <c r="Y22" i="7"/>
  <c r="R22" i="7"/>
  <c r="W22" i="7" s="1"/>
  <c r="O22" i="7"/>
  <c r="AG334" i="8" s="1"/>
  <c r="N22" i="7"/>
  <c r="D51" i="1" s="1"/>
  <c r="Y21" i="7"/>
  <c r="R21" i="7"/>
  <c r="W21" i="7" s="1"/>
  <c r="O21" i="7"/>
  <c r="AG333" i="8" s="1"/>
  <c r="N21" i="7"/>
  <c r="Y20" i="7"/>
  <c r="R20" i="7"/>
  <c r="W20" i="7" s="1"/>
  <c r="O20" i="7"/>
  <c r="AG332" i="8" s="1"/>
  <c r="N20" i="7"/>
  <c r="D49" i="1" s="1"/>
  <c r="Y19" i="7"/>
  <c r="R19" i="7"/>
  <c r="W19" i="7" s="1"/>
  <c r="O19" i="7"/>
  <c r="AG331" i="8" s="1"/>
  <c r="N19" i="7"/>
  <c r="D48" i="1" s="1"/>
  <c r="Y18" i="7"/>
  <c r="R18" i="7"/>
  <c r="W18" i="7" s="1"/>
  <c r="O18" i="7"/>
  <c r="AG330" i="8" s="1"/>
  <c r="N18" i="7"/>
  <c r="D47" i="1" s="1"/>
  <c r="Y36" i="7"/>
  <c r="R36" i="7"/>
  <c r="W36" i="7" s="1"/>
  <c r="O36" i="7"/>
  <c r="N36" i="7"/>
  <c r="F53" i="1" s="1"/>
  <c r="Y35" i="7"/>
  <c r="R35" i="7"/>
  <c r="W35" i="7" s="1"/>
  <c r="O35" i="7"/>
  <c r="N35" i="7"/>
  <c r="Y34" i="7"/>
  <c r="R34" i="7"/>
  <c r="W34" i="7" s="1"/>
  <c r="O34" i="7"/>
  <c r="AG346" i="8" s="1"/>
  <c r="N34" i="7"/>
  <c r="Y33" i="7"/>
  <c r="R33" i="7"/>
  <c r="W33" i="7" s="1"/>
  <c r="O33" i="7"/>
  <c r="AG345" i="8" s="1"/>
  <c r="N33" i="7"/>
  <c r="V33" i="7" s="1"/>
  <c r="Y32" i="7"/>
  <c r="R32" i="7"/>
  <c r="W32" i="7" s="1"/>
  <c r="O32" i="7"/>
  <c r="AG344" i="8" s="1"/>
  <c r="N32" i="7"/>
  <c r="Y31" i="7"/>
  <c r="R31" i="7"/>
  <c r="W31" i="7" s="1"/>
  <c r="O31" i="7"/>
  <c r="AG343" i="8" s="1"/>
  <c r="N31" i="7"/>
  <c r="Y30" i="7"/>
  <c r="R30" i="7"/>
  <c r="W30" i="7" s="1"/>
  <c r="O30" i="7"/>
  <c r="AG342" i="8" s="1"/>
  <c r="N30" i="7"/>
  <c r="Y48" i="7"/>
  <c r="R48" i="7"/>
  <c r="W48" i="7" s="1"/>
  <c r="O48" i="7"/>
  <c r="N48" i="7"/>
  <c r="V48" i="7" s="1"/>
  <c r="Y47" i="7"/>
  <c r="R47" i="7"/>
  <c r="W47" i="7" s="1"/>
  <c r="O47" i="7"/>
  <c r="N47" i="7"/>
  <c r="Y46" i="7"/>
  <c r="R46" i="7"/>
  <c r="W46" i="7" s="1"/>
  <c r="O46" i="7"/>
  <c r="AG358" i="8" s="1"/>
  <c r="N46" i="7"/>
  <c r="H51" i="1" s="1"/>
  <c r="Y45" i="7"/>
  <c r="R45" i="7"/>
  <c r="W45" i="7" s="1"/>
  <c r="O45" i="7"/>
  <c r="AG357" i="8" s="1"/>
  <c r="N45" i="7"/>
  <c r="Y44" i="7"/>
  <c r="R44" i="7"/>
  <c r="W44" i="7" s="1"/>
  <c r="O44" i="7"/>
  <c r="AG356" i="8" s="1"/>
  <c r="N44" i="7"/>
  <c r="Y43" i="7"/>
  <c r="R43" i="7"/>
  <c r="W43" i="7" s="1"/>
  <c r="O43" i="7"/>
  <c r="AG355" i="8" s="1"/>
  <c r="N43" i="7"/>
  <c r="Y42" i="7"/>
  <c r="R42" i="7"/>
  <c r="W42" i="7" s="1"/>
  <c r="O42" i="7"/>
  <c r="AG354" i="8" s="1"/>
  <c r="N42" i="7"/>
  <c r="H47" i="1" s="1"/>
  <c r="Y60" i="7"/>
  <c r="R60" i="7"/>
  <c r="W60" i="7" s="1"/>
  <c r="O60" i="7"/>
  <c r="N60" i="7"/>
  <c r="J53" i="1" s="1"/>
  <c r="Y59" i="7"/>
  <c r="R59" i="7"/>
  <c r="W59" i="7" s="1"/>
  <c r="O59" i="7"/>
  <c r="N59" i="7"/>
  <c r="Y58" i="7"/>
  <c r="R58" i="7"/>
  <c r="W58" i="7" s="1"/>
  <c r="O58" i="7"/>
  <c r="AG370" i="8" s="1"/>
  <c r="N58" i="7"/>
  <c r="J51" i="1" s="1"/>
  <c r="Y57" i="7"/>
  <c r="R57" i="7"/>
  <c r="W57" i="7" s="1"/>
  <c r="O57" i="7"/>
  <c r="AG369" i="8" s="1"/>
  <c r="N57" i="7"/>
  <c r="Y56" i="7"/>
  <c r="R56" i="7"/>
  <c r="W56" i="7" s="1"/>
  <c r="O56" i="7"/>
  <c r="AG368" i="8" s="1"/>
  <c r="N56" i="7"/>
  <c r="V56" i="7" s="1"/>
  <c r="Y55" i="7"/>
  <c r="R55" i="7"/>
  <c r="W55" i="7" s="1"/>
  <c r="O55" i="7"/>
  <c r="AG367" i="8" s="1"/>
  <c r="N55" i="7"/>
  <c r="Y54" i="7"/>
  <c r="R54" i="7"/>
  <c r="W54" i="7" s="1"/>
  <c r="O54" i="7"/>
  <c r="AG366" i="8" s="1"/>
  <c r="N54" i="7"/>
  <c r="J47" i="1" s="1"/>
  <c r="Y72" i="7"/>
  <c r="R72" i="7"/>
  <c r="W72" i="7" s="1"/>
  <c r="O72" i="7"/>
  <c r="N72" i="7"/>
  <c r="V72" i="7" s="1"/>
  <c r="Y71" i="7"/>
  <c r="R71" i="7"/>
  <c r="W71" i="7" s="1"/>
  <c r="O71" i="7"/>
  <c r="N71" i="7"/>
  <c r="Y70" i="7"/>
  <c r="R70" i="7"/>
  <c r="W70" i="7" s="1"/>
  <c r="O70" i="7"/>
  <c r="AG382" i="8" s="1"/>
  <c r="N70" i="7"/>
  <c r="L51" i="1" s="1"/>
  <c r="Y69" i="7"/>
  <c r="R69" i="7"/>
  <c r="W69" i="7" s="1"/>
  <c r="O69" i="7"/>
  <c r="AG381" i="8" s="1"/>
  <c r="N69" i="7"/>
  <c r="Y68" i="7"/>
  <c r="R68" i="7"/>
  <c r="W68" i="7" s="1"/>
  <c r="O68" i="7"/>
  <c r="AG380" i="8" s="1"/>
  <c r="N68" i="7"/>
  <c r="Y67" i="7"/>
  <c r="R67" i="7"/>
  <c r="W67" i="7" s="1"/>
  <c r="O67" i="7"/>
  <c r="AG379" i="8" s="1"/>
  <c r="N67" i="7"/>
  <c r="Y66" i="7"/>
  <c r="R66" i="7"/>
  <c r="W66" i="7" s="1"/>
  <c r="O66" i="7"/>
  <c r="AG378" i="8" s="1"/>
  <c r="N66" i="7"/>
  <c r="L47" i="1" s="1"/>
  <c r="Y84" i="7"/>
  <c r="R84" i="7"/>
  <c r="W84" i="7" s="1"/>
  <c r="O84" i="7"/>
  <c r="N84" i="7"/>
  <c r="N53" i="1" s="1"/>
  <c r="Y83" i="7"/>
  <c r="R83" i="7"/>
  <c r="W83" i="7" s="1"/>
  <c r="O83" i="7"/>
  <c r="N83" i="7"/>
  <c r="Y82" i="7"/>
  <c r="R82" i="7"/>
  <c r="W82" i="7" s="1"/>
  <c r="O82" i="7"/>
  <c r="AG394" i="8" s="1"/>
  <c r="N82" i="7"/>
  <c r="V82" i="7" s="1"/>
  <c r="Y81" i="7"/>
  <c r="R81" i="7"/>
  <c r="W81" i="7" s="1"/>
  <c r="O81" i="7"/>
  <c r="AG393" i="8" s="1"/>
  <c r="N81" i="7"/>
  <c r="Y80" i="7"/>
  <c r="R80" i="7"/>
  <c r="W80" i="7" s="1"/>
  <c r="O80" i="7"/>
  <c r="AG392" i="8" s="1"/>
  <c r="N80" i="7"/>
  <c r="Y79" i="7"/>
  <c r="R79" i="7"/>
  <c r="W79" i="7" s="1"/>
  <c r="O79" i="7"/>
  <c r="AG391" i="8" s="1"/>
  <c r="N79" i="7"/>
  <c r="Y78" i="7"/>
  <c r="R78" i="7"/>
  <c r="W78" i="7" s="1"/>
  <c r="O78" i="7"/>
  <c r="AG390" i="8" s="1"/>
  <c r="N78" i="7"/>
  <c r="N47" i="1" s="1"/>
  <c r="Y96" i="7"/>
  <c r="R96" i="7"/>
  <c r="W96" i="7" s="1"/>
  <c r="O96" i="7"/>
  <c r="N96" i="7"/>
  <c r="V96" i="7" s="1"/>
  <c r="Y95" i="7"/>
  <c r="R95" i="7"/>
  <c r="W95" i="7" s="1"/>
  <c r="O95" i="7"/>
  <c r="N95" i="7"/>
  <c r="Y94" i="7"/>
  <c r="R94" i="7"/>
  <c r="W94" i="7" s="1"/>
  <c r="O94" i="7"/>
  <c r="AG406" i="8" s="1"/>
  <c r="N94" i="7"/>
  <c r="P51" i="1" s="1"/>
  <c r="Y93" i="7"/>
  <c r="R93" i="7"/>
  <c r="W93" i="7" s="1"/>
  <c r="O93" i="7"/>
  <c r="AG405" i="8" s="1"/>
  <c r="N93" i="7"/>
  <c r="Y92" i="7"/>
  <c r="R92" i="7"/>
  <c r="W92" i="7" s="1"/>
  <c r="O92" i="7"/>
  <c r="AG404" i="8" s="1"/>
  <c r="N92" i="7"/>
  <c r="V92" i="7" s="1"/>
  <c r="Y91" i="7"/>
  <c r="R91" i="7"/>
  <c r="W91" i="7" s="1"/>
  <c r="O91" i="7"/>
  <c r="AG403" i="8" s="1"/>
  <c r="N91" i="7"/>
  <c r="Y90" i="7"/>
  <c r="R90" i="7"/>
  <c r="W90" i="7" s="1"/>
  <c r="O90" i="7"/>
  <c r="AG402" i="8" s="1"/>
  <c r="N90" i="7"/>
  <c r="P47" i="1" s="1"/>
  <c r="Y108" i="7"/>
  <c r="R108" i="7"/>
  <c r="W108" i="7" s="1"/>
  <c r="O108" i="7"/>
  <c r="N108" i="7"/>
  <c r="V108" i="7" s="1"/>
  <c r="Y107" i="7"/>
  <c r="R107" i="7"/>
  <c r="W107" i="7" s="1"/>
  <c r="O107" i="7"/>
  <c r="N107" i="7"/>
  <c r="Y106" i="7"/>
  <c r="R106" i="7"/>
  <c r="W106" i="7" s="1"/>
  <c r="O106" i="7"/>
  <c r="AG418" i="8" s="1"/>
  <c r="N106" i="7"/>
  <c r="R51" i="1" s="1"/>
  <c r="Y105" i="7"/>
  <c r="R105" i="7"/>
  <c r="W105" i="7" s="1"/>
  <c r="O105" i="7"/>
  <c r="AG417" i="8" s="1"/>
  <c r="N105" i="7"/>
  <c r="Y104" i="7"/>
  <c r="R104" i="7"/>
  <c r="W104" i="7" s="1"/>
  <c r="O104" i="7"/>
  <c r="AG416" i="8" s="1"/>
  <c r="N104" i="7"/>
  <c r="V104" i="7" s="1"/>
  <c r="Y103" i="7"/>
  <c r="R103" i="7"/>
  <c r="W103" i="7" s="1"/>
  <c r="O103" i="7"/>
  <c r="AG415" i="8" s="1"/>
  <c r="N103" i="7"/>
  <c r="Y102" i="7"/>
  <c r="R102" i="7"/>
  <c r="W102" i="7" s="1"/>
  <c r="O102" i="7"/>
  <c r="AG414" i="8" s="1"/>
  <c r="N102" i="7"/>
  <c r="R47" i="1" s="1"/>
  <c r="Y120" i="7"/>
  <c r="R120" i="7"/>
  <c r="W120" i="7" s="1"/>
  <c r="O120" i="7"/>
  <c r="N120" i="7"/>
  <c r="V120" i="7" s="1"/>
  <c r="Y119" i="7"/>
  <c r="R119" i="7"/>
  <c r="W119" i="7" s="1"/>
  <c r="O119" i="7"/>
  <c r="N119" i="7"/>
  <c r="Y118" i="7"/>
  <c r="R118" i="7"/>
  <c r="W118" i="7" s="1"/>
  <c r="O118" i="7"/>
  <c r="AG430" i="8" s="1"/>
  <c r="N118" i="7"/>
  <c r="T51" i="1" s="1"/>
  <c r="Y117" i="7"/>
  <c r="R117" i="7"/>
  <c r="W117" i="7" s="1"/>
  <c r="O117" i="7"/>
  <c r="AG429" i="8" s="1"/>
  <c r="N117" i="7"/>
  <c r="Y116" i="7"/>
  <c r="R116" i="7"/>
  <c r="W116" i="7" s="1"/>
  <c r="O116" i="7"/>
  <c r="AG428" i="8" s="1"/>
  <c r="N116" i="7"/>
  <c r="V116" i="7" s="1"/>
  <c r="Y115" i="7"/>
  <c r="R115" i="7"/>
  <c r="W115" i="7" s="1"/>
  <c r="O115" i="7"/>
  <c r="AG427" i="8" s="1"/>
  <c r="N115" i="7"/>
  <c r="T48" i="1" s="1"/>
  <c r="Y114" i="7"/>
  <c r="R114" i="7"/>
  <c r="W114" i="7" s="1"/>
  <c r="O114" i="7"/>
  <c r="AG426" i="8" s="1"/>
  <c r="N114" i="7"/>
  <c r="T47" i="1" s="1"/>
  <c r="Y132" i="7"/>
  <c r="R132" i="7"/>
  <c r="W132" i="7" s="1"/>
  <c r="O132" i="7"/>
  <c r="N132" i="7"/>
  <c r="V53" i="1" s="1"/>
  <c r="Y131" i="7"/>
  <c r="R131" i="7"/>
  <c r="W131" i="7" s="1"/>
  <c r="O131" i="7"/>
  <c r="N131" i="7"/>
  <c r="Y130" i="7"/>
  <c r="R130" i="7"/>
  <c r="W130" i="7" s="1"/>
  <c r="O130" i="7"/>
  <c r="AG442" i="8" s="1"/>
  <c r="N130" i="7"/>
  <c r="V51" i="1" s="1"/>
  <c r="Y129" i="7"/>
  <c r="R129" i="7"/>
  <c r="W129" i="7" s="1"/>
  <c r="O129" i="7"/>
  <c r="AG441" i="8" s="1"/>
  <c r="N129" i="7"/>
  <c r="V129" i="7" s="1"/>
  <c r="Y128" i="7"/>
  <c r="R128" i="7"/>
  <c r="W128" i="7" s="1"/>
  <c r="O128" i="7"/>
  <c r="AG440" i="8" s="1"/>
  <c r="N128" i="7"/>
  <c r="Y127" i="7"/>
  <c r="R127" i="7"/>
  <c r="W127" i="7" s="1"/>
  <c r="O127" i="7"/>
  <c r="AG439" i="8" s="1"/>
  <c r="N127" i="7"/>
  <c r="Y126" i="7"/>
  <c r="R126" i="7"/>
  <c r="W126" i="7" s="1"/>
  <c r="O126" i="7"/>
  <c r="AG438" i="8" s="1"/>
  <c r="N126" i="7"/>
  <c r="V47" i="1" s="1"/>
  <c r="Y144" i="7"/>
  <c r="R144" i="7"/>
  <c r="W144" i="7" s="1"/>
  <c r="O144" i="7"/>
  <c r="N144" i="7"/>
  <c r="V144" i="7" s="1"/>
  <c r="Y143" i="7"/>
  <c r="R143" i="7"/>
  <c r="W143" i="7" s="1"/>
  <c r="O143" i="7"/>
  <c r="N143" i="7"/>
  <c r="Y142" i="7"/>
  <c r="R142" i="7"/>
  <c r="W142" i="7" s="1"/>
  <c r="O142" i="7"/>
  <c r="AG454" i="8" s="1"/>
  <c r="N142" i="7"/>
  <c r="X51" i="1" s="1"/>
  <c r="Y141" i="7"/>
  <c r="R141" i="7"/>
  <c r="W141" i="7" s="1"/>
  <c r="O141" i="7"/>
  <c r="AG453" i="8" s="1"/>
  <c r="N141" i="7"/>
  <c r="Y140" i="7"/>
  <c r="R140" i="7"/>
  <c r="W140" i="7" s="1"/>
  <c r="O140" i="7"/>
  <c r="AG452" i="8" s="1"/>
  <c r="N140" i="7"/>
  <c r="Y139" i="7"/>
  <c r="R139" i="7"/>
  <c r="W139" i="7" s="1"/>
  <c r="O139" i="7"/>
  <c r="AG451" i="8" s="1"/>
  <c r="N139" i="7"/>
  <c r="Y138" i="7"/>
  <c r="R138" i="7"/>
  <c r="W138" i="7" s="1"/>
  <c r="O138" i="7"/>
  <c r="AG450" i="8" s="1"/>
  <c r="N138" i="7"/>
  <c r="X47" i="1" s="1"/>
  <c r="Y156" i="7"/>
  <c r="R156" i="7"/>
  <c r="W156" i="7" s="1"/>
  <c r="O156" i="7"/>
  <c r="N156" i="7"/>
  <c r="V156" i="7" s="1"/>
  <c r="Y155" i="7"/>
  <c r="R155" i="7"/>
  <c r="W155" i="7" s="1"/>
  <c r="O155" i="7"/>
  <c r="N155" i="7"/>
  <c r="Y154" i="7"/>
  <c r="R154" i="7"/>
  <c r="W154" i="7" s="1"/>
  <c r="O154" i="7"/>
  <c r="AG466" i="8" s="1"/>
  <c r="N154" i="7"/>
  <c r="Z51" i="1" s="1"/>
  <c r="Y153" i="7"/>
  <c r="R153" i="7"/>
  <c r="W153" i="7" s="1"/>
  <c r="O153" i="7"/>
  <c r="AG465" i="8" s="1"/>
  <c r="N153" i="7"/>
  <c r="V153" i="7" s="1"/>
  <c r="Y152" i="7"/>
  <c r="R152" i="7"/>
  <c r="W152" i="7" s="1"/>
  <c r="O152" i="7"/>
  <c r="AG464" i="8" s="1"/>
  <c r="N152" i="7"/>
  <c r="Z49" i="1" s="1"/>
  <c r="Y151" i="7"/>
  <c r="R151" i="7"/>
  <c r="W151" i="7" s="1"/>
  <c r="O151" i="7"/>
  <c r="AG463" i="8" s="1"/>
  <c r="N151" i="7"/>
  <c r="Y150" i="7"/>
  <c r="R150" i="7"/>
  <c r="W150" i="7" s="1"/>
  <c r="O150" i="7"/>
  <c r="AG462" i="8" s="1"/>
  <c r="N150" i="7"/>
  <c r="Z47" i="1" s="1"/>
  <c r="Y166" i="7"/>
  <c r="Y165" i="7"/>
  <c r="Y163" i="7"/>
  <c r="Y162" i="7"/>
  <c r="Y164" i="7"/>
  <c r="Y168" i="7"/>
  <c r="R168" i="7"/>
  <c r="W168" i="7" s="1"/>
  <c r="O168" i="7"/>
  <c r="N168" i="7"/>
  <c r="AB53" i="1" s="1"/>
  <c r="Y167" i="7"/>
  <c r="R167" i="7"/>
  <c r="W167" i="7" s="1"/>
  <c r="O167" i="7"/>
  <c r="N167" i="7"/>
  <c r="R166" i="7"/>
  <c r="W166" i="7" s="1"/>
  <c r="O166" i="7"/>
  <c r="AG478" i="8" s="1"/>
  <c r="N166" i="7"/>
  <c r="AB51" i="1" s="1"/>
  <c r="R165" i="7"/>
  <c r="W165" i="7" s="1"/>
  <c r="O165" i="7"/>
  <c r="AG477" i="8" s="1"/>
  <c r="N165" i="7"/>
  <c r="AB50" i="1" s="1"/>
  <c r="R164" i="7"/>
  <c r="W164" i="7" s="1"/>
  <c r="O164" i="7"/>
  <c r="AG476" i="8" s="1"/>
  <c r="N164" i="7"/>
  <c r="R163" i="7"/>
  <c r="W163" i="7" s="1"/>
  <c r="O163" i="7"/>
  <c r="AG475" i="8" s="1"/>
  <c r="N163" i="7"/>
  <c r="R162" i="7"/>
  <c r="W162" i="7" s="1"/>
  <c r="O162" i="7"/>
  <c r="AG474" i="8" s="1"/>
  <c r="N162" i="7"/>
  <c r="BZ3" i="12"/>
  <c r="BY3" i="12"/>
  <c r="B12" i="1" l="1"/>
  <c r="B13" i="1"/>
  <c r="V44" i="7"/>
  <c r="V35" i="5"/>
  <c r="AG635" i="7"/>
  <c r="AG635" i="6"/>
  <c r="AG635" i="8"/>
  <c r="AG155" i="8"/>
  <c r="C70" i="1"/>
  <c r="AG491" i="8"/>
  <c r="AG491" i="7"/>
  <c r="AG11" i="8"/>
  <c r="AG491" i="6"/>
  <c r="C71" i="1"/>
  <c r="AG492" i="7"/>
  <c r="AG492" i="8"/>
  <c r="AG12" i="8"/>
  <c r="AG492" i="6"/>
  <c r="AG162" i="8"/>
  <c r="AG162" i="7"/>
  <c r="AG163" i="8"/>
  <c r="AG163" i="7"/>
  <c r="AG164" i="8"/>
  <c r="AG164" i="7"/>
  <c r="AG165" i="8"/>
  <c r="AG165" i="7"/>
  <c r="AG166" i="8"/>
  <c r="AG166" i="7"/>
  <c r="C34" i="1"/>
  <c r="AG167" i="8"/>
  <c r="AG167" i="7"/>
  <c r="AG167" i="6"/>
  <c r="AG11" i="6"/>
  <c r="C35" i="1"/>
  <c r="AG168" i="8"/>
  <c r="AG168" i="7"/>
  <c r="AG12" i="6"/>
  <c r="AG168" i="6"/>
  <c r="AG539" i="8"/>
  <c r="AG539" i="7"/>
  <c r="AG59" i="8"/>
  <c r="AG539" i="6"/>
  <c r="K71" i="1"/>
  <c r="AG540" i="8"/>
  <c r="AG540" i="7"/>
  <c r="AG60" i="8"/>
  <c r="AG540" i="6"/>
  <c r="AG210" i="8"/>
  <c r="AG210" i="7"/>
  <c r="AG211" i="8"/>
  <c r="AG211" i="7"/>
  <c r="AG212" i="8"/>
  <c r="AG212" i="7"/>
  <c r="AG213" i="8"/>
  <c r="AG213" i="7"/>
  <c r="AG214" i="8"/>
  <c r="AG214" i="7"/>
  <c r="K34" i="1"/>
  <c r="AG215" i="8"/>
  <c r="AG215" i="6"/>
  <c r="AG215" i="7"/>
  <c r="AG59" i="6"/>
  <c r="K35" i="1"/>
  <c r="AG216" i="8"/>
  <c r="AG216" i="7"/>
  <c r="AG60" i="6"/>
  <c r="AG216" i="6"/>
  <c r="S70" i="1"/>
  <c r="AG587" i="8"/>
  <c r="AG107" i="8"/>
  <c r="AG587" i="7"/>
  <c r="AG587" i="6"/>
  <c r="S71" i="1"/>
  <c r="AG108" i="8"/>
  <c r="AG588" i="7"/>
  <c r="AG588" i="8"/>
  <c r="AG588" i="6"/>
  <c r="AG258" i="8"/>
  <c r="AG258" i="7"/>
  <c r="AG259" i="8"/>
  <c r="AG259" i="7"/>
  <c r="AG260" i="8"/>
  <c r="AG260" i="7"/>
  <c r="AG261" i="8"/>
  <c r="AG261" i="7"/>
  <c r="AG262" i="8"/>
  <c r="AG262" i="7"/>
  <c r="S34" i="1"/>
  <c r="AG263" i="8"/>
  <c r="AG263" i="7"/>
  <c r="AG263" i="6"/>
  <c r="AG107" i="6"/>
  <c r="S35" i="1"/>
  <c r="AG264" i="8"/>
  <c r="AG264" i="7"/>
  <c r="AG108" i="6"/>
  <c r="AG264" i="6"/>
  <c r="AG156" i="8"/>
  <c r="AG636" i="7"/>
  <c r="AG636" i="8"/>
  <c r="AG636" i="6"/>
  <c r="AG306" i="8"/>
  <c r="AG306" i="7"/>
  <c r="AG307" i="8"/>
  <c r="AG307" i="7"/>
  <c r="AG308" i="8"/>
  <c r="AG308" i="7"/>
  <c r="AG309" i="8"/>
  <c r="AG309" i="7"/>
  <c r="AG310" i="8"/>
  <c r="AG310" i="7"/>
  <c r="AA34" i="1"/>
  <c r="AG311" i="7"/>
  <c r="AG311" i="8"/>
  <c r="AG311" i="6"/>
  <c r="AG155" i="6"/>
  <c r="AA35" i="1"/>
  <c r="AG312" i="8"/>
  <c r="AG312" i="7"/>
  <c r="AG156" i="6"/>
  <c r="AG312" i="6"/>
  <c r="I70" i="1"/>
  <c r="AG527" i="8"/>
  <c r="AG47" i="8"/>
  <c r="AG527" i="7"/>
  <c r="AG527" i="6"/>
  <c r="I71" i="1"/>
  <c r="AG528" i="8"/>
  <c r="AG48" i="8"/>
  <c r="AG528" i="7"/>
  <c r="AG528" i="6"/>
  <c r="AG198" i="8"/>
  <c r="AG198" i="7"/>
  <c r="AG199" i="8"/>
  <c r="AG199" i="7"/>
  <c r="AG200" i="8"/>
  <c r="AG200" i="7"/>
  <c r="AG201" i="8"/>
  <c r="AG201" i="7"/>
  <c r="AG202" i="8"/>
  <c r="AG202" i="7"/>
  <c r="I34" i="1"/>
  <c r="AG203" i="8"/>
  <c r="AG203" i="7"/>
  <c r="AG47" i="6"/>
  <c r="AG203" i="6"/>
  <c r="I35" i="1"/>
  <c r="AG204" i="8"/>
  <c r="AG204" i="7"/>
  <c r="AG204" i="6"/>
  <c r="AG48" i="6"/>
  <c r="AG575" i="8"/>
  <c r="AG95" i="8"/>
  <c r="AG575" i="7"/>
  <c r="AG575" i="6"/>
  <c r="Q71" i="1"/>
  <c r="AG576" i="8"/>
  <c r="AG96" i="8"/>
  <c r="AG576" i="7"/>
  <c r="AG576" i="6"/>
  <c r="AG246" i="8"/>
  <c r="AG246" i="7"/>
  <c r="AG247" i="8"/>
  <c r="AG247" i="7"/>
  <c r="AG248" i="8"/>
  <c r="AG248" i="7"/>
  <c r="AG249" i="8"/>
  <c r="AG249" i="7"/>
  <c r="AG250" i="8"/>
  <c r="AG250" i="7"/>
  <c r="Q34" i="1"/>
  <c r="AG251" i="8"/>
  <c r="AG251" i="7"/>
  <c r="AG95" i="6"/>
  <c r="AG251" i="6"/>
  <c r="Q35" i="1"/>
  <c r="AG252" i="8"/>
  <c r="AG252" i="7"/>
  <c r="AG252" i="6"/>
  <c r="AG96" i="6"/>
  <c r="AG623" i="8"/>
  <c r="AG143" i="8"/>
  <c r="AG623" i="7"/>
  <c r="AG623" i="6"/>
  <c r="Y71" i="1"/>
  <c r="AG624" i="8"/>
  <c r="AG144" i="8"/>
  <c r="AG624" i="7"/>
  <c r="AG624" i="6"/>
  <c r="AG294" i="8"/>
  <c r="AG294" i="7"/>
  <c r="AG295" i="8"/>
  <c r="AG295" i="7"/>
  <c r="AG296" i="8"/>
  <c r="AG296" i="7"/>
  <c r="AG297" i="8"/>
  <c r="AG297" i="7"/>
  <c r="AG298" i="8"/>
  <c r="AG298" i="7"/>
  <c r="Y34" i="1"/>
  <c r="AG299" i="8"/>
  <c r="AG299" i="7"/>
  <c r="AG143" i="6"/>
  <c r="AG299" i="6"/>
  <c r="Y35" i="1"/>
  <c r="AG300" i="8"/>
  <c r="AG300" i="7"/>
  <c r="AG300" i="6"/>
  <c r="AG144" i="6"/>
  <c r="AC52" i="1"/>
  <c r="AG479" i="8"/>
  <c r="AG479" i="7"/>
  <c r="AG479" i="6"/>
  <c r="AC53" i="1"/>
  <c r="AG480" i="8"/>
  <c r="AG480" i="7"/>
  <c r="AG480" i="6"/>
  <c r="G70" i="1"/>
  <c r="AG515" i="8"/>
  <c r="AG515" i="7"/>
  <c r="AG515" i="6"/>
  <c r="AG35" i="8"/>
  <c r="G71" i="1"/>
  <c r="AG516" i="7"/>
  <c r="AG516" i="8"/>
  <c r="AG36" i="8"/>
  <c r="AG516" i="6"/>
  <c r="AG186" i="8"/>
  <c r="AG186" i="7"/>
  <c r="AG187" i="8"/>
  <c r="AG187" i="7"/>
  <c r="AG188" i="8"/>
  <c r="AG188" i="7"/>
  <c r="AG189" i="8"/>
  <c r="AG189" i="7"/>
  <c r="AG190" i="8"/>
  <c r="AG190" i="7"/>
  <c r="G34" i="1"/>
  <c r="AG191" i="8"/>
  <c r="AG191" i="7"/>
  <c r="AG191" i="6"/>
  <c r="AG35" i="6"/>
  <c r="G35" i="1"/>
  <c r="AG192" i="8"/>
  <c r="AG192" i="7"/>
  <c r="AG36" i="6"/>
  <c r="AG192" i="6"/>
  <c r="O70" i="1"/>
  <c r="AG563" i="8"/>
  <c r="AG563" i="7"/>
  <c r="AG83" i="8"/>
  <c r="AG563" i="6"/>
  <c r="O71" i="1"/>
  <c r="AG564" i="7"/>
  <c r="AG84" i="8"/>
  <c r="AG564" i="6"/>
  <c r="AG564" i="8"/>
  <c r="AG234" i="8"/>
  <c r="AG234" i="7"/>
  <c r="AG235" i="8"/>
  <c r="AG235" i="7"/>
  <c r="AG236" i="8"/>
  <c r="AG236" i="7"/>
  <c r="AG237" i="8"/>
  <c r="AG237" i="7"/>
  <c r="AG238" i="8"/>
  <c r="AG238" i="7"/>
  <c r="O34" i="1"/>
  <c r="AG239" i="8"/>
  <c r="AG239" i="7"/>
  <c r="AG239" i="6"/>
  <c r="AG83" i="6"/>
  <c r="O35" i="1"/>
  <c r="AG240" i="8"/>
  <c r="AG240" i="7"/>
  <c r="AG84" i="6"/>
  <c r="AG240" i="6"/>
  <c r="AG611" i="8"/>
  <c r="AG131" i="8"/>
  <c r="AG611" i="7"/>
  <c r="AG611" i="6"/>
  <c r="W71" i="1"/>
  <c r="AG132" i="8"/>
  <c r="AG612" i="7"/>
  <c r="AG612" i="8"/>
  <c r="AG612" i="6"/>
  <c r="AG282" i="8"/>
  <c r="AG282" i="7"/>
  <c r="AG283" i="8"/>
  <c r="AG283" i="7"/>
  <c r="AG284" i="8"/>
  <c r="AG284" i="7"/>
  <c r="AG285" i="7"/>
  <c r="AG285" i="8"/>
  <c r="AG286" i="8"/>
  <c r="AG286" i="7"/>
  <c r="W34" i="1"/>
  <c r="AG287" i="8"/>
  <c r="AG287" i="7"/>
  <c r="AG287" i="6"/>
  <c r="AG131" i="6"/>
  <c r="W35" i="1"/>
  <c r="AG288" i="8"/>
  <c r="AG288" i="7"/>
  <c r="AG132" i="6"/>
  <c r="AG288" i="6"/>
  <c r="AA52" i="1"/>
  <c r="AG467" i="8"/>
  <c r="AG467" i="7"/>
  <c r="AG155" i="7"/>
  <c r="AG467" i="6"/>
  <c r="AA53" i="1"/>
  <c r="AG468" i="8"/>
  <c r="AG468" i="7"/>
  <c r="AG156" i="7"/>
  <c r="AG468" i="6"/>
  <c r="Y52" i="1"/>
  <c r="AG455" i="8"/>
  <c r="AG455" i="6"/>
  <c r="AG455" i="7"/>
  <c r="AG143" i="7"/>
  <c r="Y53" i="1"/>
  <c r="AG456" i="8"/>
  <c r="AG456" i="7"/>
  <c r="AG144" i="7"/>
  <c r="AG456" i="6"/>
  <c r="W52" i="1"/>
  <c r="AG443" i="8"/>
  <c r="AG443" i="7"/>
  <c r="AG131" i="7"/>
  <c r="AG443" i="6"/>
  <c r="W53" i="1"/>
  <c r="AG444" i="8"/>
  <c r="AG444" i="7"/>
  <c r="AG132" i="7"/>
  <c r="AG444" i="6"/>
  <c r="U52" i="1"/>
  <c r="AG431" i="8"/>
  <c r="AG431" i="7"/>
  <c r="AG119" i="7"/>
  <c r="AG431" i="6"/>
  <c r="U53" i="1"/>
  <c r="AG432" i="8"/>
  <c r="AG432" i="7"/>
  <c r="AG120" i="7"/>
  <c r="AG432" i="6"/>
  <c r="S52" i="1"/>
  <c r="AG419" i="8"/>
  <c r="AG419" i="7"/>
  <c r="AG107" i="7"/>
  <c r="AG419" i="6"/>
  <c r="S53" i="1"/>
  <c r="AG420" i="8"/>
  <c r="AG420" i="7"/>
  <c r="AG108" i="7"/>
  <c r="AG420" i="6"/>
  <c r="Q52" i="1"/>
  <c r="AG407" i="8"/>
  <c r="AG407" i="7"/>
  <c r="AG407" i="6"/>
  <c r="AG95" i="7"/>
  <c r="Q53" i="1"/>
  <c r="AG408" i="8"/>
  <c r="AG408" i="7"/>
  <c r="AG96" i="7"/>
  <c r="AG408" i="6"/>
  <c r="O52" i="1"/>
  <c r="AG395" i="7"/>
  <c r="AG83" i="7"/>
  <c r="AG395" i="8"/>
  <c r="AG395" i="6"/>
  <c r="O53" i="1"/>
  <c r="AG396" i="8"/>
  <c r="AG396" i="7"/>
  <c r="AG84" i="7"/>
  <c r="AG396" i="6"/>
  <c r="M52" i="1"/>
  <c r="AG383" i="8"/>
  <c r="AG383" i="7"/>
  <c r="AG383" i="6"/>
  <c r="AG71" i="7"/>
  <c r="M53" i="1"/>
  <c r="AG384" i="8"/>
  <c r="AG384" i="7"/>
  <c r="AG72" i="7"/>
  <c r="AG384" i="6"/>
  <c r="K52" i="1"/>
  <c r="AG371" i="8"/>
  <c r="AG371" i="7"/>
  <c r="AG59" i="7"/>
  <c r="AG371" i="6"/>
  <c r="K53" i="1"/>
  <c r="AG372" i="8"/>
  <c r="AG372" i="7"/>
  <c r="AG60" i="7"/>
  <c r="AG372" i="6"/>
  <c r="I52" i="1"/>
  <c r="AG359" i="8"/>
  <c r="AG359" i="6"/>
  <c r="AG359" i="7"/>
  <c r="AG47" i="7"/>
  <c r="I53" i="1"/>
  <c r="AG360" i="8"/>
  <c r="AG360" i="7"/>
  <c r="AG48" i="7"/>
  <c r="AG360" i="6"/>
  <c r="G52" i="1"/>
  <c r="AG347" i="7"/>
  <c r="AG347" i="8"/>
  <c r="AG35" i="7"/>
  <c r="AG347" i="6"/>
  <c r="G53" i="1"/>
  <c r="AG348" i="8"/>
  <c r="AG348" i="7"/>
  <c r="AG348" i="6"/>
  <c r="AG36" i="7"/>
  <c r="E52" i="1"/>
  <c r="AG335" i="8"/>
  <c r="AG335" i="7"/>
  <c r="AG335" i="6"/>
  <c r="AG23" i="7"/>
  <c r="E53" i="1"/>
  <c r="AG336" i="8"/>
  <c r="AG336" i="7"/>
  <c r="AG24" i="7"/>
  <c r="AG336" i="6"/>
  <c r="C52" i="1"/>
  <c r="AG323" i="8"/>
  <c r="AG323" i="7"/>
  <c r="AG11" i="7"/>
  <c r="AG323" i="6"/>
  <c r="C53" i="1"/>
  <c r="AG324" i="7"/>
  <c r="AG324" i="8"/>
  <c r="AG324" i="6"/>
  <c r="AG12" i="7"/>
  <c r="AG503" i="8"/>
  <c r="AG23" i="8"/>
  <c r="AG503" i="7"/>
  <c r="AG503" i="6"/>
  <c r="E71" i="1"/>
  <c r="AG504" i="8"/>
  <c r="AG24" i="8"/>
  <c r="AG504" i="7"/>
  <c r="AG504" i="6"/>
  <c r="AG174" i="8"/>
  <c r="AG174" i="7"/>
  <c r="AG175" i="8"/>
  <c r="AG175" i="7"/>
  <c r="AG177" i="8"/>
  <c r="AG177" i="7"/>
  <c r="AG178" i="8"/>
  <c r="AG178" i="7"/>
  <c r="E34" i="1"/>
  <c r="AG179" i="8"/>
  <c r="AG179" i="7"/>
  <c r="AG23" i="6"/>
  <c r="AG179" i="6"/>
  <c r="E35" i="1"/>
  <c r="AG180" i="8"/>
  <c r="AG180" i="7"/>
  <c r="AG180" i="6"/>
  <c r="AG24" i="6"/>
  <c r="M70" i="1"/>
  <c r="AG551" i="8"/>
  <c r="AG71" i="8"/>
  <c r="AG551" i="7"/>
  <c r="AG551" i="6"/>
  <c r="M71" i="1"/>
  <c r="AG552" i="8"/>
  <c r="AG72" i="8"/>
  <c r="AG552" i="7"/>
  <c r="AG552" i="6"/>
  <c r="AG222" i="8"/>
  <c r="AG222" i="7"/>
  <c r="AG223" i="8"/>
  <c r="AG223" i="7"/>
  <c r="AG224" i="8"/>
  <c r="AG224" i="7"/>
  <c r="AG225" i="8"/>
  <c r="AG225" i="7"/>
  <c r="AG226" i="8"/>
  <c r="AG226" i="7"/>
  <c r="M34" i="1"/>
  <c r="AG227" i="8"/>
  <c r="AG227" i="7"/>
  <c r="AG71" i="6"/>
  <c r="AG227" i="6"/>
  <c r="M35" i="1"/>
  <c r="AG228" i="8"/>
  <c r="AG228" i="7"/>
  <c r="AG228" i="6"/>
  <c r="AG72" i="6"/>
  <c r="U70" i="1"/>
  <c r="AG599" i="8"/>
  <c r="AG119" i="8"/>
  <c r="AG599" i="7"/>
  <c r="AG599" i="6"/>
  <c r="U71" i="1"/>
  <c r="AG600" i="8"/>
  <c r="AG120" i="8"/>
  <c r="AG600" i="7"/>
  <c r="AG600" i="6"/>
  <c r="AG270" i="8"/>
  <c r="AG270" i="7"/>
  <c r="AG271" i="8"/>
  <c r="AG271" i="7"/>
  <c r="AG272" i="8"/>
  <c r="AG272" i="7"/>
  <c r="AG273" i="8"/>
  <c r="AG273" i="7"/>
  <c r="AG274" i="8"/>
  <c r="AG274" i="7"/>
  <c r="U34" i="1"/>
  <c r="AG275" i="8"/>
  <c r="AG275" i="7"/>
  <c r="AG119" i="6"/>
  <c r="AG275" i="6"/>
  <c r="U35" i="1"/>
  <c r="AG276" i="8"/>
  <c r="AG276" i="7"/>
  <c r="AG276" i="6"/>
  <c r="AG120" i="6"/>
  <c r="AG176" i="7"/>
  <c r="AG176" i="8"/>
  <c r="E65" i="1"/>
  <c r="AG498" i="8"/>
  <c r="AG18" i="8"/>
  <c r="AG498" i="6"/>
  <c r="AG498" i="7"/>
  <c r="E69" i="1"/>
  <c r="AG22" i="8"/>
  <c r="AG502" i="8"/>
  <c r="AG502" i="7"/>
  <c r="AG502" i="6"/>
  <c r="AG547" i="8"/>
  <c r="AG67" i="8"/>
  <c r="AG547" i="7"/>
  <c r="AG547" i="6"/>
  <c r="M69" i="1"/>
  <c r="AG550" i="8"/>
  <c r="AG70" i="8"/>
  <c r="AG550" i="7"/>
  <c r="AG550" i="6"/>
  <c r="U66" i="1"/>
  <c r="AG595" i="8"/>
  <c r="AG595" i="7"/>
  <c r="AG595" i="6"/>
  <c r="AG115" i="8"/>
  <c r="U69" i="1"/>
  <c r="AG598" i="8"/>
  <c r="AG118" i="8"/>
  <c r="AG598" i="6"/>
  <c r="AG598" i="7"/>
  <c r="C65" i="1"/>
  <c r="AG486" i="8"/>
  <c r="AG486" i="7"/>
  <c r="AG486" i="6"/>
  <c r="AG6" i="8"/>
  <c r="AJ6" i="8" s="1"/>
  <c r="C66" i="1"/>
  <c r="AG487" i="8"/>
  <c r="AG7" i="8"/>
  <c r="AG487" i="7"/>
  <c r="AG487" i="6"/>
  <c r="C67" i="1"/>
  <c r="AG488" i="8"/>
  <c r="AG488" i="7"/>
  <c r="AG488" i="6"/>
  <c r="AG8" i="8"/>
  <c r="AG489" i="8"/>
  <c r="AG9" i="8"/>
  <c r="AG489" i="7"/>
  <c r="AG489" i="6"/>
  <c r="C69" i="1"/>
  <c r="AG490" i="8"/>
  <c r="AG490" i="7"/>
  <c r="AG490" i="6"/>
  <c r="AG10" i="8"/>
  <c r="K65" i="1"/>
  <c r="AG534" i="8"/>
  <c r="AG534" i="7"/>
  <c r="AG534" i="6"/>
  <c r="AG54" i="8"/>
  <c r="AG535" i="8"/>
  <c r="AG55" i="8"/>
  <c r="AG535" i="7"/>
  <c r="AG535" i="6"/>
  <c r="K67" i="1"/>
  <c r="AG536" i="8"/>
  <c r="AG536" i="7"/>
  <c r="AG536" i="6"/>
  <c r="AG56" i="8"/>
  <c r="AG537" i="8"/>
  <c r="AG57" i="8"/>
  <c r="AG537" i="7"/>
  <c r="AG537" i="6"/>
  <c r="K69" i="1"/>
  <c r="AG538" i="8"/>
  <c r="AG538" i="7"/>
  <c r="AG538" i="6"/>
  <c r="AG58" i="8"/>
  <c r="S65" i="1"/>
  <c r="AG582" i="8"/>
  <c r="AG582" i="7"/>
  <c r="AG582" i="6"/>
  <c r="AG102" i="8"/>
  <c r="S66" i="1"/>
  <c r="AG583" i="8"/>
  <c r="AG103" i="8"/>
  <c r="AG583" i="7"/>
  <c r="AG583" i="6"/>
  <c r="S67" i="1"/>
  <c r="AG584" i="8"/>
  <c r="AG584" i="7"/>
  <c r="AG584" i="6"/>
  <c r="AG104" i="8"/>
  <c r="AG585" i="8"/>
  <c r="AG105" i="8"/>
  <c r="AG585" i="6"/>
  <c r="AG585" i="7"/>
  <c r="S69" i="1"/>
  <c r="AG586" i="8"/>
  <c r="AG106" i="8"/>
  <c r="AG586" i="7"/>
  <c r="AG586" i="6"/>
  <c r="AG630" i="8"/>
  <c r="AG630" i="7"/>
  <c r="AG630" i="6"/>
  <c r="AG150" i="8"/>
  <c r="AG631" i="8"/>
  <c r="AG151" i="8"/>
  <c r="AG631" i="7"/>
  <c r="AG631" i="6"/>
  <c r="AG632" i="7"/>
  <c r="AG632" i="6"/>
  <c r="AG152" i="8"/>
  <c r="AG632" i="8"/>
  <c r="AG633" i="8"/>
  <c r="AG153" i="8"/>
  <c r="AG633" i="6"/>
  <c r="AG633" i="7"/>
  <c r="AG634" i="8"/>
  <c r="AG154" i="8"/>
  <c r="AG634" i="7"/>
  <c r="AG634" i="6"/>
  <c r="AG501" i="8"/>
  <c r="AG501" i="7"/>
  <c r="AG501" i="6"/>
  <c r="AG21" i="8"/>
  <c r="M65" i="1"/>
  <c r="AG546" i="8"/>
  <c r="AG66" i="8"/>
  <c r="AG546" i="7"/>
  <c r="AG546" i="6"/>
  <c r="AG549" i="8"/>
  <c r="AG549" i="7"/>
  <c r="AG549" i="6"/>
  <c r="AG69" i="8"/>
  <c r="U67" i="1"/>
  <c r="AG596" i="8"/>
  <c r="AG116" i="8"/>
  <c r="AG596" i="7"/>
  <c r="AG596" i="6"/>
  <c r="I65" i="1"/>
  <c r="AG522" i="8"/>
  <c r="AG42" i="8"/>
  <c r="AG522" i="7"/>
  <c r="AG522" i="6"/>
  <c r="I66" i="1"/>
  <c r="AG523" i="7"/>
  <c r="AG523" i="6"/>
  <c r="AG523" i="8"/>
  <c r="AG43" i="8"/>
  <c r="I67" i="1"/>
  <c r="AG524" i="8"/>
  <c r="AG44" i="8"/>
  <c r="AG524" i="6"/>
  <c r="AG524" i="7"/>
  <c r="I68" i="1"/>
  <c r="AG525" i="8"/>
  <c r="AG525" i="7"/>
  <c r="AG525" i="6"/>
  <c r="AG45" i="8"/>
  <c r="I69" i="1"/>
  <c r="AG526" i="8"/>
  <c r="AG46" i="8"/>
  <c r="AG526" i="7"/>
  <c r="AG526" i="6"/>
  <c r="Q65" i="1"/>
  <c r="AG570" i="8"/>
  <c r="AG90" i="8"/>
  <c r="AG570" i="7"/>
  <c r="AG570" i="6"/>
  <c r="AG571" i="8"/>
  <c r="AG571" i="7"/>
  <c r="AG571" i="6"/>
  <c r="AG91" i="8"/>
  <c r="Q67" i="1"/>
  <c r="AG572" i="8"/>
  <c r="AG92" i="8"/>
  <c r="AG572" i="6"/>
  <c r="AG572" i="7"/>
  <c r="AG573" i="8"/>
  <c r="AG93" i="8"/>
  <c r="AG573" i="7"/>
  <c r="AG573" i="6"/>
  <c r="Q69" i="1"/>
  <c r="AG574" i="8"/>
  <c r="AG94" i="8"/>
  <c r="AG574" i="7"/>
  <c r="AG574" i="6"/>
  <c r="Y65" i="1"/>
  <c r="AG618" i="8"/>
  <c r="AG138" i="8"/>
  <c r="AG618" i="7"/>
  <c r="AG618" i="6"/>
  <c r="AG619" i="8"/>
  <c r="AG619" i="7"/>
  <c r="AG619" i="6"/>
  <c r="AG139" i="8"/>
  <c r="Y67" i="1"/>
  <c r="AG620" i="8"/>
  <c r="AG140" i="8"/>
  <c r="AG620" i="7"/>
  <c r="AG620" i="6"/>
  <c r="AG621" i="8"/>
  <c r="AG141" i="8"/>
  <c r="AG621" i="7"/>
  <c r="AG621" i="6"/>
  <c r="Y69" i="1"/>
  <c r="AG622" i="8"/>
  <c r="AG142" i="8"/>
  <c r="AG622" i="7"/>
  <c r="AG622" i="6"/>
  <c r="AG499" i="8"/>
  <c r="AG499" i="7"/>
  <c r="AG499" i="6"/>
  <c r="AG19" i="8"/>
  <c r="E67" i="1"/>
  <c r="AG500" i="8"/>
  <c r="AG20" i="8"/>
  <c r="AG500" i="7"/>
  <c r="AG500" i="6"/>
  <c r="M67" i="1"/>
  <c r="AG548" i="8"/>
  <c r="AG68" i="8"/>
  <c r="AG548" i="7"/>
  <c r="AG548" i="6"/>
  <c r="U65" i="1"/>
  <c r="AG594" i="8"/>
  <c r="AG114" i="8"/>
  <c r="AG594" i="7"/>
  <c r="AG594" i="6"/>
  <c r="AG597" i="8"/>
  <c r="AG597" i="7"/>
  <c r="AG597" i="6"/>
  <c r="AG117" i="8"/>
  <c r="G65" i="1"/>
  <c r="AG510" i="8"/>
  <c r="AG510" i="7"/>
  <c r="AG510" i="6"/>
  <c r="AG30" i="8"/>
  <c r="G66" i="1"/>
  <c r="AG511" i="8"/>
  <c r="AG31" i="8"/>
  <c r="AG511" i="6"/>
  <c r="AG511" i="7"/>
  <c r="G67" i="1"/>
  <c r="AG512" i="8"/>
  <c r="AG512" i="7"/>
  <c r="AG512" i="6"/>
  <c r="AG32" i="8"/>
  <c r="AG513" i="8"/>
  <c r="AG33" i="8"/>
  <c r="AG513" i="7"/>
  <c r="AG513" i="6"/>
  <c r="G69" i="1"/>
  <c r="AG514" i="8"/>
  <c r="AG514" i="7"/>
  <c r="AG514" i="6"/>
  <c r="AG34" i="8"/>
  <c r="O65" i="1"/>
  <c r="AG558" i="8"/>
  <c r="AG558" i="7"/>
  <c r="AG558" i="6"/>
  <c r="AG78" i="8"/>
  <c r="O66" i="1"/>
  <c r="AG559" i="8"/>
  <c r="AG79" i="8"/>
  <c r="AG559" i="7"/>
  <c r="AG559" i="6"/>
  <c r="O67" i="1"/>
  <c r="AG560" i="8"/>
  <c r="AG80" i="8"/>
  <c r="AG560" i="7"/>
  <c r="AG560" i="6"/>
  <c r="AG561" i="8"/>
  <c r="AG81" i="8"/>
  <c r="AG561" i="7"/>
  <c r="AG561" i="6"/>
  <c r="O69" i="1"/>
  <c r="AG562" i="8"/>
  <c r="AG562" i="7"/>
  <c r="AG562" i="6"/>
  <c r="AG82" i="8"/>
  <c r="W65" i="1"/>
  <c r="AG606" i="8"/>
  <c r="AG606" i="7"/>
  <c r="AG606" i="6"/>
  <c r="AG126" i="8"/>
  <c r="AG607" i="8"/>
  <c r="AG127" i="8"/>
  <c r="AG607" i="7"/>
  <c r="AG607" i="6"/>
  <c r="W67" i="1"/>
  <c r="AG608" i="8"/>
  <c r="AG128" i="8"/>
  <c r="AG608" i="7"/>
  <c r="AG608" i="6"/>
  <c r="AG609" i="8"/>
  <c r="AG129" i="8"/>
  <c r="AG609" i="7"/>
  <c r="AG609" i="6"/>
  <c r="W69" i="1"/>
  <c r="AG610" i="8"/>
  <c r="AG610" i="7"/>
  <c r="AG610" i="6"/>
  <c r="AG130" i="8"/>
  <c r="AG478" i="7"/>
  <c r="AG478" i="6"/>
  <c r="AA50" i="1"/>
  <c r="AG465" i="7"/>
  <c r="AG153" i="7"/>
  <c r="AG465" i="6"/>
  <c r="Y48" i="1"/>
  <c r="AG451" i="7"/>
  <c r="AG451" i="6"/>
  <c r="AG139" i="7"/>
  <c r="Y50" i="1"/>
  <c r="AG453" i="7"/>
  <c r="AG141" i="7"/>
  <c r="AG453" i="6"/>
  <c r="W48" i="1"/>
  <c r="AG439" i="7"/>
  <c r="AG127" i="7"/>
  <c r="AG439" i="6"/>
  <c r="AG442" i="7"/>
  <c r="AG130" i="7"/>
  <c r="AG442" i="6"/>
  <c r="U49" i="1"/>
  <c r="AG428" i="7"/>
  <c r="AG116" i="7"/>
  <c r="AG428" i="6"/>
  <c r="AG414" i="7"/>
  <c r="AG414" i="6"/>
  <c r="AG102" i="7"/>
  <c r="S49" i="1"/>
  <c r="AG416" i="7"/>
  <c r="AG104" i="7"/>
  <c r="AG416" i="6"/>
  <c r="AG402" i="7"/>
  <c r="AG90" i="7"/>
  <c r="AG402" i="6"/>
  <c r="Q50" i="1"/>
  <c r="AG405" i="7"/>
  <c r="AG93" i="7"/>
  <c r="AG405" i="6"/>
  <c r="O49" i="1"/>
  <c r="AG392" i="7"/>
  <c r="AG392" i="6"/>
  <c r="AG80" i="7"/>
  <c r="AG378" i="7"/>
  <c r="AG378" i="6"/>
  <c r="AG66" i="7"/>
  <c r="M49" i="1"/>
  <c r="AG380" i="7"/>
  <c r="AG380" i="6"/>
  <c r="AG68" i="7"/>
  <c r="AG366" i="7"/>
  <c r="AG366" i="6"/>
  <c r="AG54" i="7"/>
  <c r="K49" i="1"/>
  <c r="AG368" i="7"/>
  <c r="AG56" i="7"/>
  <c r="AG368" i="6"/>
  <c r="I48" i="1"/>
  <c r="AG355" i="7"/>
  <c r="AG43" i="7"/>
  <c r="AG355" i="6"/>
  <c r="AG358" i="7"/>
  <c r="AG46" i="7"/>
  <c r="AG358" i="6"/>
  <c r="G49" i="1"/>
  <c r="AG344" i="7"/>
  <c r="AG344" i="6"/>
  <c r="AG32" i="7"/>
  <c r="AG330" i="7"/>
  <c r="AG330" i="6"/>
  <c r="AG18" i="7"/>
  <c r="E49" i="1"/>
  <c r="AG332" i="7"/>
  <c r="AG332" i="6"/>
  <c r="AG20" i="7"/>
  <c r="AG318" i="7"/>
  <c r="AG318" i="6"/>
  <c r="AG6" i="7"/>
  <c r="AJ6" i="7" s="1"/>
  <c r="AG322" i="7"/>
  <c r="AG322" i="6"/>
  <c r="AG10" i="7"/>
  <c r="AC50" i="1"/>
  <c r="AG477" i="7"/>
  <c r="AG477" i="6"/>
  <c r="AC47" i="1"/>
  <c r="AG474" i="7"/>
  <c r="AG474" i="6"/>
  <c r="AA48" i="1"/>
  <c r="AG463" i="7"/>
  <c r="AG151" i="7"/>
  <c r="AG463" i="6"/>
  <c r="AG466" i="7"/>
  <c r="AG154" i="7"/>
  <c r="AG466" i="6"/>
  <c r="Y49" i="1"/>
  <c r="AG452" i="7"/>
  <c r="AG140" i="7"/>
  <c r="AG452" i="6"/>
  <c r="AG438" i="7"/>
  <c r="AG126" i="7"/>
  <c r="AG438" i="6"/>
  <c r="W50" i="1"/>
  <c r="AG441" i="7"/>
  <c r="AG129" i="7"/>
  <c r="AG441" i="6"/>
  <c r="U50" i="1"/>
  <c r="AG429" i="7"/>
  <c r="AG117" i="7"/>
  <c r="AG429" i="6"/>
  <c r="S48" i="1"/>
  <c r="AG415" i="7"/>
  <c r="AG103" i="7"/>
  <c r="AG415" i="6"/>
  <c r="AG418" i="7"/>
  <c r="AG418" i="6"/>
  <c r="AG106" i="7"/>
  <c r="Q49" i="1"/>
  <c r="AG404" i="7"/>
  <c r="AG404" i="6"/>
  <c r="AG92" i="7"/>
  <c r="AG390" i="7"/>
  <c r="AG78" i="7"/>
  <c r="AG390" i="6"/>
  <c r="O50" i="1"/>
  <c r="AG393" i="7"/>
  <c r="AG81" i="7"/>
  <c r="AG393" i="6"/>
  <c r="M48" i="1"/>
  <c r="AG379" i="7"/>
  <c r="AG67" i="7"/>
  <c r="AG379" i="6"/>
  <c r="AG382" i="7"/>
  <c r="AG382" i="6"/>
  <c r="AG70" i="7"/>
  <c r="K50" i="1"/>
  <c r="AG369" i="7"/>
  <c r="AG369" i="6"/>
  <c r="AG57" i="7"/>
  <c r="I49" i="1"/>
  <c r="AG356" i="7"/>
  <c r="AG356" i="6"/>
  <c r="AG44" i="7"/>
  <c r="AG342" i="7"/>
  <c r="AG30" i="7"/>
  <c r="AG342" i="6"/>
  <c r="AG345" i="7"/>
  <c r="AG33" i="7"/>
  <c r="AG345" i="6"/>
  <c r="E48" i="1"/>
  <c r="AG331" i="7"/>
  <c r="AG19" i="7"/>
  <c r="AG331" i="6"/>
  <c r="AG334" i="7"/>
  <c r="AG334" i="6"/>
  <c r="AG22" i="7"/>
  <c r="C50" i="1"/>
  <c r="AG321" i="7"/>
  <c r="AG321" i="6"/>
  <c r="AG9" i="7"/>
  <c r="AC49" i="1"/>
  <c r="AG476" i="7"/>
  <c r="AG476" i="6"/>
  <c r="AA47" i="1"/>
  <c r="AG462" i="7"/>
  <c r="AG150" i="7"/>
  <c r="AG462" i="6"/>
  <c r="AA49" i="1"/>
  <c r="AG464" i="7"/>
  <c r="AG152" i="7"/>
  <c r="AG464" i="6"/>
  <c r="AG450" i="7"/>
  <c r="AG138" i="7"/>
  <c r="AG450" i="6"/>
  <c r="AG454" i="7"/>
  <c r="AG142" i="7"/>
  <c r="AG454" i="6"/>
  <c r="W49" i="1"/>
  <c r="AG440" i="7"/>
  <c r="AG128" i="7"/>
  <c r="AG440" i="6"/>
  <c r="AG426" i="7"/>
  <c r="AG426" i="6"/>
  <c r="AG114" i="7"/>
  <c r="U48" i="1"/>
  <c r="AG427" i="7"/>
  <c r="AG115" i="7"/>
  <c r="AG427" i="6"/>
  <c r="AG430" i="7"/>
  <c r="AG118" i="7"/>
  <c r="AG430" i="6"/>
  <c r="S50" i="1"/>
  <c r="AG417" i="7"/>
  <c r="AG417" i="6"/>
  <c r="AG105" i="7"/>
  <c r="Q48" i="1"/>
  <c r="AG403" i="7"/>
  <c r="AG91" i="7"/>
  <c r="AG403" i="6"/>
  <c r="AG406" i="7"/>
  <c r="AG94" i="7"/>
  <c r="AG406" i="6"/>
  <c r="O48" i="1"/>
  <c r="AG391" i="7"/>
  <c r="AG391" i="6"/>
  <c r="AG79" i="7"/>
  <c r="AG394" i="7"/>
  <c r="AG82" i="7"/>
  <c r="AG394" i="6"/>
  <c r="M50" i="1"/>
  <c r="AG381" i="7"/>
  <c r="AG69" i="7"/>
  <c r="AG381" i="6"/>
  <c r="K48" i="1"/>
  <c r="AG367" i="7"/>
  <c r="AG55" i="7"/>
  <c r="AG367" i="6"/>
  <c r="AG370" i="7"/>
  <c r="AG370" i="6"/>
  <c r="AG58" i="7"/>
  <c r="AG354" i="7"/>
  <c r="AG42" i="7"/>
  <c r="AG354" i="6"/>
  <c r="I50" i="1"/>
  <c r="AG357" i="7"/>
  <c r="AG45" i="7"/>
  <c r="AG357" i="6"/>
  <c r="G48" i="1"/>
  <c r="AG343" i="7"/>
  <c r="AG343" i="6"/>
  <c r="AG31" i="7"/>
  <c r="G51" i="1"/>
  <c r="AG346" i="7"/>
  <c r="AG34" i="7"/>
  <c r="AG346" i="6"/>
  <c r="E50" i="1"/>
  <c r="AG333" i="7"/>
  <c r="AG21" i="7"/>
  <c r="AG333" i="6"/>
  <c r="C48" i="1"/>
  <c r="AG319" i="7"/>
  <c r="AG319" i="6"/>
  <c r="AG7" i="7"/>
  <c r="AJ7" i="7" s="1"/>
  <c r="C49" i="1"/>
  <c r="AG320" i="7"/>
  <c r="AG8" i="7"/>
  <c r="AG320" i="6"/>
  <c r="AC48" i="1"/>
  <c r="AG475" i="7"/>
  <c r="AG475" i="6"/>
  <c r="AG174" i="6"/>
  <c r="AG18" i="6"/>
  <c r="AG175" i="6"/>
  <c r="AG19" i="6"/>
  <c r="AG176" i="6"/>
  <c r="AG20" i="6"/>
  <c r="AG177" i="6"/>
  <c r="AG21" i="6"/>
  <c r="AG178" i="6"/>
  <c r="AG22" i="6"/>
  <c r="AG222" i="6"/>
  <c r="AG66" i="6"/>
  <c r="AG223" i="6"/>
  <c r="AG67" i="6"/>
  <c r="AG224" i="6"/>
  <c r="AG68" i="6"/>
  <c r="AG225" i="6"/>
  <c r="AG69" i="6"/>
  <c r="AG226" i="6"/>
  <c r="AG70" i="6"/>
  <c r="AG270" i="6"/>
  <c r="AG114" i="6"/>
  <c r="AG271" i="6"/>
  <c r="AG115" i="6"/>
  <c r="AG272" i="6"/>
  <c r="AG116" i="6"/>
  <c r="AG273" i="6"/>
  <c r="AG117" i="6"/>
  <c r="AG118" i="6"/>
  <c r="AG274" i="6"/>
  <c r="AG162" i="6"/>
  <c r="AG6" i="6"/>
  <c r="AJ6" i="6" s="1"/>
  <c r="AG163" i="6"/>
  <c r="AG7" i="6"/>
  <c r="AG164" i="6"/>
  <c r="AG8" i="6"/>
  <c r="AG165" i="6"/>
  <c r="AG9" i="6"/>
  <c r="AG166" i="6"/>
  <c r="AG10" i="6"/>
  <c r="AG210" i="6"/>
  <c r="AG54" i="6"/>
  <c r="AG211" i="6"/>
  <c r="AG55" i="6"/>
  <c r="AG212" i="6"/>
  <c r="AG56" i="6"/>
  <c r="AG213" i="6"/>
  <c r="AG57" i="6"/>
  <c r="AG214" i="6"/>
  <c r="AG58" i="6"/>
  <c r="AG258" i="6"/>
  <c r="AG102" i="6"/>
  <c r="AG259" i="6"/>
  <c r="AG103" i="6"/>
  <c r="AG260" i="6"/>
  <c r="AG104" i="6"/>
  <c r="AG261" i="6"/>
  <c r="AG105" i="6"/>
  <c r="AG262" i="6"/>
  <c r="AG106" i="6"/>
  <c r="AG306" i="6"/>
  <c r="AG150" i="6"/>
  <c r="AG307" i="6"/>
  <c r="AG151" i="6"/>
  <c r="AG308" i="6"/>
  <c r="AG152" i="6"/>
  <c r="AG309" i="6"/>
  <c r="AG153" i="6"/>
  <c r="AG310" i="6"/>
  <c r="AG154" i="6"/>
  <c r="AG198" i="6"/>
  <c r="AG42" i="6"/>
  <c r="AG199" i="6"/>
  <c r="AG43" i="6"/>
  <c r="AG200" i="6"/>
  <c r="AG44" i="6"/>
  <c r="AG201" i="6"/>
  <c r="AG45" i="6"/>
  <c r="AG202" i="6"/>
  <c r="AG46" i="6"/>
  <c r="AG246" i="6"/>
  <c r="AG90" i="6"/>
  <c r="AG247" i="6"/>
  <c r="AG91" i="6"/>
  <c r="AG248" i="6"/>
  <c r="AG92" i="6"/>
  <c r="AG249" i="6"/>
  <c r="AG93" i="6"/>
  <c r="AG250" i="6"/>
  <c r="AG94" i="6"/>
  <c r="AG294" i="6"/>
  <c r="AG138" i="6"/>
  <c r="AG295" i="6"/>
  <c r="AG139" i="6"/>
  <c r="AG296" i="6"/>
  <c r="AG140" i="6"/>
  <c r="AG297" i="6"/>
  <c r="AG141" i="6"/>
  <c r="AG298" i="6"/>
  <c r="AG142" i="6"/>
  <c r="AG186" i="6"/>
  <c r="AG30" i="6"/>
  <c r="AG187" i="6"/>
  <c r="AG31" i="6"/>
  <c r="AG188" i="6"/>
  <c r="AG32" i="6"/>
  <c r="AG189" i="6"/>
  <c r="AG33" i="6"/>
  <c r="AG190" i="6"/>
  <c r="AG34" i="6"/>
  <c r="AG234" i="6"/>
  <c r="AG78" i="6"/>
  <c r="AG235" i="6"/>
  <c r="AG79" i="6"/>
  <c r="AG236" i="6"/>
  <c r="AG80" i="6"/>
  <c r="AG237" i="6"/>
  <c r="AG81" i="6"/>
  <c r="AG238" i="6"/>
  <c r="AG82" i="6"/>
  <c r="AG282" i="6"/>
  <c r="AG126" i="6"/>
  <c r="AG283" i="6"/>
  <c r="AG127" i="6"/>
  <c r="AG128" i="6"/>
  <c r="AG284" i="6"/>
  <c r="AG285" i="6"/>
  <c r="AG129" i="6"/>
  <c r="AG286" i="6"/>
  <c r="AG130" i="6"/>
  <c r="E31" i="1"/>
  <c r="M31" i="1"/>
  <c r="U31" i="1"/>
  <c r="C30" i="1"/>
  <c r="C31" i="1"/>
  <c r="C32" i="1"/>
  <c r="K30" i="1"/>
  <c r="K31" i="1"/>
  <c r="K32" i="1"/>
  <c r="S30" i="1"/>
  <c r="S31" i="1"/>
  <c r="S32" i="1"/>
  <c r="AA30" i="1"/>
  <c r="AA31" i="1"/>
  <c r="AA32" i="1"/>
  <c r="E32" i="1"/>
  <c r="U32" i="1"/>
  <c r="I29" i="1"/>
  <c r="I30" i="1"/>
  <c r="I31" i="1"/>
  <c r="I32" i="1"/>
  <c r="I33" i="1"/>
  <c r="Q30" i="1"/>
  <c r="Q31" i="1"/>
  <c r="Q32" i="1"/>
  <c r="Y29" i="1"/>
  <c r="Y30" i="1"/>
  <c r="Y31" i="1"/>
  <c r="Y32" i="1"/>
  <c r="E30" i="1"/>
  <c r="M30" i="1"/>
  <c r="M32" i="1"/>
  <c r="U30" i="1"/>
  <c r="G30" i="1"/>
  <c r="G31" i="1"/>
  <c r="G32" i="1"/>
  <c r="G33" i="1"/>
  <c r="O30" i="1"/>
  <c r="O31" i="1"/>
  <c r="O32" i="1"/>
  <c r="W29" i="1"/>
  <c r="W30" i="1"/>
  <c r="W31" i="1"/>
  <c r="W32" i="1"/>
  <c r="X150" i="8"/>
  <c r="X35" i="7"/>
  <c r="U155" i="5"/>
  <c r="X119" i="6"/>
  <c r="X143" i="6"/>
  <c r="X154" i="8"/>
  <c r="V70" i="7"/>
  <c r="V142" i="6"/>
  <c r="X166" i="7"/>
  <c r="U151" i="5"/>
  <c r="V54" i="6"/>
  <c r="V139" i="8"/>
  <c r="X43" i="8"/>
  <c r="X103" i="6"/>
  <c r="V127" i="8"/>
  <c r="V90" i="7"/>
  <c r="V126" i="6"/>
  <c r="X42" i="6"/>
  <c r="V130" i="7"/>
  <c r="V22" i="6"/>
  <c r="X34" i="6"/>
  <c r="V55" i="8"/>
  <c r="V70" i="6"/>
  <c r="X78" i="6"/>
  <c r="V93" i="8"/>
  <c r="V94" i="6"/>
  <c r="V102" i="5"/>
  <c r="V11" i="1"/>
  <c r="R12" i="1"/>
  <c r="O29" i="1"/>
  <c r="V68" i="5"/>
  <c r="X167" i="7"/>
  <c r="X131" i="7"/>
  <c r="X23" i="6"/>
  <c r="V56" i="5"/>
  <c r="V70" i="5"/>
  <c r="V91" i="8"/>
  <c r="X95" i="6"/>
  <c r="V104" i="6"/>
  <c r="V114" i="8"/>
  <c r="X115" i="6"/>
  <c r="J11" i="1"/>
  <c r="Z11" i="1"/>
  <c r="V12" i="1"/>
  <c r="N33" i="1"/>
  <c r="R67" i="1"/>
  <c r="V141" i="8"/>
  <c r="U150" i="5"/>
  <c r="U156" i="5"/>
  <c r="V154" i="6"/>
  <c r="N11" i="1"/>
  <c r="J12" i="1"/>
  <c r="V50" i="1"/>
  <c r="J68" i="1"/>
  <c r="V90" i="5"/>
  <c r="V118" i="7"/>
  <c r="V58" i="7"/>
  <c r="V42" i="7"/>
  <c r="V10" i="7"/>
  <c r="X106" i="8"/>
  <c r="X102" i="6"/>
  <c r="X115" i="8"/>
  <c r="V138" i="5"/>
  <c r="N12" i="1"/>
  <c r="R13" i="1"/>
  <c r="R69" i="1"/>
  <c r="X155" i="8"/>
  <c r="X128" i="7"/>
  <c r="V49" i="1"/>
  <c r="V117" i="7"/>
  <c r="T50" i="1"/>
  <c r="X103" i="7"/>
  <c r="R48" i="1"/>
  <c r="X106" i="7"/>
  <c r="S51" i="1"/>
  <c r="X80" i="7"/>
  <c r="N49" i="1"/>
  <c r="X83" i="7"/>
  <c r="N52" i="1"/>
  <c r="X31" i="7"/>
  <c r="F48" i="1"/>
  <c r="X33" i="7"/>
  <c r="G50" i="1"/>
  <c r="X18" i="7"/>
  <c r="E47" i="1"/>
  <c r="V8" i="8"/>
  <c r="B67" i="1"/>
  <c r="X11" i="6"/>
  <c r="B34" i="1"/>
  <c r="X20" i="6"/>
  <c r="D31" i="1"/>
  <c r="V32" i="8"/>
  <c r="F67" i="1"/>
  <c r="V33" i="6"/>
  <c r="F32" i="1"/>
  <c r="V69" i="6"/>
  <c r="L32" i="1"/>
  <c r="X82" i="8"/>
  <c r="N69" i="1"/>
  <c r="V90" i="6"/>
  <c r="P29" i="1"/>
  <c r="V117" i="6"/>
  <c r="T32" i="1"/>
  <c r="X127" i="8"/>
  <c r="W66" i="1"/>
  <c r="X138" i="7"/>
  <c r="Y47" i="1"/>
  <c r="V138" i="7"/>
  <c r="X142" i="7"/>
  <c r="Y51" i="1"/>
  <c r="V126" i="7"/>
  <c r="X114" i="7"/>
  <c r="U47" i="1"/>
  <c r="X116" i="7"/>
  <c r="T49" i="1"/>
  <c r="X119" i="7"/>
  <c r="T52" i="1"/>
  <c r="V105" i="7"/>
  <c r="R50" i="1"/>
  <c r="V106" i="7"/>
  <c r="X91" i="7"/>
  <c r="P48" i="1"/>
  <c r="X94" i="7"/>
  <c r="Q51" i="1"/>
  <c r="V78" i="7"/>
  <c r="X66" i="7"/>
  <c r="M47" i="1"/>
  <c r="X68" i="7"/>
  <c r="L49" i="1"/>
  <c r="X71" i="7"/>
  <c r="L52" i="1"/>
  <c r="V57" i="7"/>
  <c r="J50" i="1"/>
  <c r="X43" i="7"/>
  <c r="H48" i="1"/>
  <c r="X46" i="7"/>
  <c r="I51" i="1"/>
  <c r="V18" i="7"/>
  <c r="X6" i="7"/>
  <c r="C47" i="1"/>
  <c r="X8" i="7"/>
  <c r="B49" i="1"/>
  <c r="X11" i="7"/>
  <c r="B52" i="1"/>
  <c r="X7" i="8"/>
  <c r="B66" i="1"/>
  <c r="V9" i="8"/>
  <c r="B68" i="1"/>
  <c r="X11" i="8"/>
  <c r="B70" i="1"/>
  <c r="X8" i="6"/>
  <c r="B31" i="1"/>
  <c r="X19" i="8"/>
  <c r="E66" i="1"/>
  <c r="X21" i="8"/>
  <c r="E68" i="1"/>
  <c r="X31" i="8"/>
  <c r="F66" i="1"/>
  <c r="V33" i="8"/>
  <c r="F68" i="1"/>
  <c r="X35" i="8"/>
  <c r="F70" i="1"/>
  <c r="X32" i="6"/>
  <c r="F31" i="1"/>
  <c r="X47" i="8"/>
  <c r="H70" i="1"/>
  <c r="X43" i="6"/>
  <c r="H30" i="1"/>
  <c r="X45" i="6"/>
  <c r="X46" i="6"/>
  <c r="H33" i="1"/>
  <c r="X47" i="6"/>
  <c r="H34" i="1"/>
  <c r="V56" i="8"/>
  <c r="J67" i="1"/>
  <c r="X59" i="8"/>
  <c r="K70" i="1"/>
  <c r="V57" i="6"/>
  <c r="J32" i="1"/>
  <c r="V58" i="6"/>
  <c r="X66" i="8"/>
  <c r="L65" i="1"/>
  <c r="V67" i="8"/>
  <c r="X69" i="8"/>
  <c r="M68" i="1"/>
  <c r="X71" i="8"/>
  <c r="L70" i="1"/>
  <c r="X68" i="6"/>
  <c r="L31" i="1"/>
  <c r="X71" i="6"/>
  <c r="L34" i="1"/>
  <c r="X78" i="8"/>
  <c r="N65" i="1"/>
  <c r="V80" i="8"/>
  <c r="N67" i="1"/>
  <c r="X83" i="8"/>
  <c r="V83" i="8"/>
  <c r="N70" i="1"/>
  <c r="X83" i="6"/>
  <c r="N34" i="1"/>
  <c r="X95" i="8"/>
  <c r="Q70" i="1"/>
  <c r="X106" i="6"/>
  <c r="S33" i="1"/>
  <c r="V140" i="8"/>
  <c r="X67" i="1"/>
  <c r="X29" i="1"/>
  <c r="V138" i="6"/>
  <c r="S29" i="1"/>
  <c r="D34" i="1"/>
  <c r="N51" i="1"/>
  <c r="H66" i="1"/>
  <c r="X140" i="7"/>
  <c r="X49" i="1"/>
  <c r="X126" i="7"/>
  <c r="W47" i="1"/>
  <c r="V69" i="7"/>
  <c r="L50" i="1"/>
  <c r="X55" i="7"/>
  <c r="J48" i="1"/>
  <c r="X58" i="7"/>
  <c r="K51" i="1"/>
  <c r="X34" i="7"/>
  <c r="F51" i="1"/>
  <c r="X23" i="7"/>
  <c r="D52" i="1"/>
  <c r="V9" i="7"/>
  <c r="B50" i="1"/>
  <c r="V9" i="6"/>
  <c r="B32" i="1"/>
  <c r="X45" i="8"/>
  <c r="H68" i="1"/>
  <c r="X55" i="6"/>
  <c r="J30" i="1"/>
  <c r="X67" i="8"/>
  <c r="M66" i="1"/>
  <c r="X139" i="7"/>
  <c r="X48" i="1"/>
  <c r="V140" i="7"/>
  <c r="V142" i="7"/>
  <c r="X127" i="7"/>
  <c r="V48" i="1"/>
  <c r="V128" i="7"/>
  <c r="X130" i="7"/>
  <c r="W51" i="1"/>
  <c r="V114" i="7"/>
  <c r="X102" i="7"/>
  <c r="S47" i="1"/>
  <c r="X104" i="7"/>
  <c r="R49" i="1"/>
  <c r="X107" i="7"/>
  <c r="R52" i="1"/>
  <c r="V93" i="7"/>
  <c r="P50" i="1"/>
  <c r="V94" i="7"/>
  <c r="X79" i="7"/>
  <c r="N48" i="1"/>
  <c r="V80" i="7"/>
  <c r="X82" i="7"/>
  <c r="O51" i="1"/>
  <c r="V66" i="7"/>
  <c r="X54" i="7"/>
  <c r="K47" i="1"/>
  <c r="X56" i="7"/>
  <c r="J49" i="1"/>
  <c r="X59" i="7"/>
  <c r="J52" i="1"/>
  <c r="V45" i="7"/>
  <c r="H50" i="1"/>
  <c r="V46" i="7"/>
  <c r="X32" i="7"/>
  <c r="F49" i="1"/>
  <c r="V34" i="7"/>
  <c r="X22" i="7"/>
  <c r="E51" i="1"/>
  <c r="V6" i="7"/>
  <c r="X9" i="8"/>
  <c r="C68" i="1"/>
  <c r="X6" i="6"/>
  <c r="C29" i="1"/>
  <c r="V10" i="6"/>
  <c r="B33" i="1"/>
  <c r="X18" i="8"/>
  <c r="D65" i="1"/>
  <c r="V19" i="8"/>
  <c r="V21" i="8"/>
  <c r="X23" i="8"/>
  <c r="E70" i="1"/>
  <c r="V20" i="6"/>
  <c r="X22" i="6"/>
  <c r="E33" i="1"/>
  <c r="X30" i="8"/>
  <c r="F65" i="1"/>
  <c r="X33" i="8"/>
  <c r="G68" i="1"/>
  <c r="X34" i="8"/>
  <c r="F69" i="1"/>
  <c r="X30" i="6"/>
  <c r="G29" i="1"/>
  <c r="X31" i="6"/>
  <c r="F30" i="1"/>
  <c r="V34" i="6"/>
  <c r="X58" i="8"/>
  <c r="J69" i="1"/>
  <c r="V59" i="8"/>
  <c r="X54" i="6"/>
  <c r="K29" i="1"/>
  <c r="X56" i="6"/>
  <c r="J31" i="1"/>
  <c r="X59" i="6"/>
  <c r="J34" i="1"/>
  <c r="V68" i="8"/>
  <c r="L67" i="1"/>
  <c r="V69" i="8"/>
  <c r="V81" i="8"/>
  <c r="N68" i="1"/>
  <c r="V68" i="1"/>
  <c r="V129" i="8"/>
  <c r="V153" i="6"/>
  <c r="Z32" i="1"/>
  <c r="B29" i="1"/>
  <c r="T34" i="1"/>
  <c r="F52" i="1"/>
  <c r="X78" i="7"/>
  <c r="O47" i="1"/>
  <c r="V21" i="7"/>
  <c r="D50" i="1"/>
  <c r="X35" i="6"/>
  <c r="F34" i="1"/>
  <c r="V45" i="6"/>
  <c r="H32" i="1"/>
  <c r="X54" i="8"/>
  <c r="J65" i="1"/>
  <c r="X57" i="8"/>
  <c r="K68" i="1"/>
  <c r="X58" i="6"/>
  <c r="K33" i="1"/>
  <c r="X154" i="7"/>
  <c r="V154" i="7"/>
  <c r="V141" i="7"/>
  <c r="X50" i="1"/>
  <c r="X143" i="7"/>
  <c r="X52" i="1"/>
  <c r="X115" i="7"/>
  <c r="X118" i="7"/>
  <c r="U51" i="1"/>
  <c r="V102" i="7"/>
  <c r="X90" i="7"/>
  <c r="Q47" i="1"/>
  <c r="X92" i="7"/>
  <c r="P49" i="1"/>
  <c r="X95" i="7"/>
  <c r="P52" i="1"/>
  <c r="V81" i="7"/>
  <c r="N50" i="1"/>
  <c r="X67" i="7"/>
  <c r="L48" i="1"/>
  <c r="V68" i="7"/>
  <c r="X70" i="7"/>
  <c r="M51" i="1"/>
  <c r="V54" i="7"/>
  <c r="X42" i="7"/>
  <c r="I47" i="1"/>
  <c r="X44" i="7"/>
  <c r="H49" i="1"/>
  <c r="X47" i="7"/>
  <c r="H52" i="1"/>
  <c r="V22" i="7"/>
  <c r="X7" i="7"/>
  <c r="B48" i="1"/>
  <c r="V8" i="7"/>
  <c r="X10" i="7"/>
  <c r="C51" i="1"/>
  <c r="V7" i="8"/>
  <c r="X10" i="8"/>
  <c r="V11" i="8"/>
  <c r="X7" i="6"/>
  <c r="B30" i="1"/>
  <c r="V8" i="6"/>
  <c r="X10" i="6"/>
  <c r="C33" i="1"/>
  <c r="X22" i="8"/>
  <c r="D69" i="1"/>
  <c r="V23" i="8"/>
  <c r="X19" i="6"/>
  <c r="V21" i="6"/>
  <c r="D32" i="1"/>
  <c r="V31" i="8"/>
  <c r="X42" i="8"/>
  <c r="H65" i="1"/>
  <c r="V44" i="8"/>
  <c r="H67" i="1"/>
  <c r="X46" i="8"/>
  <c r="H69" i="1"/>
  <c r="X44" i="6"/>
  <c r="H31" i="1"/>
  <c r="X55" i="8"/>
  <c r="K66" i="1"/>
  <c r="X70" i="8"/>
  <c r="L69" i="1"/>
  <c r="X67" i="6"/>
  <c r="L30" i="1"/>
  <c r="X70" i="6"/>
  <c r="M33" i="1"/>
  <c r="X79" i="8"/>
  <c r="N66" i="1"/>
  <c r="V79" i="8"/>
  <c r="V81" i="6"/>
  <c r="N32" i="1"/>
  <c r="V92" i="8"/>
  <c r="P67" i="1"/>
  <c r="V93" i="6"/>
  <c r="P32" i="1"/>
  <c r="X102" i="8"/>
  <c r="R65" i="1"/>
  <c r="V105" i="8"/>
  <c r="R68" i="1"/>
  <c r="V33" i="1"/>
  <c r="V130" i="6"/>
  <c r="X143" i="8"/>
  <c r="Y70" i="1"/>
  <c r="V150" i="6"/>
  <c r="Z29" i="1"/>
  <c r="X32" i="1"/>
  <c r="F50" i="1"/>
  <c r="V52" i="1"/>
  <c r="X81" i="8"/>
  <c r="O68" i="1"/>
  <c r="X80" i="6"/>
  <c r="X94" i="8"/>
  <c r="P69" i="1"/>
  <c r="V95" i="8"/>
  <c r="X90" i="6"/>
  <c r="X92" i="6"/>
  <c r="X105" i="8"/>
  <c r="S68" i="1"/>
  <c r="V107" i="8"/>
  <c r="X107" i="6"/>
  <c r="R34" i="1"/>
  <c r="V116" i="8"/>
  <c r="T67" i="1"/>
  <c r="X119" i="8"/>
  <c r="T70" i="1"/>
  <c r="X126" i="8"/>
  <c r="V65" i="1"/>
  <c r="X129" i="8"/>
  <c r="W68" i="1"/>
  <c r="X127" i="6"/>
  <c r="X130" i="6"/>
  <c r="W33" i="1"/>
  <c r="X142" i="8"/>
  <c r="X69" i="1"/>
  <c r="V143" i="8"/>
  <c r="X138" i="6"/>
  <c r="X140" i="6"/>
  <c r="X150" i="6"/>
  <c r="X152" i="6"/>
  <c r="X155" i="6"/>
  <c r="Z34" i="1"/>
  <c r="R30" i="1"/>
  <c r="N31" i="1"/>
  <c r="X31" i="1"/>
  <c r="R32" i="1"/>
  <c r="R33" i="1"/>
  <c r="X34" i="1"/>
  <c r="V67" i="1"/>
  <c r="X91" i="8"/>
  <c r="Q66" i="1"/>
  <c r="X103" i="8"/>
  <c r="R66" i="1"/>
  <c r="V117" i="8"/>
  <c r="T68" i="1"/>
  <c r="X118" i="6"/>
  <c r="U33" i="1"/>
  <c r="X131" i="8"/>
  <c r="W70" i="1"/>
  <c r="V129" i="6"/>
  <c r="V32" i="1"/>
  <c r="X139" i="8"/>
  <c r="Y66" i="1"/>
  <c r="Q29" i="1"/>
  <c r="AA29" i="1"/>
  <c r="X79" i="6"/>
  <c r="X82" i="6"/>
  <c r="O33" i="1"/>
  <c r="X90" i="8"/>
  <c r="X93" i="8"/>
  <c r="Q68" i="1"/>
  <c r="X91" i="6"/>
  <c r="X94" i="6"/>
  <c r="Q33" i="1"/>
  <c r="X107" i="8"/>
  <c r="X104" i="6"/>
  <c r="X114" i="8"/>
  <c r="X117" i="8"/>
  <c r="U68" i="1"/>
  <c r="X118" i="8"/>
  <c r="T69" i="1"/>
  <c r="V119" i="8"/>
  <c r="V118" i="6"/>
  <c r="X130" i="8"/>
  <c r="V131" i="8"/>
  <c r="X126" i="6"/>
  <c r="X128" i="6"/>
  <c r="X131" i="6"/>
  <c r="V34" i="1"/>
  <c r="X138" i="8"/>
  <c r="X141" i="8"/>
  <c r="Y68" i="1"/>
  <c r="X139" i="6"/>
  <c r="X142" i="6"/>
  <c r="Y33" i="1"/>
  <c r="X153" i="8"/>
  <c r="X151" i="6"/>
  <c r="X154" i="6"/>
  <c r="AA33" i="1"/>
  <c r="N29" i="1"/>
  <c r="R29" i="1"/>
  <c r="P30" i="1"/>
  <c r="V30" i="1"/>
  <c r="Z30" i="1"/>
  <c r="P31" i="1"/>
  <c r="V31" i="1"/>
  <c r="Z31" i="1"/>
  <c r="P34" i="1"/>
  <c r="T66" i="1"/>
  <c r="V13" i="1"/>
  <c r="V92" i="5"/>
  <c r="V118" i="5"/>
  <c r="H14" i="1"/>
  <c r="L14" i="1"/>
  <c r="T14" i="1"/>
  <c r="P15" i="1"/>
  <c r="X15" i="1"/>
  <c r="H16" i="1"/>
  <c r="L16" i="1"/>
  <c r="P16" i="1"/>
  <c r="T16" i="1"/>
  <c r="X16" i="1"/>
  <c r="Z12" i="1"/>
  <c r="N13" i="1"/>
  <c r="V58" i="5"/>
  <c r="V82" i="5"/>
  <c r="V154" i="5"/>
  <c r="L11" i="1"/>
  <c r="T11" i="1"/>
  <c r="H12" i="1"/>
  <c r="L12" i="1"/>
  <c r="P12" i="1"/>
  <c r="T12" i="1"/>
  <c r="X12" i="1"/>
  <c r="H13" i="1"/>
  <c r="T13" i="1"/>
  <c r="V44" i="5"/>
  <c r="V130" i="5"/>
  <c r="U154" i="5"/>
  <c r="J14" i="1"/>
  <c r="N14" i="1"/>
  <c r="R14" i="1"/>
  <c r="V14" i="1"/>
  <c r="Z14" i="1"/>
  <c r="N15" i="1"/>
  <c r="R15" i="1"/>
  <c r="J16" i="1"/>
  <c r="N16" i="1"/>
  <c r="R16" i="1"/>
  <c r="V16" i="1"/>
  <c r="Z16" i="1"/>
  <c r="F12" i="1"/>
  <c r="F16" i="1"/>
  <c r="B16" i="1"/>
  <c r="T30" i="1"/>
  <c r="X18" i="6"/>
  <c r="D30" i="1"/>
  <c r="V164" i="7"/>
  <c r="X163" i="7"/>
  <c r="V162" i="7"/>
  <c r="X116" i="6"/>
  <c r="V114" i="6"/>
  <c r="V116" i="6"/>
  <c r="X114" i="6"/>
  <c r="U29" i="1"/>
  <c r="V66" i="6"/>
  <c r="X66" i="6"/>
  <c r="M29" i="1"/>
  <c r="V18" i="6"/>
  <c r="E29" i="1"/>
  <c r="J17" i="1"/>
  <c r="V17" i="1"/>
  <c r="N35" i="1"/>
  <c r="F71" i="1"/>
  <c r="J71" i="1"/>
  <c r="AC51" i="1"/>
  <c r="AB47" i="1"/>
  <c r="AB48" i="1"/>
  <c r="AB52" i="1"/>
  <c r="V166" i="7"/>
  <c r="V165" i="7"/>
  <c r="X162" i="7"/>
  <c r="X6" i="8"/>
  <c r="N17" i="1"/>
  <c r="R35" i="1"/>
  <c r="R53" i="1"/>
  <c r="R71" i="1"/>
  <c r="R17" i="1"/>
  <c r="B71" i="1"/>
  <c r="V71" i="1"/>
  <c r="B17" i="1"/>
  <c r="H17" i="1"/>
  <c r="L17" i="1"/>
  <c r="P17" i="1"/>
  <c r="T17" i="1"/>
  <c r="X17" i="1"/>
  <c r="L35" i="1"/>
  <c r="D53" i="1"/>
  <c r="H53" i="1"/>
  <c r="L53" i="1"/>
  <c r="P53" i="1"/>
  <c r="T53" i="1"/>
  <c r="X53" i="1"/>
  <c r="D71" i="1"/>
  <c r="H71" i="1"/>
  <c r="L71" i="1"/>
  <c r="P71" i="1"/>
  <c r="T71" i="1"/>
  <c r="X71" i="1"/>
  <c r="F17" i="1"/>
  <c r="Z17" i="1"/>
  <c r="N71" i="1"/>
  <c r="X156" i="6"/>
  <c r="D17" i="1"/>
  <c r="V23" i="5"/>
  <c r="V152" i="7"/>
  <c r="X155" i="7"/>
  <c r="X151" i="7"/>
  <c r="X150" i="7"/>
  <c r="Z48" i="1"/>
  <c r="Z50" i="1"/>
  <c r="Z52" i="1"/>
  <c r="Z53" i="1"/>
  <c r="V150" i="7"/>
  <c r="X152" i="7"/>
  <c r="AA51" i="1"/>
  <c r="U152" i="5"/>
  <c r="D67" i="1"/>
  <c r="V20" i="7"/>
  <c r="X20" i="7"/>
  <c r="F13" i="1"/>
  <c r="H29" i="1"/>
  <c r="V42" i="6"/>
  <c r="X30" i="7"/>
  <c r="X19" i="7"/>
  <c r="F47" i="1"/>
  <c r="V30" i="7"/>
  <c r="G47" i="1"/>
  <c r="AB49" i="1"/>
  <c r="B15" i="1"/>
  <c r="X84" i="5"/>
  <c r="X12" i="6"/>
  <c r="X144" i="6"/>
  <c r="X48" i="6"/>
  <c r="X84" i="7"/>
  <c r="X36" i="6"/>
  <c r="X72" i="6"/>
  <c r="X96" i="6"/>
  <c r="X132" i="7"/>
  <c r="X72" i="5"/>
  <c r="X96" i="5"/>
  <c r="X120" i="6"/>
  <c r="V36" i="6"/>
  <c r="V144" i="6"/>
  <c r="X168" i="7"/>
  <c r="X108" i="7"/>
  <c r="X108" i="6"/>
  <c r="X144" i="5"/>
  <c r="X60" i="7"/>
  <c r="X12" i="7"/>
  <c r="X12" i="5"/>
  <c r="X24" i="6"/>
  <c r="X36" i="5"/>
  <c r="X48" i="5"/>
  <c r="X60" i="6"/>
  <c r="X120" i="5"/>
  <c r="X132" i="6"/>
  <c r="X156" i="5"/>
  <c r="V168" i="7"/>
  <c r="V12" i="6"/>
  <c r="V96" i="6"/>
  <c r="V120" i="6"/>
  <c r="X156" i="7"/>
  <c r="X144" i="7"/>
  <c r="V132" i="7"/>
  <c r="X120" i="7"/>
  <c r="X96" i="7"/>
  <c r="V84" i="7"/>
  <c r="X72" i="7"/>
  <c r="V60" i="7"/>
  <c r="X48" i="7"/>
  <c r="X36" i="7"/>
  <c r="X24" i="7"/>
  <c r="V12" i="7"/>
  <c r="X24" i="5"/>
  <c r="V24" i="6"/>
  <c r="X60" i="5"/>
  <c r="V60" i="6"/>
  <c r="X84" i="6"/>
  <c r="X108" i="5"/>
  <c r="X132" i="5"/>
  <c r="V132" i="6"/>
  <c r="V156" i="6"/>
  <c r="V30" i="6"/>
  <c r="V151" i="8"/>
  <c r="X151" i="8"/>
  <c r="U153" i="5"/>
  <c r="V153" i="5"/>
  <c r="X155" i="5"/>
  <c r="V150" i="8"/>
  <c r="X152" i="8"/>
  <c r="V154" i="8"/>
  <c r="X156" i="8"/>
  <c r="V151" i="6"/>
  <c r="X153" i="6"/>
  <c r="V155" i="6"/>
  <c r="V141" i="5"/>
  <c r="X143" i="5"/>
  <c r="V138" i="8"/>
  <c r="X140" i="8"/>
  <c r="V142" i="8"/>
  <c r="X144" i="8"/>
  <c r="V139" i="6"/>
  <c r="X141" i="6"/>
  <c r="V143" i="6"/>
  <c r="V129" i="5"/>
  <c r="X131" i="5"/>
  <c r="V126" i="8"/>
  <c r="X128" i="8"/>
  <c r="V130" i="8"/>
  <c r="X132" i="8"/>
  <c r="V127" i="6"/>
  <c r="X129" i="6"/>
  <c r="V131" i="6"/>
  <c r="V117" i="5"/>
  <c r="X119" i="5"/>
  <c r="X116" i="8"/>
  <c r="V118" i="8"/>
  <c r="X120" i="8"/>
  <c r="V115" i="6"/>
  <c r="X117" i="6"/>
  <c r="V119" i="6"/>
  <c r="X107" i="5"/>
  <c r="V102" i="8"/>
  <c r="X104" i="8"/>
  <c r="V106" i="8"/>
  <c r="X108" i="8"/>
  <c r="V103" i="6"/>
  <c r="X105" i="6"/>
  <c r="V107" i="6"/>
  <c r="V93" i="5"/>
  <c r="X95" i="5"/>
  <c r="V90" i="8"/>
  <c r="X92" i="8"/>
  <c r="V94" i="8"/>
  <c r="X96" i="8"/>
  <c r="V91" i="6"/>
  <c r="X93" i="6"/>
  <c r="V95" i="6"/>
  <c r="V81" i="5"/>
  <c r="X83" i="5"/>
  <c r="V78" i="8"/>
  <c r="X80" i="8"/>
  <c r="V82" i="8"/>
  <c r="X84" i="8"/>
  <c r="V79" i="6"/>
  <c r="X81" i="6"/>
  <c r="V83" i="6"/>
  <c r="V69" i="5"/>
  <c r="X71" i="5"/>
  <c r="V66" i="8"/>
  <c r="X68" i="8"/>
  <c r="V70" i="8"/>
  <c r="X72" i="8"/>
  <c r="V67" i="6"/>
  <c r="X69" i="6"/>
  <c r="V71" i="6"/>
  <c r="V57" i="5"/>
  <c r="X59" i="5"/>
  <c r="V54" i="8"/>
  <c r="X56" i="8"/>
  <c r="V58" i="8"/>
  <c r="X60" i="8"/>
  <c r="V55" i="6"/>
  <c r="X57" i="6"/>
  <c r="V59" i="6"/>
  <c r="V42" i="5"/>
  <c r="V46" i="5"/>
  <c r="V43" i="8"/>
  <c r="V47" i="8"/>
  <c r="V44" i="6"/>
  <c r="V48" i="6"/>
  <c r="V45" i="5"/>
  <c r="X47" i="5"/>
  <c r="V42" i="8"/>
  <c r="X44" i="8"/>
  <c r="V46" i="8"/>
  <c r="X48" i="8"/>
  <c r="V43" i="6"/>
  <c r="V47" i="6"/>
  <c r="X32" i="8"/>
  <c r="X36" i="8"/>
  <c r="X33" i="6"/>
  <c r="X35" i="5"/>
  <c r="X23" i="5"/>
  <c r="V18" i="8"/>
  <c r="X20" i="8"/>
  <c r="V22" i="8"/>
  <c r="X24" i="8"/>
  <c r="V19" i="6"/>
  <c r="X21" i="6"/>
  <c r="V23" i="6"/>
  <c r="X11" i="5"/>
  <c r="V6" i="8"/>
  <c r="X8" i="8"/>
  <c r="V10" i="8"/>
  <c r="X12" i="8"/>
  <c r="V7" i="6"/>
  <c r="X9" i="6"/>
  <c r="V11" i="6"/>
  <c r="V7" i="7"/>
  <c r="X9" i="7"/>
  <c r="V11" i="7"/>
  <c r="V19" i="7"/>
  <c r="X21" i="7"/>
  <c r="V23" i="7"/>
  <c r="V32" i="7"/>
  <c r="V36" i="7"/>
  <c r="V31" i="7"/>
  <c r="V35" i="7"/>
  <c r="V43" i="7"/>
  <c r="X45" i="7"/>
  <c r="V47" i="7"/>
  <c r="V55" i="7"/>
  <c r="X57" i="7"/>
  <c r="V59" i="7"/>
  <c r="V67" i="7"/>
  <c r="X69" i="7"/>
  <c r="V71" i="7"/>
  <c r="V79" i="7"/>
  <c r="X81" i="7"/>
  <c r="V83" i="7"/>
  <c r="V91" i="7"/>
  <c r="X93" i="7"/>
  <c r="V95" i="7"/>
  <c r="V103" i="7"/>
  <c r="X105" i="7"/>
  <c r="V107" i="7"/>
  <c r="V115" i="7"/>
  <c r="X117" i="7"/>
  <c r="V119" i="7"/>
  <c r="V127" i="7"/>
  <c r="X129" i="7"/>
  <c r="V131" i="7"/>
  <c r="V139" i="7"/>
  <c r="X141" i="7"/>
  <c r="V143" i="7"/>
  <c r="V151" i="7"/>
  <c r="X153" i="7"/>
  <c r="V155" i="7"/>
  <c r="X164" i="7"/>
  <c r="V163" i="7"/>
  <c r="X165" i="7"/>
  <c r="V167" i="7"/>
  <c r="AP154" i="5"/>
  <c r="AO154" i="5"/>
  <c r="AN154" i="5"/>
  <c r="AM154" i="5"/>
  <c r="AP153" i="5"/>
  <c r="AO153" i="5"/>
  <c r="AN153" i="5"/>
  <c r="AM153" i="5"/>
  <c r="AP152" i="5"/>
  <c r="AO152" i="5"/>
  <c r="AN152" i="5"/>
  <c r="AM152" i="5"/>
  <c r="AP151" i="5"/>
  <c r="AO151" i="5"/>
  <c r="AN151" i="5"/>
  <c r="AM151" i="5"/>
  <c r="AP150" i="5"/>
  <c r="AO150" i="5"/>
  <c r="AN150" i="5"/>
  <c r="AM150" i="5"/>
  <c r="AP142" i="5"/>
  <c r="AO142" i="5"/>
  <c r="AN142" i="5"/>
  <c r="AM142" i="5"/>
  <c r="AP141" i="5"/>
  <c r="AO141" i="5"/>
  <c r="AN141" i="5"/>
  <c r="AM141" i="5"/>
  <c r="AP140" i="5"/>
  <c r="AO140" i="5"/>
  <c r="AN140" i="5"/>
  <c r="AM140" i="5"/>
  <c r="AP139" i="5"/>
  <c r="AO139" i="5"/>
  <c r="AN139" i="5"/>
  <c r="AM139" i="5"/>
  <c r="AP138" i="5"/>
  <c r="AO138" i="5"/>
  <c r="AN138" i="5"/>
  <c r="AM138" i="5"/>
  <c r="AP130" i="5"/>
  <c r="AO130" i="5"/>
  <c r="AN130" i="5"/>
  <c r="AM130" i="5"/>
  <c r="AP129" i="5"/>
  <c r="AO129" i="5"/>
  <c r="AN129" i="5"/>
  <c r="AM129" i="5"/>
  <c r="AP128" i="5"/>
  <c r="AO128" i="5"/>
  <c r="AN128" i="5"/>
  <c r="AM128" i="5"/>
  <c r="AP127" i="5"/>
  <c r="AO127" i="5"/>
  <c r="AN127" i="5"/>
  <c r="AM127" i="5"/>
  <c r="AP126" i="5"/>
  <c r="AO126" i="5"/>
  <c r="AN126" i="5"/>
  <c r="AM126" i="5"/>
  <c r="AP118" i="5"/>
  <c r="AO118" i="5"/>
  <c r="AN118" i="5"/>
  <c r="AM118" i="5"/>
  <c r="AP117" i="5"/>
  <c r="AO117" i="5"/>
  <c r="AN117" i="5"/>
  <c r="AM117" i="5"/>
  <c r="AP116" i="5"/>
  <c r="AO116" i="5"/>
  <c r="AN116" i="5"/>
  <c r="AM116" i="5"/>
  <c r="AP115" i="5"/>
  <c r="AO115" i="5"/>
  <c r="AN115" i="5"/>
  <c r="AM115" i="5"/>
  <c r="AP114" i="5"/>
  <c r="AO114" i="5"/>
  <c r="AN114" i="5"/>
  <c r="AM114" i="5"/>
  <c r="AP106" i="5"/>
  <c r="AO106" i="5"/>
  <c r="AN106" i="5"/>
  <c r="AM106" i="5"/>
  <c r="AP105" i="5"/>
  <c r="AO105" i="5"/>
  <c r="AN105" i="5"/>
  <c r="AM105" i="5"/>
  <c r="AP104" i="5"/>
  <c r="AO104" i="5"/>
  <c r="AN104" i="5"/>
  <c r="AM104" i="5"/>
  <c r="AP103" i="5"/>
  <c r="AO103" i="5"/>
  <c r="AN103" i="5"/>
  <c r="AM103" i="5"/>
  <c r="AP102" i="5"/>
  <c r="AO102" i="5"/>
  <c r="AN102" i="5"/>
  <c r="AM102" i="5"/>
  <c r="AP94" i="5"/>
  <c r="AO94" i="5"/>
  <c r="AN94" i="5"/>
  <c r="AM94" i="5"/>
  <c r="AP93" i="5"/>
  <c r="AO93" i="5"/>
  <c r="AN93" i="5"/>
  <c r="AM93" i="5"/>
  <c r="AP92" i="5"/>
  <c r="AO92" i="5"/>
  <c r="AN92" i="5"/>
  <c r="AM92" i="5"/>
  <c r="AP91" i="5"/>
  <c r="AO91" i="5"/>
  <c r="AN91" i="5"/>
  <c r="AM91" i="5"/>
  <c r="AP90" i="5"/>
  <c r="AO90" i="5"/>
  <c r="AN90" i="5"/>
  <c r="AM90" i="5"/>
  <c r="AP82" i="5"/>
  <c r="AO82" i="5"/>
  <c r="AN82" i="5"/>
  <c r="AM82" i="5"/>
  <c r="AP81" i="5"/>
  <c r="AO81" i="5"/>
  <c r="AN81" i="5"/>
  <c r="AM81" i="5"/>
  <c r="AP80" i="5"/>
  <c r="AO80" i="5"/>
  <c r="AN80" i="5"/>
  <c r="AM80" i="5"/>
  <c r="AP79" i="5"/>
  <c r="AO79" i="5"/>
  <c r="AN79" i="5"/>
  <c r="AM79" i="5"/>
  <c r="AP78" i="5"/>
  <c r="AO78" i="5"/>
  <c r="AN78" i="5"/>
  <c r="AM78" i="5"/>
  <c r="AP70" i="5"/>
  <c r="AO70" i="5"/>
  <c r="AN70" i="5"/>
  <c r="AM70" i="5"/>
  <c r="AP69" i="5"/>
  <c r="AO69" i="5"/>
  <c r="AN69" i="5"/>
  <c r="AM69" i="5"/>
  <c r="AP68" i="5"/>
  <c r="AO68" i="5"/>
  <c r="AN68" i="5"/>
  <c r="AM68" i="5"/>
  <c r="AP67" i="5"/>
  <c r="AO67" i="5"/>
  <c r="AN67" i="5"/>
  <c r="AM67" i="5"/>
  <c r="AP66" i="5"/>
  <c r="AO66" i="5"/>
  <c r="AN66" i="5"/>
  <c r="AM66" i="5"/>
  <c r="AP58" i="5"/>
  <c r="AO58" i="5"/>
  <c r="AN58" i="5"/>
  <c r="AM58" i="5"/>
  <c r="AP57" i="5"/>
  <c r="AO57" i="5"/>
  <c r="AN57" i="5"/>
  <c r="AM57" i="5"/>
  <c r="AP56" i="5"/>
  <c r="AO56" i="5"/>
  <c r="AN56" i="5"/>
  <c r="AM56" i="5"/>
  <c r="AP55" i="5"/>
  <c r="AO55" i="5"/>
  <c r="AN55" i="5"/>
  <c r="AM55" i="5"/>
  <c r="AP54" i="5"/>
  <c r="AO54" i="5"/>
  <c r="AN54" i="5"/>
  <c r="AM54" i="5"/>
  <c r="AP46" i="5"/>
  <c r="AO46" i="5"/>
  <c r="AN46" i="5"/>
  <c r="AM46" i="5"/>
  <c r="AP45" i="5"/>
  <c r="AO45" i="5"/>
  <c r="AN45" i="5"/>
  <c r="AM45" i="5"/>
  <c r="AP44" i="5"/>
  <c r="AO44" i="5"/>
  <c r="AN44" i="5"/>
  <c r="AM44" i="5"/>
  <c r="AP43" i="5"/>
  <c r="AO43" i="5"/>
  <c r="AN43" i="5"/>
  <c r="AM43" i="5"/>
  <c r="AP42" i="5"/>
  <c r="AO42" i="5"/>
  <c r="AN42" i="5"/>
  <c r="AM42" i="5"/>
  <c r="AP34" i="5"/>
  <c r="AO34" i="5"/>
  <c r="AN34" i="5"/>
  <c r="AM34" i="5"/>
  <c r="AP33" i="5"/>
  <c r="AO33" i="5"/>
  <c r="AN33" i="5"/>
  <c r="AM33" i="5"/>
  <c r="AP32" i="5"/>
  <c r="AO32" i="5"/>
  <c r="AN32" i="5"/>
  <c r="AM32" i="5"/>
  <c r="AP31" i="5"/>
  <c r="AO31" i="5"/>
  <c r="AN31" i="5"/>
  <c r="AM31" i="5"/>
  <c r="AP30" i="5"/>
  <c r="AO30" i="5"/>
  <c r="AN30" i="5"/>
  <c r="AM30" i="5"/>
  <c r="AP22" i="5"/>
  <c r="AO22" i="5"/>
  <c r="AN22" i="5"/>
  <c r="AM22" i="5"/>
  <c r="AP21" i="5"/>
  <c r="AO21" i="5"/>
  <c r="AN21" i="5"/>
  <c r="AM21" i="5"/>
  <c r="AP20" i="5"/>
  <c r="AO20" i="5"/>
  <c r="AN20" i="5"/>
  <c r="AM20" i="5"/>
  <c r="AP19" i="5"/>
  <c r="AO19" i="5"/>
  <c r="AN19" i="5"/>
  <c r="AM19" i="5"/>
  <c r="AP18" i="5"/>
  <c r="AO18" i="5"/>
  <c r="AN18" i="5"/>
  <c r="AM18" i="5"/>
  <c r="AP10" i="5"/>
  <c r="AO10" i="5"/>
  <c r="AN10" i="5"/>
  <c r="AM10" i="5"/>
  <c r="AP9" i="5"/>
  <c r="AO9" i="5"/>
  <c r="AN9" i="5"/>
  <c r="AM9" i="5"/>
  <c r="AP8" i="5"/>
  <c r="AO8" i="5"/>
  <c r="AN8" i="5"/>
  <c r="AM8" i="5"/>
  <c r="AP7" i="5"/>
  <c r="AO7" i="5"/>
  <c r="AN7" i="5"/>
  <c r="AM7" i="5"/>
  <c r="AP6" i="5"/>
  <c r="AO6" i="5"/>
  <c r="AN6" i="5"/>
  <c r="AM6" i="5"/>
  <c r="BF6" i="5" s="1"/>
  <c r="BF8" i="5" s="1"/>
  <c r="BF10" i="5" s="1"/>
  <c r="BF12" i="5" s="1"/>
  <c r="BF14" i="5" s="1"/>
  <c r="BF16" i="5" s="1"/>
  <c r="BF18" i="5" s="1"/>
  <c r="BF20" i="5" s="1"/>
  <c r="BF22" i="5" s="1"/>
  <c r="BF24" i="5" s="1"/>
  <c r="BF26" i="5" s="1"/>
  <c r="BF28" i="5" s="1"/>
  <c r="BF30" i="5" s="1"/>
  <c r="BF32" i="5" s="1"/>
  <c r="BF34" i="5" s="1"/>
  <c r="BF36" i="5" s="1"/>
  <c r="BF38" i="5" s="1"/>
  <c r="BF40" i="5" s="1"/>
  <c r="BF42" i="5" s="1"/>
  <c r="BF44" i="5" s="1"/>
  <c r="BF46" i="5" s="1"/>
  <c r="BF48" i="5" s="1"/>
  <c r="BF50" i="5" s="1"/>
  <c r="BF52" i="5" s="1"/>
  <c r="BF54" i="5" s="1"/>
  <c r="BF56" i="5" s="1"/>
  <c r="BF58" i="5" s="1"/>
  <c r="BF60" i="5" s="1"/>
  <c r="BF62" i="5" s="1"/>
  <c r="BF64" i="5" s="1"/>
  <c r="BF66" i="5" s="1"/>
  <c r="BF68" i="5" s="1"/>
  <c r="BF70" i="5" s="1"/>
  <c r="BF72" i="5" s="1"/>
  <c r="BF74" i="5" s="1"/>
  <c r="BF76" i="5" s="1"/>
  <c r="BF78" i="5" s="1"/>
  <c r="BF80" i="5" s="1"/>
  <c r="BF82" i="5" s="1"/>
  <c r="BF84" i="5" s="1"/>
  <c r="BF86" i="5" s="1"/>
  <c r="BF88" i="5" s="1"/>
  <c r="BF90" i="5" s="1"/>
  <c r="BF92" i="5" s="1"/>
  <c r="BF94" i="5" s="1"/>
  <c r="BF96" i="5" s="1"/>
  <c r="BF98" i="5" s="1"/>
  <c r="BF100" i="5" s="1"/>
  <c r="BF102" i="5" s="1"/>
  <c r="BF104" i="5" s="1"/>
  <c r="BF106" i="5" s="1"/>
  <c r="BF108" i="5" s="1"/>
  <c r="BF110" i="5" s="1"/>
  <c r="BF112" i="5" s="1"/>
  <c r="BF114" i="5" s="1"/>
  <c r="BF116" i="5" s="1"/>
  <c r="BF118" i="5" s="1"/>
  <c r="BF120" i="5" s="1"/>
  <c r="BF122" i="5" s="1"/>
  <c r="BF124" i="5" s="1"/>
  <c r="BF126" i="5" s="1"/>
  <c r="BF128" i="5" s="1"/>
  <c r="BF130" i="5" s="1"/>
  <c r="BF132" i="5" s="1"/>
  <c r="BF134" i="5" s="1"/>
  <c r="BF136" i="5" s="1"/>
  <c r="BF138" i="5" s="1"/>
  <c r="BF140" i="5" s="1"/>
  <c r="BF142" i="5" s="1"/>
  <c r="BF144" i="5" s="1"/>
  <c r="BF146" i="5" s="1"/>
  <c r="BF148" i="5" s="1"/>
  <c r="BF150" i="5" s="1"/>
  <c r="BF152" i="5" s="1"/>
  <c r="BF154" i="5" s="1"/>
  <c r="BF156" i="5" s="1"/>
  <c r="BF158" i="5" s="1"/>
  <c r="BF160" i="5" s="1"/>
  <c r="BF162" i="5" s="1"/>
  <c r="BF164" i="5" s="1"/>
  <c r="BF166" i="5" s="1"/>
  <c r="BF168" i="5" s="1"/>
  <c r="BF170" i="5" s="1"/>
  <c r="BF172" i="5" s="1"/>
  <c r="BF174" i="5" s="1"/>
  <c r="BF176" i="5" s="1"/>
  <c r="BF178" i="5" s="1"/>
  <c r="BF180" i="5" s="1"/>
  <c r="BF182" i="5" s="1"/>
  <c r="BF184" i="5" s="1"/>
  <c r="BF186" i="5" s="1"/>
  <c r="BF188" i="5" s="1"/>
  <c r="BF190" i="5" s="1"/>
  <c r="BF192" i="5" s="1"/>
  <c r="BF194" i="5" s="1"/>
  <c r="BF196" i="5" s="1"/>
  <c r="BF198" i="5" s="1"/>
  <c r="BF200" i="5" s="1"/>
  <c r="BF202" i="5" s="1"/>
  <c r="BF204" i="5" s="1"/>
  <c r="BF206" i="5" s="1"/>
  <c r="BF208" i="5" s="1"/>
  <c r="BF210" i="5" s="1"/>
  <c r="BF212" i="5" s="1"/>
  <c r="BF214" i="5" s="1"/>
  <c r="BF216" i="5" s="1"/>
  <c r="BF218" i="5" s="1"/>
  <c r="BF220" i="5" s="1"/>
  <c r="BF222" i="5" s="1"/>
  <c r="BF224" i="5" s="1"/>
  <c r="BF226" i="5" s="1"/>
  <c r="BF228" i="5" s="1"/>
  <c r="BF230" i="5" s="1"/>
  <c r="BF232" i="5" s="1"/>
  <c r="BF234" i="5" s="1"/>
  <c r="BF236" i="5" s="1"/>
  <c r="BF238" i="5" s="1"/>
  <c r="BF240" i="5" s="1"/>
  <c r="BF242" i="5" s="1"/>
  <c r="BF244" i="5" s="1"/>
  <c r="BF246" i="5" s="1"/>
  <c r="BF248" i="5" s="1"/>
  <c r="BF250" i="5" s="1"/>
  <c r="BF252" i="5" s="1"/>
  <c r="BF254" i="5" s="1"/>
  <c r="BF256" i="5" s="1"/>
  <c r="BF258" i="5" s="1"/>
  <c r="BF260" i="5" s="1"/>
  <c r="BF262" i="5" s="1"/>
  <c r="BF264" i="5" s="1"/>
  <c r="BF266" i="5" s="1"/>
  <c r="BF268" i="5" s="1"/>
  <c r="BF270" i="5" s="1"/>
  <c r="BF272" i="5" s="1"/>
  <c r="BF274" i="5" s="1"/>
  <c r="BF276" i="5" s="1"/>
  <c r="BF278" i="5" s="1"/>
  <c r="BF280" i="5" s="1"/>
  <c r="BF282" i="5" s="1"/>
  <c r="BF284" i="5" s="1"/>
  <c r="BF286" i="5" s="1"/>
  <c r="BF288" i="5" s="1"/>
  <c r="BF290" i="5" s="1"/>
  <c r="BF292" i="5" s="1"/>
  <c r="BF294" i="5" s="1"/>
  <c r="BF296" i="5" s="1"/>
  <c r="BF298" i="5" s="1"/>
  <c r="BF300" i="5" s="1"/>
  <c r="BF302" i="5" s="1"/>
  <c r="BF304" i="5" s="1"/>
  <c r="BF306" i="5" s="1"/>
  <c r="BF308" i="5" s="1"/>
  <c r="BF310" i="5" s="1"/>
  <c r="BF312" i="5" s="1"/>
  <c r="BF314" i="5" s="1"/>
  <c r="BF316" i="5" s="1"/>
  <c r="BF318" i="5" s="1"/>
  <c r="BF320" i="5" s="1"/>
  <c r="BF322" i="5" s="1"/>
  <c r="BF324" i="5" s="1"/>
  <c r="BF326" i="5" s="1"/>
  <c r="BF328" i="5" s="1"/>
  <c r="BF330" i="5" s="1"/>
  <c r="BF332" i="5" s="1"/>
  <c r="BF334" i="5" s="1"/>
  <c r="BF336" i="5" s="1"/>
  <c r="BF338" i="5" s="1"/>
  <c r="BF340" i="5" s="1"/>
  <c r="BF342" i="5" s="1"/>
  <c r="BF344" i="5" s="1"/>
  <c r="BF346" i="5" s="1"/>
  <c r="BF348" i="5" s="1"/>
  <c r="BF350" i="5" s="1"/>
  <c r="BF352" i="5" s="1"/>
  <c r="BF354" i="5" s="1"/>
  <c r="BF356" i="5" s="1"/>
  <c r="BF358" i="5" s="1"/>
  <c r="BF360" i="5" s="1"/>
  <c r="BF362" i="5" s="1"/>
  <c r="BF364" i="5" s="1"/>
  <c r="BF366" i="5" s="1"/>
  <c r="BF368" i="5" s="1"/>
  <c r="BF370" i="5" s="1"/>
  <c r="BF372" i="5" s="1"/>
  <c r="BF374" i="5" s="1"/>
  <c r="BF376" i="5" s="1"/>
  <c r="BF378" i="5" s="1"/>
  <c r="BF380" i="5" s="1"/>
  <c r="BF382" i="5" s="1"/>
  <c r="BF384" i="5" s="1"/>
  <c r="BF386" i="5" s="1"/>
  <c r="BF388" i="5" s="1"/>
  <c r="BF390" i="5" s="1"/>
  <c r="BF392" i="5" s="1"/>
  <c r="BF394" i="5" s="1"/>
  <c r="BF396" i="5" s="1"/>
  <c r="BF398" i="5" s="1"/>
  <c r="BF400" i="5" s="1"/>
  <c r="BF402" i="5" s="1"/>
  <c r="BF404" i="5" s="1"/>
  <c r="BF406" i="5" s="1"/>
  <c r="BF408" i="5" s="1"/>
  <c r="BF410" i="5" s="1"/>
  <c r="BF412" i="5" s="1"/>
  <c r="BF414" i="5" s="1"/>
  <c r="BF416" i="5" s="1"/>
  <c r="BF418" i="5" s="1"/>
  <c r="BF420" i="5" s="1"/>
  <c r="BF422" i="5" s="1"/>
  <c r="BF424" i="5" s="1"/>
  <c r="BF426" i="5" s="1"/>
  <c r="BF428" i="5" s="1"/>
  <c r="BF430" i="5" s="1"/>
  <c r="BF432" i="5" s="1"/>
  <c r="BF434" i="5" s="1"/>
  <c r="BF436" i="5" s="1"/>
  <c r="BF438" i="5" s="1"/>
  <c r="BF440" i="5" s="1"/>
  <c r="BF442" i="5" s="1"/>
  <c r="BF444" i="5" s="1"/>
  <c r="BF446" i="5" s="1"/>
  <c r="BF448" i="5" s="1"/>
  <c r="BF450" i="5" s="1"/>
  <c r="BF452" i="5" s="1"/>
  <c r="BF454" i="5" s="1"/>
  <c r="BF456" i="5" s="1"/>
  <c r="BF458" i="5" s="1"/>
  <c r="BF460" i="5" s="1"/>
  <c r="BF462" i="5" s="1"/>
  <c r="BF464" i="5" s="1"/>
  <c r="BF466" i="5" s="1"/>
  <c r="BF468" i="5" s="1"/>
  <c r="BF470" i="5" s="1"/>
  <c r="BF472" i="5" s="1"/>
  <c r="BF474" i="5" s="1"/>
  <c r="BF476" i="5" s="1"/>
  <c r="BF478" i="5" s="1"/>
  <c r="BF480" i="5" s="1"/>
  <c r="BF482" i="5" s="1"/>
  <c r="BF484" i="5" s="1"/>
  <c r="BF486" i="5" s="1"/>
  <c r="BF488" i="5" s="1"/>
  <c r="BF490" i="5" s="1"/>
  <c r="BF492" i="5" s="1"/>
  <c r="BF494" i="5" s="1"/>
  <c r="BF496" i="5" s="1"/>
  <c r="BF498" i="5" s="1"/>
  <c r="BF500" i="5" s="1"/>
  <c r="BF502" i="5" s="1"/>
  <c r="BF504" i="5" s="1"/>
  <c r="BF506" i="5" s="1"/>
  <c r="BF508" i="5" s="1"/>
  <c r="BF510" i="5" s="1"/>
  <c r="BF512" i="5" s="1"/>
  <c r="BF514" i="5" s="1"/>
  <c r="BF516" i="5" s="1"/>
  <c r="BF518" i="5" s="1"/>
  <c r="BF520" i="5" s="1"/>
  <c r="BF522" i="5" s="1"/>
  <c r="BF524" i="5" s="1"/>
  <c r="BF526" i="5" s="1"/>
  <c r="BF528" i="5" s="1"/>
  <c r="BF530" i="5" s="1"/>
  <c r="BF532" i="5" s="1"/>
  <c r="BF534" i="5" s="1"/>
  <c r="BF536" i="5" s="1"/>
  <c r="BF538" i="5" s="1"/>
  <c r="BF540" i="5" s="1"/>
  <c r="BF542" i="5" s="1"/>
  <c r="BF544" i="5" s="1"/>
  <c r="BF546" i="5" s="1"/>
  <c r="BF548" i="5" s="1"/>
  <c r="BF550" i="5" s="1"/>
  <c r="BF552" i="5" s="1"/>
  <c r="BF554" i="5" s="1"/>
  <c r="BF556" i="5" s="1"/>
  <c r="BF558" i="5" s="1"/>
  <c r="BF560" i="5" s="1"/>
  <c r="BF562" i="5" s="1"/>
  <c r="BF564" i="5" s="1"/>
  <c r="BF566" i="5" s="1"/>
  <c r="BF568" i="5" s="1"/>
  <c r="BF570" i="5" s="1"/>
  <c r="BF572" i="5" s="1"/>
  <c r="BF574" i="5" s="1"/>
  <c r="BF576" i="5" s="1"/>
  <c r="BF578" i="5" s="1"/>
  <c r="BF580" i="5" s="1"/>
  <c r="BF582" i="5" s="1"/>
  <c r="BF584" i="5" s="1"/>
  <c r="BF586" i="5" s="1"/>
  <c r="BF588" i="5" s="1"/>
  <c r="BF590" i="5" s="1"/>
  <c r="BF592" i="5" s="1"/>
  <c r="BF594" i="5" s="1"/>
  <c r="BF596" i="5" s="1"/>
  <c r="BF598" i="5" s="1"/>
  <c r="BF600" i="5" s="1"/>
  <c r="BF602" i="5" s="1"/>
  <c r="BF604" i="5" s="1"/>
  <c r="BF606" i="5" s="1"/>
  <c r="BF608" i="5" s="1"/>
  <c r="BF610" i="5" s="1"/>
  <c r="BF612" i="5" s="1"/>
  <c r="BF614" i="5" s="1"/>
  <c r="BF616" i="5" s="1"/>
  <c r="BF618" i="5" s="1"/>
  <c r="BF620" i="5" s="1"/>
  <c r="BF622" i="5" s="1"/>
  <c r="BF624" i="5" s="1"/>
  <c r="BF626" i="5" s="1"/>
  <c r="BF628" i="5" s="1"/>
  <c r="BF630" i="5" s="1"/>
  <c r="BF632" i="5" s="1"/>
  <c r="BF634" i="5" s="1"/>
  <c r="BF636" i="5" s="1"/>
  <c r="O8" i="5" l="1"/>
  <c r="V8" i="5" s="1"/>
  <c r="O7" i="5"/>
  <c r="V7" i="5" s="1"/>
  <c r="BF7" i="5"/>
  <c r="BF9" i="5" s="1"/>
  <c r="BF11" i="5" s="1"/>
  <c r="BF13" i="5" s="1"/>
  <c r="BF15" i="5" s="1"/>
  <c r="AJ7" i="6"/>
  <c r="AJ8" i="6" s="1"/>
  <c r="AJ9" i="6" s="1"/>
  <c r="AJ10" i="6" s="1"/>
  <c r="AJ11" i="6" s="1"/>
  <c r="AJ12" i="6" s="1"/>
  <c r="AJ18" i="6" s="1"/>
  <c r="AJ19" i="6" s="1"/>
  <c r="AJ20" i="6" s="1"/>
  <c r="AJ21" i="6" s="1"/>
  <c r="AJ22" i="6" s="1"/>
  <c r="AJ23" i="6" s="1"/>
  <c r="AJ24" i="6" s="1"/>
  <c r="AJ30" i="6" s="1"/>
  <c r="AJ31" i="6" s="1"/>
  <c r="AJ32" i="6" s="1"/>
  <c r="AJ33" i="6" s="1"/>
  <c r="AJ34" i="6" s="1"/>
  <c r="AJ35" i="6" s="1"/>
  <c r="AJ36" i="6" s="1"/>
  <c r="AJ42" i="6" s="1"/>
  <c r="AJ43" i="6" s="1"/>
  <c r="AJ44" i="6" s="1"/>
  <c r="AJ45" i="6" s="1"/>
  <c r="AJ46" i="6" s="1"/>
  <c r="AJ47" i="6" s="1"/>
  <c r="AJ48" i="6" s="1"/>
  <c r="AJ54" i="6" s="1"/>
  <c r="AJ55" i="6" s="1"/>
  <c r="AJ56" i="6" s="1"/>
  <c r="AJ57" i="6" s="1"/>
  <c r="AJ58" i="6" s="1"/>
  <c r="AJ59" i="6" s="1"/>
  <c r="AJ60" i="6" s="1"/>
  <c r="AJ66" i="6" s="1"/>
  <c r="AJ67" i="6" s="1"/>
  <c r="AJ68" i="6" s="1"/>
  <c r="AJ69" i="6" s="1"/>
  <c r="AJ70" i="6" s="1"/>
  <c r="AJ71" i="6" s="1"/>
  <c r="AJ72" i="6" s="1"/>
  <c r="AJ78" i="6" s="1"/>
  <c r="AJ79" i="6" s="1"/>
  <c r="AJ80" i="6" s="1"/>
  <c r="AJ81" i="6" s="1"/>
  <c r="AJ82" i="6" s="1"/>
  <c r="AJ83" i="6" s="1"/>
  <c r="AJ84" i="6" s="1"/>
  <c r="AJ90" i="6" s="1"/>
  <c r="AJ91" i="6" s="1"/>
  <c r="AJ92" i="6" s="1"/>
  <c r="AJ93" i="6" s="1"/>
  <c r="AJ94" i="6" s="1"/>
  <c r="AJ95" i="6" s="1"/>
  <c r="AJ96" i="6" s="1"/>
  <c r="AJ102" i="6" s="1"/>
  <c r="AJ103" i="6" s="1"/>
  <c r="AJ104" i="6" s="1"/>
  <c r="AJ105" i="6" s="1"/>
  <c r="AJ106" i="6" s="1"/>
  <c r="AJ107" i="6" s="1"/>
  <c r="AJ108" i="6" s="1"/>
  <c r="AJ114" i="6" s="1"/>
  <c r="AJ115" i="6" s="1"/>
  <c r="AJ116" i="6" s="1"/>
  <c r="AJ117" i="6" s="1"/>
  <c r="AJ118" i="6" s="1"/>
  <c r="AJ119" i="6" s="1"/>
  <c r="AJ120" i="6" s="1"/>
  <c r="AJ126" i="6" s="1"/>
  <c r="AJ127" i="6" s="1"/>
  <c r="AJ128" i="6" s="1"/>
  <c r="AJ129" i="6" s="1"/>
  <c r="AJ130" i="6" s="1"/>
  <c r="AJ131" i="6" s="1"/>
  <c r="AJ132" i="6" s="1"/>
  <c r="AJ138" i="6" s="1"/>
  <c r="AJ139" i="6" s="1"/>
  <c r="AJ140" i="6" s="1"/>
  <c r="AJ141" i="6" s="1"/>
  <c r="AJ142" i="6" s="1"/>
  <c r="AJ143" i="6" s="1"/>
  <c r="AJ144" i="6" s="1"/>
  <c r="AJ150" i="6" s="1"/>
  <c r="AJ151" i="6" s="1"/>
  <c r="AJ152" i="6" s="1"/>
  <c r="AJ153" i="6" s="1"/>
  <c r="AJ154" i="6" s="1"/>
  <c r="AJ155" i="6" s="1"/>
  <c r="AJ156" i="6" s="1"/>
  <c r="AJ162" i="6" s="1"/>
  <c r="AJ163" i="6" s="1"/>
  <c r="AJ164" i="6" s="1"/>
  <c r="AJ165" i="6" s="1"/>
  <c r="AJ166" i="6" s="1"/>
  <c r="AJ167" i="6" s="1"/>
  <c r="AJ168" i="6" s="1"/>
  <c r="AJ174" i="6" s="1"/>
  <c r="AJ175" i="6" s="1"/>
  <c r="AJ176" i="6" s="1"/>
  <c r="AJ177" i="6" s="1"/>
  <c r="AJ178" i="6" s="1"/>
  <c r="AJ179" i="6" s="1"/>
  <c r="AJ180" i="6" s="1"/>
  <c r="AJ186" i="6" s="1"/>
  <c r="AJ187" i="6" s="1"/>
  <c r="AJ188" i="6" s="1"/>
  <c r="AJ189" i="6" s="1"/>
  <c r="AJ190" i="6" s="1"/>
  <c r="AJ191" i="6" s="1"/>
  <c r="AJ192" i="6" s="1"/>
  <c r="AJ198" i="6" s="1"/>
  <c r="AJ199" i="6" s="1"/>
  <c r="AJ200" i="6" s="1"/>
  <c r="AJ201" i="6" s="1"/>
  <c r="AJ202" i="6" s="1"/>
  <c r="AJ203" i="6" s="1"/>
  <c r="AJ204" i="6" s="1"/>
  <c r="AJ210" i="6" s="1"/>
  <c r="AJ211" i="6" s="1"/>
  <c r="AJ212" i="6" s="1"/>
  <c r="AJ213" i="6" s="1"/>
  <c r="AJ214" i="6" s="1"/>
  <c r="AJ215" i="6" s="1"/>
  <c r="AJ216" i="6" s="1"/>
  <c r="AJ222" i="6" s="1"/>
  <c r="AJ223" i="6" s="1"/>
  <c r="AJ224" i="6" s="1"/>
  <c r="AJ225" i="6" s="1"/>
  <c r="AJ226" i="6" s="1"/>
  <c r="AJ227" i="6" s="1"/>
  <c r="AJ228" i="6" s="1"/>
  <c r="AJ234" i="6" s="1"/>
  <c r="AJ235" i="6" s="1"/>
  <c r="AJ236" i="6" s="1"/>
  <c r="AJ237" i="6" s="1"/>
  <c r="AJ238" i="6" s="1"/>
  <c r="AJ239" i="6" s="1"/>
  <c r="AJ240" i="6" s="1"/>
  <c r="AJ246" i="6" s="1"/>
  <c r="AJ247" i="6" s="1"/>
  <c r="AJ248" i="6" s="1"/>
  <c r="AJ249" i="6" s="1"/>
  <c r="AJ250" i="6" s="1"/>
  <c r="AJ251" i="6" s="1"/>
  <c r="AJ252" i="6" s="1"/>
  <c r="AJ258" i="6" s="1"/>
  <c r="AJ259" i="6" s="1"/>
  <c r="AJ260" i="6" s="1"/>
  <c r="AJ261" i="6" s="1"/>
  <c r="AJ262" i="6" s="1"/>
  <c r="AJ263" i="6" s="1"/>
  <c r="AJ264" i="6" s="1"/>
  <c r="AJ270" i="6" s="1"/>
  <c r="AJ271" i="6" s="1"/>
  <c r="AJ272" i="6" s="1"/>
  <c r="AJ273" i="6" s="1"/>
  <c r="AJ274" i="6" s="1"/>
  <c r="AJ275" i="6" s="1"/>
  <c r="AJ276" i="6" s="1"/>
  <c r="AJ282" i="6" s="1"/>
  <c r="AJ283" i="6" s="1"/>
  <c r="AJ284" i="6" s="1"/>
  <c r="AJ285" i="6" s="1"/>
  <c r="AJ286" i="6" s="1"/>
  <c r="AJ287" i="6" s="1"/>
  <c r="AJ288" i="6" s="1"/>
  <c r="AJ294" i="6" s="1"/>
  <c r="AJ295" i="6" s="1"/>
  <c r="AJ296" i="6" s="1"/>
  <c r="AJ297" i="6" s="1"/>
  <c r="AJ298" i="6" s="1"/>
  <c r="AJ299" i="6" s="1"/>
  <c r="AJ300" i="6" s="1"/>
  <c r="AJ306" i="6" s="1"/>
  <c r="AJ307" i="6" s="1"/>
  <c r="AJ308" i="6" s="1"/>
  <c r="AJ309" i="6" s="1"/>
  <c r="AJ310" i="6" s="1"/>
  <c r="AJ311" i="6" s="1"/>
  <c r="AJ312" i="6" s="1"/>
  <c r="AJ318" i="6" s="1"/>
  <c r="AJ319" i="6" s="1"/>
  <c r="AJ320" i="6" s="1"/>
  <c r="AJ321" i="6" s="1"/>
  <c r="AJ322" i="6" s="1"/>
  <c r="AJ323" i="6" s="1"/>
  <c r="AJ324" i="6" s="1"/>
  <c r="AJ330" i="6" s="1"/>
  <c r="AJ331" i="6" s="1"/>
  <c r="AJ332" i="6" s="1"/>
  <c r="AJ333" i="6" s="1"/>
  <c r="AJ334" i="6" s="1"/>
  <c r="AJ335" i="6" s="1"/>
  <c r="AJ336" i="6" s="1"/>
  <c r="AJ342" i="6" s="1"/>
  <c r="AJ343" i="6" s="1"/>
  <c r="AJ344" i="6" s="1"/>
  <c r="AJ345" i="6" s="1"/>
  <c r="AJ346" i="6" s="1"/>
  <c r="AJ347" i="6" s="1"/>
  <c r="AJ348" i="6" s="1"/>
  <c r="AJ354" i="6" s="1"/>
  <c r="AJ355" i="6" s="1"/>
  <c r="AJ356" i="6" s="1"/>
  <c r="AJ357" i="6" s="1"/>
  <c r="AJ358" i="6" s="1"/>
  <c r="AJ359" i="6" s="1"/>
  <c r="AJ360" i="6" s="1"/>
  <c r="AJ366" i="6" s="1"/>
  <c r="AJ367" i="6" s="1"/>
  <c r="AJ368" i="6" s="1"/>
  <c r="AJ369" i="6" s="1"/>
  <c r="AJ370" i="6" s="1"/>
  <c r="AJ371" i="6" s="1"/>
  <c r="AJ372" i="6" s="1"/>
  <c r="AJ378" i="6" s="1"/>
  <c r="AJ379" i="6" s="1"/>
  <c r="AJ380" i="6" s="1"/>
  <c r="AJ381" i="6" s="1"/>
  <c r="AJ382" i="6" s="1"/>
  <c r="AJ383" i="6" s="1"/>
  <c r="AJ384" i="6" s="1"/>
  <c r="AJ390" i="6" s="1"/>
  <c r="AJ391" i="6" s="1"/>
  <c r="AJ392" i="6" s="1"/>
  <c r="AJ393" i="6" s="1"/>
  <c r="AJ394" i="6" s="1"/>
  <c r="AJ395" i="6" s="1"/>
  <c r="AJ396" i="6" s="1"/>
  <c r="AJ402" i="6" s="1"/>
  <c r="AJ403" i="6" s="1"/>
  <c r="AJ404" i="6" s="1"/>
  <c r="AJ405" i="6" s="1"/>
  <c r="AJ406" i="6" s="1"/>
  <c r="AJ407" i="6" s="1"/>
  <c r="AJ408" i="6" s="1"/>
  <c r="AJ414" i="6" s="1"/>
  <c r="AJ415" i="6" s="1"/>
  <c r="AJ416" i="6" s="1"/>
  <c r="AJ417" i="6" s="1"/>
  <c r="AJ418" i="6" s="1"/>
  <c r="AJ419" i="6" s="1"/>
  <c r="AJ420" i="6" s="1"/>
  <c r="AJ426" i="6" s="1"/>
  <c r="AJ427" i="6" s="1"/>
  <c r="AJ428" i="6" s="1"/>
  <c r="AJ429" i="6" s="1"/>
  <c r="AJ430" i="6" s="1"/>
  <c r="AJ431" i="6" s="1"/>
  <c r="AJ432" i="6" s="1"/>
  <c r="AJ438" i="6" s="1"/>
  <c r="AJ439" i="6" s="1"/>
  <c r="AJ440" i="6" s="1"/>
  <c r="AJ441" i="6" s="1"/>
  <c r="AJ442" i="6" s="1"/>
  <c r="AJ443" i="6" s="1"/>
  <c r="AJ444" i="6" s="1"/>
  <c r="AJ450" i="6" s="1"/>
  <c r="AJ451" i="6" s="1"/>
  <c r="AJ452" i="6" s="1"/>
  <c r="AJ453" i="6" s="1"/>
  <c r="AJ454" i="6" s="1"/>
  <c r="AJ455" i="6" s="1"/>
  <c r="AJ456" i="6" s="1"/>
  <c r="AJ462" i="6" s="1"/>
  <c r="AJ463" i="6" s="1"/>
  <c r="AJ464" i="6" s="1"/>
  <c r="AJ465" i="6" s="1"/>
  <c r="AJ466" i="6" s="1"/>
  <c r="AJ467" i="6" s="1"/>
  <c r="AJ468" i="6" s="1"/>
  <c r="AJ474" i="6" s="1"/>
  <c r="AJ475" i="6" s="1"/>
  <c r="AJ476" i="6" s="1"/>
  <c r="AJ477" i="6" s="1"/>
  <c r="AJ478" i="6" s="1"/>
  <c r="AJ479" i="6" s="1"/>
  <c r="AJ480" i="6" s="1"/>
  <c r="AJ486" i="6" s="1"/>
  <c r="AJ487" i="6" s="1"/>
  <c r="AJ488" i="6" s="1"/>
  <c r="AJ489" i="6" s="1"/>
  <c r="AJ490" i="6" s="1"/>
  <c r="AJ491" i="6" s="1"/>
  <c r="AJ492" i="6" s="1"/>
  <c r="AJ498" i="6" s="1"/>
  <c r="AJ499" i="6" s="1"/>
  <c r="AJ500" i="6" s="1"/>
  <c r="AJ501" i="6" s="1"/>
  <c r="AJ502" i="6" s="1"/>
  <c r="AJ503" i="6" s="1"/>
  <c r="AJ504" i="6" s="1"/>
  <c r="AJ510" i="6" s="1"/>
  <c r="AJ511" i="6" s="1"/>
  <c r="AJ512" i="6" s="1"/>
  <c r="AJ513" i="6" s="1"/>
  <c r="AJ514" i="6" s="1"/>
  <c r="AJ515" i="6" s="1"/>
  <c r="AJ516" i="6" s="1"/>
  <c r="AJ522" i="6" s="1"/>
  <c r="AJ523" i="6" s="1"/>
  <c r="AJ524" i="6" s="1"/>
  <c r="AJ525" i="6" s="1"/>
  <c r="AJ526" i="6" s="1"/>
  <c r="AJ527" i="6" s="1"/>
  <c r="AJ528" i="6" s="1"/>
  <c r="AJ534" i="6" s="1"/>
  <c r="AJ535" i="6" s="1"/>
  <c r="AJ536" i="6" s="1"/>
  <c r="AJ537" i="6" s="1"/>
  <c r="AJ538" i="6" s="1"/>
  <c r="AJ539" i="6" s="1"/>
  <c r="AJ540" i="6" s="1"/>
  <c r="AJ546" i="6" s="1"/>
  <c r="AJ547" i="6" s="1"/>
  <c r="AJ548" i="6" s="1"/>
  <c r="AJ549" i="6" s="1"/>
  <c r="AJ550" i="6" s="1"/>
  <c r="AJ551" i="6" s="1"/>
  <c r="AJ552" i="6" s="1"/>
  <c r="AJ558" i="6" s="1"/>
  <c r="AJ559" i="6" s="1"/>
  <c r="AJ560" i="6" s="1"/>
  <c r="AJ561" i="6" s="1"/>
  <c r="AJ562" i="6" s="1"/>
  <c r="AJ563" i="6" s="1"/>
  <c r="AJ564" i="6" s="1"/>
  <c r="AJ570" i="6" s="1"/>
  <c r="AJ571" i="6" s="1"/>
  <c r="AJ572" i="6" s="1"/>
  <c r="AJ573" i="6" s="1"/>
  <c r="AJ574" i="6" s="1"/>
  <c r="AJ575" i="6" s="1"/>
  <c r="AJ576" i="6" s="1"/>
  <c r="AJ582" i="6" s="1"/>
  <c r="AJ583" i="6" s="1"/>
  <c r="AJ584" i="6" s="1"/>
  <c r="AJ585" i="6" s="1"/>
  <c r="AJ586" i="6" s="1"/>
  <c r="AJ587" i="6" s="1"/>
  <c r="AJ588" i="6" s="1"/>
  <c r="AJ594" i="6" s="1"/>
  <c r="AJ595" i="6" s="1"/>
  <c r="AJ596" i="6" s="1"/>
  <c r="AJ597" i="6" s="1"/>
  <c r="AJ598" i="6" s="1"/>
  <c r="AJ599" i="6" s="1"/>
  <c r="AJ600" i="6" s="1"/>
  <c r="AJ606" i="6" s="1"/>
  <c r="AJ607" i="6" s="1"/>
  <c r="AJ608" i="6" s="1"/>
  <c r="AJ609" i="6" s="1"/>
  <c r="AJ610" i="6" s="1"/>
  <c r="AJ611" i="6" s="1"/>
  <c r="AJ612" i="6" s="1"/>
  <c r="AJ618" i="6" s="1"/>
  <c r="AJ619" i="6" s="1"/>
  <c r="AJ620" i="6" s="1"/>
  <c r="AJ621" i="6" s="1"/>
  <c r="AJ622" i="6" s="1"/>
  <c r="AJ623" i="6" s="1"/>
  <c r="AJ624" i="6" s="1"/>
  <c r="AJ630" i="6" s="1"/>
  <c r="AJ631" i="6" s="1"/>
  <c r="AJ632" i="6" s="1"/>
  <c r="AJ633" i="6" s="1"/>
  <c r="AJ634" i="6" s="1"/>
  <c r="AJ635" i="6" s="1"/>
  <c r="AJ636" i="6" s="1"/>
  <c r="AJ7" i="8"/>
  <c r="AJ8" i="8" s="1"/>
  <c r="AJ9" i="8" s="1"/>
  <c r="AJ10" i="8" s="1"/>
  <c r="AJ11" i="8" s="1"/>
  <c r="AJ12" i="8" s="1"/>
  <c r="AJ18" i="8" s="1"/>
  <c r="AJ19" i="8" s="1"/>
  <c r="AJ20" i="8" s="1"/>
  <c r="AJ21" i="8" s="1"/>
  <c r="AJ22" i="8" s="1"/>
  <c r="AJ23" i="8" s="1"/>
  <c r="AJ24" i="8" s="1"/>
  <c r="AJ30" i="8" s="1"/>
  <c r="AJ31" i="8" s="1"/>
  <c r="AJ32" i="8" s="1"/>
  <c r="AJ33" i="8" s="1"/>
  <c r="AJ34" i="8" s="1"/>
  <c r="AJ35" i="8" s="1"/>
  <c r="AJ36" i="8" s="1"/>
  <c r="AJ42" i="8" s="1"/>
  <c r="AJ43" i="8" s="1"/>
  <c r="AJ44" i="8" s="1"/>
  <c r="AJ45" i="8" s="1"/>
  <c r="AJ46" i="8" s="1"/>
  <c r="AJ47" i="8" s="1"/>
  <c r="AJ48" i="8" s="1"/>
  <c r="AJ54" i="8" s="1"/>
  <c r="AJ55" i="8" s="1"/>
  <c r="AJ56" i="8" s="1"/>
  <c r="AJ57" i="8" s="1"/>
  <c r="AJ58" i="8" s="1"/>
  <c r="AJ59" i="8" s="1"/>
  <c r="AJ60" i="8" s="1"/>
  <c r="AJ66" i="8" s="1"/>
  <c r="AJ67" i="8" s="1"/>
  <c r="AJ68" i="8" s="1"/>
  <c r="AJ69" i="8" s="1"/>
  <c r="AJ70" i="8" s="1"/>
  <c r="AJ71" i="8" s="1"/>
  <c r="AJ72" i="8" s="1"/>
  <c r="AJ78" i="8" s="1"/>
  <c r="AJ79" i="8" s="1"/>
  <c r="AJ80" i="8" s="1"/>
  <c r="AJ81" i="8" s="1"/>
  <c r="AJ82" i="8" s="1"/>
  <c r="AJ83" i="8" s="1"/>
  <c r="AJ84" i="8" s="1"/>
  <c r="AJ90" i="8" s="1"/>
  <c r="AJ91" i="8" s="1"/>
  <c r="AJ92" i="8" s="1"/>
  <c r="AJ93" i="8" s="1"/>
  <c r="AJ94" i="8" s="1"/>
  <c r="AJ95" i="8" s="1"/>
  <c r="AJ96" i="8" s="1"/>
  <c r="AJ102" i="8" s="1"/>
  <c r="AJ103" i="8" s="1"/>
  <c r="AJ104" i="8" s="1"/>
  <c r="AJ105" i="8" s="1"/>
  <c r="AJ106" i="8" s="1"/>
  <c r="AJ107" i="8" s="1"/>
  <c r="AJ108" i="8" s="1"/>
  <c r="AJ114" i="8" s="1"/>
  <c r="AJ115" i="8" s="1"/>
  <c r="AJ116" i="8" s="1"/>
  <c r="AJ117" i="8" s="1"/>
  <c r="AJ118" i="8" s="1"/>
  <c r="AJ119" i="8" s="1"/>
  <c r="AJ120" i="8" s="1"/>
  <c r="AJ126" i="8" s="1"/>
  <c r="AJ127" i="8" s="1"/>
  <c r="AJ128" i="8" s="1"/>
  <c r="AJ129" i="8" s="1"/>
  <c r="AJ130" i="8" s="1"/>
  <c r="AJ131" i="8" s="1"/>
  <c r="AJ132" i="8" s="1"/>
  <c r="AJ138" i="8" s="1"/>
  <c r="AJ139" i="8" s="1"/>
  <c r="AJ140" i="8" s="1"/>
  <c r="AJ141" i="8" s="1"/>
  <c r="AJ142" i="8" s="1"/>
  <c r="AJ143" i="8" s="1"/>
  <c r="AJ144" i="8" s="1"/>
  <c r="AJ150" i="8" s="1"/>
  <c r="AJ151" i="8" s="1"/>
  <c r="AJ152" i="8" s="1"/>
  <c r="AJ153" i="8" s="1"/>
  <c r="AJ154" i="8" s="1"/>
  <c r="AJ155" i="8" s="1"/>
  <c r="AJ156" i="8" s="1"/>
  <c r="AJ162" i="8" s="1"/>
  <c r="AJ163" i="8" s="1"/>
  <c r="AJ164" i="8" s="1"/>
  <c r="AJ165" i="8" s="1"/>
  <c r="AJ166" i="8" s="1"/>
  <c r="AJ167" i="8" s="1"/>
  <c r="AJ168" i="8" s="1"/>
  <c r="AJ174" i="8" s="1"/>
  <c r="AJ175" i="8" s="1"/>
  <c r="AJ176" i="8" s="1"/>
  <c r="AJ177" i="8" s="1"/>
  <c r="AJ178" i="8" s="1"/>
  <c r="AJ179" i="8" s="1"/>
  <c r="AJ180" i="8" s="1"/>
  <c r="AJ186" i="8" s="1"/>
  <c r="AJ187" i="8" s="1"/>
  <c r="AJ188" i="8" s="1"/>
  <c r="AJ189" i="8" s="1"/>
  <c r="AJ190" i="8" s="1"/>
  <c r="AJ191" i="8" s="1"/>
  <c r="AJ192" i="8" s="1"/>
  <c r="AJ198" i="8" s="1"/>
  <c r="AJ199" i="8" s="1"/>
  <c r="AJ200" i="8" s="1"/>
  <c r="AJ201" i="8" s="1"/>
  <c r="AJ202" i="8" s="1"/>
  <c r="AJ203" i="8" s="1"/>
  <c r="AJ204" i="8" s="1"/>
  <c r="AJ210" i="8" s="1"/>
  <c r="AJ211" i="8" s="1"/>
  <c r="AJ212" i="8" s="1"/>
  <c r="AJ213" i="8" s="1"/>
  <c r="AJ214" i="8" s="1"/>
  <c r="AJ215" i="8" s="1"/>
  <c r="AJ216" i="8" s="1"/>
  <c r="AJ222" i="8" s="1"/>
  <c r="AJ223" i="8" s="1"/>
  <c r="AJ224" i="8" s="1"/>
  <c r="AJ225" i="8" s="1"/>
  <c r="AJ226" i="8" s="1"/>
  <c r="AJ227" i="8" s="1"/>
  <c r="AJ228" i="8" s="1"/>
  <c r="AJ234" i="8" s="1"/>
  <c r="AJ235" i="8" s="1"/>
  <c r="AJ236" i="8" s="1"/>
  <c r="AJ237" i="8" s="1"/>
  <c r="AJ238" i="8" s="1"/>
  <c r="AJ239" i="8" s="1"/>
  <c r="AJ240" i="8" s="1"/>
  <c r="AJ246" i="8" s="1"/>
  <c r="AJ247" i="8" s="1"/>
  <c r="AJ248" i="8" s="1"/>
  <c r="AJ249" i="8" s="1"/>
  <c r="AJ250" i="8" s="1"/>
  <c r="AJ251" i="8" s="1"/>
  <c r="AJ252" i="8" s="1"/>
  <c r="AJ258" i="8" s="1"/>
  <c r="AJ259" i="8" s="1"/>
  <c r="AJ260" i="8" s="1"/>
  <c r="AJ261" i="8" s="1"/>
  <c r="AJ262" i="8" s="1"/>
  <c r="AJ263" i="8" s="1"/>
  <c r="AJ264" i="8" s="1"/>
  <c r="AJ270" i="8" s="1"/>
  <c r="AJ271" i="8" s="1"/>
  <c r="AJ272" i="8" s="1"/>
  <c r="AJ273" i="8" s="1"/>
  <c r="AJ274" i="8" s="1"/>
  <c r="AJ275" i="8" s="1"/>
  <c r="AJ276" i="8" s="1"/>
  <c r="AJ282" i="8" s="1"/>
  <c r="AJ283" i="8" s="1"/>
  <c r="AJ284" i="8" s="1"/>
  <c r="AJ285" i="8" s="1"/>
  <c r="AJ286" i="8" s="1"/>
  <c r="AJ287" i="8" s="1"/>
  <c r="AJ288" i="8" s="1"/>
  <c r="AJ294" i="8" s="1"/>
  <c r="AJ295" i="8" s="1"/>
  <c r="AJ296" i="8" s="1"/>
  <c r="AJ297" i="8" s="1"/>
  <c r="AJ298" i="8" s="1"/>
  <c r="AJ299" i="8" s="1"/>
  <c r="AJ300" i="8" s="1"/>
  <c r="AJ306" i="8" s="1"/>
  <c r="AJ307" i="8" s="1"/>
  <c r="AJ308" i="8" s="1"/>
  <c r="AJ309" i="8" s="1"/>
  <c r="AJ310" i="8" s="1"/>
  <c r="AJ311" i="8" s="1"/>
  <c r="AJ312" i="8" s="1"/>
  <c r="AJ318" i="8" s="1"/>
  <c r="AJ319" i="8" s="1"/>
  <c r="AJ320" i="8" s="1"/>
  <c r="AJ321" i="8" s="1"/>
  <c r="AJ322" i="8" s="1"/>
  <c r="AJ323" i="8" s="1"/>
  <c r="AJ324" i="8" s="1"/>
  <c r="AJ330" i="8" s="1"/>
  <c r="AJ331" i="8" s="1"/>
  <c r="AJ332" i="8" s="1"/>
  <c r="AJ333" i="8" s="1"/>
  <c r="AJ334" i="8" s="1"/>
  <c r="AJ335" i="8" s="1"/>
  <c r="AJ336" i="8" s="1"/>
  <c r="AJ342" i="8" s="1"/>
  <c r="AJ343" i="8" s="1"/>
  <c r="AJ344" i="8" s="1"/>
  <c r="AJ345" i="8" s="1"/>
  <c r="AJ346" i="8" s="1"/>
  <c r="AJ347" i="8" s="1"/>
  <c r="AJ348" i="8" s="1"/>
  <c r="AJ354" i="8" s="1"/>
  <c r="AJ355" i="8" s="1"/>
  <c r="AJ356" i="8" s="1"/>
  <c r="AJ357" i="8" s="1"/>
  <c r="AJ358" i="8" s="1"/>
  <c r="AJ359" i="8" s="1"/>
  <c r="AJ360" i="8" s="1"/>
  <c r="AJ366" i="8" s="1"/>
  <c r="AJ367" i="8" s="1"/>
  <c r="AJ368" i="8" s="1"/>
  <c r="AJ369" i="8" s="1"/>
  <c r="AJ370" i="8" s="1"/>
  <c r="AJ371" i="8" s="1"/>
  <c r="AJ372" i="8" s="1"/>
  <c r="AJ378" i="8" s="1"/>
  <c r="AJ379" i="8" s="1"/>
  <c r="AJ380" i="8" s="1"/>
  <c r="AJ381" i="8" s="1"/>
  <c r="AJ382" i="8" s="1"/>
  <c r="AJ383" i="8" s="1"/>
  <c r="AJ384" i="8" s="1"/>
  <c r="AJ390" i="8" s="1"/>
  <c r="AJ391" i="8" s="1"/>
  <c r="AJ392" i="8" s="1"/>
  <c r="AJ393" i="8" s="1"/>
  <c r="AJ394" i="8" s="1"/>
  <c r="AJ395" i="8" s="1"/>
  <c r="AJ396" i="8" s="1"/>
  <c r="AJ402" i="8" s="1"/>
  <c r="AJ403" i="8" s="1"/>
  <c r="AJ404" i="8" s="1"/>
  <c r="AJ405" i="8" s="1"/>
  <c r="AJ406" i="8" s="1"/>
  <c r="AJ407" i="8" s="1"/>
  <c r="AJ408" i="8" s="1"/>
  <c r="AJ414" i="8" s="1"/>
  <c r="AJ415" i="8" s="1"/>
  <c r="AJ416" i="8" s="1"/>
  <c r="AJ417" i="8" s="1"/>
  <c r="AJ418" i="8" s="1"/>
  <c r="AJ419" i="8" s="1"/>
  <c r="AJ420" i="8" s="1"/>
  <c r="AJ426" i="8" s="1"/>
  <c r="AJ427" i="8" s="1"/>
  <c r="AJ428" i="8" s="1"/>
  <c r="AJ429" i="8" s="1"/>
  <c r="AJ430" i="8" s="1"/>
  <c r="AJ431" i="8" s="1"/>
  <c r="AJ432" i="8" s="1"/>
  <c r="AJ438" i="8" s="1"/>
  <c r="AJ439" i="8" s="1"/>
  <c r="AJ440" i="8" s="1"/>
  <c r="AJ441" i="8" s="1"/>
  <c r="AJ442" i="8" s="1"/>
  <c r="AJ443" i="8" s="1"/>
  <c r="AJ444" i="8" s="1"/>
  <c r="AJ450" i="8" s="1"/>
  <c r="AJ451" i="8" s="1"/>
  <c r="AJ452" i="8" s="1"/>
  <c r="AJ453" i="8" s="1"/>
  <c r="AJ454" i="8" s="1"/>
  <c r="AJ455" i="8" s="1"/>
  <c r="AJ456" i="8" s="1"/>
  <c r="AJ462" i="8" s="1"/>
  <c r="AJ463" i="8" s="1"/>
  <c r="AJ464" i="8" s="1"/>
  <c r="AJ465" i="8" s="1"/>
  <c r="AJ466" i="8" s="1"/>
  <c r="AJ467" i="8" s="1"/>
  <c r="AJ468" i="8" s="1"/>
  <c r="AJ474" i="8" s="1"/>
  <c r="AJ475" i="8" s="1"/>
  <c r="AJ476" i="8" s="1"/>
  <c r="AJ477" i="8" s="1"/>
  <c r="AJ478" i="8" s="1"/>
  <c r="AJ479" i="8" s="1"/>
  <c r="AJ480" i="8" s="1"/>
  <c r="AJ486" i="8" s="1"/>
  <c r="AJ487" i="8" s="1"/>
  <c r="AJ488" i="8" s="1"/>
  <c r="AJ489" i="8" s="1"/>
  <c r="AJ490" i="8" s="1"/>
  <c r="AJ491" i="8" s="1"/>
  <c r="AJ492" i="8" s="1"/>
  <c r="AJ498" i="8" s="1"/>
  <c r="AJ499" i="8" s="1"/>
  <c r="AJ500" i="8" s="1"/>
  <c r="AJ501" i="8" s="1"/>
  <c r="AJ502" i="8" s="1"/>
  <c r="AJ503" i="8" s="1"/>
  <c r="AJ504" i="8" s="1"/>
  <c r="AJ510" i="8" s="1"/>
  <c r="AJ511" i="8" s="1"/>
  <c r="AJ512" i="8" s="1"/>
  <c r="AJ513" i="8" s="1"/>
  <c r="AJ514" i="8" s="1"/>
  <c r="AJ515" i="8" s="1"/>
  <c r="AJ516" i="8" s="1"/>
  <c r="AJ522" i="8" s="1"/>
  <c r="AJ523" i="8" s="1"/>
  <c r="AJ524" i="8" s="1"/>
  <c r="AJ525" i="8" s="1"/>
  <c r="AJ526" i="8" s="1"/>
  <c r="AJ527" i="8" s="1"/>
  <c r="AJ528" i="8" s="1"/>
  <c r="AJ534" i="8" s="1"/>
  <c r="AJ535" i="8" s="1"/>
  <c r="AJ536" i="8" s="1"/>
  <c r="AJ537" i="8" s="1"/>
  <c r="AJ538" i="8" s="1"/>
  <c r="AJ539" i="8" s="1"/>
  <c r="AJ540" i="8" s="1"/>
  <c r="AJ546" i="8" s="1"/>
  <c r="AJ547" i="8" s="1"/>
  <c r="AJ548" i="8" s="1"/>
  <c r="AJ549" i="8" s="1"/>
  <c r="AJ550" i="8" s="1"/>
  <c r="AJ551" i="8" s="1"/>
  <c r="AJ552" i="8" s="1"/>
  <c r="AJ558" i="8" s="1"/>
  <c r="AJ559" i="8" s="1"/>
  <c r="AJ560" i="8" s="1"/>
  <c r="AJ561" i="8" s="1"/>
  <c r="AJ562" i="8" s="1"/>
  <c r="AJ563" i="8" s="1"/>
  <c r="AJ564" i="8" s="1"/>
  <c r="AJ570" i="8" s="1"/>
  <c r="AJ571" i="8" s="1"/>
  <c r="AJ572" i="8" s="1"/>
  <c r="AJ573" i="8" s="1"/>
  <c r="AJ574" i="8" s="1"/>
  <c r="AJ575" i="8" s="1"/>
  <c r="AJ576" i="8" s="1"/>
  <c r="AJ582" i="8" s="1"/>
  <c r="AJ583" i="8" s="1"/>
  <c r="AJ584" i="8" s="1"/>
  <c r="AJ585" i="8" s="1"/>
  <c r="AJ586" i="8" s="1"/>
  <c r="AJ587" i="8" s="1"/>
  <c r="AJ588" i="8" s="1"/>
  <c r="AJ594" i="8" s="1"/>
  <c r="AJ595" i="8" s="1"/>
  <c r="AJ596" i="8" s="1"/>
  <c r="AJ597" i="8" s="1"/>
  <c r="AJ598" i="8" s="1"/>
  <c r="AJ599" i="8" s="1"/>
  <c r="AJ600" i="8" s="1"/>
  <c r="AJ606" i="8" s="1"/>
  <c r="AJ607" i="8" s="1"/>
  <c r="AJ608" i="8" s="1"/>
  <c r="AJ609" i="8" s="1"/>
  <c r="AJ610" i="8" s="1"/>
  <c r="AJ611" i="8" s="1"/>
  <c r="AJ612" i="8" s="1"/>
  <c r="AJ618" i="8" s="1"/>
  <c r="AJ619" i="8" s="1"/>
  <c r="AJ620" i="8" s="1"/>
  <c r="AJ621" i="8" s="1"/>
  <c r="AJ622" i="8" s="1"/>
  <c r="AJ623" i="8" s="1"/>
  <c r="AJ624" i="8" s="1"/>
  <c r="AJ630" i="8" s="1"/>
  <c r="AJ631" i="8" s="1"/>
  <c r="AJ632" i="8" s="1"/>
  <c r="AJ633" i="8" s="1"/>
  <c r="AJ634" i="8" s="1"/>
  <c r="AJ635" i="8" s="1"/>
  <c r="AJ636" i="8" s="1"/>
  <c r="AJ8" i="7"/>
  <c r="AJ9" i="7" s="1"/>
  <c r="AJ10" i="7" s="1"/>
  <c r="AJ11" i="7" s="1"/>
  <c r="AJ12" i="7" s="1"/>
  <c r="AJ18" i="7" s="1"/>
  <c r="AJ19" i="7" s="1"/>
  <c r="AJ20" i="7" s="1"/>
  <c r="AJ21" i="7" s="1"/>
  <c r="AJ22" i="7" s="1"/>
  <c r="AJ23" i="7" s="1"/>
  <c r="AJ24" i="7" s="1"/>
  <c r="AJ30" i="7" s="1"/>
  <c r="AJ31" i="7" s="1"/>
  <c r="AJ32" i="7" s="1"/>
  <c r="AJ33" i="7" s="1"/>
  <c r="AJ34" i="7" s="1"/>
  <c r="AJ35" i="7" s="1"/>
  <c r="AJ36" i="7" s="1"/>
  <c r="AJ42" i="7" s="1"/>
  <c r="AJ43" i="7" s="1"/>
  <c r="AJ44" i="7" s="1"/>
  <c r="AJ45" i="7" s="1"/>
  <c r="AJ46" i="7" s="1"/>
  <c r="AJ47" i="7" s="1"/>
  <c r="AJ48" i="7" s="1"/>
  <c r="AJ54" i="7" s="1"/>
  <c r="AJ55" i="7" s="1"/>
  <c r="AJ56" i="7" s="1"/>
  <c r="AJ57" i="7" s="1"/>
  <c r="AJ58" i="7" s="1"/>
  <c r="AJ59" i="7" s="1"/>
  <c r="AJ60" i="7" s="1"/>
  <c r="AJ66" i="7" s="1"/>
  <c r="AJ67" i="7" s="1"/>
  <c r="AJ68" i="7" s="1"/>
  <c r="AJ69" i="7" s="1"/>
  <c r="AJ70" i="7" s="1"/>
  <c r="AJ71" i="7" s="1"/>
  <c r="AJ72" i="7" s="1"/>
  <c r="AJ78" i="7" s="1"/>
  <c r="AJ79" i="7" s="1"/>
  <c r="AJ80" i="7" s="1"/>
  <c r="AJ81" i="7" s="1"/>
  <c r="AJ82" i="7" s="1"/>
  <c r="AJ83" i="7" s="1"/>
  <c r="AJ84" i="7" s="1"/>
  <c r="AJ90" i="7" s="1"/>
  <c r="AJ91" i="7" s="1"/>
  <c r="AJ92" i="7" s="1"/>
  <c r="AJ93" i="7" s="1"/>
  <c r="AJ94" i="7" s="1"/>
  <c r="AJ95" i="7" s="1"/>
  <c r="AJ96" i="7" s="1"/>
  <c r="AJ102" i="7" s="1"/>
  <c r="AJ103" i="7" s="1"/>
  <c r="AJ104" i="7" s="1"/>
  <c r="AJ105" i="7" s="1"/>
  <c r="AJ106" i="7" s="1"/>
  <c r="AJ107" i="7" s="1"/>
  <c r="AJ108" i="7" s="1"/>
  <c r="AJ114" i="7" s="1"/>
  <c r="AJ115" i="7" s="1"/>
  <c r="AJ116" i="7" s="1"/>
  <c r="AJ117" i="7" s="1"/>
  <c r="AJ118" i="7" s="1"/>
  <c r="AJ119" i="7" s="1"/>
  <c r="AJ120" i="7" s="1"/>
  <c r="AJ126" i="7" s="1"/>
  <c r="AJ127" i="7" s="1"/>
  <c r="AJ128" i="7" s="1"/>
  <c r="AJ129" i="7" s="1"/>
  <c r="AJ130" i="7" s="1"/>
  <c r="AJ131" i="7" s="1"/>
  <c r="AJ132" i="7" s="1"/>
  <c r="AJ138" i="7" s="1"/>
  <c r="AJ139" i="7" s="1"/>
  <c r="AJ140" i="7" s="1"/>
  <c r="AJ141" i="7" s="1"/>
  <c r="AJ142" i="7" s="1"/>
  <c r="AJ143" i="7" s="1"/>
  <c r="AJ144" i="7" s="1"/>
  <c r="AJ150" i="7" s="1"/>
  <c r="AJ151" i="7" s="1"/>
  <c r="AJ152" i="7" s="1"/>
  <c r="AJ153" i="7" s="1"/>
  <c r="AJ154" i="7" s="1"/>
  <c r="AJ155" i="7" s="1"/>
  <c r="AJ156" i="7" s="1"/>
  <c r="AJ162" i="7" s="1"/>
  <c r="AJ163" i="7" s="1"/>
  <c r="AJ164" i="7" s="1"/>
  <c r="AJ165" i="7" s="1"/>
  <c r="AJ166" i="7" s="1"/>
  <c r="AJ167" i="7" s="1"/>
  <c r="AJ168" i="7" s="1"/>
  <c r="AJ174" i="7" s="1"/>
  <c r="AJ175" i="7" s="1"/>
  <c r="AJ176" i="7" s="1"/>
  <c r="AJ177" i="7" s="1"/>
  <c r="AJ178" i="7" s="1"/>
  <c r="AJ179" i="7" s="1"/>
  <c r="AJ180" i="7" s="1"/>
  <c r="AJ186" i="7" s="1"/>
  <c r="AJ187" i="7" s="1"/>
  <c r="AJ188" i="7" s="1"/>
  <c r="AJ189" i="7" s="1"/>
  <c r="AJ190" i="7" s="1"/>
  <c r="AJ191" i="7" s="1"/>
  <c r="AJ192" i="7" s="1"/>
  <c r="AJ198" i="7" s="1"/>
  <c r="AJ199" i="7" s="1"/>
  <c r="AJ200" i="7" s="1"/>
  <c r="AJ201" i="7" s="1"/>
  <c r="AJ202" i="7" s="1"/>
  <c r="AJ203" i="7" s="1"/>
  <c r="AJ204" i="7" s="1"/>
  <c r="AJ210" i="7" s="1"/>
  <c r="AJ211" i="7" s="1"/>
  <c r="AJ212" i="7" s="1"/>
  <c r="AJ213" i="7" s="1"/>
  <c r="AJ214" i="7" s="1"/>
  <c r="AJ215" i="7" s="1"/>
  <c r="AJ216" i="7" s="1"/>
  <c r="AJ222" i="7" s="1"/>
  <c r="AJ223" i="7" s="1"/>
  <c r="AJ224" i="7" s="1"/>
  <c r="AJ225" i="7" s="1"/>
  <c r="AJ226" i="7" s="1"/>
  <c r="AJ227" i="7" s="1"/>
  <c r="AJ228" i="7" s="1"/>
  <c r="AJ234" i="7" s="1"/>
  <c r="AJ235" i="7" s="1"/>
  <c r="AJ236" i="7" s="1"/>
  <c r="AJ237" i="7" s="1"/>
  <c r="AJ238" i="7" s="1"/>
  <c r="AJ239" i="7" s="1"/>
  <c r="AJ240" i="7" s="1"/>
  <c r="AJ246" i="7" s="1"/>
  <c r="AJ247" i="7" s="1"/>
  <c r="AJ248" i="7" s="1"/>
  <c r="AJ249" i="7" s="1"/>
  <c r="AJ250" i="7" s="1"/>
  <c r="AJ251" i="7" s="1"/>
  <c r="AJ252" i="7" s="1"/>
  <c r="AJ258" i="7" s="1"/>
  <c r="AJ259" i="7" s="1"/>
  <c r="AJ260" i="7" s="1"/>
  <c r="AJ261" i="7" s="1"/>
  <c r="AJ262" i="7" s="1"/>
  <c r="AJ263" i="7" s="1"/>
  <c r="AJ264" i="7" s="1"/>
  <c r="AJ270" i="7" s="1"/>
  <c r="AJ271" i="7" s="1"/>
  <c r="AJ272" i="7" s="1"/>
  <c r="AJ273" i="7" s="1"/>
  <c r="AJ274" i="7" s="1"/>
  <c r="AJ275" i="7" s="1"/>
  <c r="AJ276" i="7" s="1"/>
  <c r="AJ282" i="7" s="1"/>
  <c r="AJ283" i="7" s="1"/>
  <c r="AJ284" i="7" s="1"/>
  <c r="AJ285" i="7" s="1"/>
  <c r="AJ286" i="7" s="1"/>
  <c r="AJ287" i="7" s="1"/>
  <c r="AJ288" i="7" s="1"/>
  <c r="AJ294" i="7" s="1"/>
  <c r="AJ295" i="7" s="1"/>
  <c r="AJ296" i="7" s="1"/>
  <c r="AJ297" i="7" s="1"/>
  <c r="AJ298" i="7" s="1"/>
  <c r="AJ299" i="7" s="1"/>
  <c r="AJ300" i="7" s="1"/>
  <c r="AJ306" i="7" s="1"/>
  <c r="AJ307" i="7" s="1"/>
  <c r="AJ308" i="7" s="1"/>
  <c r="AJ309" i="7" s="1"/>
  <c r="AJ310" i="7" s="1"/>
  <c r="AJ311" i="7" s="1"/>
  <c r="AJ312" i="7" s="1"/>
  <c r="AJ318" i="7" s="1"/>
  <c r="AJ319" i="7" s="1"/>
  <c r="AJ320" i="7" s="1"/>
  <c r="AJ321" i="7" s="1"/>
  <c r="AJ322" i="7" s="1"/>
  <c r="AJ323" i="7" s="1"/>
  <c r="AJ324" i="7" s="1"/>
  <c r="AJ330" i="7" s="1"/>
  <c r="AJ331" i="7" s="1"/>
  <c r="AJ332" i="7" s="1"/>
  <c r="AJ333" i="7" s="1"/>
  <c r="AJ334" i="7" s="1"/>
  <c r="AJ335" i="7" s="1"/>
  <c r="AJ336" i="7" s="1"/>
  <c r="AJ342" i="7" s="1"/>
  <c r="AJ343" i="7" s="1"/>
  <c r="AJ344" i="7" s="1"/>
  <c r="AJ345" i="7" s="1"/>
  <c r="AJ346" i="7" s="1"/>
  <c r="AJ347" i="7" s="1"/>
  <c r="AJ348" i="7" s="1"/>
  <c r="AJ354" i="7" s="1"/>
  <c r="AJ355" i="7" s="1"/>
  <c r="AJ356" i="7" s="1"/>
  <c r="AJ357" i="7" s="1"/>
  <c r="AJ358" i="7" s="1"/>
  <c r="AJ359" i="7" s="1"/>
  <c r="AJ360" i="7" s="1"/>
  <c r="AJ366" i="7" s="1"/>
  <c r="AJ367" i="7" s="1"/>
  <c r="AJ368" i="7" s="1"/>
  <c r="AJ369" i="7" s="1"/>
  <c r="AJ370" i="7" s="1"/>
  <c r="AJ371" i="7" s="1"/>
  <c r="AJ372" i="7" s="1"/>
  <c r="AJ378" i="7" s="1"/>
  <c r="AJ379" i="7" s="1"/>
  <c r="AJ380" i="7" s="1"/>
  <c r="AJ381" i="7" s="1"/>
  <c r="AJ382" i="7" s="1"/>
  <c r="AJ383" i="7" s="1"/>
  <c r="AJ384" i="7" s="1"/>
  <c r="AJ390" i="7" s="1"/>
  <c r="AJ391" i="7" s="1"/>
  <c r="AJ392" i="7" s="1"/>
  <c r="AJ393" i="7" s="1"/>
  <c r="AJ394" i="7" s="1"/>
  <c r="AJ395" i="7" s="1"/>
  <c r="AJ396" i="7" s="1"/>
  <c r="AJ402" i="7" s="1"/>
  <c r="AJ403" i="7" s="1"/>
  <c r="AJ404" i="7" s="1"/>
  <c r="AJ405" i="7" s="1"/>
  <c r="AJ406" i="7" s="1"/>
  <c r="AJ407" i="7" s="1"/>
  <c r="AJ408" i="7" s="1"/>
  <c r="AJ414" i="7" s="1"/>
  <c r="AJ415" i="7" s="1"/>
  <c r="AJ416" i="7" s="1"/>
  <c r="AJ417" i="7" s="1"/>
  <c r="AJ418" i="7" s="1"/>
  <c r="AJ419" i="7" s="1"/>
  <c r="AJ420" i="7" s="1"/>
  <c r="AJ426" i="7" s="1"/>
  <c r="AJ427" i="7" s="1"/>
  <c r="AJ428" i="7" s="1"/>
  <c r="AJ429" i="7" s="1"/>
  <c r="AJ430" i="7" s="1"/>
  <c r="AJ431" i="7" s="1"/>
  <c r="AJ432" i="7" s="1"/>
  <c r="AJ438" i="7" s="1"/>
  <c r="AJ439" i="7" s="1"/>
  <c r="AJ440" i="7" s="1"/>
  <c r="AJ441" i="7" s="1"/>
  <c r="AJ442" i="7" s="1"/>
  <c r="AJ443" i="7" s="1"/>
  <c r="AJ444" i="7" s="1"/>
  <c r="AJ450" i="7" s="1"/>
  <c r="AJ451" i="7" s="1"/>
  <c r="AJ452" i="7" s="1"/>
  <c r="AJ453" i="7" s="1"/>
  <c r="AJ454" i="7" s="1"/>
  <c r="AJ455" i="7" s="1"/>
  <c r="AJ456" i="7" s="1"/>
  <c r="AJ462" i="7" s="1"/>
  <c r="AJ463" i="7" s="1"/>
  <c r="AJ464" i="7" s="1"/>
  <c r="AJ465" i="7" s="1"/>
  <c r="AJ466" i="7" s="1"/>
  <c r="AJ467" i="7" s="1"/>
  <c r="AJ468" i="7" s="1"/>
  <c r="AJ474" i="7" s="1"/>
  <c r="AJ475" i="7" s="1"/>
  <c r="AJ476" i="7" s="1"/>
  <c r="AJ477" i="7" s="1"/>
  <c r="AJ478" i="7" s="1"/>
  <c r="AJ479" i="7" s="1"/>
  <c r="AJ480" i="7" s="1"/>
  <c r="AJ486" i="7" s="1"/>
  <c r="AJ487" i="7" s="1"/>
  <c r="AJ488" i="7" s="1"/>
  <c r="AJ489" i="7" s="1"/>
  <c r="AJ490" i="7" s="1"/>
  <c r="AJ491" i="7" s="1"/>
  <c r="AJ492" i="7" s="1"/>
  <c r="AJ498" i="7" s="1"/>
  <c r="AJ499" i="7" s="1"/>
  <c r="AJ500" i="7" s="1"/>
  <c r="AJ501" i="7" s="1"/>
  <c r="AJ502" i="7" s="1"/>
  <c r="AJ503" i="7" s="1"/>
  <c r="AJ504" i="7" s="1"/>
  <c r="AJ510" i="7" s="1"/>
  <c r="AJ511" i="7" s="1"/>
  <c r="AJ512" i="7" s="1"/>
  <c r="AJ513" i="7" s="1"/>
  <c r="AJ514" i="7" s="1"/>
  <c r="AJ515" i="7" s="1"/>
  <c r="AJ516" i="7" s="1"/>
  <c r="AJ522" i="7" s="1"/>
  <c r="AJ523" i="7" s="1"/>
  <c r="AJ524" i="7" s="1"/>
  <c r="AJ525" i="7" s="1"/>
  <c r="AJ526" i="7" s="1"/>
  <c r="AJ527" i="7" s="1"/>
  <c r="AJ528" i="7" s="1"/>
  <c r="AJ534" i="7" s="1"/>
  <c r="AJ535" i="7" s="1"/>
  <c r="AJ536" i="7" s="1"/>
  <c r="AJ537" i="7" s="1"/>
  <c r="AJ538" i="7" s="1"/>
  <c r="AJ539" i="7" s="1"/>
  <c r="AJ540" i="7" s="1"/>
  <c r="AJ546" i="7" s="1"/>
  <c r="AJ547" i="7" s="1"/>
  <c r="AJ548" i="7" s="1"/>
  <c r="AJ549" i="7" s="1"/>
  <c r="AJ550" i="7" s="1"/>
  <c r="AJ551" i="7" s="1"/>
  <c r="AJ552" i="7" s="1"/>
  <c r="AJ558" i="7" s="1"/>
  <c r="AJ559" i="7" s="1"/>
  <c r="AJ560" i="7" s="1"/>
  <c r="AJ561" i="7" s="1"/>
  <c r="AJ562" i="7" s="1"/>
  <c r="AJ563" i="7" s="1"/>
  <c r="AJ564" i="7" s="1"/>
  <c r="AJ570" i="7" s="1"/>
  <c r="AJ571" i="7" s="1"/>
  <c r="AJ572" i="7" s="1"/>
  <c r="AJ573" i="7" s="1"/>
  <c r="AJ574" i="7" s="1"/>
  <c r="AJ575" i="7" s="1"/>
  <c r="AJ576" i="7" s="1"/>
  <c r="AJ582" i="7" s="1"/>
  <c r="AJ583" i="7" s="1"/>
  <c r="AJ584" i="7" s="1"/>
  <c r="AJ585" i="7" s="1"/>
  <c r="AJ586" i="7" s="1"/>
  <c r="AJ587" i="7" s="1"/>
  <c r="AJ588" i="7" s="1"/>
  <c r="AJ594" i="7" s="1"/>
  <c r="AJ595" i="7" s="1"/>
  <c r="AJ596" i="7" s="1"/>
  <c r="AJ597" i="7" s="1"/>
  <c r="AJ598" i="7" s="1"/>
  <c r="AJ599" i="7" s="1"/>
  <c r="AJ600" i="7" s="1"/>
  <c r="AJ606" i="7" s="1"/>
  <c r="AJ607" i="7" s="1"/>
  <c r="AJ608" i="7" s="1"/>
  <c r="AJ609" i="7" s="1"/>
  <c r="AJ610" i="7" s="1"/>
  <c r="AJ611" i="7" s="1"/>
  <c r="AJ612" i="7" s="1"/>
  <c r="AJ618" i="7" s="1"/>
  <c r="AJ619" i="7" s="1"/>
  <c r="AJ620" i="7" s="1"/>
  <c r="AJ621" i="7" s="1"/>
  <c r="AJ622" i="7" s="1"/>
  <c r="AJ623" i="7" s="1"/>
  <c r="AJ624" i="7" s="1"/>
  <c r="AJ630" i="7" s="1"/>
  <c r="AJ631" i="7" s="1"/>
  <c r="AJ632" i="7" s="1"/>
  <c r="AJ633" i="7" s="1"/>
  <c r="AJ634" i="7" s="1"/>
  <c r="AJ635" i="7" s="1"/>
  <c r="AJ636" i="7" s="1"/>
  <c r="T36" i="1"/>
  <c r="T38" i="1"/>
  <c r="X38" i="1"/>
  <c r="H36" i="1"/>
  <c r="X37" i="1"/>
  <c r="X36" i="1"/>
  <c r="F37" i="1"/>
  <c r="P36" i="1"/>
  <c r="V36" i="1"/>
  <c r="T37" i="1"/>
  <c r="V37" i="1"/>
  <c r="Z37" i="1"/>
  <c r="B38" i="1"/>
  <c r="P37" i="1"/>
  <c r="B36" i="1"/>
  <c r="Z36" i="1"/>
  <c r="J38" i="1"/>
  <c r="F38" i="1"/>
  <c r="D37" i="1"/>
  <c r="V38" i="1"/>
  <c r="L36" i="1"/>
  <c r="N37" i="1"/>
  <c r="D38" i="1"/>
  <c r="Z38" i="1"/>
  <c r="F36" i="1"/>
  <c r="P38" i="1"/>
  <c r="B37" i="1"/>
  <c r="J36" i="1"/>
  <c r="J37" i="1"/>
  <c r="R38" i="1"/>
  <c r="D36" i="1"/>
  <c r="O42" i="5"/>
  <c r="O43" i="5"/>
  <c r="O44" i="5"/>
  <c r="O45" i="5"/>
  <c r="O46" i="5"/>
  <c r="O54" i="5"/>
  <c r="O55" i="5"/>
  <c r="O56" i="5"/>
  <c r="O57" i="5"/>
  <c r="O58" i="5"/>
  <c r="O66" i="5"/>
  <c r="O67" i="5"/>
  <c r="O68" i="5"/>
  <c r="O69" i="5"/>
  <c r="O70" i="5"/>
  <c r="O78" i="5"/>
  <c r="O79" i="5"/>
  <c r="O80" i="5"/>
  <c r="O81" i="5"/>
  <c r="O82" i="5"/>
  <c r="O90" i="5"/>
  <c r="O91" i="5"/>
  <c r="O92" i="5"/>
  <c r="O93" i="5"/>
  <c r="O94" i="5"/>
  <c r="O102" i="5"/>
  <c r="O103" i="5"/>
  <c r="O104" i="5"/>
  <c r="O105" i="5"/>
  <c r="O106" i="5"/>
  <c r="O114" i="5"/>
  <c r="O115" i="5"/>
  <c r="O116" i="5"/>
  <c r="O117" i="5"/>
  <c r="O118" i="5"/>
  <c r="O126" i="5"/>
  <c r="O127" i="5"/>
  <c r="O128" i="5"/>
  <c r="O129" i="5"/>
  <c r="O130" i="5"/>
  <c r="O138" i="5"/>
  <c r="O139" i="5"/>
  <c r="V139" i="5" s="1"/>
  <c r="O140" i="5"/>
  <c r="V140" i="5" s="1"/>
  <c r="O141" i="5"/>
  <c r="O142" i="5"/>
  <c r="O150" i="5"/>
  <c r="O151" i="5"/>
  <c r="O153" i="5"/>
  <c r="O154" i="5"/>
  <c r="O30" i="5"/>
  <c r="G11" i="1" s="1"/>
  <c r="O31" i="5"/>
  <c r="N36" i="1"/>
  <c r="N38" i="1"/>
  <c r="R37" i="1"/>
  <c r="R36" i="1"/>
  <c r="O6" i="5"/>
  <c r="C11" i="1" s="1"/>
  <c r="L38" i="1"/>
  <c r="L37" i="1"/>
  <c r="O20" i="5"/>
  <c r="E13" i="1" s="1"/>
  <c r="O22" i="5"/>
  <c r="E15" i="1" s="1"/>
  <c r="O21" i="5"/>
  <c r="E14" i="1" s="1"/>
  <c r="O19" i="5"/>
  <c r="E12" i="1" s="1"/>
  <c r="O18" i="5"/>
  <c r="H37" i="1"/>
  <c r="H38" i="1"/>
  <c r="O152" i="5"/>
  <c r="AA13" i="1" s="1"/>
  <c r="O33" i="5"/>
  <c r="X33" i="5" s="1"/>
  <c r="O34" i="5"/>
  <c r="G15" i="1" s="1"/>
  <c r="O32" i="5"/>
  <c r="O9" i="5"/>
  <c r="C14" i="1" s="1"/>
  <c r="O10" i="5"/>
  <c r="V10" i="5" s="1"/>
  <c r="C87" i="1"/>
  <c r="X7" i="5" l="1"/>
  <c r="C12" i="1"/>
  <c r="X8" i="5"/>
  <c r="C13" i="1"/>
  <c r="BF17" i="5"/>
  <c r="BF19" i="5" s="1"/>
  <c r="BF21" i="5" s="1"/>
  <c r="BF23" i="5" s="1"/>
  <c r="BF25" i="5" s="1"/>
  <c r="BF27" i="5" s="1"/>
  <c r="BF29" i="5" s="1"/>
  <c r="BF31" i="5" s="1"/>
  <c r="BF33" i="5" s="1"/>
  <c r="BF35" i="5" s="1"/>
  <c r="BF37" i="5" s="1"/>
  <c r="BF39" i="5" s="1"/>
  <c r="BF41" i="5" s="1"/>
  <c r="BF43" i="5" s="1"/>
  <c r="BF45" i="5" s="1"/>
  <c r="BF47" i="5" s="1"/>
  <c r="BF49" i="5" s="1"/>
  <c r="BF51" i="5" s="1"/>
  <c r="BF53" i="5" s="1"/>
  <c r="BF55" i="5" s="1"/>
  <c r="BF57" i="5" s="1"/>
  <c r="BF59" i="5" s="1"/>
  <c r="BF61" i="5" s="1"/>
  <c r="BF63" i="5" s="1"/>
  <c r="BF65" i="5" s="1"/>
  <c r="BF67" i="5" s="1"/>
  <c r="BF69" i="5" s="1"/>
  <c r="BF71" i="5" s="1"/>
  <c r="BF73" i="5" s="1"/>
  <c r="BF75" i="5" s="1"/>
  <c r="BF77" i="5" s="1"/>
  <c r="BF79" i="5" s="1"/>
  <c r="BF81" i="5" s="1"/>
  <c r="BF83" i="5" s="1"/>
  <c r="BF85" i="5" s="1"/>
  <c r="BF87" i="5" s="1"/>
  <c r="BF89" i="5" s="1"/>
  <c r="BF91" i="5" s="1"/>
  <c r="BF93" i="5" s="1"/>
  <c r="BF95" i="5" s="1"/>
  <c r="BF97" i="5" s="1"/>
  <c r="BF99" i="5" s="1"/>
  <c r="BF101" i="5" s="1"/>
  <c r="BF103" i="5" s="1"/>
  <c r="BF105" i="5" s="1"/>
  <c r="BF107" i="5" s="1"/>
  <c r="BF109" i="5" s="1"/>
  <c r="BF111" i="5" s="1"/>
  <c r="BF113" i="5" s="1"/>
  <c r="BF115" i="5" s="1"/>
  <c r="BF117" i="5" s="1"/>
  <c r="BF119" i="5" s="1"/>
  <c r="BF121" i="5" s="1"/>
  <c r="BF123" i="5" s="1"/>
  <c r="BF125" i="5" s="1"/>
  <c r="BF127" i="5" s="1"/>
  <c r="BF129" i="5" s="1"/>
  <c r="BF131" i="5" s="1"/>
  <c r="BF133" i="5" s="1"/>
  <c r="BF135" i="5" s="1"/>
  <c r="BF137" i="5" s="1"/>
  <c r="BF139" i="5" s="1"/>
  <c r="BF141" i="5" s="1"/>
  <c r="BF143" i="5" s="1"/>
  <c r="BF145" i="5" s="1"/>
  <c r="BF147" i="5" s="1"/>
  <c r="BF149" i="5" s="1"/>
  <c r="BF151" i="5" s="1"/>
  <c r="BF153" i="5" s="1"/>
  <c r="BF155" i="5" s="1"/>
  <c r="BF157" i="5" s="1"/>
  <c r="BF159" i="5" s="1"/>
  <c r="BF161" i="5" s="1"/>
  <c r="BF163" i="5" s="1"/>
  <c r="BF165" i="5" s="1"/>
  <c r="BF167" i="5" s="1"/>
  <c r="BF169" i="5" s="1"/>
  <c r="BF171" i="5" s="1"/>
  <c r="BF173" i="5" s="1"/>
  <c r="BF175" i="5" s="1"/>
  <c r="BF177" i="5" s="1"/>
  <c r="BF179" i="5" s="1"/>
  <c r="BF181" i="5" s="1"/>
  <c r="BF183" i="5" s="1"/>
  <c r="BF185" i="5" s="1"/>
  <c r="BF187" i="5" s="1"/>
  <c r="BF189" i="5" s="1"/>
  <c r="BF191" i="5" s="1"/>
  <c r="BF193" i="5" s="1"/>
  <c r="BF195" i="5" s="1"/>
  <c r="BF197" i="5" s="1"/>
  <c r="BF199" i="5" s="1"/>
  <c r="BF201" i="5" s="1"/>
  <c r="BF203" i="5" s="1"/>
  <c r="BF205" i="5" s="1"/>
  <c r="BF207" i="5" s="1"/>
  <c r="BF209" i="5" s="1"/>
  <c r="BF211" i="5" s="1"/>
  <c r="BF213" i="5" s="1"/>
  <c r="BF215" i="5" s="1"/>
  <c r="BF217" i="5" s="1"/>
  <c r="BF219" i="5" s="1"/>
  <c r="BF221" i="5" s="1"/>
  <c r="BF223" i="5" s="1"/>
  <c r="BF225" i="5" s="1"/>
  <c r="BF227" i="5" s="1"/>
  <c r="BF229" i="5" s="1"/>
  <c r="BF231" i="5" s="1"/>
  <c r="BF233" i="5" s="1"/>
  <c r="BF235" i="5" s="1"/>
  <c r="BF237" i="5" s="1"/>
  <c r="BF239" i="5" s="1"/>
  <c r="BF241" i="5" s="1"/>
  <c r="BF243" i="5" s="1"/>
  <c r="BF245" i="5" s="1"/>
  <c r="BF247" i="5" s="1"/>
  <c r="BF249" i="5" s="1"/>
  <c r="BF251" i="5" s="1"/>
  <c r="BF253" i="5" s="1"/>
  <c r="BF255" i="5" s="1"/>
  <c r="BF257" i="5" s="1"/>
  <c r="BF259" i="5" s="1"/>
  <c r="BF261" i="5" s="1"/>
  <c r="BF263" i="5" s="1"/>
  <c r="BF265" i="5" s="1"/>
  <c r="BF267" i="5" s="1"/>
  <c r="BF269" i="5" s="1"/>
  <c r="BF271" i="5" s="1"/>
  <c r="BF273" i="5" s="1"/>
  <c r="BF275" i="5" s="1"/>
  <c r="BF277" i="5" s="1"/>
  <c r="BF279" i="5" s="1"/>
  <c r="BF281" i="5" s="1"/>
  <c r="BF283" i="5" s="1"/>
  <c r="BF285" i="5" s="1"/>
  <c r="BF287" i="5" s="1"/>
  <c r="BF289" i="5" s="1"/>
  <c r="BF291" i="5" s="1"/>
  <c r="BF293" i="5" s="1"/>
  <c r="BF295" i="5" s="1"/>
  <c r="BF297" i="5" s="1"/>
  <c r="BF299" i="5" s="1"/>
  <c r="BF301" i="5" s="1"/>
  <c r="BF303" i="5" s="1"/>
  <c r="BF305" i="5" s="1"/>
  <c r="BF307" i="5" s="1"/>
  <c r="BF309" i="5" s="1"/>
  <c r="BF311" i="5" s="1"/>
  <c r="BF313" i="5" s="1"/>
  <c r="BF315" i="5" s="1"/>
  <c r="BF317" i="5" s="1"/>
  <c r="BF319" i="5" s="1"/>
  <c r="BF321" i="5" s="1"/>
  <c r="BF323" i="5" s="1"/>
  <c r="BF325" i="5" s="1"/>
  <c r="BF327" i="5" s="1"/>
  <c r="BF329" i="5" s="1"/>
  <c r="BF331" i="5" s="1"/>
  <c r="BF333" i="5" s="1"/>
  <c r="BF335" i="5" s="1"/>
  <c r="BF337" i="5" s="1"/>
  <c r="BF339" i="5" s="1"/>
  <c r="BF341" i="5" s="1"/>
  <c r="BF343" i="5" s="1"/>
  <c r="BF345" i="5" s="1"/>
  <c r="BF347" i="5" s="1"/>
  <c r="BF349" i="5" s="1"/>
  <c r="BF351" i="5" s="1"/>
  <c r="BF353" i="5" s="1"/>
  <c r="BF355" i="5" s="1"/>
  <c r="BF357" i="5" s="1"/>
  <c r="BF359" i="5" s="1"/>
  <c r="BF361" i="5" s="1"/>
  <c r="BF363" i="5" s="1"/>
  <c r="BF365" i="5" s="1"/>
  <c r="BF367" i="5" s="1"/>
  <c r="BF369" i="5" s="1"/>
  <c r="BF371" i="5" s="1"/>
  <c r="BF373" i="5" s="1"/>
  <c r="BF375" i="5" s="1"/>
  <c r="BF377" i="5" s="1"/>
  <c r="BF379" i="5" s="1"/>
  <c r="BF381" i="5" s="1"/>
  <c r="BF383" i="5" s="1"/>
  <c r="BF385" i="5" s="1"/>
  <c r="BF387" i="5" s="1"/>
  <c r="BF389" i="5" s="1"/>
  <c r="BF391" i="5" s="1"/>
  <c r="BF393" i="5" s="1"/>
  <c r="BF395" i="5" s="1"/>
  <c r="BF397" i="5" s="1"/>
  <c r="BF399" i="5" s="1"/>
  <c r="BF401" i="5" s="1"/>
  <c r="BF403" i="5" s="1"/>
  <c r="BF405" i="5" s="1"/>
  <c r="BF407" i="5" s="1"/>
  <c r="BF409" i="5" s="1"/>
  <c r="BF411" i="5" s="1"/>
  <c r="BF413" i="5" s="1"/>
  <c r="BF415" i="5" s="1"/>
  <c r="BF417" i="5" s="1"/>
  <c r="BF419" i="5" s="1"/>
  <c r="BF421" i="5" s="1"/>
  <c r="BF423" i="5" s="1"/>
  <c r="BF425" i="5" s="1"/>
  <c r="BF427" i="5" s="1"/>
  <c r="BF429" i="5" s="1"/>
  <c r="BF431" i="5" s="1"/>
  <c r="BF433" i="5" s="1"/>
  <c r="BF435" i="5" s="1"/>
  <c r="BF437" i="5" s="1"/>
  <c r="BF439" i="5" s="1"/>
  <c r="BF441" i="5" s="1"/>
  <c r="BF443" i="5" s="1"/>
  <c r="BF445" i="5" s="1"/>
  <c r="BF447" i="5" s="1"/>
  <c r="BF449" i="5" s="1"/>
  <c r="BF451" i="5" s="1"/>
  <c r="BF453" i="5" s="1"/>
  <c r="BF455" i="5" s="1"/>
  <c r="BF457" i="5" s="1"/>
  <c r="BF459" i="5" s="1"/>
  <c r="BF461" i="5" s="1"/>
  <c r="BF463" i="5" s="1"/>
  <c r="BF465" i="5" s="1"/>
  <c r="BF467" i="5" s="1"/>
  <c r="BF469" i="5" s="1"/>
  <c r="BF471" i="5" s="1"/>
  <c r="BF473" i="5" s="1"/>
  <c r="BF475" i="5" s="1"/>
  <c r="BF477" i="5" s="1"/>
  <c r="BF479" i="5" s="1"/>
  <c r="BF481" i="5" s="1"/>
  <c r="BF483" i="5" s="1"/>
  <c r="BF485" i="5" s="1"/>
  <c r="BF487" i="5" s="1"/>
  <c r="BF489" i="5" s="1"/>
  <c r="BF491" i="5" s="1"/>
  <c r="BF493" i="5" s="1"/>
  <c r="BF495" i="5" s="1"/>
  <c r="BF497" i="5" s="1"/>
  <c r="BF499" i="5" s="1"/>
  <c r="BF501" i="5" s="1"/>
  <c r="BF503" i="5" s="1"/>
  <c r="BF505" i="5" s="1"/>
  <c r="BF507" i="5" s="1"/>
  <c r="BF509" i="5" s="1"/>
  <c r="BF511" i="5" s="1"/>
  <c r="BF513" i="5" s="1"/>
  <c r="BF515" i="5" s="1"/>
  <c r="BF517" i="5" s="1"/>
  <c r="BF519" i="5" s="1"/>
  <c r="BF521" i="5" s="1"/>
  <c r="BF523" i="5" s="1"/>
  <c r="BF525" i="5" s="1"/>
  <c r="BF527" i="5" s="1"/>
  <c r="BF529" i="5" s="1"/>
  <c r="BF531" i="5" s="1"/>
  <c r="BF533" i="5" s="1"/>
  <c r="BF535" i="5" s="1"/>
  <c r="BF537" i="5" s="1"/>
  <c r="BF539" i="5" s="1"/>
  <c r="BF541" i="5" s="1"/>
  <c r="BF543" i="5" s="1"/>
  <c r="BF545" i="5" s="1"/>
  <c r="BF547" i="5" s="1"/>
  <c r="BF549" i="5" s="1"/>
  <c r="BF551" i="5" s="1"/>
  <c r="BF553" i="5" s="1"/>
  <c r="BF555" i="5" s="1"/>
  <c r="BF557" i="5" s="1"/>
  <c r="BF559" i="5" s="1"/>
  <c r="BF561" i="5" s="1"/>
  <c r="BF563" i="5" s="1"/>
  <c r="BF565" i="5" s="1"/>
  <c r="BF567" i="5" s="1"/>
  <c r="BF569" i="5" s="1"/>
  <c r="BF571" i="5" s="1"/>
  <c r="BF573" i="5" s="1"/>
  <c r="BF575" i="5" s="1"/>
  <c r="BF577" i="5" s="1"/>
  <c r="BF579" i="5" s="1"/>
  <c r="BF581" i="5" s="1"/>
  <c r="BF583" i="5" s="1"/>
  <c r="BF585" i="5" s="1"/>
  <c r="BF587" i="5" s="1"/>
  <c r="BF589" i="5" s="1"/>
  <c r="BF591" i="5" s="1"/>
  <c r="BF593" i="5" s="1"/>
  <c r="BF595" i="5" s="1"/>
  <c r="BF597" i="5" s="1"/>
  <c r="BF599" i="5" s="1"/>
  <c r="BF601" i="5" s="1"/>
  <c r="BF603" i="5" s="1"/>
  <c r="BF605" i="5" s="1"/>
  <c r="BF607" i="5" s="1"/>
  <c r="BF609" i="5" s="1"/>
  <c r="BF611" i="5" s="1"/>
  <c r="BF613" i="5" s="1"/>
  <c r="BF615" i="5" s="1"/>
  <c r="BF617" i="5" s="1"/>
  <c r="BF619" i="5" s="1"/>
  <c r="BF621" i="5" s="1"/>
  <c r="BF623" i="5" s="1"/>
  <c r="BF625" i="5" s="1"/>
  <c r="BF627" i="5" s="1"/>
  <c r="BF629" i="5" s="1"/>
  <c r="BF631" i="5" s="1"/>
  <c r="BF633" i="5" s="1"/>
  <c r="BF635" i="5" s="1"/>
  <c r="V30" i="5"/>
  <c r="X30" i="5"/>
  <c r="Y14" i="1"/>
  <c r="X141" i="5"/>
  <c r="U12" i="1"/>
  <c r="X115" i="5"/>
  <c r="O15" i="1"/>
  <c r="X82" i="5"/>
  <c r="M12" i="1"/>
  <c r="X67" i="5"/>
  <c r="I14" i="1"/>
  <c r="X45" i="5"/>
  <c r="AA12" i="1"/>
  <c r="X151" i="5"/>
  <c r="X140" i="5"/>
  <c r="Y13" i="1"/>
  <c r="W14" i="1"/>
  <c r="X129" i="5"/>
  <c r="U15" i="1"/>
  <c r="X118" i="5"/>
  <c r="U11" i="1"/>
  <c r="X114" i="5"/>
  <c r="S12" i="1"/>
  <c r="X103" i="5"/>
  <c r="X92" i="5"/>
  <c r="Q13" i="1"/>
  <c r="O14" i="1"/>
  <c r="X81" i="5"/>
  <c r="X70" i="5"/>
  <c r="M15" i="1"/>
  <c r="X66" i="5"/>
  <c r="M11" i="1"/>
  <c r="K12" i="1"/>
  <c r="X55" i="5"/>
  <c r="I13" i="1"/>
  <c r="X44" i="5"/>
  <c r="AA14" i="1"/>
  <c r="X153" i="5"/>
  <c r="X126" i="5"/>
  <c r="W11" i="1"/>
  <c r="Q14" i="1"/>
  <c r="X93" i="5"/>
  <c r="X150" i="5"/>
  <c r="AA11" i="1"/>
  <c r="Y12" i="1"/>
  <c r="X139" i="5"/>
  <c r="X128" i="5"/>
  <c r="W13" i="1"/>
  <c r="U14" i="1"/>
  <c r="X117" i="5"/>
  <c r="S15" i="1"/>
  <c r="X106" i="5"/>
  <c r="S11" i="1"/>
  <c r="X102" i="5"/>
  <c r="Q12" i="1"/>
  <c r="X91" i="5"/>
  <c r="X80" i="5"/>
  <c r="O13" i="1"/>
  <c r="M14" i="1"/>
  <c r="X69" i="5"/>
  <c r="X58" i="5"/>
  <c r="K15" i="1"/>
  <c r="X54" i="5"/>
  <c r="K11" i="1"/>
  <c r="I12" i="1"/>
  <c r="X43" i="5"/>
  <c r="X130" i="5"/>
  <c r="W15" i="1"/>
  <c r="X104" i="5"/>
  <c r="S13" i="1"/>
  <c r="O11" i="1"/>
  <c r="X78" i="5"/>
  <c r="X56" i="5"/>
  <c r="K13" i="1"/>
  <c r="X154" i="5"/>
  <c r="AA15" i="1"/>
  <c r="X142" i="5"/>
  <c r="Y15" i="1"/>
  <c r="X138" i="5"/>
  <c r="Y11" i="1"/>
  <c r="W12" i="1"/>
  <c r="X127" i="5"/>
  <c r="X116" i="5"/>
  <c r="U13" i="1"/>
  <c r="X105" i="5"/>
  <c r="S14" i="1"/>
  <c r="X94" i="5"/>
  <c r="Q15" i="1"/>
  <c r="X90" i="5"/>
  <c r="Q11" i="1"/>
  <c r="O12" i="1"/>
  <c r="X79" i="5"/>
  <c r="X68" i="5"/>
  <c r="M13" i="1"/>
  <c r="K14" i="1"/>
  <c r="X57" i="5"/>
  <c r="I15" i="1"/>
  <c r="X46" i="5"/>
  <c r="I11" i="1"/>
  <c r="X42" i="5"/>
  <c r="G12" i="1"/>
  <c r="X31" i="5"/>
  <c r="W39" i="1"/>
  <c r="X6" i="5"/>
  <c r="V6" i="5"/>
  <c r="V20" i="5"/>
  <c r="X20" i="5"/>
  <c r="X22" i="5"/>
  <c r="V22" i="5"/>
  <c r="X21" i="5"/>
  <c r="V21" i="5"/>
  <c r="V19" i="5"/>
  <c r="X19" i="5"/>
  <c r="E11" i="1"/>
  <c r="V18" i="5"/>
  <c r="X18" i="5"/>
  <c r="X152" i="5"/>
  <c r="V152" i="5"/>
  <c r="V33" i="5"/>
  <c r="G14" i="1"/>
  <c r="V34" i="5"/>
  <c r="X34" i="5"/>
  <c r="X32" i="5"/>
  <c r="G13" i="1"/>
  <c r="C15" i="1"/>
  <c r="X10" i="5"/>
  <c r="V9" i="5"/>
  <c r="X9" i="5"/>
  <c r="A87" i="1"/>
  <c r="AM9" i="12" l="1"/>
  <c r="AM10" i="12" s="1"/>
  <c r="A3" i="14" l="1"/>
  <c r="AA1" i="1"/>
  <c r="BG16" i="12" l="1"/>
  <c r="BJ28" i="12"/>
  <c r="BJ30" i="12" s="1"/>
  <c r="BJ27" i="12"/>
  <c r="BJ26" i="12"/>
  <c r="CC30" i="12"/>
  <c r="CB24" i="12"/>
  <c r="CB23" i="12"/>
  <c r="BI38" i="12" l="1"/>
  <c r="BI39" i="12"/>
  <c r="AE477" i="5" l="1"/>
  <c r="AE632" i="5"/>
  <c r="AE631" i="5"/>
  <c r="N133" i="7"/>
  <c r="AE610" i="5"/>
  <c r="N109" i="6"/>
  <c r="AE574" i="5"/>
  <c r="AE248" i="5"/>
  <c r="N85" i="7"/>
  <c r="AE562" i="5"/>
  <c r="N73" i="8"/>
  <c r="AE226" i="5"/>
  <c r="N61" i="6"/>
  <c r="N37" i="7"/>
  <c r="AE512" i="5"/>
  <c r="AE186" i="5"/>
  <c r="AE322" i="5"/>
  <c r="AE319" i="5"/>
  <c r="AG486" i="5"/>
  <c r="AE164" i="5"/>
  <c r="AE334" i="5"/>
  <c r="AE503" i="5"/>
  <c r="N25" i="6"/>
  <c r="AE142" i="5"/>
  <c r="AE93" i="5"/>
  <c r="AE78" i="5"/>
  <c r="N61" i="5"/>
  <c r="AE34" i="5"/>
  <c r="AE24" i="5"/>
  <c r="AE22" i="5"/>
  <c r="AE20" i="5"/>
  <c r="AE9" i="5"/>
  <c r="D79" i="1"/>
  <c r="H83" i="1"/>
  <c r="AU27" i="12"/>
  <c r="F166" i="5"/>
  <c r="F166" i="6"/>
  <c r="F178" i="7"/>
  <c r="F166" i="8"/>
  <c r="AG150" i="5"/>
  <c r="AG294" i="5"/>
  <c r="AG402" i="5"/>
  <c r="AE156" i="8"/>
  <c r="AE636" i="5"/>
  <c r="AG633" i="5"/>
  <c r="AG624" i="5"/>
  <c r="AG600" i="5"/>
  <c r="AG588" i="5"/>
  <c r="AE96" i="8"/>
  <c r="AG540" i="5"/>
  <c r="AE48" i="8"/>
  <c r="AG516" i="5"/>
  <c r="AG514" i="5"/>
  <c r="AG504" i="5"/>
  <c r="AG502" i="5"/>
  <c r="AG492" i="5"/>
  <c r="AE8" i="8"/>
  <c r="AE168" i="7"/>
  <c r="AE468" i="5"/>
  <c r="AG444" i="5"/>
  <c r="AG420" i="5"/>
  <c r="AE420" i="5"/>
  <c r="AE72" i="7"/>
  <c r="AE360" i="5"/>
  <c r="AG318" i="5"/>
  <c r="AE156" i="6"/>
  <c r="AE153" i="6"/>
  <c r="AG283" i="5"/>
  <c r="AE118" i="6"/>
  <c r="AE96" i="6"/>
  <c r="AE94" i="6"/>
  <c r="AG216" i="5"/>
  <c r="AE216" i="5"/>
  <c r="AG204" i="5"/>
  <c r="AG180" i="5"/>
  <c r="AG168" i="5"/>
  <c r="AE19" i="5"/>
  <c r="AG19" i="5"/>
  <c r="AG20" i="5"/>
  <c r="AG21" i="5"/>
  <c r="AG24" i="5"/>
  <c r="AG154" i="5"/>
  <c r="AG152" i="5"/>
  <c r="AG144" i="5"/>
  <c r="AE143" i="5"/>
  <c r="AE141" i="5"/>
  <c r="AG132" i="5"/>
  <c r="AE132" i="5"/>
  <c r="AE128" i="5"/>
  <c r="AE119" i="8"/>
  <c r="AG118" i="5"/>
  <c r="AE611" i="5"/>
  <c r="AE261" i="5"/>
  <c r="AE103" i="7"/>
  <c r="AG584" i="5"/>
  <c r="AG108" i="5"/>
  <c r="AG106" i="5"/>
  <c r="AE575" i="5"/>
  <c r="AG95" i="5"/>
  <c r="AG93" i="5"/>
  <c r="AG92" i="5"/>
  <c r="AG84" i="5"/>
  <c r="AE382" i="5"/>
  <c r="AG71" i="5"/>
  <c r="AG58" i="5"/>
  <c r="AE523" i="5"/>
  <c r="AE48" i="5"/>
  <c r="AG46" i="5"/>
  <c r="AE188" i="5"/>
  <c r="AG35" i="5"/>
  <c r="AG32" i="5"/>
  <c r="AG6" i="5"/>
  <c r="AE10" i="5"/>
  <c r="AE7" i="5"/>
  <c r="AX7" i="5" s="1"/>
  <c r="AE634" i="5"/>
  <c r="AE633" i="5"/>
  <c r="AE623" i="5"/>
  <c r="AE618" i="5"/>
  <c r="AE599" i="5"/>
  <c r="AE596" i="5"/>
  <c r="AE595" i="5"/>
  <c r="AE594" i="5"/>
  <c r="AE560" i="5"/>
  <c r="AE551" i="5"/>
  <c r="AE547" i="5"/>
  <c r="AE539" i="5"/>
  <c r="AE536" i="5"/>
  <c r="AE535" i="5"/>
  <c r="AE526" i="5"/>
  <c r="AE515" i="5"/>
  <c r="AE514" i="5"/>
  <c r="AE479" i="5"/>
  <c r="AE467" i="5"/>
  <c r="AE464" i="5"/>
  <c r="AE463" i="5"/>
  <c r="AE455" i="5"/>
  <c r="AE454" i="5"/>
  <c r="AE452" i="5"/>
  <c r="AE443" i="5"/>
  <c r="AE440" i="5"/>
  <c r="AE431" i="5"/>
  <c r="AE427" i="5"/>
  <c r="AE426" i="5"/>
  <c r="AE419" i="5"/>
  <c r="AE416" i="5"/>
  <c r="AE415" i="5"/>
  <c r="AE407" i="5"/>
  <c r="AE395" i="5"/>
  <c r="AE392" i="5"/>
  <c r="AE383" i="5"/>
  <c r="AE379" i="5"/>
  <c r="AE371" i="5"/>
  <c r="AE369" i="5"/>
  <c r="AE355" i="5"/>
  <c r="AE347" i="5"/>
  <c r="AE343" i="5"/>
  <c r="AE335" i="5"/>
  <c r="AE330" i="5"/>
  <c r="AE323" i="5"/>
  <c r="AE320" i="5"/>
  <c r="AE311" i="5"/>
  <c r="AE310" i="5"/>
  <c r="AE308" i="5"/>
  <c r="AE296" i="5"/>
  <c r="AE295" i="5"/>
  <c r="AE287" i="5"/>
  <c r="AE284" i="5"/>
  <c r="AE283" i="5"/>
  <c r="AE274" i="5"/>
  <c r="AE271" i="5"/>
  <c r="AE263" i="5"/>
  <c r="AE260" i="5"/>
  <c r="AE258" i="5"/>
  <c r="AE251" i="5"/>
  <c r="AE250" i="5"/>
  <c r="AE239" i="5"/>
  <c r="AE238" i="5"/>
  <c r="AE235" i="5"/>
  <c r="AE224" i="5"/>
  <c r="AE222" i="5"/>
  <c r="AE215" i="5"/>
  <c r="AE212" i="5"/>
  <c r="AE200" i="5"/>
  <c r="AE199" i="5"/>
  <c r="AE191" i="5"/>
  <c r="AE155" i="5"/>
  <c r="AE154" i="5"/>
  <c r="AE153" i="5"/>
  <c r="AE152" i="5"/>
  <c r="AE151" i="5"/>
  <c r="AE150" i="5"/>
  <c r="AE127" i="5"/>
  <c r="AE119" i="5"/>
  <c r="AE118" i="5"/>
  <c r="AE117" i="5"/>
  <c r="AE107" i="5"/>
  <c r="AE95" i="5"/>
  <c r="AE83" i="5"/>
  <c r="AE81" i="5"/>
  <c r="AE79" i="5"/>
  <c r="AE69" i="5"/>
  <c r="AE67" i="5"/>
  <c r="AE57" i="5"/>
  <c r="AE56" i="5"/>
  <c r="AE45" i="5"/>
  <c r="AE42" i="5"/>
  <c r="AE6" i="5"/>
  <c r="D6" i="15"/>
  <c r="C6" i="15"/>
  <c r="AE10" i="13"/>
  <c r="BG13" i="12"/>
  <c r="AE9" i="13" s="1"/>
  <c r="BC5" i="12"/>
  <c r="J28" i="12" s="1"/>
  <c r="H4" i="15"/>
  <c r="AG623" i="5"/>
  <c r="AG619" i="5"/>
  <c r="AG611" i="5"/>
  <c r="AG609" i="5"/>
  <c r="AG599" i="5"/>
  <c r="AG598" i="5"/>
  <c r="AG597" i="5"/>
  <c r="AG595" i="5"/>
  <c r="AG587" i="5"/>
  <c r="AG585" i="5"/>
  <c r="AG583" i="5"/>
  <c r="AG572" i="5"/>
  <c r="AG563" i="5"/>
  <c r="AG547" i="5"/>
  <c r="AG539" i="5"/>
  <c r="AG538" i="5"/>
  <c r="AG536" i="5"/>
  <c r="AG535" i="5"/>
  <c r="AG527" i="5"/>
  <c r="AG523" i="5"/>
  <c r="AG515" i="5"/>
  <c r="AG513" i="5"/>
  <c r="AG512" i="5"/>
  <c r="AG511" i="5"/>
  <c r="AG503" i="5"/>
  <c r="AG501" i="5"/>
  <c r="AG499" i="5"/>
  <c r="AG491" i="5"/>
  <c r="AG475" i="5"/>
  <c r="AG455" i="5"/>
  <c r="AG453" i="5"/>
  <c r="AG451" i="5"/>
  <c r="AG441" i="5"/>
  <c r="AG429" i="5"/>
  <c r="AG426" i="5"/>
  <c r="AG419" i="5"/>
  <c r="AG417" i="5"/>
  <c r="AG415" i="5"/>
  <c r="AG405" i="5"/>
  <c r="AG392" i="5"/>
  <c r="AG383" i="5"/>
  <c r="AG381" i="5"/>
  <c r="AG380" i="5"/>
  <c r="AG371" i="5"/>
  <c r="AG370" i="5"/>
  <c r="AG366" i="5"/>
  <c r="AG357" i="5"/>
  <c r="AG335" i="5"/>
  <c r="AG334" i="5"/>
  <c r="AG332" i="5"/>
  <c r="AG323" i="5"/>
  <c r="AG311" i="5"/>
  <c r="AG308" i="5"/>
  <c r="AG299" i="5"/>
  <c r="AG297" i="5"/>
  <c r="AG287" i="5"/>
  <c r="AG285" i="5"/>
  <c r="AG284" i="5"/>
  <c r="AG275" i="5"/>
  <c r="AG273" i="5"/>
  <c r="AG272" i="5"/>
  <c r="AG270" i="5"/>
  <c r="AG263" i="5"/>
  <c r="AG261" i="5"/>
  <c r="AG260" i="5"/>
  <c r="AG251" i="5"/>
  <c r="AG239" i="5"/>
  <c r="AG237" i="5"/>
  <c r="AG227" i="5"/>
  <c r="AG225" i="5"/>
  <c r="AG213" i="5"/>
  <c r="AG212" i="5"/>
  <c r="AG203" i="5"/>
  <c r="AG201" i="5"/>
  <c r="AG200" i="5"/>
  <c r="AG199" i="5"/>
  <c r="AG143" i="5"/>
  <c r="AG142" i="5"/>
  <c r="AG141" i="5"/>
  <c r="AG131" i="5"/>
  <c r="AG116" i="5"/>
  <c r="AG107" i="5"/>
  <c r="AG91" i="5"/>
  <c r="AG83" i="5"/>
  <c r="AG82" i="5"/>
  <c r="AG70" i="5"/>
  <c r="AG56" i="5"/>
  <c r="AG55" i="5"/>
  <c r="AG54" i="5"/>
  <c r="AG43" i="5"/>
  <c r="AE143" i="7"/>
  <c r="AE131" i="8"/>
  <c r="AE104" i="6"/>
  <c r="AE83" i="8"/>
  <c r="AE47" i="8"/>
  <c r="AE44" i="6"/>
  <c r="AE35" i="8"/>
  <c r="AG179" i="5"/>
  <c r="AE179" i="5"/>
  <c r="AE11" i="8"/>
  <c r="AE167" i="5"/>
  <c r="AG67" i="5"/>
  <c r="AE117" i="8"/>
  <c r="AE69" i="7"/>
  <c r="AE59" i="7"/>
  <c r="AE35" i="7"/>
  <c r="AE23" i="7"/>
  <c r="AE152" i="6"/>
  <c r="AE128" i="6"/>
  <c r="AE107" i="6"/>
  <c r="AE95" i="6"/>
  <c r="AE83" i="6"/>
  <c r="AE69" i="6"/>
  <c r="AE35" i="6"/>
  <c r="AG7" i="5"/>
  <c r="AZ7" i="5" s="1"/>
  <c r="G2" i="1"/>
  <c r="G1" i="1"/>
  <c r="B2" i="1"/>
  <c r="B1" i="1"/>
  <c r="S6" i="13"/>
  <c r="S4" i="13"/>
  <c r="AQ7" i="12"/>
  <c r="AP7" i="12"/>
  <c r="AO7" i="12"/>
  <c r="F165" i="5"/>
  <c r="C18" i="13"/>
  <c r="AM11" i="13" s="1"/>
  <c r="C17" i="13"/>
  <c r="AM10" i="13" s="1"/>
  <c r="AO10" i="13" s="1"/>
  <c r="C16" i="13"/>
  <c r="AM9" i="13" s="1"/>
  <c r="C15" i="13"/>
  <c r="AM8" i="13" s="1"/>
  <c r="C14" i="13"/>
  <c r="AM7" i="13" s="1"/>
  <c r="F14" i="13"/>
  <c r="AM12" i="13" s="1"/>
  <c r="F15" i="13"/>
  <c r="AM13" i="13" s="1"/>
  <c r="AO13" i="13" s="1"/>
  <c r="F16" i="13"/>
  <c r="AM14" i="13" s="1"/>
  <c r="F17" i="13"/>
  <c r="AM15" i="13" s="1"/>
  <c r="AO15" i="13" s="1"/>
  <c r="F18" i="13"/>
  <c r="AM16" i="13" s="1"/>
  <c r="I14" i="13"/>
  <c r="AM17" i="13" s="1"/>
  <c r="I15" i="13"/>
  <c r="AM18" i="13" s="1"/>
  <c r="AN18" i="13" s="1"/>
  <c r="I16" i="13"/>
  <c r="AM19" i="13" s="1"/>
  <c r="I17" i="13"/>
  <c r="AM20" i="13" s="1"/>
  <c r="I18" i="13"/>
  <c r="AM21" i="13" s="1"/>
  <c r="AN21" i="13" s="1"/>
  <c r="AM11" i="12"/>
  <c r="AM12" i="12" s="1"/>
  <c r="AM13" i="12" s="1"/>
  <c r="AM16" i="12" s="1"/>
  <c r="AM18" i="12" s="1"/>
  <c r="AM19" i="12" s="1"/>
  <c r="AM20" i="12" s="1"/>
  <c r="AM21" i="12" s="1"/>
  <c r="AM22" i="12" s="1"/>
  <c r="AM23" i="12" s="1"/>
  <c r="AM24" i="12" s="1"/>
  <c r="AM25" i="12" s="1"/>
  <c r="AM26" i="12" s="1"/>
  <c r="AM27" i="12" s="1"/>
  <c r="AM28" i="12" s="1"/>
  <c r="AM29" i="12" s="1"/>
  <c r="AM30" i="12" s="1"/>
  <c r="AM31" i="12" s="1"/>
  <c r="AM32" i="12" s="1"/>
  <c r="AM33" i="12" s="1"/>
  <c r="AM34" i="12" s="1"/>
  <c r="AM35" i="12" s="1"/>
  <c r="AM36" i="12" s="1"/>
  <c r="AM37" i="12" s="1"/>
  <c r="AM38" i="12" s="1"/>
  <c r="AM39" i="12" s="1"/>
  <c r="AM40" i="12" s="1"/>
  <c r="AM41" i="12" s="1"/>
  <c r="AM42" i="12" s="1"/>
  <c r="AM43" i="12" s="1"/>
  <c r="AM44" i="12" s="1"/>
  <c r="AM45" i="12" s="1"/>
  <c r="AM46" i="12" s="1"/>
  <c r="AM47" i="12" s="1"/>
  <c r="AM48" i="12" s="1"/>
  <c r="AM49" i="12" s="1"/>
  <c r="AM50" i="12" s="1"/>
  <c r="AM51" i="12" s="1"/>
  <c r="AM52" i="12" s="1"/>
  <c r="AM53" i="12" s="1"/>
  <c r="AM54" i="12" s="1"/>
  <c r="AM55" i="12" s="1"/>
  <c r="AM56" i="12" s="1"/>
  <c r="AM57" i="12" s="1"/>
  <c r="AM58" i="12" s="1"/>
  <c r="AM59" i="12" s="1"/>
  <c r="AM60" i="12" s="1"/>
  <c r="AM61" i="12" s="1"/>
  <c r="AM62" i="12" s="1"/>
  <c r="AM63" i="12" s="1"/>
  <c r="AM64" i="12" s="1"/>
  <c r="AM65" i="12" s="1"/>
  <c r="AM66" i="12" s="1"/>
  <c r="AM67" i="12" s="1"/>
  <c r="AM68" i="12" s="1"/>
  <c r="AM69" i="12" s="1"/>
  <c r="AM70" i="12" s="1"/>
  <c r="AM71" i="12" s="1"/>
  <c r="AM72" i="12" s="1"/>
  <c r="AN9" i="12"/>
  <c r="AN10" i="12" s="1"/>
  <c r="AN11" i="12" s="1"/>
  <c r="AN12" i="12" s="1"/>
  <c r="AN13" i="12" s="1"/>
  <c r="AN16" i="12" s="1"/>
  <c r="AN18" i="12" s="1"/>
  <c r="AN19" i="12" s="1"/>
  <c r="AN20" i="12" s="1"/>
  <c r="AN21" i="12" s="1"/>
  <c r="AN22" i="12" s="1"/>
  <c r="AN23" i="12" s="1"/>
  <c r="AN24" i="12" s="1"/>
  <c r="AN25" i="12" s="1"/>
  <c r="AN26" i="12" s="1"/>
  <c r="AN27" i="12" s="1"/>
  <c r="AN28" i="12" s="1"/>
  <c r="AN29" i="12" s="1"/>
  <c r="AN30" i="12" s="1"/>
  <c r="AN31" i="12" s="1"/>
  <c r="AN32" i="12" s="1"/>
  <c r="AN33" i="12" s="1"/>
  <c r="AN34" i="12" s="1"/>
  <c r="AN35" i="12" s="1"/>
  <c r="AN36" i="12" s="1"/>
  <c r="AN37" i="12" s="1"/>
  <c r="AN38" i="12" s="1"/>
  <c r="AN39" i="12" s="1"/>
  <c r="AN40" i="12" s="1"/>
  <c r="AN41" i="12" s="1"/>
  <c r="AN42" i="12" s="1"/>
  <c r="AN43" i="12" s="1"/>
  <c r="AN44" i="12" s="1"/>
  <c r="AN45" i="12" s="1"/>
  <c r="AN46" i="12" s="1"/>
  <c r="AN47" i="12" s="1"/>
  <c r="AN48" i="12" s="1"/>
  <c r="AN49" i="12" s="1"/>
  <c r="AN50" i="12" s="1"/>
  <c r="AN51" i="12" s="1"/>
  <c r="AN52" i="12" s="1"/>
  <c r="AN53" i="12" s="1"/>
  <c r="AN54" i="12" s="1"/>
  <c r="AN55" i="12" s="1"/>
  <c r="AN56" i="12" s="1"/>
  <c r="AN57" i="12" s="1"/>
  <c r="AN58" i="12" s="1"/>
  <c r="AN59" i="12" s="1"/>
  <c r="AN60" i="12" s="1"/>
  <c r="AN61" i="12" s="1"/>
  <c r="AN62" i="12" s="1"/>
  <c r="AN63" i="12" s="1"/>
  <c r="AN64" i="12" s="1"/>
  <c r="AN65" i="12" s="1"/>
  <c r="AN66" i="12" s="1"/>
  <c r="AN67" i="12" s="1"/>
  <c r="AN68" i="12" s="1"/>
  <c r="AN69" i="12" s="1"/>
  <c r="AN70" i="12" s="1"/>
  <c r="AN71" i="12" s="1"/>
  <c r="AN72" i="12" s="1"/>
  <c r="AN73" i="12" s="1"/>
  <c r="AN74" i="12" s="1"/>
  <c r="AN75" i="12" s="1"/>
  <c r="AN76" i="12" s="1"/>
  <c r="AN77" i="12" s="1"/>
  <c r="AN78" i="12" s="1"/>
  <c r="AO9" i="12"/>
  <c r="AO10" i="12" s="1"/>
  <c r="AO11" i="12" s="1"/>
  <c r="AO12" i="12" s="1"/>
  <c r="AO13" i="12" s="1"/>
  <c r="AO16" i="12" s="1"/>
  <c r="AO18" i="12" s="1"/>
  <c r="AO19" i="12" s="1"/>
  <c r="AO20" i="12" s="1"/>
  <c r="AO21" i="12" s="1"/>
  <c r="AO22" i="12" s="1"/>
  <c r="AO23" i="12" s="1"/>
  <c r="AO24" i="12" s="1"/>
  <c r="AO25" i="12" s="1"/>
  <c r="AO26" i="12" s="1"/>
  <c r="AO27" i="12" s="1"/>
  <c r="AO28" i="12" s="1"/>
  <c r="AO29" i="12" s="1"/>
  <c r="AO30" i="12" s="1"/>
  <c r="AO31" i="12" s="1"/>
  <c r="AO32" i="12" s="1"/>
  <c r="AO33" i="12" s="1"/>
  <c r="AO34" i="12" s="1"/>
  <c r="AO35" i="12" s="1"/>
  <c r="AO36" i="12" s="1"/>
  <c r="AO37" i="12" s="1"/>
  <c r="AO38" i="12" s="1"/>
  <c r="AO39" i="12" s="1"/>
  <c r="AO40" i="12" s="1"/>
  <c r="AO41" i="12" s="1"/>
  <c r="AO42" i="12" s="1"/>
  <c r="AO43" i="12" s="1"/>
  <c r="AO44" i="12" s="1"/>
  <c r="AO45" i="12" s="1"/>
  <c r="AO46" i="12" s="1"/>
  <c r="AO47" i="12" s="1"/>
  <c r="AO48" i="12" s="1"/>
  <c r="AO49" i="12" s="1"/>
  <c r="AO50" i="12" s="1"/>
  <c r="AO51" i="12" s="1"/>
  <c r="AO52" i="12" s="1"/>
  <c r="AO53" i="12" s="1"/>
  <c r="AO54" i="12" s="1"/>
  <c r="AO55" i="12" s="1"/>
  <c r="AO56" i="12" s="1"/>
  <c r="AO57" i="12" s="1"/>
  <c r="AO58" i="12" s="1"/>
  <c r="AO59" i="12" s="1"/>
  <c r="AO60" i="12" s="1"/>
  <c r="AO61" i="12" s="1"/>
  <c r="AO62" i="12" s="1"/>
  <c r="AO63" i="12" s="1"/>
  <c r="AO64" i="12" s="1"/>
  <c r="AO65" i="12" s="1"/>
  <c r="AO66" i="12" s="1"/>
  <c r="AO67" i="12" s="1"/>
  <c r="AO68" i="12" s="1"/>
  <c r="AO69" i="12" s="1"/>
  <c r="AO70" i="12" s="1"/>
  <c r="AO71" i="12" s="1"/>
  <c r="AO72" i="12" s="1"/>
  <c r="AO73" i="12" s="1"/>
  <c r="AO74" i="12" s="1"/>
  <c r="AO75" i="12" s="1"/>
  <c r="AO76" i="12" s="1"/>
  <c r="AO77" i="12" s="1"/>
  <c r="AO78" i="12" s="1"/>
  <c r="AP9" i="12"/>
  <c r="AP10" i="12" s="1"/>
  <c r="AP11" i="12" s="1"/>
  <c r="AP12" i="12" s="1"/>
  <c r="AP13" i="12" s="1"/>
  <c r="AP16" i="12" s="1"/>
  <c r="AP18" i="12" s="1"/>
  <c r="AP19" i="12" s="1"/>
  <c r="AP20" i="12" s="1"/>
  <c r="AP21" i="12" s="1"/>
  <c r="AP22" i="12" s="1"/>
  <c r="AP23" i="12" s="1"/>
  <c r="AP24" i="12" s="1"/>
  <c r="AP25" i="12" s="1"/>
  <c r="AP26" i="12" s="1"/>
  <c r="AP27" i="12" s="1"/>
  <c r="AP28" i="12" s="1"/>
  <c r="AP29" i="12" s="1"/>
  <c r="AP30" i="12" s="1"/>
  <c r="AP31" i="12" s="1"/>
  <c r="AP32" i="12" s="1"/>
  <c r="AP33" i="12" s="1"/>
  <c r="AP34" i="12" s="1"/>
  <c r="AP35" i="12" s="1"/>
  <c r="AP36" i="12" s="1"/>
  <c r="AP37" i="12" s="1"/>
  <c r="AP38" i="12" s="1"/>
  <c r="AP39" i="12" s="1"/>
  <c r="AP40" i="12" s="1"/>
  <c r="AP41" i="12" s="1"/>
  <c r="AP42" i="12" s="1"/>
  <c r="AP43" i="12" s="1"/>
  <c r="AP44" i="12" s="1"/>
  <c r="AP45" i="12" s="1"/>
  <c r="AP46" i="12" s="1"/>
  <c r="AP47" i="12" s="1"/>
  <c r="AP48" i="12" s="1"/>
  <c r="AP49" i="12" s="1"/>
  <c r="AP50" i="12" s="1"/>
  <c r="AP51" i="12" s="1"/>
  <c r="AP52" i="12" s="1"/>
  <c r="AP53" i="12" s="1"/>
  <c r="AP54" i="12" s="1"/>
  <c r="AP55" i="12" s="1"/>
  <c r="AP56" i="12" s="1"/>
  <c r="AP57" i="12" s="1"/>
  <c r="AP58" i="12" s="1"/>
  <c r="AP59" i="12" s="1"/>
  <c r="AP60" i="12" s="1"/>
  <c r="AP61" i="12" s="1"/>
  <c r="AP62" i="12" s="1"/>
  <c r="AP63" i="12" s="1"/>
  <c r="AP64" i="12" s="1"/>
  <c r="AP65" i="12" s="1"/>
  <c r="AP66" i="12" s="1"/>
  <c r="AP67" i="12" s="1"/>
  <c r="AP68" i="12" s="1"/>
  <c r="AP69" i="12" s="1"/>
  <c r="AP70" i="12" s="1"/>
  <c r="AP71" i="12" s="1"/>
  <c r="AP72" i="12" s="1"/>
  <c r="AP73" i="12" s="1"/>
  <c r="AP74" i="12" s="1"/>
  <c r="AP75" i="12" s="1"/>
  <c r="AP76" i="12" s="1"/>
  <c r="AP77" i="12" s="1"/>
  <c r="AP78" i="12" s="1"/>
  <c r="AQ9" i="12"/>
  <c r="AQ10" i="12" s="1"/>
  <c r="AQ11" i="12" s="1"/>
  <c r="AQ12" i="12" s="1"/>
  <c r="AQ13" i="12" s="1"/>
  <c r="AQ16" i="12" s="1"/>
  <c r="AQ18" i="12" s="1"/>
  <c r="AQ19" i="12" s="1"/>
  <c r="AQ20" i="12" s="1"/>
  <c r="AQ21" i="12" s="1"/>
  <c r="AQ22" i="12" s="1"/>
  <c r="AQ23" i="12" s="1"/>
  <c r="AQ24" i="12" s="1"/>
  <c r="AQ25" i="12" s="1"/>
  <c r="AQ26" i="12" s="1"/>
  <c r="AQ27" i="12" s="1"/>
  <c r="AQ28" i="12" s="1"/>
  <c r="AQ29" i="12" s="1"/>
  <c r="AQ30" i="12" s="1"/>
  <c r="AQ31" i="12" s="1"/>
  <c r="AQ32" i="12" s="1"/>
  <c r="AQ33" i="12" s="1"/>
  <c r="AQ34" i="12" s="1"/>
  <c r="AQ35" i="12" s="1"/>
  <c r="AQ36" i="12" s="1"/>
  <c r="AQ37" i="12" s="1"/>
  <c r="AQ38" i="12" s="1"/>
  <c r="AQ39" i="12" s="1"/>
  <c r="AQ40" i="12" s="1"/>
  <c r="AQ41" i="12" s="1"/>
  <c r="AQ42" i="12" s="1"/>
  <c r="AQ43" i="12" s="1"/>
  <c r="AQ44" i="12" s="1"/>
  <c r="AQ45" i="12" s="1"/>
  <c r="AQ46" i="12" s="1"/>
  <c r="AQ47" i="12" s="1"/>
  <c r="AQ48" i="12" s="1"/>
  <c r="AQ49" i="12" s="1"/>
  <c r="AQ50" i="12" s="1"/>
  <c r="AQ51" i="12" s="1"/>
  <c r="AQ52" i="12" s="1"/>
  <c r="AQ53" i="12" s="1"/>
  <c r="AQ54" i="12" s="1"/>
  <c r="AQ55" i="12" s="1"/>
  <c r="AQ56" i="12" s="1"/>
  <c r="AQ57" i="12" s="1"/>
  <c r="AQ58" i="12" s="1"/>
  <c r="AQ59" i="12" s="1"/>
  <c r="AQ60" i="12" s="1"/>
  <c r="AQ61" i="12" s="1"/>
  <c r="AQ62" i="12" s="1"/>
  <c r="AQ63" i="12" s="1"/>
  <c r="AQ64" i="12" s="1"/>
  <c r="AQ65" i="12" s="1"/>
  <c r="AQ66" i="12" s="1"/>
  <c r="AQ67" i="12" s="1"/>
  <c r="AQ68" i="12" s="1"/>
  <c r="AQ69" i="12" s="1"/>
  <c r="AQ70" i="12" s="1"/>
  <c r="AQ71" i="12" s="1"/>
  <c r="AQ72" i="12" s="1"/>
  <c r="AQ73" i="12" s="1"/>
  <c r="AQ74" i="12" s="1"/>
  <c r="AQ75" i="12" s="1"/>
  <c r="AQ76" i="12" s="1"/>
  <c r="AQ77" i="12" s="1"/>
  <c r="AQ78" i="12" s="1"/>
  <c r="S174" i="7"/>
  <c r="A170" i="6"/>
  <c r="S162" i="6"/>
  <c r="X15" i="13"/>
  <c r="AD15" i="13"/>
  <c r="X14" i="13"/>
  <c r="AD14" i="13"/>
  <c r="X18" i="13"/>
  <c r="AD18" i="13"/>
  <c r="X17" i="13"/>
  <c r="AD17" i="13"/>
  <c r="X16" i="13"/>
  <c r="AD16" i="13"/>
  <c r="S162" i="8"/>
  <c r="S162" i="5"/>
  <c r="G7" i="13"/>
  <c r="M7" i="12"/>
  <c r="G9" i="13" s="1"/>
  <c r="G4" i="13"/>
  <c r="F163" i="5"/>
  <c r="F163" i="6"/>
  <c r="F175" i="7"/>
  <c r="F164" i="5"/>
  <c r="F164" i="6"/>
  <c r="F176" i="7"/>
  <c r="F164" i="8"/>
  <c r="F163" i="8"/>
  <c r="N1" i="1"/>
  <c r="F165" i="8"/>
  <c r="F177" i="7"/>
  <c r="F165" i="6"/>
  <c r="AE164" i="7"/>
  <c r="AE56" i="6"/>
  <c r="AE43" i="6"/>
  <c r="AE23" i="6"/>
  <c r="AE144" i="5"/>
  <c r="AE540" i="5"/>
  <c r="AE60" i="5"/>
  <c r="AG155" i="5"/>
  <c r="AG102" i="5"/>
  <c r="AG138" i="5"/>
  <c r="AG246" i="5"/>
  <c r="AE138" i="8"/>
  <c r="AG618" i="5"/>
  <c r="AG534" i="5"/>
  <c r="AG510" i="5"/>
  <c r="AG462" i="5"/>
  <c r="AG438" i="5"/>
  <c r="AG319" i="5"/>
  <c r="AG561" i="5"/>
  <c r="AE549" i="5"/>
  <c r="AG526" i="5"/>
  <c r="AE501" i="5"/>
  <c r="AE465" i="5"/>
  <c r="AE150" i="7"/>
  <c r="AG454" i="5"/>
  <c r="AE441" i="5"/>
  <c r="AG442" i="5"/>
  <c r="AE117" i="7"/>
  <c r="AG418" i="5"/>
  <c r="AG406" i="5"/>
  <c r="AE57" i="7"/>
  <c r="AE357" i="5"/>
  <c r="AG298" i="5"/>
  <c r="AG234" i="5"/>
  <c r="AG226" i="5"/>
  <c r="AG214" i="5"/>
  <c r="AE189" i="5"/>
  <c r="AE177" i="5"/>
  <c r="AG178" i="5"/>
  <c r="AG191" i="5"/>
  <c r="AE201" i="5"/>
  <c r="AG140" i="5"/>
  <c r="AE131" i="5"/>
  <c r="AG126" i="5"/>
  <c r="AE90" i="5"/>
  <c r="AG30" i="5"/>
  <c r="AG11" i="5"/>
  <c r="AE8" i="5"/>
  <c r="AG153" i="5"/>
  <c r="AE151" i="7"/>
  <c r="AG463" i="5"/>
  <c r="AG467" i="5"/>
  <c r="AE635" i="5"/>
  <c r="AG427" i="5"/>
  <c r="AG431" i="5"/>
  <c r="AG594" i="5"/>
  <c r="AG129" i="5"/>
  <c r="AE127" i="7"/>
  <c r="AG606" i="5"/>
  <c r="AG439" i="5"/>
  <c r="AG608" i="5"/>
  <c r="AE115" i="8"/>
  <c r="AE119" i="7"/>
  <c r="AE430" i="5"/>
  <c r="AE114" i="8"/>
  <c r="AG117" i="5"/>
  <c r="AE116" i="5"/>
  <c r="AE107" i="7"/>
  <c r="AE107" i="8"/>
  <c r="AG105" i="5"/>
  <c r="AE587" i="5"/>
  <c r="AE91" i="8"/>
  <c r="AG403" i="5"/>
  <c r="AE571" i="5"/>
  <c r="AE92" i="8"/>
  <c r="AE249" i="5"/>
  <c r="AG571" i="5"/>
  <c r="AE559" i="5"/>
  <c r="AE563" i="5"/>
  <c r="AG238" i="5"/>
  <c r="AE80" i="5"/>
  <c r="AG69" i="5"/>
  <c r="AG546" i="5"/>
  <c r="AE225" i="5"/>
  <c r="AE46" i="7"/>
  <c r="AG359" i="5"/>
  <c r="AG524" i="5"/>
  <c r="AG68" i="5"/>
  <c r="AG66" i="5"/>
  <c r="AE43" i="5"/>
  <c r="AG570" i="5"/>
  <c r="AE114" i="6"/>
  <c r="AE31" i="5"/>
  <c r="AE55" i="5"/>
  <c r="AG47" i="5"/>
  <c r="AE270" i="5"/>
  <c r="AE273" i="5"/>
  <c r="AE621" i="5"/>
  <c r="AE213" i="5"/>
  <c r="AE573" i="5"/>
  <c r="AG358" i="5"/>
  <c r="AE240" i="5"/>
  <c r="AE285" i="5"/>
  <c r="AE333" i="5"/>
  <c r="AE345" i="5"/>
  <c r="AE381" i="5"/>
  <c r="AE384" i="5"/>
  <c r="AE429" i="5"/>
  <c r="AE118" i="7"/>
  <c r="AE129" i="7"/>
  <c r="AE21" i="8"/>
  <c r="AE597" i="5"/>
  <c r="AE609" i="5"/>
  <c r="AE537" i="5"/>
  <c r="AE138" i="7"/>
  <c r="AE576" i="5"/>
  <c r="AE444" i="5"/>
  <c r="AE480" i="5"/>
  <c r="AE528" i="5"/>
  <c r="AE612" i="5"/>
  <c r="AE21" i="5"/>
  <c r="AE607" i="5"/>
  <c r="AG632" i="5"/>
  <c r="AE154" i="8"/>
  <c r="AE619" i="5"/>
  <c r="AE606" i="5"/>
  <c r="AG610" i="5"/>
  <c r="AE118" i="8"/>
  <c r="AE583" i="5"/>
  <c r="AG582" i="5"/>
  <c r="AE105" i="8"/>
  <c r="AE585" i="5"/>
  <c r="AE93" i="8"/>
  <c r="AE69" i="8"/>
  <c r="AG549" i="5"/>
  <c r="AG548" i="5"/>
  <c r="AE550" i="5"/>
  <c r="AG465" i="5"/>
  <c r="AE93" i="7"/>
  <c r="AE405" i="5"/>
  <c r="AG391" i="5"/>
  <c r="AE393" i="5"/>
  <c r="AE81" i="7"/>
  <c r="AE307" i="5"/>
  <c r="AE154" i="6"/>
  <c r="AE297" i="5"/>
  <c r="AE141" i="6"/>
  <c r="AE57" i="6"/>
  <c r="AE45" i="6"/>
  <c r="AG198" i="5"/>
  <c r="AG130" i="5"/>
  <c r="AG104" i="5"/>
  <c r="P145" i="5"/>
  <c r="AE140" i="5"/>
  <c r="AE115" i="5"/>
  <c r="AE104" i="5"/>
  <c r="AE103" i="5"/>
  <c r="AE46" i="5"/>
  <c r="AG466" i="5"/>
  <c r="AG310" i="5"/>
  <c r="AE309" i="5"/>
  <c r="AE153" i="7"/>
  <c r="AE151" i="6"/>
  <c r="AG307" i="5"/>
  <c r="P157" i="7"/>
  <c r="AG634" i="5"/>
  <c r="AE141" i="8"/>
  <c r="AE139" i="7"/>
  <c r="AG621" i="5"/>
  <c r="AE451" i="5"/>
  <c r="AG622" i="5"/>
  <c r="AE608" i="5"/>
  <c r="AE128" i="8"/>
  <c r="AE129" i="6"/>
  <c r="AE129" i="8"/>
  <c r="AE439" i="5"/>
  <c r="AE598" i="5"/>
  <c r="AG428" i="5"/>
  <c r="AE117" i="6"/>
  <c r="AG586" i="5"/>
  <c r="AE104" i="8"/>
  <c r="AG259" i="5"/>
  <c r="AE584" i="5"/>
  <c r="AE105" i="7"/>
  <c r="AE417" i="5"/>
  <c r="AE572" i="5"/>
  <c r="AE247" i="5"/>
  <c r="AE236" i="5"/>
  <c r="AE67" i="7"/>
  <c r="AG550" i="5"/>
  <c r="AE68" i="8"/>
  <c r="AE548" i="5"/>
  <c r="AE380" i="5"/>
  <c r="AG378" i="5"/>
  <c r="AG382" i="5"/>
  <c r="AE57" i="8"/>
  <c r="AG537" i="5"/>
  <c r="AE55" i="8"/>
  <c r="AG211" i="5"/>
  <c r="AE367" i="5"/>
  <c r="AE43" i="8"/>
  <c r="AG356" i="5"/>
  <c r="AG186" i="5"/>
  <c r="AE31" i="8"/>
  <c r="AE33" i="8"/>
  <c r="AE511" i="5"/>
  <c r="AE513" i="5"/>
  <c r="AE187" i="5"/>
  <c r="AE342" i="5"/>
  <c r="AG188" i="5"/>
  <c r="AG346" i="5"/>
  <c r="AG500" i="5"/>
  <c r="AG330" i="5"/>
  <c r="AE22" i="7"/>
  <c r="AE20" i="8"/>
  <c r="AE331" i="5"/>
  <c r="AE163" i="5"/>
  <c r="AE489" i="5"/>
  <c r="AE321" i="5"/>
  <c r="AE7" i="7"/>
  <c r="AE11" i="6"/>
  <c r="AE487" i="5"/>
  <c r="AE488" i="5"/>
  <c r="AG476" i="5"/>
  <c r="AE166" i="7"/>
  <c r="P169" i="7"/>
  <c r="AE476" i="5"/>
  <c r="AG474" i="5"/>
  <c r="AE167" i="7"/>
  <c r="AG479" i="5"/>
  <c r="AE312" i="5"/>
  <c r="AE155" i="7"/>
  <c r="AE155" i="6"/>
  <c r="P157" i="6"/>
  <c r="AE453" i="5"/>
  <c r="AE140" i="7"/>
  <c r="AE139" i="8"/>
  <c r="AE456" i="5"/>
  <c r="AE299" i="5"/>
  <c r="AE140" i="6"/>
  <c r="AE141" i="7"/>
  <c r="AE143" i="8"/>
  <c r="AG440" i="5"/>
  <c r="AE128" i="7"/>
  <c r="AE129" i="5"/>
  <c r="AE126" i="6"/>
  <c r="AG127" i="5"/>
  <c r="P133" i="5"/>
  <c r="AE127" i="6"/>
  <c r="AG128" i="5"/>
  <c r="AG282" i="5"/>
  <c r="AE131" i="6"/>
  <c r="AE115" i="7"/>
  <c r="AG274" i="5"/>
  <c r="AE119" i="6"/>
  <c r="AE116" i="6"/>
  <c r="AG119" i="5"/>
  <c r="AE275" i="5"/>
  <c r="AE116" i="7"/>
  <c r="AG430" i="5"/>
  <c r="AG271" i="5"/>
  <c r="AE114" i="7"/>
  <c r="AE115" i="6"/>
  <c r="AE272" i="5"/>
  <c r="AE428" i="5"/>
  <c r="AE102" i="8"/>
  <c r="AE103" i="8"/>
  <c r="AG414" i="5"/>
  <c r="AE104" i="7"/>
  <c r="AE103" i="6"/>
  <c r="AG262" i="5"/>
  <c r="AE102" i="7"/>
  <c r="AE105" i="6"/>
  <c r="AE106" i="5"/>
  <c r="AE259" i="5"/>
  <c r="AE105" i="5"/>
  <c r="AG575" i="5"/>
  <c r="AE403" i="5"/>
  <c r="AE91" i="7"/>
  <c r="AE95" i="8"/>
  <c r="AE93" i="6"/>
  <c r="AE78" i="8"/>
  <c r="AE81" i="6"/>
  <c r="AE79" i="7"/>
  <c r="AE79" i="6"/>
  <c r="AE391" i="5"/>
  <c r="AE564" i="5"/>
  <c r="AE237" i="5"/>
  <c r="AE81" i="8"/>
  <c r="AG393" i="5"/>
  <c r="AG395" i="5"/>
  <c r="AE79" i="8"/>
  <c r="AG559" i="5"/>
  <c r="AG235" i="5"/>
  <c r="AG394" i="5"/>
  <c r="P73" i="5"/>
  <c r="AE68" i="7"/>
  <c r="AE227" i="5"/>
  <c r="AE71" i="7"/>
  <c r="AE223" i="5"/>
  <c r="AG551" i="5"/>
  <c r="AE72" i="5"/>
  <c r="AE552" i="5"/>
  <c r="AE71" i="8"/>
  <c r="AE211" i="5"/>
  <c r="AE368" i="5"/>
  <c r="AE54" i="8"/>
  <c r="AE58" i="7"/>
  <c r="AE55" i="6"/>
  <c r="AE59" i="5"/>
  <c r="AE59" i="6"/>
  <c r="AG215" i="5"/>
  <c r="AG369" i="5"/>
  <c r="Q61" i="5"/>
  <c r="AE525" i="5"/>
  <c r="AG522" i="5"/>
  <c r="AE47" i="6"/>
  <c r="AE356" i="5"/>
  <c r="AE42" i="6"/>
  <c r="AG202" i="5"/>
  <c r="AE44" i="8"/>
  <c r="AE44" i="7"/>
  <c r="AE359" i="5"/>
  <c r="AE42" i="8"/>
  <c r="AE47" i="7"/>
  <c r="AG354" i="5"/>
  <c r="AE47" i="5"/>
  <c r="AE203" i="5"/>
  <c r="AE524" i="5"/>
  <c r="P49" i="5"/>
  <c r="AE527" i="5"/>
  <c r="AE32" i="5"/>
  <c r="AE33" i="6"/>
  <c r="AG189" i="5"/>
  <c r="AE344" i="5"/>
  <c r="AE31" i="7"/>
  <c r="AE32" i="7"/>
  <c r="AG343" i="5"/>
  <c r="AE492" i="5"/>
  <c r="AG167" i="5"/>
  <c r="AE491" i="5"/>
  <c r="AG177" i="5"/>
  <c r="AE500" i="5"/>
  <c r="AE21" i="6"/>
  <c r="AE176" i="5"/>
  <c r="AE23" i="5"/>
  <c r="AE11" i="5"/>
  <c r="AE163" i="7"/>
  <c r="AE475" i="5"/>
  <c r="AE36" i="5"/>
  <c r="AE44" i="5"/>
  <c r="P61" i="5"/>
  <c r="Q49" i="5"/>
  <c r="Q121" i="5"/>
  <c r="AE35" i="5"/>
  <c r="AE92" i="5"/>
  <c r="AG78" i="5"/>
  <c r="AE68" i="5"/>
  <c r="P121" i="5"/>
  <c r="AE139" i="5"/>
  <c r="Q133" i="5"/>
  <c r="Q109" i="5"/>
  <c r="Q73" i="5"/>
  <c r="AE84" i="8"/>
  <c r="AE516" i="5"/>
  <c r="AE396" i="5"/>
  <c r="AE408" i="5"/>
  <c r="AE432" i="5"/>
  <c r="AE252" i="5"/>
  <c r="AE276" i="5"/>
  <c r="AE288" i="5"/>
  <c r="AE204" i="5"/>
  <c r="AE180" i="5"/>
  <c r="AE228" i="5"/>
  <c r="AE264" i="5"/>
  <c r="AE120" i="5"/>
  <c r="AE108" i="5"/>
  <c r="AE96" i="5"/>
  <c r="AE156" i="5"/>
  <c r="AE192" i="5"/>
  <c r="AE12" i="5"/>
  <c r="AE84" i="5"/>
  <c r="AE300" i="5"/>
  <c r="AE324" i="5"/>
  <c r="AE120" i="7"/>
  <c r="AE504" i="5"/>
  <c r="AE588" i="5"/>
  <c r="AE168" i="5"/>
  <c r="AE348" i="5"/>
  <c r="AE624" i="5"/>
  <c r="AE372" i="5"/>
  <c r="AE600" i="5"/>
  <c r="AE561" i="5"/>
  <c r="AG10" i="5"/>
  <c r="AX9" i="5" l="1"/>
  <c r="AX11" i="5" s="1"/>
  <c r="AX13" i="5" s="1"/>
  <c r="AX15" i="5" s="1"/>
  <c r="AX17" i="5" s="1"/>
  <c r="AX19" i="5" s="1"/>
  <c r="AX21" i="5" s="1"/>
  <c r="AX23" i="5" s="1"/>
  <c r="AX25" i="5" s="1"/>
  <c r="AX27" i="5" s="1"/>
  <c r="AX29" i="5" s="1"/>
  <c r="AX31" i="5" s="1"/>
  <c r="AJ6" i="5"/>
  <c r="BC6" i="5" s="1"/>
  <c r="AZ6" i="5"/>
  <c r="AI6" i="5"/>
  <c r="BB6" i="5" s="1"/>
  <c r="AX6" i="5"/>
  <c r="AX8" i="5" s="1"/>
  <c r="AX10" i="5" s="1"/>
  <c r="AX12" i="5" s="1"/>
  <c r="AX14" i="5" s="1"/>
  <c r="AX16" i="5" s="1"/>
  <c r="AM73" i="12"/>
  <c r="AM74" i="12" s="1"/>
  <c r="AM75" i="12" s="1"/>
  <c r="BG12" i="12"/>
  <c r="A24" i="12" s="1"/>
  <c r="AE152" i="8"/>
  <c r="AG490" i="5"/>
  <c r="T74" i="1"/>
  <c r="R54" i="1"/>
  <c r="T56" i="1"/>
  <c r="H20" i="1"/>
  <c r="AG45" i="5"/>
  <c r="AG42" i="5"/>
  <c r="P37" i="5"/>
  <c r="AG44" i="5"/>
  <c r="AG31" i="5"/>
  <c r="P25" i="5"/>
  <c r="AG12" i="5"/>
  <c r="AE12" i="8"/>
  <c r="AG576" i="5"/>
  <c r="AG312" i="5"/>
  <c r="AG432" i="5"/>
  <c r="AG300" i="5"/>
  <c r="W2" i="1"/>
  <c r="AE108" i="7"/>
  <c r="T54" i="1"/>
  <c r="AG276" i="5"/>
  <c r="AE120" i="8"/>
  <c r="AE24" i="6"/>
  <c r="A1" i="8"/>
  <c r="A1" i="6"/>
  <c r="AG9" i="5"/>
  <c r="AZ9" i="5" s="1"/>
  <c r="AZ11" i="5" s="1"/>
  <c r="AZ13" i="5" s="1"/>
  <c r="AZ15" i="5" s="1"/>
  <c r="AZ17" i="5" s="1"/>
  <c r="AZ19" i="5" s="1"/>
  <c r="AZ21" i="5" s="1"/>
  <c r="T55" i="1"/>
  <c r="AG81" i="5"/>
  <c r="AG79" i="5"/>
  <c r="Q85" i="5"/>
  <c r="AG80" i="5"/>
  <c r="P85" i="5"/>
  <c r="Q97" i="5"/>
  <c r="AG249" i="5"/>
  <c r="AG407" i="5"/>
  <c r="AE91" i="5"/>
  <c r="AE94" i="8"/>
  <c r="AG248" i="5"/>
  <c r="AG573" i="5"/>
  <c r="AG250" i="5"/>
  <c r="AE404" i="5"/>
  <c r="AE31" i="6"/>
  <c r="AG34" i="5"/>
  <c r="AG190" i="5"/>
  <c r="AG344" i="5"/>
  <c r="AE346" i="5"/>
  <c r="AE32" i="8"/>
  <c r="AG187" i="5"/>
  <c r="AG347" i="5"/>
  <c r="F18" i="1"/>
  <c r="AE33" i="7"/>
  <c r="AG345" i="5"/>
  <c r="AE32" i="6"/>
  <c r="AE30" i="7"/>
  <c r="AE33" i="5"/>
  <c r="AG33" i="5"/>
  <c r="AG320" i="5"/>
  <c r="AG488" i="5"/>
  <c r="P13" i="5"/>
  <c r="AE8" i="7"/>
  <c r="AE120" i="6"/>
  <c r="AO21" i="13"/>
  <c r="AG564" i="5"/>
  <c r="AT12" i="12"/>
  <c r="AU12" i="12" s="1"/>
  <c r="BG5" i="12"/>
  <c r="AW12" i="12" s="1"/>
  <c r="AX12" i="12" s="1"/>
  <c r="AE96" i="7"/>
  <c r="AE24" i="8"/>
  <c r="H19" i="1"/>
  <c r="H18" i="1"/>
  <c r="AG348" i="5"/>
  <c r="AE108" i="6"/>
  <c r="AG552" i="5"/>
  <c r="AE72" i="8"/>
  <c r="P97" i="5"/>
  <c r="AG94" i="5"/>
  <c r="N109" i="5"/>
  <c r="AG103" i="5"/>
  <c r="N157" i="6"/>
  <c r="AE144" i="6"/>
  <c r="AN13" i="13"/>
  <c r="AE132" i="7"/>
  <c r="AG408" i="5"/>
  <c r="AG240" i="5"/>
  <c r="A1" i="5"/>
  <c r="AE132" i="8"/>
  <c r="AG612" i="5"/>
  <c r="AD4" i="13"/>
  <c r="AH4" i="13" s="1"/>
  <c r="J33" i="12"/>
  <c r="J30" i="12"/>
  <c r="AG156" i="5"/>
  <c r="AE84" i="6"/>
  <c r="AG636" i="5"/>
  <c r="AE36" i="7"/>
  <c r="AE60" i="8"/>
  <c r="AG264" i="5"/>
  <c r="AG372" i="5"/>
  <c r="AO20" i="13"/>
  <c r="AN20" i="13"/>
  <c r="AE60" i="7"/>
  <c r="AE12" i="6"/>
  <c r="AG120" i="5"/>
  <c r="AG228" i="5"/>
  <c r="AG360" i="5"/>
  <c r="AG60" i="5"/>
  <c r="AE36" i="8"/>
  <c r="AG192" i="5"/>
  <c r="AG48" i="5"/>
  <c r="AG252" i="5"/>
  <c r="AE48" i="7"/>
  <c r="AE72" i="6"/>
  <c r="AE144" i="8"/>
  <c r="AE36" i="6"/>
  <c r="AN15" i="13"/>
  <c r="AG528" i="5"/>
  <c r="AO9" i="13"/>
  <c r="AN9" i="13"/>
  <c r="AO16" i="13"/>
  <c r="AN16" i="13"/>
  <c r="AO18" i="13"/>
  <c r="AB80" i="1"/>
  <c r="AG324" i="5"/>
  <c r="A1" i="7"/>
  <c r="AG36" i="5"/>
  <c r="AN10" i="13"/>
  <c r="AG396" i="5"/>
  <c r="AE60" i="6"/>
  <c r="AE48" i="6"/>
  <c r="AG96" i="5"/>
  <c r="AE12" i="7"/>
  <c r="AE84" i="7"/>
  <c r="AO7" i="13"/>
  <c r="AN7" i="13"/>
  <c r="AO17" i="13"/>
  <c r="AN17" i="13"/>
  <c r="AO14" i="13"/>
  <c r="AN14" i="13"/>
  <c r="AN8" i="13"/>
  <c r="AO8" i="13"/>
  <c r="AN19" i="13"/>
  <c r="AO19" i="13"/>
  <c r="AN12" i="13"/>
  <c r="AO12" i="13"/>
  <c r="AG331" i="5"/>
  <c r="AE19" i="8"/>
  <c r="AE19" i="7"/>
  <c r="AE11" i="7"/>
  <c r="AE56" i="7"/>
  <c r="AG368" i="5"/>
  <c r="AG355" i="5"/>
  <c r="AE43" i="7"/>
  <c r="AE546" i="5"/>
  <c r="AE499" i="5"/>
  <c r="AG336" i="5"/>
  <c r="AE24" i="7"/>
  <c r="AE336" i="5"/>
  <c r="AE23" i="8"/>
  <c r="AG322" i="5"/>
  <c r="AG321" i="5"/>
  <c r="AE9" i="7"/>
  <c r="AG487" i="5"/>
  <c r="AE7" i="8"/>
  <c r="AE165" i="5"/>
  <c r="AT11" i="12"/>
  <c r="AJ7" i="5"/>
  <c r="BC7" i="5" s="1"/>
  <c r="AE71" i="6"/>
  <c r="R55" i="1"/>
  <c r="Q169" i="7"/>
  <c r="Q157" i="6"/>
  <c r="Q157" i="5"/>
  <c r="Q157" i="7"/>
  <c r="AE56" i="8"/>
  <c r="O49" i="7"/>
  <c r="V49" i="7" s="1"/>
  <c r="O97" i="7"/>
  <c r="V97" i="7" s="1"/>
  <c r="O133" i="8"/>
  <c r="O121" i="6"/>
  <c r="U38" i="1" s="1"/>
  <c r="O49" i="6"/>
  <c r="I38" i="1" s="1"/>
  <c r="P109" i="5"/>
  <c r="O61" i="7"/>
  <c r="K56" i="1" s="1"/>
  <c r="O133" i="7"/>
  <c r="V133" i="7" s="1"/>
  <c r="O109" i="8"/>
  <c r="S74" i="1" s="1"/>
  <c r="O85" i="6"/>
  <c r="O38" i="1" s="1"/>
  <c r="O37" i="8"/>
  <c r="V37" i="8" s="1"/>
  <c r="O73" i="8"/>
  <c r="V73" i="8" s="1"/>
  <c r="Q145" i="5"/>
  <c r="O37" i="5"/>
  <c r="V37" i="5" s="1"/>
  <c r="T72" i="1"/>
  <c r="O73" i="7"/>
  <c r="M56" i="1" s="1"/>
  <c r="O121" i="7"/>
  <c r="U56" i="1" s="1"/>
  <c r="O157" i="7"/>
  <c r="AA56" i="1" s="1"/>
  <c r="O49" i="8"/>
  <c r="O97" i="6"/>
  <c r="O85" i="5"/>
  <c r="O20" i="1" s="1"/>
  <c r="AE20" i="7"/>
  <c r="AE58" i="6"/>
  <c r="AE140" i="8"/>
  <c r="O133" i="5"/>
  <c r="V133" i="5" s="1"/>
  <c r="O121" i="5"/>
  <c r="V121" i="5" s="1"/>
  <c r="O73" i="5"/>
  <c r="M20" i="1" s="1"/>
  <c r="O49" i="5"/>
  <c r="I20" i="1" s="1"/>
  <c r="O145" i="5"/>
  <c r="Y20" i="1" s="1"/>
  <c r="O97" i="5"/>
  <c r="Q20" i="1" s="1"/>
  <c r="N49" i="5"/>
  <c r="N97" i="5"/>
  <c r="N145" i="5"/>
  <c r="N13" i="6"/>
  <c r="N37" i="8"/>
  <c r="N49" i="7"/>
  <c r="N73" i="6"/>
  <c r="N85" i="8"/>
  <c r="N97" i="7"/>
  <c r="N121" i="6"/>
  <c r="N133" i="8"/>
  <c r="N145" i="7"/>
  <c r="AE142" i="7"/>
  <c r="N37" i="5"/>
  <c r="N85" i="5"/>
  <c r="N133" i="5"/>
  <c r="N49" i="8"/>
  <c r="N61" i="7"/>
  <c r="N85" i="6"/>
  <c r="N97" i="8"/>
  <c r="N109" i="7"/>
  <c r="N133" i="6"/>
  <c r="N157" i="7"/>
  <c r="N25" i="5"/>
  <c r="N73" i="5"/>
  <c r="N121" i="5"/>
  <c r="N25" i="8"/>
  <c r="N49" i="6"/>
  <c r="N61" i="8"/>
  <c r="N73" i="7"/>
  <c r="AE70" i="7"/>
  <c r="N97" i="6"/>
  <c r="N109" i="8"/>
  <c r="N121" i="7"/>
  <c r="N145" i="6"/>
  <c r="B18" i="1"/>
  <c r="B20" i="1" s="1"/>
  <c r="O13" i="5"/>
  <c r="P157" i="5"/>
  <c r="AG309" i="5"/>
  <c r="AE165" i="7"/>
  <c r="Q157" i="8"/>
  <c r="N169" i="7"/>
  <c r="AG477" i="5"/>
  <c r="O169" i="7"/>
  <c r="V169" i="7" s="1"/>
  <c r="O157" i="6"/>
  <c r="AA38" i="1" s="1"/>
  <c r="N157" i="5"/>
  <c r="N13" i="8"/>
  <c r="O145" i="8"/>
  <c r="V145" i="8" s="1"/>
  <c r="AE116" i="8"/>
  <c r="AG596" i="5"/>
  <c r="T73" i="1"/>
  <c r="AE620" i="5"/>
  <c r="N145" i="8"/>
  <c r="N121" i="8"/>
  <c r="O121" i="8"/>
  <c r="V121" i="8" s="1"/>
  <c r="O25" i="7"/>
  <c r="AE332" i="5"/>
  <c r="N25" i="7"/>
  <c r="N13" i="7"/>
  <c r="O13" i="7"/>
  <c r="V13" i="7" s="1"/>
  <c r="N37" i="6"/>
  <c r="O37" i="6"/>
  <c r="P157" i="8"/>
  <c r="D83" i="1"/>
  <c r="D81" i="1"/>
  <c r="N157" i="8"/>
  <c r="AG480" i="5"/>
  <c r="AE474" i="5"/>
  <c r="AG478" i="5"/>
  <c r="AE478" i="5"/>
  <c r="AE162" i="7"/>
  <c r="AE150" i="6"/>
  <c r="AG468" i="5"/>
  <c r="AE466" i="5"/>
  <c r="AE155" i="8"/>
  <c r="AE630" i="5"/>
  <c r="AE156" i="7"/>
  <c r="AE153" i="8"/>
  <c r="AE152" i="7"/>
  <c r="AG464" i="5"/>
  <c r="AG631" i="5"/>
  <c r="AE154" i="7"/>
  <c r="AE306" i="5"/>
  <c r="AG306" i="5"/>
  <c r="AE151" i="8"/>
  <c r="AG635" i="5"/>
  <c r="AE462" i="5"/>
  <c r="O145" i="7"/>
  <c r="AE298" i="5"/>
  <c r="AG452" i="5"/>
  <c r="AE142" i="6"/>
  <c r="AE142" i="8"/>
  <c r="AG295" i="5"/>
  <c r="AE622" i="5"/>
  <c r="AE143" i="6"/>
  <c r="O145" i="6"/>
  <c r="Y38" i="1" s="1"/>
  <c r="AG456" i="5"/>
  <c r="AG296" i="5"/>
  <c r="AE294" i="5"/>
  <c r="AG620" i="5"/>
  <c r="AE450" i="5"/>
  <c r="AE144" i="7"/>
  <c r="AE138" i="6"/>
  <c r="AE139" i="6"/>
  <c r="AG450" i="5"/>
  <c r="O133" i="6"/>
  <c r="W38" i="1" s="1"/>
  <c r="AE438" i="5"/>
  <c r="AG607" i="5"/>
  <c r="V72" i="1"/>
  <c r="AE130" i="8"/>
  <c r="AG288" i="5"/>
  <c r="AG286" i="5"/>
  <c r="AE126" i="8"/>
  <c r="AE130" i="7"/>
  <c r="AE127" i="8"/>
  <c r="AE131" i="7"/>
  <c r="AE286" i="5"/>
  <c r="AE132" i="6"/>
  <c r="AE126" i="7"/>
  <c r="AE442" i="5"/>
  <c r="AG443" i="5"/>
  <c r="AE130" i="6"/>
  <c r="AE282" i="5"/>
  <c r="O109" i="7"/>
  <c r="R56" i="1"/>
  <c r="AG416" i="5"/>
  <c r="AE582" i="5"/>
  <c r="AG258" i="5"/>
  <c r="AE106" i="8"/>
  <c r="AE106" i="7"/>
  <c r="AE262" i="5"/>
  <c r="AE414" i="5"/>
  <c r="O109" i="6"/>
  <c r="S38" i="1" s="1"/>
  <c r="AE108" i="8"/>
  <c r="AE106" i="6"/>
  <c r="AE586" i="5"/>
  <c r="AE418" i="5"/>
  <c r="AE102" i="6"/>
  <c r="AE94" i="7"/>
  <c r="AG574" i="5"/>
  <c r="AE91" i="6"/>
  <c r="AE402" i="5"/>
  <c r="AE570" i="5"/>
  <c r="AE246" i="5"/>
  <c r="AE90" i="7"/>
  <c r="AE90" i="8"/>
  <c r="AE90" i="6"/>
  <c r="AE92" i="6"/>
  <c r="O97" i="8"/>
  <c r="AE92" i="7"/>
  <c r="AE406" i="5"/>
  <c r="AG404" i="5"/>
  <c r="AE95" i="7"/>
  <c r="AG247" i="5"/>
  <c r="O85" i="8"/>
  <c r="AE78" i="6"/>
  <c r="AE82" i="7"/>
  <c r="AE82" i="8"/>
  <c r="AE78" i="7"/>
  <c r="AE80" i="7"/>
  <c r="AG236" i="5"/>
  <c r="AG562" i="5"/>
  <c r="AE558" i="5"/>
  <c r="AE83" i="7"/>
  <c r="AG558" i="5"/>
  <c r="AE234" i="5"/>
  <c r="AE394" i="5"/>
  <c r="AE390" i="5"/>
  <c r="O85" i="7"/>
  <c r="AG560" i="5"/>
  <c r="AE82" i="6"/>
  <c r="AE80" i="8"/>
  <c r="AE80" i="6"/>
  <c r="AG390" i="5"/>
  <c r="O73" i="6"/>
  <c r="M38" i="1" s="1"/>
  <c r="AE70" i="6"/>
  <c r="AG379" i="5"/>
  <c r="AG222" i="5"/>
  <c r="AG223" i="5"/>
  <c r="AE378" i="5"/>
  <c r="AG384" i="5"/>
  <c r="AE67" i="6"/>
  <c r="AE66" i="7"/>
  <c r="AE66" i="6"/>
  <c r="AG224" i="5"/>
  <c r="AE70" i="8"/>
  <c r="AE66" i="8"/>
  <c r="AE68" i="6"/>
  <c r="AE67" i="8"/>
  <c r="AE54" i="7"/>
  <c r="O61" i="8"/>
  <c r="J73" i="1"/>
  <c r="AE370" i="5"/>
  <c r="AE54" i="6"/>
  <c r="AE366" i="5"/>
  <c r="AG367" i="5"/>
  <c r="AE59" i="8"/>
  <c r="AE538" i="5"/>
  <c r="AE214" i="5"/>
  <c r="AE55" i="7"/>
  <c r="AG210" i="5"/>
  <c r="O61" i="6"/>
  <c r="K38" i="1" s="1"/>
  <c r="AE58" i="8"/>
  <c r="AE534" i="5"/>
  <c r="AE210" i="5"/>
  <c r="AE45" i="8"/>
  <c r="AE46" i="6"/>
  <c r="AE42" i="7"/>
  <c r="AE358" i="5"/>
  <c r="AE354" i="5"/>
  <c r="AE46" i="8"/>
  <c r="AG525" i="5"/>
  <c r="AE202" i="5"/>
  <c r="AE45" i="7"/>
  <c r="AE198" i="5"/>
  <c r="AE522" i="5"/>
  <c r="AE34" i="6"/>
  <c r="AE190" i="5"/>
  <c r="F72" i="1"/>
  <c r="AE34" i="7"/>
  <c r="AG342" i="5"/>
  <c r="AE30" i="6"/>
  <c r="AE510" i="5"/>
  <c r="O37" i="7"/>
  <c r="AE34" i="8"/>
  <c r="AE30" i="8"/>
  <c r="AE318" i="5"/>
  <c r="AG163" i="5"/>
  <c r="O25" i="8"/>
  <c r="AE22" i="8"/>
  <c r="AE22" i="6"/>
  <c r="AG176" i="5"/>
  <c r="AE174" i="5"/>
  <c r="AG333" i="5"/>
  <c r="AE498" i="5"/>
  <c r="O25" i="6"/>
  <c r="E38" i="1" s="1"/>
  <c r="AE18" i="7"/>
  <c r="AG498" i="5"/>
  <c r="AE178" i="5"/>
  <c r="AE502" i="5"/>
  <c r="AE20" i="6"/>
  <c r="AG174" i="5"/>
  <c r="AE21" i="7"/>
  <c r="AE18" i="8"/>
  <c r="AE18" i="6"/>
  <c r="AE9" i="8"/>
  <c r="AE166" i="5"/>
  <c r="O13" i="8"/>
  <c r="AE490" i="5"/>
  <c r="AE10" i="8"/>
  <c r="AE7" i="6"/>
  <c r="AE8" i="6"/>
  <c r="AG164" i="5"/>
  <c r="AE486" i="5"/>
  <c r="AE6" i="8"/>
  <c r="AI6" i="8" s="1"/>
  <c r="AG489" i="5"/>
  <c r="AE10" i="7"/>
  <c r="AE6" i="7"/>
  <c r="AI6" i="7" s="1"/>
  <c r="AI7" i="7" s="1"/>
  <c r="AE10" i="6"/>
  <c r="AE162" i="5"/>
  <c r="AG166" i="5"/>
  <c r="AE19" i="6"/>
  <c r="AG175" i="5"/>
  <c r="AE175" i="5"/>
  <c r="I86" i="1"/>
  <c r="E86" i="1"/>
  <c r="N13" i="5"/>
  <c r="B19" i="1"/>
  <c r="O157" i="5"/>
  <c r="AG151" i="5"/>
  <c r="AG139" i="5"/>
  <c r="AE138" i="5"/>
  <c r="AE130" i="5"/>
  <c r="AE126" i="5"/>
  <c r="AG115" i="5"/>
  <c r="AE114" i="5"/>
  <c r="AG114" i="5"/>
  <c r="R20" i="1"/>
  <c r="O109" i="5"/>
  <c r="AE102" i="5"/>
  <c r="AG90" i="5"/>
  <c r="AE94" i="5"/>
  <c r="AE82" i="5"/>
  <c r="AG72" i="5"/>
  <c r="AE71" i="5"/>
  <c r="AE70" i="5"/>
  <c r="AE66" i="5"/>
  <c r="O61" i="5"/>
  <c r="AG59" i="5"/>
  <c r="AE58" i="5"/>
  <c r="AG57" i="5"/>
  <c r="AE54" i="5"/>
  <c r="AE30" i="5"/>
  <c r="AE18" i="5"/>
  <c r="AG23" i="5"/>
  <c r="AG8" i="5"/>
  <c r="A18" i="18" l="1"/>
  <c r="BN4" i="19"/>
  <c r="BN4" i="18"/>
  <c r="BI24" i="18"/>
  <c r="BJ24" i="18" s="1"/>
  <c r="AI7" i="5"/>
  <c r="BB7" i="5" s="1"/>
  <c r="AZ23" i="5"/>
  <c r="AZ25" i="5" s="1"/>
  <c r="AZ27" i="5" s="1"/>
  <c r="AZ29" i="5" s="1"/>
  <c r="AZ31" i="5" s="1"/>
  <c r="AZ33" i="5" s="1"/>
  <c r="AZ35" i="5" s="1"/>
  <c r="AZ37" i="5" s="1"/>
  <c r="AZ39" i="5" s="1"/>
  <c r="AZ41" i="5" s="1"/>
  <c r="AZ43" i="5" s="1"/>
  <c r="AZ45" i="5" s="1"/>
  <c r="AZ47" i="5" s="1"/>
  <c r="AZ49" i="5" s="1"/>
  <c r="AZ51" i="5" s="1"/>
  <c r="AZ53" i="5" s="1"/>
  <c r="AZ55" i="5" s="1"/>
  <c r="AZ57" i="5" s="1"/>
  <c r="AZ59" i="5" s="1"/>
  <c r="AZ61" i="5" s="1"/>
  <c r="AZ63" i="5" s="1"/>
  <c r="AZ65" i="5" s="1"/>
  <c r="AZ67" i="5" s="1"/>
  <c r="AZ69" i="5" s="1"/>
  <c r="AZ71" i="5" s="1"/>
  <c r="AZ73" i="5" s="1"/>
  <c r="AZ75" i="5" s="1"/>
  <c r="AZ77" i="5" s="1"/>
  <c r="AZ79" i="5" s="1"/>
  <c r="AZ81" i="5" s="1"/>
  <c r="AZ83" i="5" s="1"/>
  <c r="AZ85" i="5" s="1"/>
  <c r="AZ87" i="5" s="1"/>
  <c r="AZ89" i="5" s="1"/>
  <c r="AZ91" i="5" s="1"/>
  <c r="AZ93" i="5" s="1"/>
  <c r="AZ95" i="5" s="1"/>
  <c r="AZ97" i="5" s="1"/>
  <c r="AZ99" i="5" s="1"/>
  <c r="AZ101" i="5" s="1"/>
  <c r="AZ103" i="5" s="1"/>
  <c r="AZ105" i="5" s="1"/>
  <c r="AZ107" i="5" s="1"/>
  <c r="AZ109" i="5" s="1"/>
  <c r="AZ111" i="5" s="1"/>
  <c r="AZ113" i="5" s="1"/>
  <c r="AZ115" i="5" s="1"/>
  <c r="AZ117" i="5" s="1"/>
  <c r="AZ119" i="5" s="1"/>
  <c r="AZ121" i="5" s="1"/>
  <c r="AZ123" i="5" s="1"/>
  <c r="AZ125" i="5" s="1"/>
  <c r="AZ127" i="5" s="1"/>
  <c r="AZ129" i="5" s="1"/>
  <c r="AZ131" i="5" s="1"/>
  <c r="AZ133" i="5" s="1"/>
  <c r="AZ135" i="5" s="1"/>
  <c r="AZ137" i="5" s="1"/>
  <c r="AZ139" i="5" s="1"/>
  <c r="AZ141" i="5" s="1"/>
  <c r="AZ143" i="5" s="1"/>
  <c r="AZ145" i="5" s="1"/>
  <c r="AZ147" i="5" s="1"/>
  <c r="AZ149" i="5" s="1"/>
  <c r="AZ151" i="5" s="1"/>
  <c r="AZ153" i="5" s="1"/>
  <c r="AZ155" i="5" s="1"/>
  <c r="AZ157" i="5" s="1"/>
  <c r="AZ159" i="5" s="1"/>
  <c r="AZ161" i="5" s="1"/>
  <c r="AZ163" i="5" s="1"/>
  <c r="AX18" i="5"/>
  <c r="AX20" i="5" s="1"/>
  <c r="AX22" i="5" s="1"/>
  <c r="AX24" i="5" s="1"/>
  <c r="AX26" i="5" s="1"/>
  <c r="AX28" i="5" s="1"/>
  <c r="AX30" i="5" s="1"/>
  <c r="AX32" i="5" s="1"/>
  <c r="AX34" i="5" s="1"/>
  <c r="AX36" i="5" s="1"/>
  <c r="AX38" i="5" s="1"/>
  <c r="AX40" i="5" s="1"/>
  <c r="AX42" i="5" s="1"/>
  <c r="AX44" i="5" s="1"/>
  <c r="AX46" i="5" s="1"/>
  <c r="AX48" i="5" s="1"/>
  <c r="AX50" i="5" s="1"/>
  <c r="AX52" i="5" s="1"/>
  <c r="AX54" i="5" s="1"/>
  <c r="AX56" i="5" s="1"/>
  <c r="AX58" i="5" s="1"/>
  <c r="AX60" i="5" s="1"/>
  <c r="AX62" i="5" s="1"/>
  <c r="AX64" i="5" s="1"/>
  <c r="AX66" i="5" s="1"/>
  <c r="AX68" i="5" s="1"/>
  <c r="AX70" i="5" s="1"/>
  <c r="AX72" i="5" s="1"/>
  <c r="AX74" i="5" s="1"/>
  <c r="AX76" i="5" s="1"/>
  <c r="AX78" i="5" s="1"/>
  <c r="AX80" i="5" s="1"/>
  <c r="AX82" i="5" s="1"/>
  <c r="AX84" i="5" s="1"/>
  <c r="AX86" i="5" s="1"/>
  <c r="AX88" i="5" s="1"/>
  <c r="AX90" i="5" s="1"/>
  <c r="AX92" i="5" s="1"/>
  <c r="AX94" i="5" s="1"/>
  <c r="AX96" i="5" s="1"/>
  <c r="AX98" i="5" s="1"/>
  <c r="AX100" i="5" s="1"/>
  <c r="AX102" i="5" s="1"/>
  <c r="AX104" i="5" s="1"/>
  <c r="AX106" i="5" s="1"/>
  <c r="AX108" i="5" s="1"/>
  <c r="AX110" i="5" s="1"/>
  <c r="AX112" i="5" s="1"/>
  <c r="AX114" i="5" s="1"/>
  <c r="AX116" i="5" s="1"/>
  <c r="AX118" i="5" s="1"/>
  <c r="AX120" i="5" s="1"/>
  <c r="AX122" i="5" s="1"/>
  <c r="AX124" i="5" s="1"/>
  <c r="AX126" i="5" s="1"/>
  <c r="AX128" i="5" s="1"/>
  <c r="AX130" i="5" s="1"/>
  <c r="AX132" i="5" s="1"/>
  <c r="AX134" i="5" s="1"/>
  <c r="AX136" i="5" s="1"/>
  <c r="AX138" i="5" s="1"/>
  <c r="AX140" i="5" s="1"/>
  <c r="AX142" i="5" s="1"/>
  <c r="AX144" i="5" s="1"/>
  <c r="AX146" i="5" s="1"/>
  <c r="AX148" i="5" s="1"/>
  <c r="AX150" i="5" s="1"/>
  <c r="AX152" i="5" s="1"/>
  <c r="AX154" i="5" s="1"/>
  <c r="AX156" i="5" s="1"/>
  <c r="AX158" i="5" s="1"/>
  <c r="AX160" i="5" s="1"/>
  <c r="AX162" i="5" s="1"/>
  <c r="AX164" i="5" s="1"/>
  <c r="AX166" i="5" s="1"/>
  <c r="AX168" i="5" s="1"/>
  <c r="AX170" i="5" s="1"/>
  <c r="AX172" i="5" s="1"/>
  <c r="AX174" i="5" s="1"/>
  <c r="AX176" i="5" s="1"/>
  <c r="AX178" i="5" s="1"/>
  <c r="AX180" i="5" s="1"/>
  <c r="AX182" i="5" s="1"/>
  <c r="AX184" i="5" s="1"/>
  <c r="AX186" i="5" s="1"/>
  <c r="AX188" i="5" s="1"/>
  <c r="AX190" i="5" s="1"/>
  <c r="AX192" i="5" s="1"/>
  <c r="AX194" i="5" s="1"/>
  <c r="AX196" i="5" s="1"/>
  <c r="AX198" i="5" s="1"/>
  <c r="AX200" i="5" s="1"/>
  <c r="AX202" i="5" s="1"/>
  <c r="AX204" i="5" s="1"/>
  <c r="AX206" i="5" s="1"/>
  <c r="AX208" i="5" s="1"/>
  <c r="AX210" i="5" s="1"/>
  <c r="AX212" i="5" s="1"/>
  <c r="AX214" i="5" s="1"/>
  <c r="AX216" i="5" s="1"/>
  <c r="AX218" i="5" s="1"/>
  <c r="AX220" i="5" s="1"/>
  <c r="AX222" i="5" s="1"/>
  <c r="AX224" i="5" s="1"/>
  <c r="AX226" i="5" s="1"/>
  <c r="AX228" i="5" s="1"/>
  <c r="AX230" i="5" s="1"/>
  <c r="AX232" i="5" s="1"/>
  <c r="AX234" i="5" s="1"/>
  <c r="AX236" i="5" s="1"/>
  <c r="AX238" i="5" s="1"/>
  <c r="AX240" i="5" s="1"/>
  <c r="AX242" i="5" s="1"/>
  <c r="AX244" i="5" s="1"/>
  <c r="AX246" i="5" s="1"/>
  <c r="AX248" i="5" s="1"/>
  <c r="AX250" i="5" s="1"/>
  <c r="AX252" i="5" s="1"/>
  <c r="AX254" i="5" s="1"/>
  <c r="AX256" i="5" s="1"/>
  <c r="AX258" i="5" s="1"/>
  <c r="AX260" i="5" s="1"/>
  <c r="AX262" i="5" s="1"/>
  <c r="AX264" i="5" s="1"/>
  <c r="AX266" i="5" s="1"/>
  <c r="AX268" i="5" s="1"/>
  <c r="AX270" i="5" s="1"/>
  <c r="AX272" i="5" s="1"/>
  <c r="AX274" i="5" s="1"/>
  <c r="AX276" i="5" s="1"/>
  <c r="AX278" i="5" s="1"/>
  <c r="AX280" i="5" s="1"/>
  <c r="AX282" i="5" s="1"/>
  <c r="AX284" i="5" s="1"/>
  <c r="AX286" i="5" s="1"/>
  <c r="AX288" i="5" s="1"/>
  <c r="AX290" i="5" s="1"/>
  <c r="AX292" i="5" s="1"/>
  <c r="AX294" i="5" s="1"/>
  <c r="AX296" i="5" s="1"/>
  <c r="AX298" i="5" s="1"/>
  <c r="AX300" i="5" s="1"/>
  <c r="AX302" i="5" s="1"/>
  <c r="AX304" i="5" s="1"/>
  <c r="AX306" i="5" s="1"/>
  <c r="AX308" i="5" s="1"/>
  <c r="AX310" i="5" s="1"/>
  <c r="AX312" i="5" s="1"/>
  <c r="AX314" i="5" s="1"/>
  <c r="AX316" i="5" s="1"/>
  <c r="AX318" i="5" s="1"/>
  <c r="AX320" i="5" s="1"/>
  <c r="AX322" i="5" s="1"/>
  <c r="AX324" i="5" s="1"/>
  <c r="AX326" i="5" s="1"/>
  <c r="AX328" i="5" s="1"/>
  <c r="AX330" i="5" s="1"/>
  <c r="AX332" i="5" s="1"/>
  <c r="AX334" i="5" s="1"/>
  <c r="AX336" i="5" s="1"/>
  <c r="AX338" i="5" s="1"/>
  <c r="AX340" i="5" s="1"/>
  <c r="AX342" i="5" s="1"/>
  <c r="AX344" i="5" s="1"/>
  <c r="AX346" i="5" s="1"/>
  <c r="AX348" i="5" s="1"/>
  <c r="AX350" i="5" s="1"/>
  <c r="AX352" i="5" s="1"/>
  <c r="AX354" i="5" s="1"/>
  <c r="AX356" i="5" s="1"/>
  <c r="AX358" i="5" s="1"/>
  <c r="AX360" i="5" s="1"/>
  <c r="AX362" i="5" s="1"/>
  <c r="AX364" i="5" s="1"/>
  <c r="AX366" i="5" s="1"/>
  <c r="AX368" i="5" s="1"/>
  <c r="AX370" i="5" s="1"/>
  <c r="AX372" i="5" s="1"/>
  <c r="AX374" i="5" s="1"/>
  <c r="AX376" i="5" s="1"/>
  <c r="AX378" i="5" s="1"/>
  <c r="AX380" i="5" s="1"/>
  <c r="AX382" i="5" s="1"/>
  <c r="AX384" i="5" s="1"/>
  <c r="AX386" i="5" s="1"/>
  <c r="AX388" i="5" s="1"/>
  <c r="AX390" i="5" s="1"/>
  <c r="AX392" i="5" s="1"/>
  <c r="AX394" i="5" s="1"/>
  <c r="AX396" i="5" s="1"/>
  <c r="AX398" i="5" s="1"/>
  <c r="AX400" i="5" s="1"/>
  <c r="AX402" i="5" s="1"/>
  <c r="AX404" i="5" s="1"/>
  <c r="AX406" i="5" s="1"/>
  <c r="AX408" i="5" s="1"/>
  <c r="AX410" i="5" s="1"/>
  <c r="AX412" i="5" s="1"/>
  <c r="AX414" i="5" s="1"/>
  <c r="AX416" i="5" s="1"/>
  <c r="AX418" i="5" s="1"/>
  <c r="AX420" i="5" s="1"/>
  <c r="AX422" i="5" s="1"/>
  <c r="AX424" i="5" s="1"/>
  <c r="AX426" i="5" s="1"/>
  <c r="AX428" i="5" s="1"/>
  <c r="AX430" i="5" s="1"/>
  <c r="AX432" i="5" s="1"/>
  <c r="AX434" i="5" s="1"/>
  <c r="AX436" i="5" s="1"/>
  <c r="AX438" i="5" s="1"/>
  <c r="AX440" i="5" s="1"/>
  <c r="AX442" i="5" s="1"/>
  <c r="AX444" i="5" s="1"/>
  <c r="AX446" i="5" s="1"/>
  <c r="AX448" i="5" s="1"/>
  <c r="AX450" i="5" s="1"/>
  <c r="AX452" i="5" s="1"/>
  <c r="AX454" i="5" s="1"/>
  <c r="AX456" i="5" s="1"/>
  <c r="AX458" i="5" s="1"/>
  <c r="AX460" i="5" s="1"/>
  <c r="AX462" i="5" s="1"/>
  <c r="AX464" i="5" s="1"/>
  <c r="AX466" i="5" s="1"/>
  <c r="AX468" i="5" s="1"/>
  <c r="AX470" i="5" s="1"/>
  <c r="AX472" i="5" s="1"/>
  <c r="AX474" i="5" s="1"/>
  <c r="AX476" i="5" s="1"/>
  <c r="AX478" i="5" s="1"/>
  <c r="AX480" i="5" s="1"/>
  <c r="AX482" i="5" s="1"/>
  <c r="AX484" i="5" s="1"/>
  <c r="AX486" i="5" s="1"/>
  <c r="AX488" i="5" s="1"/>
  <c r="AX490" i="5" s="1"/>
  <c r="AX492" i="5" s="1"/>
  <c r="AX494" i="5" s="1"/>
  <c r="AX496" i="5" s="1"/>
  <c r="AX498" i="5" s="1"/>
  <c r="AX500" i="5" s="1"/>
  <c r="AX502" i="5" s="1"/>
  <c r="AX504" i="5" s="1"/>
  <c r="AX506" i="5" s="1"/>
  <c r="AX508" i="5" s="1"/>
  <c r="AX510" i="5" s="1"/>
  <c r="AX512" i="5" s="1"/>
  <c r="AX514" i="5" s="1"/>
  <c r="AX516" i="5" s="1"/>
  <c r="AX518" i="5" s="1"/>
  <c r="AX520" i="5" s="1"/>
  <c r="AX522" i="5" s="1"/>
  <c r="AX524" i="5" s="1"/>
  <c r="AX526" i="5" s="1"/>
  <c r="AX528" i="5" s="1"/>
  <c r="AX530" i="5" s="1"/>
  <c r="AX532" i="5" s="1"/>
  <c r="AX534" i="5" s="1"/>
  <c r="AX536" i="5" s="1"/>
  <c r="AX538" i="5" s="1"/>
  <c r="AX540" i="5" s="1"/>
  <c r="AX542" i="5" s="1"/>
  <c r="AX544" i="5" s="1"/>
  <c r="AX546" i="5" s="1"/>
  <c r="AX548" i="5" s="1"/>
  <c r="AX550" i="5" s="1"/>
  <c r="AX552" i="5" s="1"/>
  <c r="AX554" i="5" s="1"/>
  <c r="AX556" i="5" s="1"/>
  <c r="AX558" i="5" s="1"/>
  <c r="AX560" i="5" s="1"/>
  <c r="AX562" i="5" s="1"/>
  <c r="AX564" i="5" s="1"/>
  <c r="AX566" i="5" s="1"/>
  <c r="AX568" i="5" s="1"/>
  <c r="AX570" i="5" s="1"/>
  <c r="AX572" i="5" s="1"/>
  <c r="AX574" i="5" s="1"/>
  <c r="AX576" i="5" s="1"/>
  <c r="AX578" i="5" s="1"/>
  <c r="AX580" i="5" s="1"/>
  <c r="AX582" i="5" s="1"/>
  <c r="AX584" i="5" s="1"/>
  <c r="AX586" i="5" s="1"/>
  <c r="AX588" i="5" s="1"/>
  <c r="AX590" i="5" s="1"/>
  <c r="AX592" i="5" s="1"/>
  <c r="AX594" i="5" s="1"/>
  <c r="AX596" i="5" s="1"/>
  <c r="AX598" i="5" s="1"/>
  <c r="AX600" i="5" s="1"/>
  <c r="AX602" i="5" s="1"/>
  <c r="AX604" i="5" s="1"/>
  <c r="AX606" i="5" s="1"/>
  <c r="AX608" i="5" s="1"/>
  <c r="AX610" i="5" s="1"/>
  <c r="AX612" i="5" s="1"/>
  <c r="AX614" i="5" s="1"/>
  <c r="AX616" i="5" s="1"/>
  <c r="AX618" i="5" s="1"/>
  <c r="AX620" i="5" s="1"/>
  <c r="AX622" i="5" s="1"/>
  <c r="AX624" i="5" s="1"/>
  <c r="AX626" i="5" s="1"/>
  <c r="AX628" i="5" s="1"/>
  <c r="AX630" i="5" s="1"/>
  <c r="AX632" i="5" s="1"/>
  <c r="AX634" i="5" s="1"/>
  <c r="AX636" i="5" s="1"/>
  <c r="AZ8" i="5"/>
  <c r="AZ10" i="5" s="1"/>
  <c r="AZ12" i="5" s="1"/>
  <c r="AZ14" i="5" s="1"/>
  <c r="AZ16" i="5" s="1"/>
  <c r="AI8" i="5"/>
  <c r="AI9" i="5" s="1"/>
  <c r="AI10" i="5" s="1"/>
  <c r="AI11" i="5" s="1"/>
  <c r="AI12" i="5" s="1"/>
  <c r="AI18" i="5" s="1"/>
  <c r="AI19" i="5" s="1"/>
  <c r="AI20" i="5" s="1"/>
  <c r="AI21" i="5" s="1"/>
  <c r="AI22" i="5" s="1"/>
  <c r="AI23" i="5" s="1"/>
  <c r="AI24" i="5" s="1"/>
  <c r="AI30" i="5" s="1"/>
  <c r="AI31" i="5" s="1"/>
  <c r="AI32" i="5" s="1"/>
  <c r="AI33" i="5" s="1"/>
  <c r="AI34" i="5" s="1"/>
  <c r="AI35" i="5" s="1"/>
  <c r="AI36" i="5" s="1"/>
  <c r="AI42" i="5" s="1"/>
  <c r="AI43" i="5" s="1"/>
  <c r="AI44" i="5" s="1"/>
  <c r="AI45" i="5" s="1"/>
  <c r="AI46" i="5" s="1"/>
  <c r="AI47" i="5" s="1"/>
  <c r="AI48" i="5" s="1"/>
  <c r="AI54" i="5" s="1"/>
  <c r="AI55" i="5" s="1"/>
  <c r="AI56" i="5" s="1"/>
  <c r="AI57" i="5" s="1"/>
  <c r="AI58" i="5" s="1"/>
  <c r="AI59" i="5" s="1"/>
  <c r="AI60" i="5" s="1"/>
  <c r="AI66" i="5" s="1"/>
  <c r="AI67" i="5" s="1"/>
  <c r="AI68" i="5" s="1"/>
  <c r="AI69" i="5" s="1"/>
  <c r="AI70" i="5" s="1"/>
  <c r="AI71" i="5" s="1"/>
  <c r="AI72" i="5" s="1"/>
  <c r="AI78" i="5" s="1"/>
  <c r="AI79" i="5" s="1"/>
  <c r="AI80" i="5" s="1"/>
  <c r="AI81" i="5" s="1"/>
  <c r="AI82" i="5" s="1"/>
  <c r="AI83" i="5" s="1"/>
  <c r="AI84" i="5" s="1"/>
  <c r="AI90" i="5" s="1"/>
  <c r="AI91" i="5" s="1"/>
  <c r="AI92" i="5" s="1"/>
  <c r="AI93" i="5" s="1"/>
  <c r="AI94" i="5" s="1"/>
  <c r="AI95" i="5" s="1"/>
  <c r="AI96" i="5" s="1"/>
  <c r="AI102" i="5" s="1"/>
  <c r="AI103" i="5" s="1"/>
  <c r="AI104" i="5" s="1"/>
  <c r="AI105" i="5" s="1"/>
  <c r="AI106" i="5" s="1"/>
  <c r="AI107" i="5" s="1"/>
  <c r="AI108" i="5" s="1"/>
  <c r="AX33" i="5"/>
  <c r="AX35" i="5" s="1"/>
  <c r="AX37" i="5" s="1"/>
  <c r="AX39" i="5" s="1"/>
  <c r="AX41" i="5" s="1"/>
  <c r="AX43" i="5" s="1"/>
  <c r="AX45" i="5" s="1"/>
  <c r="AX47" i="5" s="1"/>
  <c r="AX49" i="5" s="1"/>
  <c r="AX51" i="5" s="1"/>
  <c r="AX53" i="5" s="1"/>
  <c r="AX55" i="5" s="1"/>
  <c r="AX57" i="5" s="1"/>
  <c r="AX59" i="5" s="1"/>
  <c r="AX61" i="5" s="1"/>
  <c r="AX63" i="5" s="1"/>
  <c r="AX65" i="5" s="1"/>
  <c r="AX67" i="5" s="1"/>
  <c r="AX69" i="5" s="1"/>
  <c r="AX71" i="5" s="1"/>
  <c r="AX73" i="5" s="1"/>
  <c r="AX75" i="5" s="1"/>
  <c r="AX77" i="5" s="1"/>
  <c r="AX79" i="5" s="1"/>
  <c r="AX81" i="5" s="1"/>
  <c r="AX83" i="5" s="1"/>
  <c r="AX85" i="5" s="1"/>
  <c r="AX87" i="5" s="1"/>
  <c r="AX89" i="5" s="1"/>
  <c r="AX91" i="5" s="1"/>
  <c r="AX93" i="5" s="1"/>
  <c r="AX95" i="5" s="1"/>
  <c r="AX97" i="5" s="1"/>
  <c r="AX99" i="5" s="1"/>
  <c r="AX101" i="5" s="1"/>
  <c r="AX103" i="5" s="1"/>
  <c r="AX105" i="5" s="1"/>
  <c r="AX107" i="5" s="1"/>
  <c r="AX109" i="5" s="1"/>
  <c r="AX111" i="5" s="1"/>
  <c r="AX113" i="5" s="1"/>
  <c r="AX115" i="5" s="1"/>
  <c r="AX117" i="5" s="1"/>
  <c r="AX119" i="5" s="1"/>
  <c r="AX121" i="5" s="1"/>
  <c r="AX123" i="5" s="1"/>
  <c r="AX125" i="5" s="1"/>
  <c r="AX127" i="5" s="1"/>
  <c r="AX129" i="5" s="1"/>
  <c r="AX131" i="5" s="1"/>
  <c r="AX133" i="5" s="1"/>
  <c r="AX135" i="5" s="1"/>
  <c r="AX137" i="5" s="1"/>
  <c r="AX139" i="5" s="1"/>
  <c r="AX141" i="5" s="1"/>
  <c r="AX143" i="5" s="1"/>
  <c r="AX145" i="5" s="1"/>
  <c r="AX147" i="5" s="1"/>
  <c r="AX149" i="5" s="1"/>
  <c r="AX151" i="5" s="1"/>
  <c r="AX153" i="5" s="1"/>
  <c r="AX155" i="5" s="1"/>
  <c r="AX157" i="5" s="1"/>
  <c r="AX159" i="5" s="1"/>
  <c r="AX161" i="5" s="1"/>
  <c r="AX163" i="5" s="1"/>
  <c r="AX165" i="5" s="1"/>
  <c r="AX167" i="5" s="1"/>
  <c r="AX169" i="5" s="1"/>
  <c r="AX171" i="5" s="1"/>
  <c r="AX173" i="5" s="1"/>
  <c r="AX175" i="5" s="1"/>
  <c r="AX177" i="5" s="1"/>
  <c r="AX179" i="5" s="1"/>
  <c r="AX181" i="5" s="1"/>
  <c r="AX183" i="5" s="1"/>
  <c r="AX185" i="5" s="1"/>
  <c r="AX187" i="5" s="1"/>
  <c r="AX189" i="5" s="1"/>
  <c r="AX191" i="5" s="1"/>
  <c r="AX193" i="5" s="1"/>
  <c r="AX195" i="5" s="1"/>
  <c r="AX197" i="5" s="1"/>
  <c r="AX199" i="5" s="1"/>
  <c r="AX201" i="5" s="1"/>
  <c r="AX203" i="5" s="1"/>
  <c r="AX205" i="5" s="1"/>
  <c r="AX207" i="5" s="1"/>
  <c r="AX209" i="5" s="1"/>
  <c r="AX211" i="5" s="1"/>
  <c r="AX213" i="5" s="1"/>
  <c r="AX215" i="5" s="1"/>
  <c r="AX217" i="5" s="1"/>
  <c r="AX219" i="5" s="1"/>
  <c r="AX221" i="5" s="1"/>
  <c r="AX223" i="5" s="1"/>
  <c r="AX225" i="5" s="1"/>
  <c r="AX227" i="5" s="1"/>
  <c r="AX229" i="5" s="1"/>
  <c r="AX231" i="5" s="1"/>
  <c r="AX233" i="5" s="1"/>
  <c r="AX235" i="5" s="1"/>
  <c r="AX237" i="5" s="1"/>
  <c r="AX239" i="5" s="1"/>
  <c r="AX241" i="5" s="1"/>
  <c r="AX243" i="5" s="1"/>
  <c r="AX245" i="5" s="1"/>
  <c r="AX247" i="5" s="1"/>
  <c r="AX249" i="5" s="1"/>
  <c r="AX251" i="5" s="1"/>
  <c r="AX253" i="5" s="1"/>
  <c r="AX255" i="5" s="1"/>
  <c r="AX257" i="5" s="1"/>
  <c r="AX259" i="5" s="1"/>
  <c r="AX261" i="5" s="1"/>
  <c r="AX263" i="5" s="1"/>
  <c r="AX265" i="5" s="1"/>
  <c r="AX267" i="5" s="1"/>
  <c r="AX269" i="5" s="1"/>
  <c r="AX271" i="5" s="1"/>
  <c r="AX273" i="5" s="1"/>
  <c r="AX275" i="5" s="1"/>
  <c r="AX277" i="5" s="1"/>
  <c r="AX279" i="5" s="1"/>
  <c r="AX281" i="5" s="1"/>
  <c r="AX283" i="5" s="1"/>
  <c r="AX285" i="5" s="1"/>
  <c r="AX287" i="5" s="1"/>
  <c r="AX289" i="5" s="1"/>
  <c r="AX291" i="5" s="1"/>
  <c r="AX293" i="5" s="1"/>
  <c r="AX295" i="5" s="1"/>
  <c r="AX297" i="5" s="1"/>
  <c r="AX299" i="5" s="1"/>
  <c r="AX301" i="5" s="1"/>
  <c r="AX303" i="5" s="1"/>
  <c r="AX305" i="5" s="1"/>
  <c r="AX307" i="5" s="1"/>
  <c r="AX309" i="5" s="1"/>
  <c r="AX311" i="5" s="1"/>
  <c r="AX313" i="5" s="1"/>
  <c r="AX315" i="5" s="1"/>
  <c r="AX317" i="5" s="1"/>
  <c r="AX319" i="5" s="1"/>
  <c r="AX321" i="5" s="1"/>
  <c r="AX323" i="5" s="1"/>
  <c r="AX325" i="5" s="1"/>
  <c r="AX327" i="5" s="1"/>
  <c r="AX329" i="5" s="1"/>
  <c r="AX331" i="5" s="1"/>
  <c r="AX333" i="5" s="1"/>
  <c r="AX335" i="5" s="1"/>
  <c r="AX337" i="5" s="1"/>
  <c r="AX339" i="5" s="1"/>
  <c r="AX341" i="5" s="1"/>
  <c r="AX343" i="5" s="1"/>
  <c r="AX345" i="5" s="1"/>
  <c r="AX347" i="5" s="1"/>
  <c r="AX349" i="5" s="1"/>
  <c r="AX351" i="5" s="1"/>
  <c r="AX353" i="5" s="1"/>
  <c r="AX355" i="5" s="1"/>
  <c r="AX357" i="5" s="1"/>
  <c r="AX359" i="5" s="1"/>
  <c r="AX361" i="5" s="1"/>
  <c r="AX363" i="5" s="1"/>
  <c r="AX365" i="5" s="1"/>
  <c r="AX367" i="5" s="1"/>
  <c r="AX369" i="5" s="1"/>
  <c r="AX371" i="5" s="1"/>
  <c r="AX373" i="5" s="1"/>
  <c r="AX375" i="5" s="1"/>
  <c r="AX377" i="5" s="1"/>
  <c r="AX379" i="5" s="1"/>
  <c r="AX381" i="5" s="1"/>
  <c r="AX383" i="5" s="1"/>
  <c r="AX385" i="5" s="1"/>
  <c r="AX387" i="5" s="1"/>
  <c r="AX389" i="5" s="1"/>
  <c r="AX391" i="5" s="1"/>
  <c r="AX393" i="5" s="1"/>
  <c r="AX395" i="5" s="1"/>
  <c r="AX397" i="5" s="1"/>
  <c r="AX399" i="5" s="1"/>
  <c r="AX401" i="5" s="1"/>
  <c r="AX403" i="5" s="1"/>
  <c r="AX405" i="5" s="1"/>
  <c r="AX407" i="5" s="1"/>
  <c r="AX409" i="5" s="1"/>
  <c r="AX411" i="5" s="1"/>
  <c r="AX413" i="5" s="1"/>
  <c r="AX415" i="5" s="1"/>
  <c r="AX417" i="5" s="1"/>
  <c r="AX419" i="5" s="1"/>
  <c r="AX421" i="5" s="1"/>
  <c r="AX423" i="5" s="1"/>
  <c r="AX425" i="5" s="1"/>
  <c r="AX427" i="5" s="1"/>
  <c r="AX429" i="5" s="1"/>
  <c r="AX431" i="5" s="1"/>
  <c r="AX433" i="5" s="1"/>
  <c r="AX435" i="5" s="1"/>
  <c r="AX437" i="5" s="1"/>
  <c r="AX439" i="5" s="1"/>
  <c r="AX441" i="5" s="1"/>
  <c r="AX443" i="5" s="1"/>
  <c r="AX445" i="5" s="1"/>
  <c r="AX447" i="5" s="1"/>
  <c r="AX449" i="5" s="1"/>
  <c r="AX451" i="5" s="1"/>
  <c r="AX453" i="5" s="1"/>
  <c r="AX455" i="5" s="1"/>
  <c r="AX457" i="5" s="1"/>
  <c r="AX459" i="5" s="1"/>
  <c r="AX461" i="5" s="1"/>
  <c r="AX463" i="5" s="1"/>
  <c r="AX465" i="5" s="1"/>
  <c r="AX467" i="5" s="1"/>
  <c r="AX469" i="5" s="1"/>
  <c r="AX471" i="5" s="1"/>
  <c r="AX473" i="5" s="1"/>
  <c r="AX475" i="5" s="1"/>
  <c r="AX477" i="5" s="1"/>
  <c r="AX479" i="5" s="1"/>
  <c r="AX481" i="5" s="1"/>
  <c r="AX483" i="5" s="1"/>
  <c r="AX485" i="5" s="1"/>
  <c r="AX487" i="5" s="1"/>
  <c r="AX489" i="5" s="1"/>
  <c r="AX491" i="5" s="1"/>
  <c r="AX493" i="5" s="1"/>
  <c r="AX495" i="5" s="1"/>
  <c r="AX497" i="5" s="1"/>
  <c r="AX499" i="5" s="1"/>
  <c r="AX501" i="5" s="1"/>
  <c r="AX503" i="5" s="1"/>
  <c r="AX505" i="5" s="1"/>
  <c r="AX507" i="5" s="1"/>
  <c r="AX509" i="5" s="1"/>
  <c r="AX511" i="5" s="1"/>
  <c r="AX513" i="5" s="1"/>
  <c r="AX515" i="5" s="1"/>
  <c r="AX517" i="5" s="1"/>
  <c r="AX519" i="5" s="1"/>
  <c r="AX521" i="5" s="1"/>
  <c r="AX523" i="5" s="1"/>
  <c r="AX525" i="5" s="1"/>
  <c r="AX527" i="5" s="1"/>
  <c r="AX529" i="5" s="1"/>
  <c r="AX531" i="5" s="1"/>
  <c r="AX533" i="5" s="1"/>
  <c r="AX535" i="5" s="1"/>
  <c r="AX537" i="5" s="1"/>
  <c r="AX539" i="5" s="1"/>
  <c r="AX541" i="5" s="1"/>
  <c r="AX543" i="5" s="1"/>
  <c r="AX545" i="5" s="1"/>
  <c r="AX547" i="5" s="1"/>
  <c r="AX549" i="5" s="1"/>
  <c r="AX551" i="5" s="1"/>
  <c r="AX553" i="5" s="1"/>
  <c r="AX555" i="5" s="1"/>
  <c r="AX557" i="5" s="1"/>
  <c r="AX559" i="5" s="1"/>
  <c r="AX561" i="5" s="1"/>
  <c r="AX563" i="5" s="1"/>
  <c r="AX565" i="5" s="1"/>
  <c r="AX567" i="5" s="1"/>
  <c r="AX569" i="5" s="1"/>
  <c r="AX571" i="5" s="1"/>
  <c r="AX573" i="5" s="1"/>
  <c r="AX575" i="5" s="1"/>
  <c r="AX577" i="5" s="1"/>
  <c r="AX579" i="5" s="1"/>
  <c r="AX581" i="5" s="1"/>
  <c r="AX583" i="5" s="1"/>
  <c r="AX585" i="5" s="1"/>
  <c r="AX587" i="5" s="1"/>
  <c r="AX589" i="5" s="1"/>
  <c r="AX591" i="5" s="1"/>
  <c r="AX593" i="5" s="1"/>
  <c r="AX595" i="5" s="1"/>
  <c r="AX597" i="5" s="1"/>
  <c r="AX599" i="5" s="1"/>
  <c r="AX601" i="5" s="1"/>
  <c r="AX603" i="5" s="1"/>
  <c r="AX605" i="5" s="1"/>
  <c r="AX607" i="5" s="1"/>
  <c r="AX609" i="5" s="1"/>
  <c r="AX611" i="5" s="1"/>
  <c r="AX613" i="5" s="1"/>
  <c r="AX615" i="5" s="1"/>
  <c r="AX617" i="5" s="1"/>
  <c r="AX619" i="5" s="1"/>
  <c r="AX621" i="5" s="1"/>
  <c r="AX623" i="5" s="1"/>
  <c r="AX625" i="5" s="1"/>
  <c r="AX627" i="5" s="1"/>
  <c r="AX629" i="5" s="1"/>
  <c r="AX631" i="5" s="1"/>
  <c r="AX633" i="5" s="1"/>
  <c r="AX635" i="5" s="1"/>
  <c r="AF12" i="12"/>
  <c r="AF11" i="19"/>
  <c r="AF11" i="12"/>
  <c r="AF10" i="19"/>
  <c r="AM76" i="12"/>
  <c r="AI75" i="12"/>
  <c r="BI25" i="12"/>
  <c r="BJ25" i="12" s="1"/>
  <c r="BI24" i="19"/>
  <c r="BJ24" i="19" s="1"/>
  <c r="A18" i="19"/>
  <c r="AI7" i="8"/>
  <c r="AI8" i="8" s="1"/>
  <c r="AI9" i="8" s="1"/>
  <c r="AI10" i="8" s="1"/>
  <c r="AI11" i="8" s="1"/>
  <c r="AI12" i="8" s="1"/>
  <c r="AI18" i="8" s="1"/>
  <c r="AI19" i="8" s="1"/>
  <c r="AI20" i="8" s="1"/>
  <c r="AI21" i="8" s="1"/>
  <c r="AI22" i="8" s="1"/>
  <c r="AI23" i="8" s="1"/>
  <c r="AI24" i="8" s="1"/>
  <c r="AI30" i="8" s="1"/>
  <c r="AI31" i="8" s="1"/>
  <c r="AI32" i="8" s="1"/>
  <c r="AI33" i="8" s="1"/>
  <c r="AI34" i="8" s="1"/>
  <c r="AI35" i="8" s="1"/>
  <c r="AI36" i="8" s="1"/>
  <c r="AI42" i="8" s="1"/>
  <c r="AI43" i="8" s="1"/>
  <c r="AI44" i="8" s="1"/>
  <c r="AI45" i="8" s="1"/>
  <c r="AI46" i="8" s="1"/>
  <c r="AI47" i="8" s="1"/>
  <c r="AI48" i="8" s="1"/>
  <c r="AI54" i="8" s="1"/>
  <c r="AI55" i="8" s="1"/>
  <c r="AI56" i="8" s="1"/>
  <c r="AI57" i="8" s="1"/>
  <c r="AI58" i="8" s="1"/>
  <c r="AI59" i="8" s="1"/>
  <c r="AI60" i="8" s="1"/>
  <c r="AI66" i="8" s="1"/>
  <c r="AI67" i="8" s="1"/>
  <c r="AI68" i="8" s="1"/>
  <c r="AI69" i="8" s="1"/>
  <c r="AI70" i="8" s="1"/>
  <c r="AI71" i="8" s="1"/>
  <c r="AI72" i="8" s="1"/>
  <c r="AI78" i="8" s="1"/>
  <c r="AI79" i="8" s="1"/>
  <c r="AI80" i="8" s="1"/>
  <c r="AI81" i="8" s="1"/>
  <c r="AI82" i="8" s="1"/>
  <c r="AI83" i="8" s="1"/>
  <c r="AI84" i="8" s="1"/>
  <c r="AI90" i="8" s="1"/>
  <c r="AI91" i="8" s="1"/>
  <c r="AI92" i="8" s="1"/>
  <c r="AI93" i="8" s="1"/>
  <c r="AI94" i="8" s="1"/>
  <c r="AI95" i="8" s="1"/>
  <c r="AI96" i="8" s="1"/>
  <c r="AI102" i="8" s="1"/>
  <c r="AI103" i="8" s="1"/>
  <c r="AI104" i="8" s="1"/>
  <c r="AI105" i="8" s="1"/>
  <c r="AI106" i="8" s="1"/>
  <c r="AI107" i="8" s="1"/>
  <c r="AI108" i="8" s="1"/>
  <c r="AI114" i="8" s="1"/>
  <c r="AI115" i="8" s="1"/>
  <c r="AI116" i="8" s="1"/>
  <c r="AI117" i="8" s="1"/>
  <c r="AI118" i="8" s="1"/>
  <c r="AI119" i="8" s="1"/>
  <c r="AI120" i="8" s="1"/>
  <c r="AI126" i="8" s="1"/>
  <c r="AI127" i="8" s="1"/>
  <c r="AI128" i="8" s="1"/>
  <c r="AI129" i="8" s="1"/>
  <c r="AI130" i="8" s="1"/>
  <c r="AI131" i="8" s="1"/>
  <c r="AI132" i="8" s="1"/>
  <c r="AI138" i="8" s="1"/>
  <c r="AI139" i="8" s="1"/>
  <c r="AI140" i="8" s="1"/>
  <c r="AI141" i="8" s="1"/>
  <c r="AI142" i="8" s="1"/>
  <c r="AI143" i="8" s="1"/>
  <c r="AI144" i="8" s="1"/>
  <c r="AI8" i="7"/>
  <c r="AI9" i="7" s="1"/>
  <c r="AI10" i="7" s="1"/>
  <c r="AI11" i="7" s="1"/>
  <c r="AI12" i="7" s="1"/>
  <c r="AI18" i="7" s="1"/>
  <c r="AI19" i="7" s="1"/>
  <c r="AI20" i="7" s="1"/>
  <c r="AI21" i="7" s="1"/>
  <c r="AI22" i="7" s="1"/>
  <c r="AI23" i="7" s="1"/>
  <c r="AI24" i="7" s="1"/>
  <c r="AI30" i="7" s="1"/>
  <c r="AI31" i="7" s="1"/>
  <c r="AI32" i="7" s="1"/>
  <c r="AI33" i="7" s="1"/>
  <c r="AI34" i="7" s="1"/>
  <c r="AI35" i="7" s="1"/>
  <c r="AI36" i="7" s="1"/>
  <c r="AI42" i="7" s="1"/>
  <c r="AI43" i="7" s="1"/>
  <c r="AI44" i="7" s="1"/>
  <c r="AI45" i="7" s="1"/>
  <c r="AI46" i="7" s="1"/>
  <c r="AI47" i="7" s="1"/>
  <c r="AI48" i="7" s="1"/>
  <c r="AI54" i="7" s="1"/>
  <c r="AI55" i="7" s="1"/>
  <c r="AI56" i="7" s="1"/>
  <c r="AI57" i="7" s="1"/>
  <c r="AI58" i="7" s="1"/>
  <c r="AI59" i="7" s="1"/>
  <c r="AI60" i="7" s="1"/>
  <c r="AI66" i="7" s="1"/>
  <c r="AI67" i="7" s="1"/>
  <c r="AI68" i="7" s="1"/>
  <c r="AI69" i="7" s="1"/>
  <c r="AI70" i="7" s="1"/>
  <c r="AI71" i="7" s="1"/>
  <c r="AI72" i="7" s="1"/>
  <c r="AI78" i="7" s="1"/>
  <c r="AI79" i="7" s="1"/>
  <c r="AI80" i="7" s="1"/>
  <c r="AI81" i="7" s="1"/>
  <c r="AI82" i="7" s="1"/>
  <c r="AI83" i="7" s="1"/>
  <c r="AI84" i="7" s="1"/>
  <c r="AI90" i="7" s="1"/>
  <c r="AI91" i="7" s="1"/>
  <c r="AI92" i="7" s="1"/>
  <c r="AI93" i="7" s="1"/>
  <c r="AI94" i="7" s="1"/>
  <c r="AI95" i="7" s="1"/>
  <c r="AI96" i="7" s="1"/>
  <c r="AI102" i="7" s="1"/>
  <c r="AI103" i="7" s="1"/>
  <c r="AI104" i="7" s="1"/>
  <c r="AI105" i="7" s="1"/>
  <c r="AI106" i="7" s="1"/>
  <c r="AI107" i="7" s="1"/>
  <c r="AI108" i="7" s="1"/>
  <c r="AI114" i="7" s="1"/>
  <c r="AI115" i="7" s="1"/>
  <c r="AI116" i="7" s="1"/>
  <c r="AI117" i="7" s="1"/>
  <c r="AI118" i="7" s="1"/>
  <c r="AI119" i="7" s="1"/>
  <c r="AI120" i="7" s="1"/>
  <c r="AI126" i="7" s="1"/>
  <c r="AI127" i="7" s="1"/>
  <c r="AI128" i="7" s="1"/>
  <c r="AI129" i="7" s="1"/>
  <c r="AI130" i="7" s="1"/>
  <c r="AI131" i="7" s="1"/>
  <c r="AI132" i="7" s="1"/>
  <c r="AI138" i="7" s="1"/>
  <c r="AI139" i="7" s="1"/>
  <c r="AI140" i="7" s="1"/>
  <c r="AI141" i="7" s="1"/>
  <c r="AI142" i="7" s="1"/>
  <c r="AI143" i="7" s="1"/>
  <c r="AI144" i="7" s="1"/>
  <c r="AI150" i="7" s="1"/>
  <c r="AI151" i="7" s="1"/>
  <c r="AI152" i="7" s="1"/>
  <c r="AI153" i="7" s="1"/>
  <c r="AI154" i="7" s="1"/>
  <c r="AI155" i="7" s="1"/>
  <c r="AI156" i="7" s="1"/>
  <c r="AI162" i="7" s="1"/>
  <c r="AI163" i="7" s="1"/>
  <c r="AI164" i="7" s="1"/>
  <c r="AI165" i="7" s="1"/>
  <c r="AI166" i="7" s="1"/>
  <c r="AI167" i="7" s="1"/>
  <c r="AI168" i="7" s="1"/>
  <c r="AI174" i="7" s="1"/>
  <c r="AI175" i="7" s="1"/>
  <c r="AI176" i="7" s="1"/>
  <c r="AI177" i="7" s="1"/>
  <c r="AI178" i="7" s="1"/>
  <c r="AI179" i="7" s="1"/>
  <c r="AI180" i="7" s="1"/>
  <c r="AI186" i="7" s="1"/>
  <c r="AI187" i="7" s="1"/>
  <c r="AI188" i="7" s="1"/>
  <c r="AI189" i="7" s="1"/>
  <c r="AI190" i="7" s="1"/>
  <c r="AI191" i="7" s="1"/>
  <c r="AI192" i="7" s="1"/>
  <c r="AI198" i="7" s="1"/>
  <c r="AI199" i="7" s="1"/>
  <c r="AI200" i="7" s="1"/>
  <c r="AI201" i="7" s="1"/>
  <c r="AI202" i="7" s="1"/>
  <c r="AI203" i="7" s="1"/>
  <c r="AI204" i="7" s="1"/>
  <c r="AI210" i="7" s="1"/>
  <c r="AI211" i="7" s="1"/>
  <c r="AI212" i="7" s="1"/>
  <c r="AI213" i="7" s="1"/>
  <c r="AI214" i="7" s="1"/>
  <c r="AI215" i="7" s="1"/>
  <c r="AI216" i="7" s="1"/>
  <c r="AI222" i="7" s="1"/>
  <c r="AI223" i="7" s="1"/>
  <c r="AI224" i="7" s="1"/>
  <c r="AI225" i="7" s="1"/>
  <c r="AI226" i="7" s="1"/>
  <c r="AI227" i="7" s="1"/>
  <c r="AI228" i="7" s="1"/>
  <c r="AI234" i="7" s="1"/>
  <c r="AI235" i="7" s="1"/>
  <c r="AI236" i="7" s="1"/>
  <c r="AI237" i="7" s="1"/>
  <c r="AI238" i="7" s="1"/>
  <c r="AI239" i="7" s="1"/>
  <c r="AI240" i="7" s="1"/>
  <c r="AI246" i="7" s="1"/>
  <c r="AI247" i="7" s="1"/>
  <c r="AI248" i="7" s="1"/>
  <c r="AI249" i="7" s="1"/>
  <c r="AI250" i="7" s="1"/>
  <c r="AI251" i="7" s="1"/>
  <c r="AI252" i="7" s="1"/>
  <c r="AI258" i="7" s="1"/>
  <c r="AI259" i="7" s="1"/>
  <c r="AI260" i="7" s="1"/>
  <c r="AI261" i="7" s="1"/>
  <c r="AI262" i="7" s="1"/>
  <c r="AI263" i="7" s="1"/>
  <c r="AI264" i="7" s="1"/>
  <c r="AI270" i="7" s="1"/>
  <c r="AI271" i="7" s="1"/>
  <c r="AI272" i="7" s="1"/>
  <c r="AI273" i="7" s="1"/>
  <c r="AI274" i="7" s="1"/>
  <c r="AI275" i="7" s="1"/>
  <c r="AI276" i="7" s="1"/>
  <c r="AI282" i="7" s="1"/>
  <c r="AI283" i="7" s="1"/>
  <c r="AI284" i="7" s="1"/>
  <c r="AI285" i="7" s="1"/>
  <c r="AI286" i="7" s="1"/>
  <c r="AI287" i="7" s="1"/>
  <c r="AI288" i="7" s="1"/>
  <c r="AI294" i="7" s="1"/>
  <c r="AI295" i="7" s="1"/>
  <c r="AI296" i="7" s="1"/>
  <c r="AI297" i="7" s="1"/>
  <c r="AI298" i="7" s="1"/>
  <c r="AI299" i="7" s="1"/>
  <c r="AI300" i="7" s="1"/>
  <c r="AI306" i="7" s="1"/>
  <c r="AI307" i="7" s="1"/>
  <c r="AI308" i="7" s="1"/>
  <c r="AI309" i="7" s="1"/>
  <c r="AI310" i="7" s="1"/>
  <c r="AI311" i="7" s="1"/>
  <c r="AI312" i="7" s="1"/>
  <c r="AI318" i="7" s="1"/>
  <c r="AI319" i="7" s="1"/>
  <c r="AI320" i="7" s="1"/>
  <c r="AI321" i="7" s="1"/>
  <c r="AI322" i="7" s="1"/>
  <c r="AI323" i="7" s="1"/>
  <c r="AI324" i="7" s="1"/>
  <c r="AI330" i="7" s="1"/>
  <c r="AI331" i="7" s="1"/>
  <c r="AI332" i="7" s="1"/>
  <c r="AI333" i="7" s="1"/>
  <c r="AI334" i="7" s="1"/>
  <c r="AI335" i="7" s="1"/>
  <c r="AI336" i="7" s="1"/>
  <c r="AI342" i="7" s="1"/>
  <c r="AI343" i="7" s="1"/>
  <c r="AI344" i="7" s="1"/>
  <c r="AI345" i="7" s="1"/>
  <c r="AI346" i="7" s="1"/>
  <c r="AI347" i="7" s="1"/>
  <c r="AI348" i="7" s="1"/>
  <c r="AI354" i="7" s="1"/>
  <c r="AI355" i="7" s="1"/>
  <c r="AI356" i="7" s="1"/>
  <c r="AI357" i="7" s="1"/>
  <c r="AI358" i="7" s="1"/>
  <c r="AI359" i="7" s="1"/>
  <c r="AI360" i="7" s="1"/>
  <c r="AI366" i="7" s="1"/>
  <c r="AI367" i="7" s="1"/>
  <c r="AI368" i="7" s="1"/>
  <c r="AI369" i="7" s="1"/>
  <c r="AI370" i="7" s="1"/>
  <c r="AI371" i="7" s="1"/>
  <c r="AI372" i="7" s="1"/>
  <c r="AI378" i="7" s="1"/>
  <c r="AI379" i="7" s="1"/>
  <c r="AI380" i="7" s="1"/>
  <c r="AI381" i="7" s="1"/>
  <c r="AI382" i="7" s="1"/>
  <c r="AI383" i="7" s="1"/>
  <c r="AI384" i="7" s="1"/>
  <c r="AI390" i="7" s="1"/>
  <c r="AI391" i="7" s="1"/>
  <c r="AI392" i="7" s="1"/>
  <c r="AI393" i="7" s="1"/>
  <c r="AI394" i="7" s="1"/>
  <c r="AI395" i="7" s="1"/>
  <c r="AI396" i="7" s="1"/>
  <c r="AI402" i="7" s="1"/>
  <c r="AI403" i="7" s="1"/>
  <c r="AI404" i="7" s="1"/>
  <c r="AI405" i="7" s="1"/>
  <c r="AI406" i="7" s="1"/>
  <c r="AI407" i="7" s="1"/>
  <c r="AI408" i="7" s="1"/>
  <c r="AI414" i="7" s="1"/>
  <c r="AI415" i="7" s="1"/>
  <c r="AI416" i="7" s="1"/>
  <c r="AI417" i="7" s="1"/>
  <c r="AI418" i="7" s="1"/>
  <c r="AI419" i="7" s="1"/>
  <c r="AI420" i="7" s="1"/>
  <c r="AI426" i="7" s="1"/>
  <c r="AI427" i="7" s="1"/>
  <c r="AI428" i="7" s="1"/>
  <c r="AI429" i="7" s="1"/>
  <c r="AI430" i="7" s="1"/>
  <c r="AI431" i="7" s="1"/>
  <c r="AI432" i="7" s="1"/>
  <c r="AI438" i="7" s="1"/>
  <c r="AI439" i="7" s="1"/>
  <c r="AI440" i="7" s="1"/>
  <c r="AI441" i="7" s="1"/>
  <c r="AI442" i="7" s="1"/>
  <c r="AI443" i="7" s="1"/>
  <c r="AI444" i="7" s="1"/>
  <c r="AI450" i="7" s="1"/>
  <c r="AI451" i="7" s="1"/>
  <c r="AI452" i="7" s="1"/>
  <c r="AI453" i="7" s="1"/>
  <c r="AI454" i="7" s="1"/>
  <c r="AI455" i="7" s="1"/>
  <c r="AI456" i="7" s="1"/>
  <c r="AI462" i="7" s="1"/>
  <c r="AI463" i="7" s="1"/>
  <c r="AI464" i="7" s="1"/>
  <c r="AI465" i="7" s="1"/>
  <c r="AI466" i="7" s="1"/>
  <c r="AI467" i="7" s="1"/>
  <c r="AI468" i="7" s="1"/>
  <c r="AI474" i="7" s="1"/>
  <c r="AI475" i="7" s="1"/>
  <c r="AI476" i="7" s="1"/>
  <c r="AI477" i="7" s="1"/>
  <c r="AI478" i="7" s="1"/>
  <c r="AI479" i="7" s="1"/>
  <c r="AI480" i="7" s="1"/>
  <c r="AI486" i="7" s="1"/>
  <c r="AI487" i="7" s="1"/>
  <c r="AI488" i="7" s="1"/>
  <c r="AI489" i="7" s="1"/>
  <c r="AI490" i="7" s="1"/>
  <c r="AI491" i="7" s="1"/>
  <c r="AI492" i="7" s="1"/>
  <c r="AI498" i="7" s="1"/>
  <c r="AI499" i="7" s="1"/>
  <c r="AI500" i="7" s="1"/>
  <c r="AI501" i="7" s="1"/>
  <c r="AI502" i="7" s="1"/>
  <c r="AI503" i="7" s="1"/>
  <c r="AI504" i="7" s="1"/>
  <c r="AI510" i="7" s="1"/>
  <c r="AI511" i="7" s="1"/>
  <c r="AI512" i="7" s="1"/>
  <c r="AI513" i="7" s="1"/>
  <c r="AI514" i="7" s="1"/>
  <c r="AI515" i="7" s="1"/>
  <c r="AI516" i="7" s="1"/>
  <c r="AI522" i="7" s="1"/>
  <c r="AI523" i="7" s="1"/>
  <c r="AI524" i="7" s="1"/>
  <c r="AI525" i="7" s="1"/>
  <c r="AI526" i="7" s="1"/>
  <c r="AI527" i="7" s="1"/>
  <c r="AI528" i="7" s="1"/>
  <c r="AI534" i="7" s="1"/>
  <c r="AI535" i="7" s="1"/>
  <c r="AI536" i="7" s="1"/>
  <c r="AI537" i="7" s="1"/>
  <c r="AI538" i="7" s="1"/>
  <c r="AI539" i="7" s="1"/>
  <c r="AI540" i="7" s="1"/>
  <c r="AI546" i="7" s="1"/>
  <c r="AI547" i="7" s="1"/>
  <c r="AI548" i="7" s="1"/>
  <c r="AI549" i="7" s="1"/>
  <c r="AI550" i="7" s="1"/>
  <c r="AI551" i="7" s="1"/>
  <c r="AI552" i="7" s="1"/>
  <c r="AI558" i="7" s="1"/>
  <c r="AI559" i="7" s="1"/>
  <c r="AI560" i="7" s="1"/>
  <c r="AI561" i="7" s="1"/>
  <c r="AI562" i="7" s="1"/>
  <c r="AI563" i="7" s="1"/>
  <c r="AI564" i="7" s="1"/>
  <c r="AI570" i="7" s="1"/>
  <c r="AI571" i="7" s="1"/>
  <c r="AI572" i="7" s="1"/>
  <c r="AI573" i="7" s="1"/>
  <c r="AI574" i="7" s="1"/>
  <c r="AI575" i="7" s="1"/>
  <c r="AI576" i="7" s="1"/>
  <c r="AI582" i="7" s="1"/>
  <c r="AI583" i="7" s="1"/>
  <c r="AI584" i="7" s="1"/>
  <c r="AI585" i="7" s="1"/>
  <c r="AI586" i="7" s="1"/>
  <c r="AI587" i="7" s="1"/>
  <c r="AI588" i="7" s="1"/>
  <c r="AI594" i="7" s="1"/>
  <c r="AI595" i="7" s="1"/>
  <c r="AI596" i="7" s="1"/>
  <c r="AI597" i="7" s="1"/>
  <c r="AI598" i="7" s="1"/>
  <c r="AI599" i="7" s="1"/>
  <c r="AI600" i="7" s="1"/>
  <c r="AI606" i="7" s="1"/>
  <c r="AI607" i="7" s="1"/>
  <c r="AI608" i="7" s="1"/>
  <c r="AI609" i="7" s="1"/>
  <c r="AI610" i="7" s="1"/>
  <c r="AI611" i="7" s="1"/>
  <c r="AI612" i="7" s="1"/>
  <c r="AI618" i="7" s="1"/>
  <c r="AI619" i="7" s="1"/>
  <c r="AI620" i="7" s="1"/>
  <c r="AI621" i="7" s="1"/>
  <c r="AI622" i="7" s="1"/>
  <c r="AI623" i="7" s="1"/>
  <c r="AI624" i="7" s="1"/>
  <c r="AI630" i="7" s="1"/>
  <c r="AI631" i="7" s="1"/>
  <c r="AI632" i="7" s="1"/>
  <c r="AI633" i="7" s="1"/>
  <c r="AI634" i="7" s="1"/>
  <c r="AI635" i="7" s="1"/>
  <c r="AI636" i="7" s="1"/>
  <c r="V97" i="6"/>
  <c r="Q38" i="1"/>
  <c r="V37" i="6"/>
  <c r="G38" i="1"/>
  <c r="AE8" i="13"/>
  <c r="M19" i="13" s="1"/>
  <c r="AW11" i="12"/>
  <c r="AX11" i="12" s="1"/>
  <c r="AJ8" i="5"/>
  <c r="AJ9" i="5" s="1"/>
  <c r="AJ10" i="5" s="1"/>
  <c r="AJ11" i="5" s="1"/>
  <c r="AJ12" i="5" s="1"/>
  <c r="J72" i="1"/>
  <c r="F20" i="1"/>
  <c r="F19" i="1"/>
  <c r="Q25" i="5"/>
  <c r="B8" i="1"/>
  <c r="BN4" i="12"/>
  <c r="Y2" i="1"/>
  <c r="AA62" i="1" s="1"/>
  <c r="J35" i="12"/>
  <c r="P20" i="1"/>
  <c r="P19" i="1"/>
  <c r="P18" i="1"/>
  <c r="Q13" i="5"/>
  <c r="W56" i="1"/>
  <c r="AA49" i="7"/>
  <c r="AA49" i="6"/>
  <c r="U20" i="1"/>
  <c r="AA157" i="6"/>
  <c r="AA49" i="8"/>
  <c r="G74" i="1"/>
  <c r="F159" i="5"/>
  <c r="AA157" i="7"/>
  <c r="AA133" i="8"/>
  <c r="AA73" i="7"/>
  <c r="AA85" i="5"/>
  <c r="G20" i="1"/>
  <c r="Y74" i="1"/>
  <c r="V85" i="5"/>
  <c r="M74" i="1"/>
  <c r="V121" i="7"/>
  <c r="AA73" i="5"/>
  <c r="AA145" i="5"/>
  <c r="AA97" i="7"/>
  <c r="V73" i="5"/>
  <c r="V145" i="5"/>
  <c r="Q56" i="1"/>
  <c r="AA133" i="5"/>
  <c r="AA25" i="6"/>
  <c r="A21" i="13"/>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B21" i="13"/>
  <c r="B22" i="13" s="1"/>
  <c r="B23" i="13" s="1"/>
  <c r="B24" i="13" s="1"/>
  <c r="B25" i="13" s="1"/>
  <c r="B26" i="13" s="1"/>
  <c r="B27" i="13" s="1"/>
  <c r="B28" i="13" s="1"/>
  <c r="B29" i="13" s="1"/>
  <c r="B30" i="13" s="1"/>
  <c r="B31" i="13" s="1"/>
  <c r="B32" i="13" s="1"/>
  <c r="B33" i="13" s="1"/>
  <c r="B34" i="13" s="1"/>
  <c r="B35" i="13" s="1"/>
  <c r="B36" i="13" s="1"/>
  <c r="B37" i="13" s="1"/>
  <c r="B38" i="13" s="1"/>
  <c r="B39" i="13" s="1"/>
  <c r="B40" i="13" s="1"/>
  <c r="B41" i="13" s="1"/>
  <c r="B42" i="13" s="1"/>
  <c r="B43" i="13" s="1"/>
  <c r="B44" i="13" s="1"/>
  <c r="B45" i="13" s="1"/>
  <c r="B46" i="13" s="1"/>
  <c r="B47" i="13" s="1"/>
  <c r="B48" i="13" s="1"/>
  <c r="B49" i="13" s="1"/>
  <c r="B50" i="13" s="1"/>
  <c r="E21" i="13" s="1"/>
  <c r="E22" i="13" s="1"/>
  <c r="E23" i="13" s="1"/>
  <c r="E24" i="13" s="1"/>
  <c r="E25" i="13" s="1"/>
  <c r="E26" i="13" s="1"/>
  <c r="E27" i="13" s="1"/>
  <c r="E28" i="13" s="1"/>
  <c r="E29" i="13" s="1"/>
  <c r="E30" i="13" s="1"/>
  <c r="E31" i="13" s="1"/>
  <c r="E32" i="13" s="1"/>
  <c r="E33" i="13" s="1"/>
  <c r="E34" i="13" s="1"/>
  <c r="E35" i="13" s="1"/>
  <c r="E36" i="13" s="1"/>
  <c r="E37" i="13" s="1"/>
  <c r="E38" i="13" s="1"/>
  <c r="E39" i="13" s="1"/>
  <c r="E40" i="13" s="1"/>
  <c r="E41" i="13" s="1"/>
  <c r="E42" i="13" s="1"/>
  <c r="E43" i="13" s="1"/>
  <c r="E44" i="13" s="1"/>
  <c r="E45" i="13" s="1"/>
  <c r="E46" i="13" s="1"/>
  <c r="E47" i="13" s="1"/>
  <c r="E48" i="13" s="1"/>
  <c r="E49" i="13" s="1"/>
  <c r="E50" i="13" s="1"/>
  <c r="E51" i="13" s="1"/>
  <c r="H21" i="13" s="1"/>
  <c r="H22" i="13" s="1"/>
  <c r="H23" i="13" s="1"/>
  <c r="H24" i="13" s="1"/>
  <c r="H25" i="13" s="1"/>
  <c r="H26" i="13" s="1"/>
  <c r="H27" i="13" s="1"/>
  <c r="H28" i="13" s="1"/>
  <c r="H29" i="13" s="1"/>
  <c r="H30" i="13" s="1"/>
  <c r="H31" i="13" s="1"/>
  <c r="H32" i="13" s="1"/>
  <c r="H33" i="13" s="1"/>
  <c r="H34" i="13" s="1"/>
  <c r="H35" i="13" s="1"/>
  <c r="H36" i="13" s="1"/>
  <c r="H37" i="13" s="1"/>
  <c r="H38" i="13" s="1"/>
  <c r="H39" i="13" s="1"/>
  <c r="H40" i="13" s="1"/>
  <c r="H41" i="13" s="1"/>
  <c r="H42" i="13" s="1"/>
  <c r="H43" i="13" s="1"/>
  <c r="H44" i="13" s="1"/>
  <c r="H45" i="13" s="1"/>
  <c r="H46" i="13" s="1"/>
  <c r="H47" i="13" s="1"/>
  <c r="H48" i="13" s="1"/>
  <c r="H49" i="13" s="1"/>
  <c r="H50" i="13" s="1"/>
  <c r="K21" i="13" s="1"/>
  <c r="K22" i="13" s="1"/>
  <c r="K23" i="13" s="1"/>
  <c r="K24" i="13" s="1"/>
  <c r="K25" i="13" s="1"/>
  <c r="K26" i="13" s="1"/>
  <c r="K27" i="13" s="1"/>
  <c r="K28" i="13" s="1"/>
  <c r="K29" i="13" s="1"/>
  <c r="K30" i="13" s="1"/>
  <c r="K31" i="13" s="1"/>
  <c r="K32" i="13" s="1"/>
  <c r="K33" i="13" s="1"/>
  <c r="K34" i="13" s="1"/>
  <c r="K35" i="13" s="1"/>
  <c r="K36" i="13" s="1"/>
  <c r="K37" i="13" s="1"/>
  <c r="K38" i="13" s="1"/>
  <c r="K39" i="13" s="1"/>
  <c r="K40" i="13" s="1"/>
  <c r="K41" i="13" s="1"/>
  <c r="K42" i="13" s="1"/>
  <c r="K43" i="13" s="1"/>
  <c r="K44" i="13" s="1"/>
  <c r="K45" i="13" s="1"/>
  <c r="K46" i="13" s="1"/>
  <c r="K47" i="13" s="1"/>
  <c r="K48" i="13" s="1"/>
  <c r="K49" i="13" s="1"/>
  <c r="K50" i="13" s="1"/>
  <c r="K51" i="13" s="1"/>
  <c r="N21" i="13" s="1"/>
  <c r="N22" i="13" s="1"/>
  <c r="N23" i="13" s="1"/>
  <c r="N24" i="13" s="1"/>
  <c r="N25" i="13" s="1"/>
  <c r="N26" i="13" s="1"/>
  <c r="N27" i="13" s="1"/>
  <c r="N28" i="13" s="1"/>
  <c r="N29" i="13" s="1"/>
  <c r="N30" i="13" s="1"/>
  <c r="N31" i="13" s="1"/>
  <c r="N32" i="13" s="1"/>
  <c r="N33" i="13" s="1"/>
  <c r="N34" i="13" s="1"/>
  <c r="N35" i="13" s="1"/>
  <c r="N36" i="13" s="1"/>
  <c r="N37" i="13" s="1"/>
  <c r="N38" i="13" s="1"/>
  <c r="N39" i="13" s="1"/>
  <c r="N40" i="13" s="1"/>
  <c r="N41" i="13" s="1"/>
  <c r="N42" i="13" s="1"/>
  <c r="N43" i="13" s="1"/>
  <c r="N44" i="13" s="1"/>
  <c r="N45" i="13" s="1"/>
  <c r="N46" i="13" s="1"/>
  <c r="N47" i="13" s="1"/>
  <c r="N48" i="13" s="1"/>
  <c r="N49" i="13" s="1"/>
  <c r="N50" i="13" s="1"/>
  <c r="N51" i="13" s="1"/>
  <c r="Q21" i="13" s="1"/>
  <c r="Q22" i="13" s="1"/>
  <c r="Q23" i="13" s="1"/>
  <c r="Q24" i="13" s="1"/>
  <c r="Q25" i="13" s="1"/>
  <c r="Q26" i="13" s="1"/>
  <c r="Q27" i="13" s="1"/>
  <c r="Q28" i="13" s="1"/>
  <c r="Q29" i="13" s="1"/>
  <c r="Q30" i="13" s="1"/>
  <c r="Q31" i="13" s="1"/>
  <c r="Q32" i="13" s="1"/>
  <c r="Q33" i="13" s="1"/>
  <c r="Q34" i="13" s="1"/>
  <c r="Q35" i="13" s="1"/>
  <c r="Q36" i="13" s="1"/>
  <c r="Q37" i="13" s="1"/>
  <c r="Q38" i="13" s="1"/>
  <c r="Q39" i="13" s="1"/>
  <c r="Q40" i="13" s="1"/>
  <c r="Q41" i="13" s="1"/>
  <c r="Q42" i="13" s="1"/>
  <c r="Q43" i="13" s="1"/>
  <c r="Q44" i="13" s="1"/>
  <c r="Q45" i="13" s="1"/>
  <c r="Q46" i="13" s="1"/>
  <c r="Q47" i="13" s="1"/>
  <c r="Q48" i="13" s="1"/>
  <c r="AA121" i="5"/>
  <c r="AA37" i="8"/>
  <c r="V49" i="6"/>
  <c r="V73" i="7"/>
  <c r="AA85" i="6"/>
  <c r="AA145" i="8"/>
  <c r="V49" i="8"/>
  <c r="V61" i="7"/>
  <c r="V13" i="5"/>
  <c r="AA97" i="5"/>
  <c r="AA49" i="5"/>
  <c r="V157" i="7"/>
  <c r="V49" i="5"/>
  <c r="V97" i="5"/>
  <c r="C56" i="1"/>
  <c r="AA73" i="8"/>
  <c r="V85" i="6"/>
  <c r="AA109" i="8"/>
  <c r="AA121" i="7"/>
  <c r="W74" i="1"/>
  <c r="AA169" i="7"/>
  <c r="V133" i="8"/>
  <c r="V109" i="8"/>
  <c r="AA37" i="5"/>
  <c r="W20" i="1"/>
  <c r="V25" i="6"/>
  <c r="I74" i="1"/>
  <c r="V121" i="6"/>
  <c r="AA61" i="7"/>
  <c r="AA121" i="6"/>
  <c r="A19" i="12"/>
  <c r="A14" i="13" s="1"/>
  <c r="AA13" i="5"/>
  <c r="C20" i="1"/>
  <c r="AC56" i="1"/>
  <c r="V157" i="6"/>
  <c r="AA121" i="8"/>
  <c r="AA97" i="6"/>
  <c r="AA133" i="7"/>
  <c r="F172" i="7"/>
  <c r="V25" i="7"/>
  <c r="I56" i="1"/>
  <c r="AA25" i="7"/>
  <c r="E56" i="1"/>
  <c r="AA37" i="6"/>
  <c r="F171" i="7"/>
  <c r="Q37" i="5"/>
  <c r="R19" i="1"/>
  <c r="AU11" i="12"/>
  <c r="AU10" i="12"/>
  <c r="R18" i="1"/>
  <c r="F159" i="8"/>
  <c r="X74" i="1"/>
  <c r="U74" i="1"/>
  <c r="AA13" i="7"/>
  <c r="AB54" i="1"/>
  <c r="AB55" i="1"/>
  <c r="AB56" i="1"/>
  <c r="Z54" i="1"/>
  <c r="Z55" i="1"/>
  <c r="Z56" i="1"/>
  <c r="X55" i="1"/>
  <c r="X54" i="1"/>
  <c r="X56" i="1"/>
  <c r="X72" i="1"/>
  <c r="V145" i="6"/>
  <c r="AA145" i="6"/>
  <c r="AA145" i="7"/>
  <c r="Y56" i="1"/>
  <c r="V145" i="7"/>
  <c r="X73" i="1"/>
  <c r="V55" i="1"/>
  <c r="V54" i="1"/>
  <c r="V56" i="1"/>
  <c r="V73" i="1"/>
  <c r="AA133" i="6"/>
  <c r="V133" i="6"/>
  <c r="V74" i="1"/>
  <c r="S56" i="1"/>
  <c r="AA109" i="7"/>
  <c r="V109" i="7"/>
  <c r="R73" i="1"/>
  <c r="R74" i="1"/>
  <c r="R72" i="1"/>
  <c r="V109" i="6"/>
  <c r="AA109" i="6"/>
  <c r="P73" i="1"/>
  <c r="P72" i="1"/>
  <c r="P74" i="1"/>
  <c r="V97" i="8"/>
  <c r="Q74" i="1"/>
  <c r="AA97" i="8"/>
  <c r="P56" i="1"/>
  <c r="P55" i="1"/>
  <c r="P54" i="1"/>
  <c r="N73" i="1"/>
  <c r="N72" i="1"/>
  <c r="N74" i="1"/>
  <c r="AA85" i="8"/>
  <c r="V85" i="8"/>
  <c r="O74" i="1"/>
  <c r="O56" i="1"/>
  <c r="AA85" i="7"/>
  <c r="V85" i="7"/>
  <c r="N54" i="1"/>
  <c r="N55" i="1"/>
  <c r="N56" i="1"/>
  <c r="L56" i="1"/>
  <c r="L55" i="1"/>
  <c r="L54" i="1"/>
  <c r="AA73" i="6"/>
  <c r="V73" i="6"/>
  <c r="L72" i="1"/>
  <c r="L74" i="1"/>
  <c r="L73" i="1"/>
  <c r="J54" i="1"/>
  <c r="J56" i="1"/>
  <c r="J55" i="1"/>
  <c r="AA61" i="8"/>
  <c r="V61" i="8"/>
  <c r="K74" i="1"/>
  <c r="AA61" i="6"/>
  <c r="V61" i="6"/>
  <c r="J74" i="1"/>
  <c r="H74" i="1"/>
  <c r="H73" i="1"/>
  <c r="H72" i="1"/>
  <c r="H55" i="1"/>
  <c r="H56" i="1"/>
  <c r="H54" i="1"/>
  <c r="F73" i="1"/>
  <c r="V37" i="7"/>
  <c r="G56" i="1"/>
  <c r="AA37" i="7"/>
  <c r="F74" i="1"/>
  <c r="F55" i="1"/>
  <c r="F54" i="1"/>
  <c r="F56" i="1"/>
  <c r="D55" i="1"/>
  <c r="D54" i="1"/>
  <c r="D56" i="1"/>
  <c r="D72" i="1"/>
  <c r="D74" i="1"/>
  <c r="D73" i="1"/>
  <c r="V25" i="8"/>
  <c r="AA25" i="8"/>
  <c r="E74" i="1"/>
  <c r="B72" i="1"/>
  <c r="B74" i="1"/>
  <c r="B73" i="1"/>
  <c r="B55" i="1"/>
  <c r="B56" i="1"/>
  <c r="B54" i="1"/>
  <c r="C74" i="1"/>
  <c r="AA13" i="8"/>
  <c r="V13" i="8"/>
  <c r="F159" i="6"/>
  <c r="Z18" i="1"/>
  <c r="Z20" i="1"/>
  <c r="Z19" i="1"/>
  <c r="V157" i="5"/>
  <c r="AA20" i="1"/>
  <c r="AA157" i="5"/>
  <c r="X18" i="1"/>
  <c r="X19" i="1"/>
  <c r="X20" i="1"/>
  <c r="V19" i="1"/>
  <c r="V18" i="1"/>
  <c r="V20" i="1"/>
  <c r="T20" i="1"/>
  <c r="T19" i="1"/>
  <c r="T18" i="1"/>
  <c r="AA109" i="5"/>
  <c r="S20" i="1"/>
  <c r="V109" i="5"/>
  <c r="N20" i="1"/>
  <c r="N18" i="1"/>
  <c r="N19" i="1"/>
  <c r="L19" i="1"/>
  <c r="L20" i="1"/>
  <c r="L18" i="1"/>
  <c r="J20" i="1"/>
  <c r="J18" i="1"/>
  <c r="J19" i="1"/>
  <c r="K20" i="1"/>
  <c r="V61" i="5"/>
  <c r="AA61" i="5"/>
  <c r="D20" i="1"/>
  <c r="D18" i="1"/>
  <c r="D19" i="1"/>
  <c r="F3" i="5" l="1"/>
  <c r="B28" i="18"/>
  <c r="B30" i="18"/>
  <c r="B33" i="18"/>
  <c r="B27" i="18"/>
  <c r="B31" i="18"/>
  <c r="B32" i="18"/>
  <c r="B35" i="18"/>
  <c r="B36" i="18"/>
  <c r="B29" i="18"/>
  <c r="B34" i="18"/>
  <c r="B37" i="18"/>
  <c r="B38" i="18"/>
  <c r="AD12" i="18"/>
  <c r="I11" i="18" s="1"/>
  <c r="BN5" i="18"/>
  <c r="BU4" i="18"/>
  <c r="BV4" i="18" s="1"/>
  <c r="BW4" i="18" s="1"/>
  <c r="BS4" i="18"/>
  <c r="BT4" i="18" s="1"/>
  <c r="BO4" i="18"/>
  <c r="BP4" i="18" s="1"/>
  <c r="BR4" i="18" s="1"/>
  <c r="BU4" i="19"/>
  <c r="BV4" i="19" s="1"/>
  <c r="BW4" i="19" s="1"/>
  <c r="BN5" i="19"/>
  <c r="BO4" i="19"/>
  <c r="BP4" i="19" s="1"/>
  <c r="BR4" i="19" s="1"/>
  <c r="BS4" i="19"/>
  <c r="BT4" i="19" s="1"/>
  <c r="BB9" i="5"/>
  <c r="BB11" i="5" s="1"/>
  <c r="BB13" i="5" s="1"/>
  <c r="BB15" i="5" s="1"/>
  <c r="BB17" i="5" s="1"/>
  <c r="BB19" i="5" s="1"/>
  <c r="BB21" i="5" s="1"/>
  <c r="BB23" i="5" s="1"/>
  <c r="BB25" i="5" s="1"/>
  <c r="BB27" i="5" s="1"/>
  <c r="BB29" i="5" s="1"/>
  <c r="BB31" i="5" s="1"/>
  <c r="BB33" i="5" s="1"/>
  <c r="BB35" i="5" s="1"/>
  <c r="BB37" i="5" s="1"/>
  <c r="BB39" i="5" s="1"/>
  <c r="BB41" i="5" s="1"/>
  <c r="BB43" i="5" s="1"/>
  <c r="BB45" i="5" s="1"/>
  <c r="BB47" i="5" s="1"/>
  <c r="BB49" i="5" s="1"/>
  <c r="BB51" i="5" s="1"/>
  <c r="BB53" i="5" s="1"/>
  <c r="BB55" i="5" s="1"/>
  <c r="BB57" i="5" s="1"/>
  <c r="BB59" i="5" s="1"/>
  <c r="BB61" i="5" s="1"/>
  <c r="BB63" i="5" s="1"/>
  <c r="BB65" i="5" s="1"/>
  <c r="BB67" i="5" s="1"/>
  <c r="BB69" i="5" s="1"/>
  <c r="BB71" i="5" s="1"/>
  <c r="BB73" i="5" s="1"/>
  <c r="BB75" i="5" s="1"/>
  <c r="BB77" i="5" s="1"/>
  <c r="BB79" i="5" s="1"/>
  <c r="BB81" i="5" s="1"/>
  <c r="BB83" i="5" s="1"/>
  <c r="BB85" i="5" s="1"/>
  <c r="BB87" i="5" s="1"/>
  <c r="BB89" i="5" s="1"/>
  <c r="BB91" i="5" s="1"/>
  <c r="BB93" i="5" s="1"/>
  <c r="BB95" i="5" s="1"/>
  <c r="BB97" i="5" s="1"/>
  <c r="BB99" i="5" s="1"/>
  <c r="BB101" i="5" s="1"/>
  <c r="BB103" i="5" s="1"/>
  <c r="BB105" i="5" s="1"/>
  <c r="BB107" i="5" s="1"/>
  <c r="BB109" i="5" s="1"/>
  <c r="BB111" i="5" s="1"/>
  <c r="BB113" i="5" s="1"/>
  <c r="BB8" i="5"/>
  <c r="BB10" i="5" s="1"/>
  <c r="BB12" i="5" s="1"/>
  <c r="BB14" i="5" s="1"/>
  <c r="BB16" i="5" s="1"/>
  <c r="BB18" i="5" s="1"/>
  <c r="BB20" i="5" s="1"/>
  <c r="BB22" i="5" s="1"/>
  <c r="BB24" i="5" s="1"/>
  <c r="BB26" i="5" s="1"/>
  <c r="BB28" i="5" s="1"/>
  <c r="BB30" i="5" s="1"/>
  <c r="BB32" i="5" s="1"/>
  <c r="BB34" i="5" s="1"/>
  <c r="BB36" i="5" s="1"/>
  <c r="BB38" i="5" s="1"/>
  <c r="BB40" i="5" s="1"/>
  <c r="BB42" i="5" s="1"/>
  <c r="BB44" i="5" s="1"/>
  <c r="BB46" i="5" s="1"/>
  <c r="BB48" i="5" s="1"/>
  <c r="BB50" i="5" s="1"/>
  <c r="BB52" i="5" s="1"/>
  <c r="BB54" i="5" s="1"/>
  <c r="BB56" i="5" s="1"/>
  <c r="BB58" i="5" s="1"/>
  <c r="BB60" i="5" s="1"/>
  <c r="BB62" i="5" s="1"/>
  <c r="BB64" i="5" s="1"/>
  <c r="BB66" i="5" s="1"/>
  <c r="BB68" i="5" s="1"/>
  <c r="BB70" i="5" s="1"/>
  <c r="BB72" i="5" s="1"/>
  <c r="BB74" i="5" s="1"/>
  <c r="BB76" i="5" s="1"/>
  <c r="BB78" i="5" s="1"/>
  <c r="BB80" i="5" s="1"/>
  <c r="BB82" i="5" s="1"/>
  <c r="BB84" i="5" s="1"/>
  <c r="BB86" i="5" s="1"/>
  <c r="BB88" i="5" s="1"/>
  <c r="BB90" i="5" s="1"/>
  <c r="BB92" i="5" s="1"/>
  <c r="BB94" i="5" s="1"/>
  <c r="BB96" i="5" s="1"/>
  <c r="BB98" i="5" s="1"/>
  <c r="BB100" i="5" s="1"/>
  <c r="BB102" i="5" s="1"/>
  <c r="BB104" i="5" s="1"/>
  <c r="BB106" i="5" s="1"/>
  <c r="BB108" i="5" s="1"/>
  <c r="BB110" i="5" s="1"/>
  <c r="BB112" i="5" s="1"/>
  <c r="AC2" i="5"/>
  <c r="AE2" i="5"/>
  <c r="BC9" i="5"/>
  <c r="BC11" i="5" s="1"/>
  <c r="BC13" i="5" s="1"/>
  <c r="BC15" i="5" s="1"/>
  <c r="BC17" i="5" s="1"/>
  <c r="BC8" i="5"/>
  <c r="BC10" i="5" s="1"/>
  <c r="BC12" i="5" s="1"/>
  <c r="BC14" i="5" s="1"/>
  <c r="BC16" i="5" s="1"/>
  <c r="AM77" i="12"/>
  <c r="AM78" i="12" s="1"/>
  <c r="AI76" i="12"/>
  <c r="A6" i="5"/>
  <c r="B36" i="19"/>
  <c r="B32" i="19"/>
  <c r="B37" i="19"/>
  <c r="B33" i="19"/>
  <c r="B29" i="19"/>
  <c r="B38" i="19"/>
  <c r="B35" i="19"/>
  <c r="B27" i="19"/>
  <c r="AD12" i="19"/>
  <c r="B34" i="19"/>
  <c r="B31" i="19"/>
  <c r="B28" i="19"/>
  <c r="B30" i="19"/>
  <c r="P19" i="13"/>
  <c r="S19" i="13" s="1"/>
  <c r="V19" i="13" s="1"/>
  <c r="Y19" i="13" s="1"/>
  <c r="AB19" i="13" s="1"/>
  <c r="AE19" i="13" s="1"/>
  <c r="AH19" i="13" s="1"/>
  <c r="A19" i="13"/>
  <c r="D19" i="13" s="1"/>
  <c r="G19" i="13" s="1"/>
  <c r="J19" i="13" s="1"/>
  <c r="AX10" i="12"/>
  <c r="B9" i="1"/>
  <c r="C8" i="1"/>
  <c r="I3" i="5" s="1"/>
  <c r="BO4" i="12"/>
  <c r="BP4" i="12" s="1"/>
  <c r="BR4" i="12" s="1"/>
  <c r="BS4" i="12"/>
  <c r="BT4" i="12" s="1"/>
  <c r="BN5" i="12"/>
  <c r="BS5" i="12" s="1"/>
  <c r="BT5" i="12" s="1"/>
  <c r="BU4" i="12"/>
  <c r="BV4" i="12" s="1"/>
  <c r="BW4" i="12" s="1"/>
  <c r="AC6" i="5"/>
  <c r="AV6" i="5" s="1"/>
  <c r="Q49" i="13"/>
  <c r="T21" i="13" s="1"/>
  <c r="T22" i="13" s="1"/>
  <c r="T23" i="13" s="1"/>
  <c r="T24" i="13" s="1"/>
  <c r="T25" i="13" s="1"/>
  <c r="T26" i="13" s="1"/>
  <c r="T27" i="13" s="1"/>
  <c r="T28" i="13" s="1"/>
  <c r="T29" i="13" s="1"/>
  <c r="T30" i="13" s="1"/>
  <c r="T31" i="13" s="1"/>
  <c r="T32" i="13" s="1"/>
  <c r="T33" i="13" s="1"/>
  <c r="T34" i="13" s="1"/>
  <c r="T35" i="13" s="1"/>
  <c r="T36" i="13" s="1"/>
  <c r="T37" i="13" s="1"/>
  <c r="T38" i="13" s="1"/>
  <c r="T39" i="13" s="1"/>
  <c r="T40" i="13" s="1"/>
  <c r="T41" i="13" s="1"/>
  <c r="T42" i="13" s="1"/>
  <c r="T43" i="13" s="1"/>
  <c r="T44" i="13" s="1"/>
  <c r="T45" i="13" s="1"/>
  <c r="T46" i="13" s="1"/>
  <c r="T47" i="13" s="1"/>
  <c r="T48" i="13" s="1"/>
  <c r="T49" i="13" s="1"/>
  <c r="T50" i="13" s="1"/>
  <c r="T51" i="13" s="1"/>
  <c r="W21" i="13" s="1"/>
  <c r="W22" i="13" s="1"/>
  <c r="W23" i="13" s="1"/>
  <c r="W24" i="13" s="1"/>
  <c r="W25" i="13" s="1"/>
  <c r="W26" i="13" s="1"/>
  <c r="W27" i="13" s="1"/>
  <c r="W28" i="13" s="1"/>
  <c r="W29" i="13" s="1"/>
  <c r="W30" i="13" s="1"/>
  <c r="W31" i="13" s="1"/>
  <c r="W32" i="13" s="1"/>
  <c r="W33" i="13" s="1"/>
  <c r="W34" i="13" s="1"/>
  <c r="W35" i="13" s="1"/>
  <c r="W36" i="13" s="1"/>
  <c r="W37" i="13" s="1"/>
  <c r="W38" i="13" s="1"/>
  <c r="W39" i="13" s="1"/>
  <c r="W40" i="13" s="1"/>
  <c r="W41" i="13" s="1"/>
  <c r="W42" i="13" s="1"/>
  <c r="W43" i="13" s="1"/>
  <c r="W44" i="13" s="1"/>
  <c r="W45" i="13" s="1"/>
  <c r="W46" i="13" s="1"/>
  <c r="W47" i="13" s="1"/>
  <c r="W48" i="13" s="1"/>
  <c r="W49" i="13" s="1"/>
  <c r="W50" i="13" s="1"/>
  <c r="Z21" i="13" s="1"/>
  <c r="Z22" i="13" s="1"/>
  <c r="Z23" i="13" s="1"/>
  <c r="Z24" i="13" s="1"/>
  <c r="Z25" i="13" s="1"/>
  <c r="Z26" i="13" s="1"/>
  <c r="Z27" i="13" s="1"/>
  <c r="Z28" i="13" s="1"/>
  <c r="Z29" i="13" s="1"/>
  <c r="Z30" i="13" s="1"/>
  <c r="Z31" i="13" s="1"/>
  <c r="Z32" i="13" s="1"/>
  <c r="Z33" i="13" s="1"/>
  <c r="Z34" i="13" s="1"/>
  <c r="Z35" i="13" s="1"/>
  <c r="Z36" i="13" s="1"/>
  <c r="Z37" i="13" s="1"/>
  <c r="Z38" i="13" s="1"/>
  <c r="Z39" i="13" s="1"/>
  <c r="Z40" i="13" s="1"/>
  <c r="Z41" i="13" s="1"/>
  <c r="Z42" i="13" s="1"/>
  <c r="Z43" i="13" s="1"/>
  <c r="Z44" i="13" s="1"/>
  <c r="Z45" i="13" s="1"/>
  <c r="Z46" i="13" s="1"/>
  <c r="Z47" i="13" s="1"/>
  <c r="Z48" i="13" s="1"/>
  <c r="Z49" i="13" s="1"/>
  <c r="Z50" i="13" s="1"/>
  <c r="Z51" i="13" s="1"/>
  <c r="AC21" i="13" s="1"/>
  <c r="AC22" i="13" s="1"/>
  <c r="AC23" i="13" s="1"/>
  <c r="AC24" i="13" s="1"/>
  <c r="AC25" i="13" s="1"/>
  <c r="AC26" i="13" s="1"/>
  <c r="AC27" i="13" s="1"/>
  <c r="AC28" i="13" s="1"/>
  <c r="AC29" i="13" s="1"/>
  <c r="AC30" i="13" s="1"/>
  <c r="AC31" i="13" s="1"/>
  <c r="AC32" i="13" s="1"/>
  <c r="AC33" i="13" s="1"/>
  <c r="AC34" i="13" s="1"/>
  <c r="AC35" i="13" s="1"/>
  <c r="AC36" i="13" s="1"/>
  <c r="AC37" i="13" s="1"/>
  <c r="AC38" i="13" s="1"/>
  <c r="AC39" i="13" s="1"/>
  <c r="AC40" i="13" s="1"/>
  <c r="AC41" i="13" s="1"/>
  <c r="AC42" i="13" s="1"/>
  <c r="AC43" i="13" s="1"/>
  <c r="AC44" i="13" s="1"/>
  <c r="AC45" i="13" s="1"/>
  <c r="AC46" i="13" s="1"/>
  <c r="AC47" i="13" s="1"/>
  <c r="AC48" i="13" s="1"/>
  <c r="AC49" i="13" s="1"/>
  <c r="AC50" i="13" s="1"/>
  <c r="AF21" i="13" s="1"/>
  <c r="AF22" i="13" s="1"/>
  <c r="AF23" i="13" s="1"/>
  <c r="AF24" i="13" s="1"/>
  <c r="AF25" i="13" s="1"/>
  <c r="AF26" i="13" s="1"/>
  <c r="AF27" i="13" s="1"/>
  <c r="AF28" i="13" s="1"/>
  <c r="AF29" i="13" s="1"/>
  <c r="AF30" i="13" s="1"/>
  <c r="AF31" i="13" s="1"/>
  <c r="AF32" i="13" s="1"/>
  <c r="AF33" i="13" s="1"/>
  <c r="AF34" i="13" s="1"/>
  <c r="AF35" i="13" s="1"/>
  <c r="AF36" i="13" s="1"/>
  <c r="AF37" i="13" s="1"/>
  <c r="AF38" i="13" s="1"/>
  <c r="AF39" i="13" s="1"/>
  <c r="AF40" i="13" s="1"/>
  <c r="AF41" i="13" s="1"/>
  <c r="AF42" i="13" s="1"/>
  <c r="AF43" i="13" s="1"/>
  <c r="AF44" i="13" s="1"/>
  <c r="AF45" i="13" s="1"/>
  <c r="AF46" i="13" s="1"/>
  <c r="AF47" i="13" s="1"/>
  <c r="AF48" i="13" s="1"/>
  <c r="AF49" i="13" s="1"/>
  <c r="AF50" i="13" s="1"/>
  <c r="AF51" i="13" s="1"/>
  <c r="AI21" i="13" s="1"/>
  <c r="AI22" i="13" s="1"/>
  <c r="AI23" i="13" s="1"/>
  <c r="AI24" i="13" s="1"/>
  <c r="AI25" i="13" s="1"/>
  <c r="AI26" i="13" s="1"/>
  <c r="AI27" i="13" s="1"/>
  <c r="AI28" i="13" s="1"/>
  <c r="AI29" i="13" s="1"/>
  <c r="AI30" i="13" s="1"/>
  <c r="AI31" i="13" s="1"/>
  <c r="AI32" i="13" s="1"/>
  <c r="AI33" i="13" s="1"/>
  <c r="AI34" i="13" s="1"/>
  <c r="AI35" i="13" s="1"/>
  <c r="AI36" i="13" s="1"/>
  <c r="AI37" i="13" s="1"/>
  <c r="AI38" i="13" s="1"/>
  <c r="AI39" i="13" s="1"/>
  <c r="AI40" i="13" s="1"/>
  <c r="AI41" i="13" s="1"/>
  <c r="AI42" i="13" s="1"/>
  <c r="AI43" i="13" s="1"/>
  <c r="AI44" i="13" s="1"/>
  <c r="AI45" i="13" s="1"/>
  <c r="AI46" i="13" s="1"/>
  <c r="AI47" i="13" s="1"/>
  <c r="AI48" i="13" s="1"/>
  <c r="AI49" i="13" s="1"/>
  <c r="AI50" i="13" s="1"/>
  <c r="AI51" i="13" s="1"/>
  <c r="AI114" i="5"/>
  <c r="AI115" i="5" s="1"/>
  <c r="AI116" i="5" s="1"/>
  <c r="AI117" i="5" s="1"/>
  <c r="AI118" i="5" s="1"/>
  <c r="AI119" i="5" s="1"/>
  <c r="AI120" i="5" s="1"/>
  <c r="AI126" i="5" s="1"/>
  <c r="AI127" i="5" s="1"/>
  <c r="AI128" i="5" s="1"/>
  <c r="AI129" i="5" s="1"/>
  <c r="AI130" i="5" s="1"/>
  <c r="AI131" i="5" s="1"/>
  <c r="AI132" i="5" s="1"/>
  <c r="AI138" i="5" s="1"/>
  <c r="AI139" i="5" s="1"/>
  <c r="AI140" i="5" s="1"/>
  <c r="AI141" i="5" s="1"/>
  <c r="AI142" i="5" s="1"/>
  <c r="AI143" i="5" s="1"/>
  <c r="AI144" i="5" s="1"/>
  <c r="AI150" i="5" s="1"/>
  <c r="AI151" i="5" s="1"/>
  <c r="AI152" i="5" s="1"/>
  <c r="AI153" i="5" s="1"/>
  <c r="AI154" i="5" s="1"/>
  <c r="AI155" i="5" s="1"/>
  <c r="AI156" i="5" s="1"/>
  <c r="AI162" i="5" s="1"/>
  <c r="AI163" i="5" s="1"/>
  <c r="AI164" i="5" s="1"/>
  <c r="AI165" i="5" s="1"/>
  <c r="AI166" i="5" s="1"/>
  <c r="AI167" i="5" s="1"/>
  <c r="AI168" i="5" s="1"/>
  <c r="AI174" i="5" s="1"/>
  <c r="AI175" i="5" s="1"/>
  <c r="AI176" i="5" s="1"/>
  <c r="AI177" i="5" s="1"/>
  <c r="AI178" i="5" s="1"/>
  <c r="AI179" i="5" s="1"/>
  <c r="AI180" i="5" s="1"/>
  <c r="AI186" i="5" s="1"/>
  <c r="AI187" i="5" s="1"/>
  <c r="AI188" i="5" s="1"/>
  <c r="AI189" i="5" s="1"/>
  <c r="AI190" i="5" s="1"/>
  <c r="AI191" i="5" s="1"/>
  <c r="AI192" i="5" s="1"/>
  <c r="AI198" i="5" s="1"/>
  <c r="AI199" i="5" s="1"/>
  <c r="AI200" i="5" s="1"/>
  <c r="AI201" i="5" s="1"/>
  <c r="AI202" i="5" s="1"/>
  <c r="W21" i="1"/>
  <c r="AC57" i="1"/>
  <c r="D80" i="1"/>
  <c r="D11" i="15" s="1"/>
  <c r="A45" i="13"/>
  <c r="Y57" i="1"/>
  <c r="BQ4" i="19" l="1"/>
  <c r="BS5" i="18"/>
  <c r="BT5" i="18" s="1"/>
  <c r="BU5" i="18"/>
  <c r="BV5" i="18" s="1"/>
  <c r="BW5" i="18" s="1"/>
  <c r="BN6" i="18"/>
  <c r="BO5" i="18"/>
  <c r="BP5" i="18" s="1"/>
  <c r="BR5" i="18" s="1"/>
  <c r="BS5" i="19"/>
  <c r="BN6" i="19"/>
  <c r="BO5" i="19"/>
  <c r="BP5" i="19" s="1"/>
  <c r="BR5" i="19" s="1"/>
  <c r="BU5" i="19"/>
  <c r="BV5" i="19" s="1"/>
  <c r="BW5" i="19" s="1"/>
  <c r="BT5" i="19"/>
  <c r="BQ4" i="18"/>
  <c r="F15" i="5"/>
  <c r="A18" i="5" s="1"/>
  <c r="A19" i="5" s="1"/>
  <c r="A20" i="5" s="1"/>
  <c r="A21" i="5" s="1"/>
  <c r="A22" i="5" s="1"/>
  <c r="A23" i="5" s="1"/>
  <c r="AD2" i="5"/>
  <c r="BB115" i="5"/>
  <c r="BB117" i="5" s="1"/>
  <c r="BB119" i="5" s="1"/>
  <c r="BB121" i="5" s="1"/>
  <c r="BB123" i="5" s="1"/>
  <c r="BB125" i="5" s="1"/>
  <c r="BB127" i="5" s="1"/>
  <c r="BB129" i="5" s="1"/>
  <c r="BB131" i="5" s="1"/>
  <c r="BB133" i="5" s="1"/>
  <c r="BB135" i="5" s="1"/>
  <c r="BB137" i="5" s="1"/>
  <c r="BB139" i="5" s="1"/>
  <c r="BB141" i="5" s="1"/>
  <c r="BB143" i="5" s="1"/>
  <c r="BB145" i="5" s="1"/>
  <c r="BB147" i="5" s="1"/>
  <c r="BB149" i="5" s="1"/>
  <c r="BB151" i="5" s="1"/>
  <c r="BB153" i="5" s="1"/>
  <c r="BB155" i="5" s="1"/>
  <c r="BB157" i="5" s="1"/>
  <c r="BB159" i="5" s="1"/>
  <c r="BB161" i="5" s="1"/>
  <c r="BB163" i="5" s="1"/>
  <c r="BB165" i="5" s="1"/>
  <c r="BB167" i="5" s="1"/>
  <c r="BB169" i="5" s="1"/>
  <c r="BB171" i="5" s="1"/>
  <c r="BB173" i="5" s="1"/>
  <c r="BB175" i="5" s="1"/>
  <c r="BB177" i="5" s="1"/>
  <c r="BB179" i="5" s="1"/>
  <c r="BB181" i="5" s="1"/>
  <c r="BB183" i="5" s="1"/>
  <c r="BB185" i="5" s="1"/>
  <c r="BB187" i="5" s="1"/>
  <c r="BB189" i="5" s="1"/>
  <c r="BB191" i="5" s="1"/>
  <c r="BB193" i="5" s="1"/>
  <c r="BB195" i="5" s="1"/>
  <c r="BB197" i="5" s="1"/>
  <c r="BB199" i="5" s="1"/>
  <c r="BB201" i="5" s="1"/>
  <c r="BB114" i="5"/>
  <c r="BB116" i="5" s="1"/>
  <c r="BB118" i="5" s="1"/>
  <c r="BB120" i="5" s="1"/>
  <c r="BB122" i="5" s="1"/>
  <c r="BB124" i="5" s="1"/>
  <c r="BB126" i="5" s="1"/>
  <c r="BB128" i="5" s="1"/>
  <c r="BB130" i="5" s="1"/>
  <c r="BB132" i="5" s="1"/>
  <c r="BB134" i="5" s="1"/>
  <c r="BB136" i="5" s="1"/>
  <c r="BB138" i="5" s="1"/>
  <c r="BB140" i="5" s="1"/>
  <c r="BB142" i="5" s="1"/>
  <c r="BB144" i="5" s="1"/>
  <c r="BB146" i="5" s="1"/>
  <c r="BB148" i="5" s="1"/>
  <c r="BB150" i="5" s="1"/>
  <c r="BB152" i="5" s="1"/>
  <c r="BB154" i="5" s="1"/>
  <c r="BB156" i="5" s="1"/>
  <c r="BB158" i="5" s="1"/>
  <c r="BB160" i="5" s="1"/>
  <c r="BB162" i="5" s="1"/>
  <c r="BB164" i="5" s="1"/>
  <c r="BB166" i="5" s="1"/>
  <c r="BB168" i="5" s="1"/>
  <c r="BB170" i="5" s="1"/>
  <c r="BB172" i="5" s="1"/>
  <c r="BB174" i="5" s="1"/>
  <c r="BB176" i="5" s="1"/>
  <c r="BB178" i="5" s="1"/>
  <c r="BB180" i="5" s="1"/>
  <c r="BB182" i="5" s="1"/>
  <c r="BB184" i="5" s="1"/>
  <c r="BB186" i="5" s="1"/>
  <c r="BB188" i="5" s="1"/>
  <c r="BB190" i="5" s="1"/>
  <c r="BB192" i="5" s="1"/>
  <c r="BB194" i="5" s="1"/>
  <c r="BB196" i="5" s="1"/>
  <c r="BB198" i="5" s="1"/>
  <c r="BB200" i="5" s="1"/>
  <c r="BB202" i="5" s="1"/>
  <c r="A7" i="5"/>
  <c r="A9" i="5"/>
  <c r="A59" i="6"/>
  <c r="A11" i="5"/>
  <c r="A5" i="5"/>
  <c r="P165" i="5" s="1"/>
  <c r="A8" i="5"/>
  <c r="A10" i="5"/>
  <c r="I11" i="19"/>
  <c r="I101" i="12" s="1"/>
  <c r="U102" i="12"/>
  <c r="U91" i="12"/>
  <c r="AC7" i="5"/>
  <c r="AD7" i="5" s="1"/>
  <c r="AW7" i="5" s="1"/>
  <c r="AS6" i="5"/>
  <c r="AR6" i="5"/>
  <c r="BN6" i="12"/>
  <c r="BN7" i="12" s="1"/>
  <c r="BU5" i="12"/>
  <c r="BV5" i="12" s="1"/>
  <c r="BW5" i="12" s="1"/>
  <c r="D8" i="1"/>
  <c r="D9" i="1" s="1"/>
  <c r="BO5" i="12"/>
  <c r="BP5" i="12" s="1"/>
  <c r="BR5" i="12" s="1"/>
  <c r="AD6" i="5"/>
  <c r="AW6" i="5" s="1"/>
  <c r="AF6" i="5"/>
  <c r="AY6" i="5" s="1"/>
  <c r="AI203" i="5"/>
  <c r="AI204" i="5" s="1"/>
  <c r="AI210" i="5" s="1"/>
  <c r="AI211" i="5" s="1"/>
  <c r="AI212" i="5" s="1"/>
  <c r="AI213" i="5" s="1"/>
  <c r="AI214" i="5" s="1"/>
  <c r="AI215" i="5" s="1"/>
  <c r="AI216" i="5" s="1"/>
  <c r="AI222" i="5" s="1"/>
  <c r="AI223" i="5" s="1"/>
  <c r="AI224" i="5" s="1"/>
  <c r="AI225" i="5" s="1"/>
  <c r="AI226" i="5" s="1"/>
  <c r="AI227" i="5" s="1"/>
  <c r="AI228" i="5" s="1"/>
  <c r="AI234" i="5" s="1"/>
  <c r="AI235" i="5" s="1"/>
  <c r="AI236" i="5" s="1"/>
  <c r="AI237" i="5" s="1"/>
  <c r="AI238" i="5" s="1"/>
  <c r="AI239" i="5" s="1"/>
  <c r="AI240" i="5" s="1"/>
  <c r="AI246" i="5" s="1"/>
  <c r="AI247" i="5" s="1"/>
  <c r="AI248" i="5" s="1"/>
  <c r="AI249" i="5" s="1"/>
  <c r="AI250" i="5" s="1"/>
  <c r="AI251" i="5" s="1"/>
  <c r="AI252" i="5" s="1"/>
  <c r="AI258" i="5" s="1"/>
  <c r="AI259" i="5" s="1"/>
  <c r="AI260" i="5" s="1"/>
  <c r="AI261" i="5" s="1"/>
  <c r="AI262" i="5" s="1"/>
  <c r="AI263" i="5" s="1"/>
  <c r="AI264" i="5" s="1"/>
  <c r="AI270" i="5" s="1"/>
  <c r="AI271" i="5" s="1"/>
  <c r="AI272" i="5" s="1"/>
  <c r="AI273" i="5" s="1"/>
  <c r="AI274" i="5" s="1"/>
  <c r="AI275" i="5" s="1"/>
  <c r="AI276" i="5" s="1"/>
  <c r="AI282" i="5" s="1"/>
  <c r="AI283" i="5" s="1"/>
  <c r="AI284" i="5" s="1"/>
  <c r="AI285" i="5" s="1"/>
  <c r="AI286" i="5" s="1"/>
  <c r="AI287" i="5" s="1"/>
  <c r="AI288" i="5" s="1"/>
  <c r="AI294" i="5" s="1"/>
  <c r="AI295" i="5" s="1"/>
  <c r="AI296" i="5" s="1"/>
  <c r="AI297" i="5" s="1"/>
  <c r="AI298" i="5" s="1"/>
  <c r="AI299" i="5" s="1"/>
  <c r="AI300" i="5" s="1"/>
  <c r="AI306" i="5" s="1"/>
  <c r="AI307" i="5" s="1"/>
  <c r="AI308" i="5" s="1"/>
  <c r="AI309" i="5" s="1"/>
  <c r="AI310" i="5" s="1"/>
  <c r="AI311" i="5" s="1"/>
  <c r="AI312" i="5" s="1"/>
  <c r="AI318" i="5" s="1"/>
  <c r="AI319" i="5" s="1"/>
  <c r="AI320" i="5" s="1"/>
  <c r="AI321" i="5" s="1"/>
  <c r="AI322" i="5" s="1"/>
  <c r="AI323" i="5" s="1"/>
  <c r="AI324" i="5" s="1"/>
  <c r="AI330" i="5" s="1"/>
  <c r="AI331" i="5" s="1"/>
  <c r="AI332" i="5" s="1"/>
  <c r="AI333" i="5" s="1"/>
  <c r="AI334" i="5" s="1"/>
  <c r="AI335" i="5" s="1"/>
  <c r="AI336" i="5" s="1"/>
  <c r="AI342" i="5" s="1"/>
  <c r="AI343" i="5" s="1"/>
  <c r="AI344" i="5" s="1"/>
  <c r="AI345" i="5" s="1"/>
  <c r="AI346" i="5" s="1"/>
  <c r="AI347" i="5" s="1"/>
  <c r="AI348" i="5" s="1"/>
  <c r="AI354" i="5" s="1"/>
  <c r="AI355" i="5" s="1"/>
  <c r="AI356" i="5" s="1"/>
  <c r="AI357" i="5" s="1"/>
  <c r="AI358" i="5" s="1"/>
  <c r="AI359" i="5" s="1"/>
  <c r="AI360" i="5" s="1"/>
  <c r="AI366" i="5" s="1"/>
  <c r="AI367" i="5" s="1"/>
  <c r="AI368" i="5" s="1"/>
  <c r="AI369" i="5" s="1"/>
  <c r="AI370" i="5" s="1"/>
  <c r="BQ4" i="12"/>
  <c r="B57" i="1"/>
  <c r="F173" i="7" s="1"/>
  <c r="A46" i="13"/>
  <c r="A17" i="5" l="1"/>
  <c r="P167" i="5" s="1"/>
  <c r="F27" i="5"/>
  <c r="F39" i="5" s="1"/>
  <c r="BQ5" i="19"/>
  <c r="BN7" i="18"/>
  <c r="BO6" i="18"/>
  <c r="BP6" i="18" s="1"/>
  <c r="BR6" i="18" s="1"/>
  <c r="BS6" i="18"/>
  <c r="BT6" i="18" s="1"/>
  <c r="BU6" i="18"/>
  <c r="BV6" i="18" s="1"/>
  <c r="BW6" i="18" s="1"/>
  <c r="BQ5" i="18"/>
  <c r="BN7" i="19"/>
  <c r="BS6" i="19"/>
  <c r="BT6" i="19" s="1"/>
  <c r="BU6" i="19"/>
  <c r="BV6" i="19" s="1"/>
  <c r="BW6" i="19" s="1"/>
  <c r="BO6" i="19"/>
  <c r="BP6" i="19" s="1"/>
  <c r="BR6" i="19" s="1"/>
  <c r="I15" i="5"/>
  <c r="AF2" i="5"/>
  <c r="AG2" i="5" s="1"/>
  <c r="BB204" i="5"/>
  <c r="BB206" i="5" s="1"/>
  <c r="BB208" i="5" s="1"/>
  <c r="BB210" i="5" s="1"/>
  <c r="BB212" i="5" s="1"/>
  <c r="BB214" i="5" s="1"/>
  <c r="BB216" i="5" s="1"/>
  <c r="BB218" i="5" s="1"/>
  <c r="BB220" i="5" s="1"/>
  <c r="BB222" i="5" s="1"/>
  <c r="BB224" i="5" s="1"/>
  <c r="BB226" i="5" s="1"/>
  <c r="BB228" i="5" s="1"/>
  <c r="BB230" i="5" s="1"/>
  <c r="BB232" i="5" s="1"/>
  <c r="BB234" i="5" s="1"/>
  <c r="BB236" i="5" s="1"/>
  <c r="BB238" i="5" s="1"/>
  <c r="BB240" i="5" s="1"/>
  <c r="BB242" i="5" s="1"/>
  <c r="BB244" i="5" s="1"/>
  <c r="BB246" i="5" s="1"/>
  <c r="BB248" i="5" s="1"/>
  <c r="BB250" i="5" s="1"/>
  <c r="BB252" i="5" s="1"/>
  <c r="BB254" i="5" s="1"/>
  <c r="BB256" i="5" s="1"/>
  <c r="BB258" i="5" s="1"/>
  <c r="BB260" i="5" s="1"/>
  <c r="BB262" i="5" s="1"/>
  <c r="BB264" i="5" s="1"/>
  <c r="BB266" i="5" s="1"/>
  <c r="BB268" i="5" s="1"/>
  <c r="BB270" i="5" s="1"/>
  <c r="BB272" i="5" s="1"/>
  <c r="BB274" i="5" s="1"/>
  <c r="BB276" i="5" s="1"/>
  <c r="BB278" i="5" s="1"/>
  <c r="BB280" i="5" s="1"/>
  <c r="BB282" i="5" s="1"/>
  <c r="BB284" i="5" s="1"/>
  <c r="BB286" i="5" s="1"/>
  <c r="BB288" i="5" s="1"/>
  <c r="BB290" i="5" s="1"/>
  <c r="BB292" i="5" s="1"/>
  <c r="BB294" i="5" s="1"/>
  <c r="BB296" i="5" s="1"/>
  <c r="BB298" i="5" s="1"/>
  <c r="BB300" i="5" s="1"/>
  <c r="BB302" i="5" s="1"/>
  <c r="BB304" i="5" s="1"/>
  <c r="BB306" i="5" s="1"/>
  <c r="BB308" i="5" s="1"/>
  <c r="BB310" i="5" s="1"/>
  <c r="BB312" i="5" s="1"/>
  <c r="BB314" i="5" s="1"/>
  <c r="BB316" i="5" s="1"/>
  <c r="BB318" i="5" s="1"/>
  <c r="BB320" i="5" s="1"/>
  <c r="BB322" i="5" s="1"/>
  <c r="BB324" i="5" s="1"/>
  <c r="BB326" i="5" s="1"/>
  <c r="BB328" i="5" s="1"/>
  <c r="BB330" i="5" s="1"/>
  <c r="BB332" i="5" s="1"/>
  <c r="BB334" i="5" s="1"/>
  <c r="BB336" i="5" s="1"/>
  <c r="BB338" i="5" s="1"/>
  <c r="BB340" i="5" s="1"/>
  <c r="BB342" i="5" s="1"/>
  <c r="BB344" i="5" s="1"/>
  <c r="BB346" i="5" s="1"/>
  <c r="BB348" i="5" s="1"/>
  <c r="BB350" i="5" s="1"/>
  <c r="BB352" i="5" s="1"/>
  <c r="BB354" i="5" s="1"/>
  <c r="BB356" i="5" s="1"/>
  <c r="BB358" i="5" s="1"/>
  <c r="BB360" i="5" s="1"/>
  <c r="BB362" i="5" s="1"/>
  <c r="BB364" i="5" s="1"/>
  <c r="BB366" i="5" s="1"/>
  <c r="BB368" i="5" s="1"/>
  <c r="BB370" i="5" s="1"/>
  <c r="BB203" i="5"/>
  <c r="BB205" i="5" s="1"/>
  <c r="BB207" i="5" s="1"/>
  <c r="BB209" i="5" s="1"/>
  <c r="BB211" i="5" s="1"/>
  <c r="BB213" i="5" s="1"/>
  <c r="BB215" i="5" s="1"/>
  <c r="BB217" i="5" s="1"/>
  <c r="BB219" i="5" s="1"/>
  <c r="BB221" i="5" s="1"/>
  <c r="BB223" i="5" s="1"/>
  <c r="BB225" i="5" s="1"/>
  <c r="BB227" i="5" s="1"/>
  <c r="BB229" i="5" s="1"/>
  <c r="BB231" i="5" s="1"/>
  <c r="BB233" i="5" s="1"/>
  <c r="BB235" i="5" s="1"/>
  <c r="BB237" i="5" s="1"/>
  <c r="BB239" i="5" s="1"/>
  <c r="BB241" i="5" s="1"/>
  <c r="BB243" i="5" s="1"/>
  <c r="BB245" i="5" s="1"/>
  <c r="BB247" i="5" s="1"/>
  <c r="BB249" i="5" s="1"/>
  <c r="BB251" i="5" s="1"/>
  <c r="BB253" i="5" s="1"/>
  <c r="BB255" i="5" s="1"/>
  <c r="BB257" i="5" s="1"/>
  <c r="BB259" i="5" s="1"/>
  <c r="BB261" i="5" s="1"/>
  <c r="BB263" i="5" s="1"/>
  <c r="BB265" i="5" s="1"/>
  <c r="BB267" i="5" s="1"/>
  <c r="BB269" i="5" s="1"/>
  <c r="BB271" i="5" s="1"/>
  <c r="BB273" i="5" s="1"/>
  <c r="BB275" i="5" s="1"/>
  <c r="BB277" i="5" s="1"/>
  <c r="BB279" i="5" s="1"/>
  <c r="BB281" i="5" s="1"/>
  <c r="BB283" i="5" s="1"/>
  <c r="BB285" i="5" s="1"/>
  <c r="BB287" i="5" s="1"/>
  <c r="BB289" i="5" s="1"/>
  <c r="BB291" i="5" s="1"/>
  <c r="BB293" i="5" s="1"/>
  <c r="BB295" i="5" s="1"/>
  <c r="BB297" i="5" s="1"/>
  <c r="BB299" i="5" s="1"/>
  <c r="BB301" i="5" s="1"/>
  <c r="BB303" i="5" s="1"/>
  <c r="BB305" i="5" s="1"/>
  <c r="BB307" i="5" s="1"/>
  <c r="BB309" i="5" s="1"/>
  <c r="BB311" i="5" s="1"/>
  <c r="BB313" i="5" s="1"/>
  <c r="BB315" i="5" s="1"/>
  <c r="BB317" i="5" s="1"/>
  <c r="BB319" i="5" s="1"/>
  <c r="BB321" i="5" s="1"/>
  <c r="BB323" i="5" s="1"/>
  <c r="BB325" i="5" s="1"/>
  <c r="BB327" i="5" s="1"/>
  <c r="BB329" i="5" s="1"/>
  <c r="BB331" i="5" s="1"/>
  <c r="BB333" i="5" s="1"/>
  <c r="BB335" i="5" s="1"/>
  <c r="BB337" i="5" s="1"/>
  <c r="BB339" i="5" s="1"/>
  <c r="BB341" i="5" s="1"/>
  <c r="BB343" i="5" s="1"/>
  <c r="BB345" i="5" s="1"/>
  <c r="BB347" i="5" s="1"/>
  <c r="BB349" i="5" s="1"/>
  <c r="BB351" i="5" s="1"/>
  <c r="BB353" i="5" s="1"/>
  <c r="BB355" i="5" s="1"/>
  <c r="BB357" i="5" s="1"/>
  <c r="BB359" i="5" s="1"/>
  <c r="BB361" i="5" s="1"/>
  <c r="BB363" i="5" s="1"/>
  <c r="BB365" i="5" s="1"/>
  <c r="BB367" i="5" s="1"/>
  <c r="BB369" i="5" s="1"/>
  <c r="BS6" i="12"/>
  <c r="BT6" i="12" s="1"/>
  <c r="E8" i="1"/>
  <c r="F8" i="1" s="1"/>
  <c r="F9" i="1" s="1"/>
  <c r="BU6" i="12"/>
  <c r="BV6" i="12" s="1"/>
  <c r="BW6" i="12" s="1"/>
  <c r="BO6" i="12"/>
  <c r="BP6" i="12" s="1"/>
  <c r="BR6" i="12" s="1"/>
  <c r="AF7" i="5"/>
  <c r="AY7" i="5" s="1"/>
  <c r="AC8" i="5"/>
  <c r="AS7" i="5"/>
  <c r="AR7" i="5"/>
  <c r="A24" i="5"/>
  <c r="G8" i="1"/>
  <c r="H8" i="1" s="1"/>
  <c r="H9" i="1" s="1"/>
  <c r="I27" i="5"/>
  <c r="AI371" i="5"/>
  <c r="AI372" i="5" s="1"/>
  <c r="AI378" i="5" s="1"/>
  <c r="AI379" i="5" s="1"/>
  <c r="AI380" i="5" s="1"/>
  <c r="AI381" i="5" s="1"/>
  <c r="AI382" i="5" s="1"/>
  <c r="AI383" i="5" s="1"/>
  <c r="AI384" i="5" s="1"/>
  <c r="AI390" i="5" s="1"/>
  <c r="AI391" i="5" s="1"/>
  <c r="AI392" i="5" s="1"/>
  <c r="AI393" i="5" s="1"/>
  <c r="AI394" i="5" s="1"/>
  <c r="AI395" i="5" s="1"/>
  <c r="AI396" i="5" s="1"/>
  <c r="AI402" i="5" s="1"/>
  <c r="AI403" i="5" s="1"/>
  <c r="AI404" i="5" s="1"/>
  <c r="AI405" i="5" s="1"/>
  <c r="AI406" i="5" s="1"/>
  <c r="AI407" i="5" s="1"/>
  <c r="AI408" i="5" s="1"/>
  <c r="AI414" i="5" s="1"/>
  <c r="AI415" i="5" s="1"/>
  <c r="AI416" i="5" s="1"/>
  <c r="AI417" i="5" s="1"/>
  <c r="AI418" i="5" s="1"/>
  <c r="AI419" i="5" s="1"/>
  <c r="AI420" i="5" s="1"/>
  <c r="AI426" i="5" s="1"/>
  <c r="AI427" i="5" s="1"/>
  <c r="AI428" i="5" s="1"/>
  <c r="AI429" i="5" s="1"/>
  <c r="AI430" i="5" s="1"/>
  <c r="AI431" i="5" s="1"/>
  <c r="AI432" i="5" s="1"/>
  <c r="AI438" i="5" s="1"/>
  <c r="AI439" i="5" s="1"/>
  <c r="AI440" i="5" s="1"/>
  <c r="AI441" i="5" s="1"/>
  <c r="AI442" i="5" s="1"/>
  <c r="AI443" i="5" s="1"/>
  <c r="AI444" i="5" s="1"/>
  <c r="AI450" i="5" s="1"/>
  <c r="AI451" i="5" s="1"/>
  <c r="AI452" i="5" s="1"/>
  <c r="AI453" i="5" s="1"/>
  <c r="AI454" i="5" s="1"/>
  <c r="AI455" i="5" s="1"/>
  <c r="AI456" i="5" s="1"/>
  <c r="AI462" i="5" s="1"/>
  <c r="AI463" i="5" s="1"/>
  <c r="AI464" i="5" s="1"/>
  <c r="AI465" i="5" s="1"/>
  <c r="AI466" i="5" s="1"/>
  <c r="AI467" i="5" s="1"/>
  <c r="AI468" i="5" s="1"/>
  <c r="AI474" i="5" s="1"/>
  <c r="AI475" i="5" s="1"/>
  <c r="AI476" i="5" s="1"/>
  <c r="AI477" i="5" s="1"/>
  <c r="AI478" i="5" s="1"/>
  <c r="AI479" i="5" s="1"/>
  <c r="AI480" i="5" s="1"/>
  <c r="AI486" i="5" s="1"/>
  <c r="AI487" i="5" s="1"/>
  <c r="AI488" i="5" s="1"/>
  <c r="AI489" i="5" s="1"/>
  <c r="AI490" i="5" s="1"/>
  <c r="AI491" i="5" s="1"/>
  <c r="AI492" i="5" s="1"/>
  <c r="AI498" i="5" s="1"/>
  <c r="AI499" i="5" s="1"/>
  <c r="AI500" i="5" s="1"/>
  <c r="AI501" i="5" s="1"/>
  <c r="AI502" i="5" s="1"/>
  <c r="AI503" i="5" s="1"/>
  <c r="AI504" i="5" s="1"/>
  <c r="AI510" i="5" s="1"/>
  <c r="AI511" i="5" s="1"/>
  <c r="AI512" i="5" s="1"/>
  <c r="AI513" i="5" s="1"/>
  <c r="AI514" i="5" s="1"/>
  <c r="AI515" i="5" s="1"/>
  <c r="AI516" i="5" s="1"/>
  <c r="AI522" i="5" s="1"/>
  <c r="AI523" i="5" s="1"/>
  <c r="AI524" i="5" s="1"/>
  <c r="AI525" i="5" s="1"/>
  <c r="AI526" i="5" s="1"/>
  <c r="AI527" i="5" s="1"/>
  <c r="AI528" i="5" s="1"/>
  <c r="AI534" i="5" s="1"/>
  <c r="AI535" i="5" s="1"/>
  <c r="AI536" i="5" s="1"/>
  <c r="AI537" i="5" s="1"/>
  <c r="AI538" i="5" s="1"/>
  <c r="AI539" i="5" s="1"/>
  <c r="AI540" i="5" s="1"/>
  <c r="AI546" i="5" s="1"/>
  <c r="AI547" i="5" s="1"/>
  <c r="AI548" i="5" s="1"/>
  <c r="AI549" i="5" s="1"/>
  <c r="AI550" i="5" s="1"/>
  <c r="AI551" i="5" s="1"/>
  <c r="AI552" i="5" s="1"/>
  <c r="AI558" i="5" s="1"/>
  <c r="AI559" i="5" s="1"/>
  <c r="AI560" i="5" s="1"/>
  <c r="AI561" i="5" s="1"/>
  <c r="AI562" i="5" s="1"/>
  <c r="AI563" i="5" s="1"/>
  <c r="AI564" i="5" s="1"/>
  <c r="AI570" i="5" s="1"/>
  <c r="AI571" i="5" s="1"/>
  <c r="AI572" i="5" s="1"/>
  <c r="AI573" i="5" s="1"/>
  <c r="AI574" i="5" s="1"/>
  <c r="AI575" i="5" s="1"/>
  <c r="AI576" i="5" s="1"/>
  <c r="AI582" i="5" s="1"/>
  <c r="AI583" i="5" s="1"/>
  <c r="AI584" i="5" s="1"/>
  <c r="AI585" i="5" s="1"/>
  <c r="AI586" i="5" s="1"/>
  <c r="AI587" i="5" s="1"/>
  <c r="AI588" i="5" s="1"/>
  <c r="AI594" i="5" s="1"/>
  <c r="AI595" i="5" s="1"/>
  <c r="AI596" i="5" s="1"/>
  <c r="AI597" i="5" s="1"/>
  <c r="AI598" i="5" s="1"/>
  <c r="AI599" i="5" s="1"/>
  <c r="AI600" i="5" s="1"/>
  <c r="AI606" i="5" s="1"/>
  <c r="AI607" i="5" s="1"/>
  <c r="AI608" i="5" s="1"/>
  <c r="AI609" i="5" s="1"/>
  <c r="AI610" i="5" s="1"/>
  <c r="AI611" i="5" s="1"/>
  <c r="AI612" i="5" s="1"/>
  <c r="AI618" i="5" s="1"/>
  <c r="AI619" i="5" s="1"/>
  <c r="AI620" i="5" s="1"/>
  <c r="AI621" i="5" s="1"/>
  <c r="AI622" i="5" s="1"/>
  <c r="AI623" i="5" s="1"/>
  <c r="AI624" i="5" s="1"/>
  <c r="AI630" i="5" s="1"/>
  <c r="AI631" i="5" s="1"/>
  <c r="AI632" i="5" s="1"/>
  <c r="AI633" i="5" s="1"/>
  <c r="AI634" i="5" s="1"/>
  <c r="AI635" i="5" s="1"/>
  <c r="AI636" i="5" s="1"/>
  <c r="A29" i="5"/>
  <c r="P169" i="5" s="1"/>
  <c r="BQ5" i="12"/>
  <c r="BU7" i="12"/>
  <c r="BV7" i="12" s="1"/>
  <c r="BW7" i="12" s="1"/>
  <c r="BO7" i="12"/>
  <c r="BP7" i="12" s="1"/>
  <c r="BS7" i="12"/>
  <c r="BT7" i="12" s="1"/>
  <c r="BN9" i="12"/>
  <c r="A63" i="1"/>
  <c r="A41" i="5"/>
  <c r="P171" i="5" s="1"/>
  <c r="F51" i="5"/>
  <c r="I39" i="5"/>
  <c r="A47" i="13"/>
  <c r="BQ6" i="19" l="1"/>
  <c r="BO7" i="18"/>
  <c r="BP7" i="18" s="1"/>
  <c r="BR7" i="18" s="1"/>
  <c r="BS7" i="18"/>
  <c r="BT7" i="18" s="1"/>
  <c r="BU7" i="18"/>
  <c r="BV7" i="18" s="1"/>
  <c r="BW7" i="18" s="1"/>
  <c r="BN8" i="18"/>
  <c r="BO7" i="19"/>
  <c r="BP7" i="19" s="1"/>
  <c r="BR7" i="19" s="1"/>
  <c r="BS7" i="19"/>
  <c r="BT7" i="19" s="1"/>
  <c r="BU7" i="19"/>
  <c r="BV7" i="19" s="1"/>
  <c r="BW7" i="19" s="1"/>
  <c r="BQ6" i="18"/>
  <c r="BB371" i="5"/>
  <c r="BB373" i="5" s="1"/>
  <c r="BB375" i="5" s="1"/>
  <c r="BB377" i="5" s="1"/>
  <c r="BB379" i="5" s="1"/>
  <c r="BB381" i="5" s="1"/>
  <c r="BB383" i="5" s="1"/>
  <c r="BB385" i="5" s="1"/>
  <c r="BB387" i="5" s="1"/>
  <c r="BB389" i="5" s="1"/>
  <c r="BB391" i="5" s="1"/>
  <c r="BB393" i="5" s="1"/>
  <c r="BB395" i="5" s="1"/>
  <c r="BB397" i="5" s="1"/>
  <c r="BB399" i="5" s="1"/>
  <c r="BB401" i="5" s="1"/>
  <c r="BB403" i="5" s="1"/>
  <c r="BB405" i="5" s="1"/>
  <c r="BB407" i="5" s="1"/>
  <c r="BB409" i="5" s="1"/>
  <c r="BB411" i="5" s="1"/>
  <c r="BB413" i="5" s="1"/>
  <c r="BB415" i="5" s="1"/>
  <c r="BB417" i="5" s="1"/>
  <c r="BB419" i="5" s="1"/>
  <c r="BB421" i="5" s="1"/>
  <c r="BB423" i="5" s="1"/>
  <c r="BB425" i="5" s="1"/>
  <c r="BB427" i="5" s="1"/>
  <c r="BB429" i="5" s="1"/>
  <c r="BB431" i="5" s="1"/>
  <c r="BB433" i="5" s="1"/>
  <c r="BB435" i="5" s="1"/>
  <c r="BB437" i="5" s="1"/>
  <c r="BB439" i="5" s="1"/>
  <c r="BB441" i="5" s="1"/>
  <c r="BB443" i="5" s="1"/>
  <c r="BB445" i="5" s="1"/>
  <c r="BB447" i="5" s="1"/>
  <c r="BB449" i="5" s="1"/>
  <c r="BB451" i="5" s="1"/>
  <c r="BB453" i="5" s="1"/>
  <c r="BB455" i="5" s="1"/>
  <c r="BB457" i="5" s="1"/>
  <c r="BB459" i="5" s="1"/>
  <c r="BB461" i="5" s="1"/>
  <c r="BB463" i="5" s="1"/>
  <c r="BB465" i="5" s="1"/>
  <c r="BB467" i="5" s="1"/>
  <c r="BB469" i="5" s="1"/>
  <c r="BB471" i="5" s="1"/>
  <c r="BB473" i="5" s="1"/>
  <c r="BB475" i="5" s="1"/>
  <c r="BB477" i="5" s="1"/>
  <c r="BB479" i="5" s="1"/>
  <c r="BB481" i="5" s="1"/>
  <c r="BB483" i="5" s="1"/>
  <c r="BB485" i="5" s="1"/>
  <c r="BB487" i="5" s="1"/>
  <c r="BB489" i="5" s="1"/>
  <c r="BB491" i="5" s="1"/>
  <c r="BB493" i="5" s="1"/>
  <c r="BB495" i="5" s="1"/>
  <c r="BB497" i="5" s="1"/>
  <c r="BB499" i="5" s="1"/>
  <c r="BB501" i="5" s="1"/>
  <c r="BB503" i="5" s="1"/>
  <c r="BB505" i="5" s="1"/>
  <c r="BB507" i="5" s="1"/>
  <c r="BB509" i="5" s="1"/>
  <c r="BB511" i="5" s="1"/>
  <c r="BB513" i="5" s="1"/>
  <c r="BB515" i="5" s="1"/>
  <c r="BB517" i="5" s="1"/>
  <c r="BB519" i="5" s="1"/>
  <c r="BB521" i="5" s="1"/>
  <c r="BB523" i="5" s="1"/>
  <c r="BB525" i="5" s="1"/>
  <c r="BB527" i="5" s="1"/>
  <c r="BB529" i="5" s="1"/>
  <c r="BB531" i="5" s="1"/>
  <c r="BB533" i="5" s="1"/>
  <c r="BB535" i="5" s="1"/>
  <c r="BB537" i="5" s="1"/>
  <c r="BB539" i="5" s="1"/>
  <c r="BB541" i="5" s="1"/>
  <c r="BB543" i="5" s="1"/>
  <c r="BB545" i="5" s="1"/>
  <c r="BB547" i="5" s="1"/>
  <c r="BB549" i="5" s="1"/>
  <c r="BB551" i="5" s="1"/>
  <c r="BB553" i="5" s="1"/>
  <c r="BB555" i="5" s="1"/>
  <c r="BB557" i="5" s="1"/>
  <c r="BB559" i="5" s="1"/>
  <c r="BB561" i="5" s="1"/>
  <c r="BB563" i="5" s="1"/>
  <c r="BB565" i="5" s="1"/>
  <c r="BB567" i="5" s="1"/>
  <c r="BB569" i="5" s="1"/>
  <c r="BB571" i="5" s="1"/>
  <c r="BB573" i="5" s="1"/>
  <c r="BB575" i="5" s="1"/>
  <c r="BB577" i="5" s="1"/>
  <c r="BB579" i="5" s="1"/>
  <c r="BB581" i="5" s="1"/>
  <c r="BB583" i="5" s="1"/>
  <c r="BB585" i="5" s="1"/>
  <c r="BB587" i="5" s="1"/>
  <c r="BB589" i="5" s="1"/>
  <c r="BB591" i="5" s="1"/>
  <c r="BB593" i="5" s="1"/>
  <c r="BB595" i="5" s="1"/>
  <c r="BB597" i="5" s="1"/>
  <c r="BB599" i="5" s="1"/>
  <c r="BB601" i="5" s="1"/>
  <c r="BB603" i="5" s="1"/>
  <c r="BB605" i="5" s="1"/>
  <c r="BB607" i="5" s="1"/>
  <c r="BB609" i="5" s="1"/>
  <c r="BB611" i="5" s="1"/>
  <c r="BB613" i="5" s="1"/>
  <c r="BB615" i="5" s="1"/>
  <c r="BB617" i="5" s="1"/>
  <c r="BB619" i="5" s="1"/>
  <c r="BB621" i="5" s="1"/>
  <c r="BB623" i="5" s="1"/>
  <c r="BB625" i="5" s="1"/>
  <c r="BB627" i="5" s="1"/>
  <c r="BB629" i="5" s="1"/>
  <c r="BB631" i="5" s="1"/>
  <c r="BB633" i="5" s="1"/>
  <c r="BB635" i="5" s="1"/>
  <c r="BB372" i="5"/>
  <c r="BB374" i="5" s="1"/>
  <c r="BB376" i="5" s="1"/>
  <c r="BB378" i="5" s="1"/>
  <c r="BB380" i="5" s="1"/>
  <c r="BB382" i="5" s="1"/>
  <c r="BB384" i="5" s="1"/>
  <c r="BB386" i="5" s="1"/>
  <c r="BB388" i="5" s="1"/>
  <c r="BB390" i="5" s="1"/>
  <c r="BB392" i="5" s="1"/>
  <c r="BB394" i="5" s="1"/>
  <c r="BB396" i="5" s="1"/>
  <c r="BB398" i="5" s="1"/>
  <c r="BB400" i="5" s="1"/>
  <c r="BB402" i="5" s="1"/>
  <c r="BB404" i="5" s="1"/>
  <c r="BB406" i="5" s="1"/>
  <c r="BB408" i="5" s="1"/>
  <c r="BB410" i="5" s="1"/>
  <c r="BB412" i="5" s="1"/>
  <c r="BB414" i="5" s="1"/>
  <c r="BB416" i="5" s="1"/>
  <c r="BB418" i="5" s="1"/>
  <c r="BB420" i="5" s="1"/>
  <c r="BB422" i="5" s="1"/>
  <c r="BB424" i="5" s="1"/>
  <c r="BB426" i="5" s="1"/>
  <c r="BB428" i="5" s="1"/>
  <c r="BB430" i="5" s="1"/>
  <c r="BB432" i="5" s="1"/>
  <c r="BB434" i="5" s="1"/>
  <c r="BB436" i="5" s="1"/>
  <c r="BB438" i="5" s="1"/>
  <c r="BB440" i="5" s="1"/>
  <c r="BB442" i="5" s="1"/>
  <c r="BB444" i="5" s="1"/>
  <c r="BB446" i="5" s="1"/>
  <c r="BB448" i="5" s="1"/>
  <c r="BB450" i="5" s="1"/>
  <c r="BB452" i="5" s="1"/>
  <c r="BB454" i="5" s="1"/>
  <c r="BB456" i="5" s="1"/>
  <c r="BB458" i="5" s="1"/>
  <c r="BB460" i="5" s="1"/>
  <c r="BB462" i="5" s="1"/>
  <c r="BB464" i="5" s="1"/>
  <c r="BB466" i="5" s="1"/>
  <c r="BB468" i="5" s="1"/>
  <c r="BB470" i="5" s="1"/>
  <c r="BB472" i="5" s="1"/>
  <c r="BB474" i="5" s="1"/>
  <c r="BB476" i="5" s="1"/>
  <c r="BB478" i="5" s="1"/>
  <c r="BB480" i="5" s="1"/>
  <c r="BB482" i="5" s="1"/>
  <c r="BB484" i="5" s="1"/>
  <c r="BB486" i="5" s="1"/>
  <c r="BB488" i="5" s="1"/>
  <c r="BB490" i="5" s="1"/>
  <c r="BB492" i="5" s="1"/>
  <c r="BB494" i="5" s="1"/>
  <c r="BB496" i="5" s="1"/>
  <c r="BB498" i="5" s="1"/>
  <c r="BB500" i="5" s="1"/>
  <c r="BB502" i="5" s="1"/>
  <c r="BB504" i="5" s="1"/>
  <c r="BB506" i="5" s="1"/>
  <c r="BB508" i="5" s="1"/>
  <c r="BB510" i="5" s="1"/>
  <c r="BB512" i="5" s="1"/>
  <c r="BB514" i="5" s="1"/>
  <c r="BB516" i="5" s="1"/>
  <c r="BB518" i="5" s="1"/>
  <c r="BB520" i="5" s="1"/>
  <c r="BB522" i="5" s="1"/>
  <c r="BB524" i="5" s="1"/>
  <c r="BB526" i="5" s="1"/>
  <c r="BB528" i="5" s="1"/>
  <c r="BB530" i="5" s="1"/>
  <c r="BB532" i="5" s="1"/>
  <c r="BB534" i="5" s="1"/>
  <c r="BB536" i="5" s="1"/>
  <c r="BB538" i="5" s="1"/>
  <c r="BB540" i="5" s="1"/>
  <c r="BB542" i="5" s="1"/>
  <c r="BB544" i="5" s="1"/>
  <c r="BB546" i="5" s="1"/>
  <c r="BB548" i="5" s="1"/>
  <c r="BB550" i="5" s="1"/>
  <c r="BB552" i="5" s="1"/>
  <c r="BB554" i="5" s="1"/>
  <c r="BB556" i="5" s="1"/>
  <c r="BB558" i="5" s="1"/>
  <c r="BB560" i="5" s="1"/>
  <c r="BB562" i="5" s="1"/>
  <c r="BB564" i="5" s="1"/>
  <c r="BB566" i="5" s="1"/>
  <c r="BB568" i="5" s="1"/>
  <c r="BB570" i="5" s="1"/>
  <c r="BB572" i="5" s="1"/>
  <c r="BB574" i="5" s="1"/>
  <c r="BB576" i="5" s="1"/>
  <c r="BB578" i="5" s="1"/>
  <c r="BB580" i="5" s="1"/>
  <c r="BB582" i="5" s="1"/>
  <c r="BB584" i="5" s="1"/>
  <c r="BB586" i="5" s="1"/>
  <c r="BB588" i="5" s="1"/>
  <c r="BB590" i="5" s="1"/>
  <c r="BB592" i="5" s="1"/>
  <c r="BB594" i="5" s="1"/>
  <c r="BB596" i="5" s="1"/>
  <c r="BB598" i="5" s="1"/>
  <c r="BB600" i="5" s="1"/>
  <c r="BB602" i="5" s="1"/>
  <c r="BB604" i="5" s="1"/>
  <c r="BB606" i="5" s="1"/>
  <c r="BB608" i="5" s="1"/>
  <c r="BB610" i="5" s="1"/>
  <c r="BB612" i="5" s="1"/>
  <c r="BB614" i="5" s="1"/>
  <c r="BB616" i="5" s="1"/>
  <c r="BB618" i="5" s="1"/>
  <c r="BB620" i="5" s="1"/>
  <c r="BB622" i="5" s="1"/>
  <c r="BB624" i="5" s="1"/>
  <c r="BB626" i="5" s="1"/>
  <c r="BB628" i="5" s="1"/>
  <c r="BB630" i="5" s="1"/>
  <c r="BB632" i="5" s="1"/>
  <c r="BB634" i="5" s="1"/>
  <c r="BB636" i="5" s="1"/>
  <c r="BN8" i="19"/>
  <c r="BQ6" i="12"/>
  <c r="AC9" i="5"/>
  <c r="AS8" i="5"/>
  <c r="AR8" i="5"/>
  <c r="AF8" i="5"/>
  <c r="AY8" i="5" s="1"/>
  <c r="AD8" i="5"/>
  <c r="AW8" i="5" s="1"/>
  <c r="I8" i="1"/>
  <c r="J8" i="1" s="1"/>
  <c r="K8" i="1" s="1"/>
  <c r="L8" i="1" s="1"/>
  <c r="BQ7" i="12"/>
  <c r="BR7" i="12"/>
  <c r="BS9" i="12"/>
  <c r="BT9" i="12" s="1"/>
  <c r="BO9" i="12"/>
  <c r="BP9" i="12" s="1"/>
  <c r="BU9" i="12"/>
  <c r="BV9" i="12" s="1"/>
  <c r="BW9" i="12" s="1"/>
  <c r="BN10" i="12"/>
  <c r="A53" i="5"/>
  <c r="P173" i="5" s="1"/>
  <c r="F63" i="5"/>
  <c r="I51" i="5"/>
  <c r="A48" i="13"/>
  <c r="BQ7" i="19" l="1"/>
  <c r="BU8" i="18"/>
  <c r="BV8" i="18" s="1"/>
  <c r="BW8" i="18" s="1"/>
  <c r="BS8" i="18"/>
  <c r="BT8" i="18" s="1"/>
  <c r="BO8" i="18"/>
  <c r="BP8" i="18" s="1"/>
  <c r="BR8" i="18" s="1"/>
  <c r="BN9" i="18"/>
  <c r="BQ7" i="18"/>
  <c r="BS8" i="19"/>
  <c r="BN9" i="19"/>
  <c r="BO8" i="19"/>
  <c r="BU8" i="19"/>
  <c r="BV8" i="19" s="1"/>
  <c r="BW8" i="19" s="1"/>
  <c r="AC10" i="5"/>
  <c r="AS9" i="5"/>
  <c r="AR9" i="5"/>
  <c r="AD9" i="5"/>
  <c r="AW9" i="5" s="1"/>
  <c r="AF9" i="5"/>
  <c r="AY9" i="5" s="1"/>
  <c r="J9" i="1"/>
  <c r="BR9" i="12"/>
  <c r="BQ9" i="12"/>
  <c r="BO10" i="12"/>
  <c r="BP10" i="12" s="1"/>
  <c r="BU10" i="12"/>
  <c r="BV10" i="12" s="1"/>
  <c r="BW10" i="12" s="1"/>
  <c r="BS10" i="12"/>
  <c r="BT10" i="12" s="1"/>
  <c r="BN11" i="12"/>
  <c r="I63" i="5"/>
  <c r="A65" i="5"/>
  <c r="P175" i="5" s="1"/>
  <c r="F75" i="5"/>
  <c r="M8" i="1"/>
  <c r="N8" i="1" s="1"/>
  <c r="L9" i="1"/>
  <c r="A49" i="13"/>
  <c r="BQ8" i="18" l="1"/>
  <c r="BS9" i="18"/>
  <c r="BT9" i="18" s="1"/>
  <c r="BU9" i="18"/>
  <c r="BV9" i="18" s="1"/>
  <c r="BW9" i="18" s="1"/>
  <c r="BO9" i="18"/>
  <c r="BP9" i="18" s="1"/>
  <c r="BR9" i="18" s="1"/>
  <c r="BN10" i="18"/>
  <c r="BP8" i="19"/>
  <c r="BT8" i="19"/>
  <c r="BS9" i="19"/>
  <c r="BT9" i="19" s="1"/>
  <c r="BO9" i="19"/>
  <c r="BP9" i="19" s="1"/>
  <c r="BU9" i="19"/>
  <c r="BV9" i="19" s="1"/>
  <c r="BW9" i="19" s="1"/>
  <c r="BN10" i="19"/>
  <c r="AC11" i="5"/>
  <c r="AS10" i="5"/>
  <c r="AR10" i="5"/>
  <c r="AD10" i="5"/>
  <c r="AW10" i="5" s="1"/>
  <c r="AF10" i="5"/>
  <c r="AY10" i="5" s="1"/>
  <c r="BR10" i="12"/>
  <c r="BQ10" i="12"/>
  <c r="BO11" i="12"/>
  <c r="BP11" i="12" s="1"/>
  <c r="BU11" i="12"/>
  <c r="BV11" i="12" s="1"/>
  <c r="BW11" i="12" s="1"/>
  <c r="BS11" i="12"/>
  <c r="BT11" i="12" s="1"/>
  <c r="BN12" i="12"/>
  <c r="O8" i="1"/>
  <c r="P8" i="1" s="1"/>
  <c r="N9" i="1"/>
  <c r="A77" i="5"/>
  <c r="P177" i="5" s="1"/>
  <c r="I75" i="5"/>
  <c r="F87" i="5"/>
  <c r="A50" i="13"/>
  <c r="BQ9" i="18" l="1"/>
  <c r="BO10" i="18"/>
  <c r="BP10" i="18" s="1"/>
  <c r="BR10" i="18" s="1"/>
  <c r="BN11" i="18"/>
  <c r="BS10" i="18"/>
  <c r="BT10" i="18" s="1"/>
  <c r="BU10" i="18"/>
  <c r="BV10" i="18" s="1"/>
  <c r="BW10" i="18" s="1"/>
  <c r="BR8" i="19"/>
  <c r="BR9" i="19" s="1"/>
  <c r="BQ8" i="19"/>
  <c r="BQ9" i="19"/>
  <c r="BU10" i="19"/>
  <c r="BV10" i="19" s="1"/>
  <c r="BW10" i="19" s="1"/>
  <c r="BS10" i="19"/>
  <c r="BT10" i="19" s="1"/>
  <c r="BO10" i="19"/>
  <c r="BP10" i="19" s="1"/>
  <c r="BN11" i="19"/>
  <c r="AC12" i="5"/>
  <c r="AF11" i="5"/>
  <c r="AY11" i="5" s="1"/>
  <c r="AY13" i="5" s="1"/>
  <c r="AY15" i="5" s="1"/>
  <c r="AY17" i="5" s="1"/>
  <c r="AD11" i="5"/>
  <c r="AW11" i="5" s="1"/>
  <c r="AW13" i="5" s="1"/>
  <c r="AW15" i="5" s="1"/>
  <c r="AW17" i="5" s="1"/>
  <c r="BR11" i="12"/>
  <c r="BQ11" i="12"/>
  <c r="BS12" i="12"/>
  <c r="BT12" i="12" s="1"/>
  <c r="BU12" i="12"/>
  <c r="BV12" i="12" s="1"/>
  <c r="BW12" i="12" s="1"/>
  <c r="BO12" i="12"/>
  <c r="BP12" i="12" s="1"/>
  <c r="BN13" i="12"/>
  <c r="A89" i="5"/>
  <c r="P179" i="5" s="1"/>
  <c r="I87" i="5"/>
  <c r="F99" i="5"/>
  <c r="Q8" i="1"/>
  <c r="R8" i="1" s="1"/>
  <c r="P9" i="1"/>
  <c r="D21" i="13"/>
  <c r="BN12" i="18" l="1"/>
  <c r="BU11" i="18"/>
  <c r="BV11" i="18" s="1"/>
  <c r="BW11" i="18" s="1"/>
  <c r="BO11" i="18"/>
  <c r="BP11" i="18" s="1"/>
  <c r="BR11" i="18" s="1"/>
  <c r="BS11" i="18"/>
  <c r="BT11" i="18" s="1"/>
  <c r="BQ10" i="18"/>
  <c r="BR10" i="19"/>
  <c r="BQ10" i="19"/>
  <c r="BN12" i="19"/>
  <c r="BO11" i="19"/>
  <c r="BP11" i="19" s="1"/>
  <c r="BQ11" i="19" s="1"/>
  <c r="BU11" i="19"/>
  <c r="BV11" i="19" s="1"/>
  <c r="BW11" i="19" s="1"/>
  <c r="BS11" i="19"/>
  <c r="BT11" i="19" s="1"/>
  <c r="AD12" i="5"/>
  <c r="AW12" i="5" s="1"/>
  <c r="AW14" i="5" s="1"/>
  <c r="AW16" i="5" s="1"/>
  <c r="AC18" i="5"/>
  <c r="AF12" i="5"/>
  <c r="AY12" i="5" s="1"/>
  <c r="AY14" i="5" s="1"/>
  <c r="AY16" i="5" s="1"/>
  <c r="BR12" i="12"/>
  <c r="BQ12" i="12"/>
  <c r="BS13" i="12"/>
  <c r="BT13" i="12" s="1"/>
  <c r="BO13" i="12"/>
  <c r="BP13" i="12" s="1"/>
  <c r="BU13" i="12"/>
  <c r="BV13" i="12" s="1"/>
  <c r="BW13" i="12" s="1"/>
  <c r="BN14" i="12"/>
  <c r="A101" i="5"/>
  <c r="P181" i="5" s="1"/>
  <c r="I99" i="5"/>
  <c r="F111" i="5"/>
  <c r="S8" i="1"/>
  <c r="T8" i="1" s="1"/>
  <c r="R9" i="1"/>
  <c r="D22" i="13"/>
  <c r="BQ11" i="18" l="1"/>
  <c r="BO12" i="18"/>
  <c r="BP12" i="18" s="1"/>
  <c r="BR12" i="18" s="1"/>
  <c r="BS12" i="18"/>
  <c r="BT12" i="18" s="1"/>
  <c r="BU12" i="18"/>
  <c r="BV12" i="18" s="1"/>
  <c r="BW12" i="18" s="1"/>
  <c r="BN13" i="18"/>
  <c r="BS12" i="19"/>
  <c r="BT12" i="19" s="1"/>
  <c r="BN13" i="19"/>
  <c r="BO12" i="19"/>
  <c r="BP12" i="19" s="1"/>
  <c r="BU12" i="19"/>
  <c r="BV12" i="19" s="1"/>
  <c r="BW12" i="19" s="1"/>
  <c r="BR11" i="19"/>
  <c r="AS18" i="5"/>
  <c r="AR18" i="5"/>
  <c r="AD18" i="5"/>
  <c r="AW18" i="5" s="1"/>
  <c r="AC19" i="5"/>
  <c r="AF18" i="5"/>
  <c r="AY18" i="5" s="1"/>
  <c r="BR13" i="12"/>
  <c r="BQ13" i="12"/>
  <c r="BS14" i="12"/>
  <c r="BT14" i="12" s="1"/>
  <c r="BU14" i="12"/>
  <c r="BV14" i="12" s="1"/>
  <c r="BW14" i="12" s="1"/>
  <c r="BO14" i="12"/>
  <c r="BN16" i="12"/>
  <c r="U8" i="1"/>
  <c r="V8" i="1" s="1"/>
  <c r="T9" i="1"/>
  <c r="A113" i="5"/>
  <c r="P183" i="5" s="1"/>
  <c r="F123" i="5"/>
  <c r="I111" i="5"/>
  <c r="D23" i="13"/>
  <c r="BQ12" i="18" l="1"/>
  <c r="BU13" i="18"/>
  <c r="BV13" i="18" s="1"/>
  <c r="BW13" i="18" s="1"/>
  <c r="BO13" i="18"/>
  <c r="BP13" i="18" s="1"/>
  <c r="BR13" i="18" s="1"/>
  <c r="BN15" i="18"/>
  <c r="BS13" i="18"/>
  <c r="BT13" i="18" s="1"/>
  <c r="BQ12" i="19"/>
  <c r="BR12" i="19"/>
  <c r="BS13" i="19"/>
  <c r="BT13" i="19" s="1"/>
  <c r="BN15" i="19"/>
  <c r="BO13" i="19"/>
  <c r="BP13" i="19" s="1"/>
  <c r="BU13" i="19"/>
  <c r="BV13" i="19" s="1"/>
  <c r="BW13" i="19" s="1"/>
  <c r="AS19" i="5"/>
  <c r="AR19" i="5"/>
  <c r="AC20" i="5"/>
  <c r="AD19" i="5"/>
  <c r="AW19" i="5" s="1"/>
  <c r="AF19" i="5"/>
  <c r="AY19" i="5" s="1"/>
  <c r="BP14" i="12"/>
  <c r="BR14" i="12" s="1"/>
  <c r="BS16" i="12"/>
  <c r="BT16" i="12" s="1"/>
  <c r="BO16" i="12"/>
  <c r="BU16" i="12"/>
  <c r="BV16" i="12" s="1"/>
  <c r="BW16" i="12" s="1"/>
  <c r="BN18" i="12"/>
  <c r="A125" i="5"/>
  <c r="P185" i="5" s="1"/>
  <c r="F135" i="5"/>
  <c r="I123" i="5"/>
  <c r="W8" i="1"/>
  <c r="X8" i="1" s="1"/>
  <c r="V9" i="1"/>
  <c r="D24" i="13"/>
  <c r="BS15" i="18" l="1"/>
  <c r="BT15" i="18" s="1"/>
  <c r="BO15" i="18"/>
  <c r="BP15" i="18" s="1"/>
  <c r="BR15" i="18" s="1"/>
  <c r="BN17" i="18"/>
  <c r="BU15" i="18"/>
  <c r="BV15" i="18" s="1"/>
  <c r="BW15" i="18" s="1"/>
  <c r="BQ13" i="18"/>
  <c r="BR13" i="19"/>
  <c r="BS15" i="19"/>
  <c r="BT15" i="19" s="1"/>
  <c r="BO15" i="19"/>
  <c r="BP15" i="19" s="1"/>
  <c r="BN17" i="19"/>
  <c r="BU15" i="19"/>
  <c r="BV15" i="19" s="1"/>
  <c r="BW15" i="19" s="1"/>
  <c r="BQ13" i="19"/>
  <c r="AS20" i="5"/>
  <c r="AR20" i="5"/>
  <c r="AC21" i="5"/>
  <c r="AD20" i="5"/>
  <c r="AW20" i="5" s="1"/>
  <c r="AF20" i="5"/>
  <c r="AY20" i="5" s="1"/>
  <c r="BQ14" i="12"/>
  <c r="BP16" i="12"/>
  <c r="BR16" i="12" s="1"/>
  <c r="BO18" i="12"/>
  <c r="BS18" i="12"/>
  <c r="BT18" i="12" s="1"/>
  <c r="BU18" i="12"/>
  <c r="BV18" i="12" s="1"/>
  <c r="BW18" i="12" s="1"/>
  <c r="BN19" i="12"/>
  <c r="A137" i="5"/>
  <c r="P187" i="5" s="1"/>
  <c r="F147" i="5"/>
  <c r="I135" i="5"/>
  <c r="Y8" i="1"/>
  <c r="Z8" i="1" s="1"/>
  <c r="X9" i="1"/>
  <c r="D25" i="13"/>
  <c r="BR15" i="19" l="1"/>
  <c r="BQ15" i="18"/>
  <c r="BU17" i="18"/>
  <c r="BV17" i="18" s="1"/>
  <c r="BW17" i="18" s="1"/>
  <c r="BN18" i="18"/>
  <c r="BO17" i="18"/>
  <c r="BP17" i="18" s="1"/>
  <c r="BR17" i="18" s="1"/>
  <c r="BS17" i="18"/>
  <c r="BT17" i="18" s="1"/>
  <c r="BO17" i="19"/>
  <c r="BP17" i="19" s="1"/>
  <c r="BR17" i="19" s="1"/>
  <c r="BN18" i="19"/>
  <c r="BS17" i="19"/>
  <c r="BT17" i="19" s="1"/>
  <c r="BU17" i="19"/>
  <c r="BV17" i="19" s="1"/>
  <c r="BW17" i="19" s="1"/>
  <c r="BQ15" i="19"/>
  <c r="AS21" i="5"/>
  <c r="AR21" i="5"/>
  <c r="AF21" i="5"/>
  <c r="AY21" i="5" s="1"/>
  <c r="AD21" i="5"/>
  <c r="AW21" i="5" s="1"/>
  <c r="AC22" i="5"/>
  <c r="BQ16" i="12"/>
  <c r="BP18" i="12"/>
  <c r="BR18" i="12" s="1"/>
  <c r="BS19" i="12"/>
  <c r="BT19" i="12" s="1"/>
  <c r="BU19" i="12"/>
  <c r="BV19" i="12" s="1"/>
  <c r="BW19" i="12" s="1"/>
  <c r="BO19" i="12"/>
  <c r="BN20" i="12"/>
  <c r="AA8" i="1"/>
  <c r="B26" i="1" s="1"/>
  <c r="Z9" i="1"/>
  <c r="A149" i="5"/>
  <c r="P189" i="5" s="1"/>
  <c r="I147" i="5"/>
  <c r="F3" i="6"/>
  <c r="D26" i="13"/>
  <c r="BQ17" i="18" l="1"/>
  <c r="BO18" i="18"/>
  <c r="BP18" i="18" s="1"/>
  <c r="BR18" i="18" s="1"/>
  <c r="BU18" i="18"/>
  <c r="BV18" i="18" s="1"/>
  <c r="BW18" i="18" s="1"/>
  <c r="BN19" i="18"/>
  <c r="BS18" i="18"/>
  <c r="BT18" i="18" s="1"/>
  <c r="BQ17" i="19"/>
  <c r="BN19" i="19"/>
  <c r="BS18" i="19"/>
  <c r="BT18" i="19" s="1"/>
  <c r="BU18" i="19"/>
  <c r="BV18" i="19" s="1"/>
  <c r="BW18" i="19" s="1"/>
  <c r="BO18" i="19"/>
  <c r="BP18" i="19" s="1"/>
  <c r="BR18" i="19" s="1"/>
  <c r="AS22" i="5"/>
  <c r="AR22" i="5"/>
  <c r="AF22" i="5"/>
  <c r="AY22" i="5" s="1"/>
  <c r="AD22" i="5"/>
  <c r="AW22" i="5" s="1"/>
  <c r="AC23" i="5"/>
  <c r="BQ18" i="12"/>
  <c r="BP19" i="12"/>
  <c r="BR19" i="12" s="1"/>
  <c r="BU20" i="12"/>
  <c r="BV20" i="12" s="1"/>
  <c r="BW20" i="12" s="1"/>
  <c r="BS20" i="12"/>
  <c r="BT20" i="12" s="1"/>
  <c r="BO20" i="12"/>
  <c r="BN21" i="12"/>
  <c r="A5" i="6"/>
  <c r="P165" i="6" s="1"/>
  <c r="F15" i="6"/>
  <c r="I3" i="6"/>
  <c r="C26" i="1"/>
  <c r="D26" i="1" s="1"/>
  <c r="B27" i="1"/>
  <c r="D27" i="13"/>
  <c r="BQ18" i="18" l="1"/>
  <c r="BS19" i="18"/>
  <c r="BT19" i="18" s="1"/>
  <c r="BO19" i="18"/>
  <c r="BP19" i="18" s="1"/>
  <c r="BR19" i="18" s="1"/>
  <c r="BU19" i="18"/>
  <c r="BV19" i="18" s="1"/>
  <c r="BW19" i="18" s="1"/>
  <c r="BN20" i="18"/>
  <c r="BQ18" i="19"/>
  <c r="BN20" i="19"/>
  <c r="BS19" i="19"/>
  <c r="BT19" i="19" s="1"/>
  <c r="BO19" i="19"/>
  <c r="BP19" i="19" s="1"/>
  <c r="BR19" i="19" s="1"/>
  <c r="BU19" i="19"/>
  <c r="BV19" i="19" s="1"/>
  <c r="BW19" i="19" s="1"/>
  <c r="AF23" i="5"/>
  <c r="AY23" i="5" s="1"/>
  <c r="AY25" i="5" s="1"/>
  <c r="AY27" i="5" s="1"/>
  <c r="AY29" i="5" s="1"/>
  <c r="AD23" i="5"/>
  <c r="AW23" i="5" s="1"/>
  <c r="AW25" i="5" s="1"/>
  <c r="AW27" i="5" s="1"/>
  <c r="AW29" i="5" s="1"/>
  <c r="AC24" i="5"/>
  <c r="BQ19" i="12"/>
  <c r="BP20" i="12"/>
  <c r="BR20" i="12" s="1"/>
  <c r="BU21" i="12"/>
  <c r="BV21" i="12" s="1"/>
  <c r="BW21" i="12" s="1"/>
  <c r="BO21" i="12"/>
  <c r="BS21" i="12"/>
  <c r="BT21" i="12" s="1"/>
  <c r="BN22" i="12"/>
  <c r="E26" i="1"/>
  <c r="F26" i="1" s="1"/>
  <c r="D27" i="1"/>
  <c r="A17" i="6"/>
  <c r="P167" i="6" s="1"/>
  <c r="F27" i="6"/>
  <c r="I15" i="6"/>
  <c r="D28" i="13"/>
  <c r="BQ19" i="18" l="1"/>
  <c r="BO20" i="18"/>
  <c r="BP20" i="18" s="1"/>
  <c r="BR20" i="18" s="1"/>
  <c r="BS20" i="18"/>
  <c r="BT20" i="18" s="1"/>
  <c r="BU20" i="18"/>
  <c r="BV20" i="18" s="1"/>
  <c r="BW20" i="18" s="1"/>
  <c r="BN21" i="18"/>
  <c r="BN21" i="19"/>
  <c r="BS20" i="19"/>
  <c r="BT20" i="19" s="1"/>
  <c r="BU20" i="19"/>
  <c r="BV20" i="19" s="1"/>
  <c r="BW20" i="19" s="1"/>
  <c r="BO20" i="19"/>
  <c r="BP20" i="19" s="1"/>
  <c r="BR20" i="19" s="1"/>
  <c r="BQ19" i="19"/>
  <c r="AC30" i="5"/>
  <c r="AF24" i="5"/>
  <c r="AY24" i="5" s="1"/>
  <c r="AY26" i="5" s="1"/>
  <c r="AY28" i="5" s="1"/>
  <c r="AD24" i="5"/>
  <c r="AW24" i="5" s="1"/>
  <c r="AW26" i="5" s="1"/>
  <c r="AW28" i="5" s="1"/>
  <c r="BQ20" i="12"/>
  <c r="BP21" i="12"/>
  <c r="BR21" i="12" s="1"/>
  <c r="BU22" i="12"/>
  <c r="BV22" i="12" s="1"/>
  <c r="BW22" i="12" s="1"/>
  <c r="BO22" i="12"/>
  <c r="BS22" i="12"/>
  <c r="BT22" i="12" s="1"/>
  <c r="BN23" i="12"/>
  <c r="A29" i="6"/>
  <c r="P169" i="6" s="1"/>
  <c r="I27" i="6"/>
  <c r="F39" i="6"/>
  <c r="G26" i="1"/>
  <c r="H26" i="1" s="1"/>
  <c r="F27" i="1"/>
  <c r="D29" i="13"/>
  <c r="BQ20" i="18" l="1"/>
  <c r="BU21" i="18"/>
  <c r="BV21" i="18" s="1"/>
  <c r="BW21" i="18" s="1"/>
  <c r="BS21" i="18"/>
  <c r="BT21" i="18" s="1"/>
  <c r="BN22" i="18"/>
  <c r="BO21" i="18"/>
  <c r="BP21" i="18" s="1"/>
  <c r="BR21" i="18" s="1"/>
  <c r="BQ20" i="19"/>
  <c r="BO21" i="19"/>
  <c r="BP21" i="19" s="1"/>
  <c r="BR21" i="19" s="1"/>
  <c r="BN22" i="19"/>
  <c r="BS21" i="19"/>
  <c r="BT21" i="19" s="1"/>
  <c r="BU21" i="19"/>
  <c r="BV21" i="19" s="1"/>
  <c r="BW21" i="19" s="1"/>
  <c r="AS30" i="5"/>
  <c r="AR30" i="5"/>
  <c r="AC31" i="5"/>
  <c r="AD30" i="5"/>
  <c r="AW30" i="5" s="1"/>
  <c r="AF30" i="5"/>
  <c r="AY30" i="5" s="1"/>
  <c r="BQ21" i="12"/>
  <c r="BP22" i="12"/>
  <c r="BR22" i="12" s="1"/>
  <c r="BU23" i="12"/>
  <c r="BV23" i="12" s="1"/>
  <c r="BW23" i="12" s="1"/>
  <c r="BO23" i="12"/>
  <c r="BS23" i="12"/>
  <c r="BT23" i="12" s="1"/>
  <c r="BN24" i="12"/>
  <c r="I26" i="1"/>
  <c r="J26" i="1" s="1"/>
  <c r="H27" i="1"/>
  <c r="A41" i="6"/>
  <c r="P171" i="6" s="1"/>
  <c r="I39" i="6"/>
  <c r="F51" i="6"/>
  <c r="D30" i="13"/>
  <c r="BO22" i="18" l="1"/>
  <c r="BP22" i="18" s="1"/>
  <c r="BR22" i="18" s="1"/>
  <c r="BS22" i="18"/>
  <c r="BT22" i="18" s="1"/>
  <c r="BU22" i="18"/>
  <c r="BV22" i="18" s="1"/>
  <c r="BW22" i="18" s="1"/>
  <c r="BN23" i="18"/>
  <c r="BQ21" i="18"/>
  <c r="BQ21" i="19"/>
  <c r="BN23" i="19"/>
  <c r="BS22" i="19"/>
  <c r="BT22" i="19" s="1"/>
  <c r="BU22" i="19"/>
  <c r="BV22" i="19" s="1"/>
  <c r="BW22" i="19" s="1"/>
  <c r="BO22" i="19"/>
  <c r="BP22" i="19" s="1"/>
  <c r="BR22" i="19" s="1"/>
  <c r="AS31" i="5"/>
  <c r="AR31" i="5"/>
  <c r="AC32" i="5"/>
  <c r="AF31" i="5"/>
  <c r="AY31" i="5" s="1"/>
  <c r="AD31" i="5"/>
  <c r="AW31" i="5" s="1"/>
  <c r="BQ22" i="12"/>
  <c r="BP23" i="12"/>
  <c r="BR23" i="12" s="1"/>
  <c r="BO24" i="12"/>
  <c r="BU24" i="12"/>
  <c r="BV24" i="12" s="1"/>
  <c r="BW24" i="12" s="1"/>
  <c r="BS24" i="12"/>
  <c r="BT24" i="12" s="1"/>
  <c r="BN25" i="12"/>
  <c r="A53" i="6"/>
  <c r="P173" i="6" s="1"/>
  <c r="F63" i="6"/>
  <c r="I51" i="6"/>
  <c r="K26" i="1"/>
  <c r="L26" i="1" s="1"/>
  <c r="J27" i="1"/>
  <c r="D31" i="13"/>
  <c r="BU23" i="18" l="1"/>
  <c r="BV23" i="18" s="1"/>
  <c r="BW23" i="18" s="1"/>
  <c r="BO23" i="18"/>
  <c r="BP23" i="18" s="1"/>
  <c r="BR23" i="18" s="1"/>
  <c r="BN24" i="18"/>
  <c r="BS23" i="18"/>
  <c r="BT23" i="18" s="1"/>
  <c r="BQ22" i="18"/>
  <c r="BQ22" i="19"/>
  <c r="BN24" i="19"/>
  <c r="BS23" i="19"/>
  <c r="BT23" i="19" s="1"/>
  <c r="BU23" i="19"/>
  <c r="BV23" i="19" s="1"/>
  <c r="BW23" i="19" s="1"/>
  <c r="BO23" i="19"/>
  <c r="BP23" i="19" s="1"/>
  <c r="BR23" i="19" s="1"/>
  <c r="AS32" i="5"/>
  <c r="AR32" i="5"/>
  <c r="AC33" i="5"/>
  <c r="AF32" i="5"/>
  <c r="AY32" i="5" s="1"/>
  <c r="AD32" i="5"/>
  <c r="AW32" i="5" s="1"/>
  <c r="BQ23" i="12"/>
  <c r="BP24" i="12"/>
  <c r="BR24" i="12" s="1"/>
  <c r="BO25" i="12"/>
  <c r="BS25" i="12"/>
  <c r="BT25" i="12" s="1"/>
  <c r="BU25" i="12"/>
  <c r="BV25" i="12" s="1"/>
  <c r="BW25" i="12" s="1"/>
  <c r="BN26" i="12"/>
  <c r="M26" i="1"/>
  <c r="N26" i="1" s="1"/>
  <c r="L27" i="1"/>
  <c r="A65" i="6"/>
  <c r="P175" i="6" s="1"/>
  <c r="F75" i="6"/>
  <c r="I63" i="6"/>
  <c r="D32" i="13"/>
  <c r="BQ23" i="18" l="1"/>
  <c r="BO24" i="18"/>
  <c r="BP24" i="18" s="1"/>
  <c r="BR24" i="18" s="1"/>
  <c r="BN25" i="18"/>
  <c r="BS24" i="18"/>
  <c r="BT24" i="18" s="1"/>
  <c r="BU24" i="18"/>
  <c r="BV24" i="18" s="1"/>
  <c r="BW24" i="18" s="1"/>
  <c r="BQ23" i="19"/>
  <c r="BU24" i="19"/>
  <c r="BV24" i="19" s="1"/>
  <c r="BW24" i="19" s="1"/>
  <c r="BO24" i="19"/>
  <c r="BP24" i="19" s="1"/>
  <c r="BR24" i="19" s="1"/>
  <c r="BN25" i="19"/>
  <c r="BS24" i="19"/>
  <c r="BT24" i="19" s="1"/>
  <c r="AS33" i="5"/>
  <c r="AR33" i="5"/>
  <c r="AC34" i="5"/>
  <c r="AD33" i="5"/>
  <c r="AW33" i="5" s="1"/>
  <c r="AF33" i="5"/>
  <c r="AY33" i="5" s="1"/>
  <c r="BQ24" i="12"/>
  <c r="BP25" i="12"/>
  <c r="BR25" i="12" s="1"/>
  <c r="BU26" i="12"/>
  <c r="BV26" i="12" s="1"/>
  <c r="BW26" i="12" s="1"/>
  <c r="BO26" i="12"/>
  <c r="BS26" i="12"/>
  <c r="BT26" i="12" s="1"/>
  <c r="BN27" i="12"/>
  <c r="A77" i="6"/>
  <c r="P177" i="6" s="1"/>
  <c r="I75" i="6"/>
  <c r="F87" i="6"/>
  <c r="O26" i="1"/>
  <c r="P26" i="1" s="1"/>
  <c r="N27" i="1"/>
  <c r="D33" i="13"/>
  <c r="BS25" i="18" l="1"/>
  <c r="BT25" i="18" s="1"/>
  <c r="BN26" i="18"/>
  <c r="BU25" i="18"/>
  <c r="BV25" i="18" s="1"/>
  <c r="BW25" i="18" s="1"/>
  <c r="BO25" i="18"/>
  <c r="BP25" i="18" s="1"/>
  <c r="BR25" i="18" s="1"/>
  <c r="BQ24" i="18"/>
  <c r="BS25" i="19"/>
  <c r="BT25" i="19" s="1"/>
  <c r="BO25" i="19"/>
  <c r="BP25" i="19" s="1"/>
  <c r="BR25" i="19" s="1"/>
  <c r="BN26" i="19"/>
  <c r="BU25" i="19"/>
  <c r="BV25" i="19" s="1"/>
  <c r="BW25" i="19" s="1"/>
  <c r="BQ24" i="19"/>
  <c r="AS34" i="5"/>
  <c r="AR34" i="5"/>
  <c r="AF34" i="5"/>
  <c r="AY34" i="5" s="1"/>
  <c r="AD34" i="5"/>
  <c r="AW34" i="5" s="1"/>
  <c r="AC35" i="5"/>
  <c r="BQ25" i="12"/>
  <c r="BP26" i="12"/>
  <c r="BR26" i="12" s="1"/>
  <c r="BS27" i="12"/>
  <c r="BT27" i="12" s="1"/>
  <c r="BO27" i="12"/>
  <c r="BU27" i="12"/>
  <c r="BV27" i="12" s="1"/>
  <c r="BW27" i="12" s="1"/>
  <c r="BN28" i="12"/>
  <c r="Q26" i="1"/>
  <c r="R26" i="1" s="1"/>
  <c r="P27" i="1"/>
  <c r="A89" i="6"/>
  <c r="P179" i="6" s="1"/>
  <c r="F99" i="6"/>
  <c r="I87" i="6"/>
  <c r="D34" i="13"/>
  <c r="BS26" i="18" l="1"/>
  <c r="BT26" i="18" s="1"/>
  <c r="BN27" i="18"/>
  <c r="BU26" i="18"/>
  <c r="BV26" i="18" s="1"/>
  <c r="BW26" i="18" s="1"/>
  <c r="BO26" i="18"/>
  <c r="BP26" i="18" s="1"/>
  <c r="BR26" i="18" s="1"/>
  <c r="BQ25" i="18"/>
  <c r="BQ25" i="19"/>
  <c r="BN27" i="19"/>
  <c r="BU26" i="19"/>
  <c r="BV26" i="19" s="1"/>
  <c r="BW26" i="19" s="1"/>
  <c r="BO26" i="19"/>
  <c r="BP26" i="19" s="1"/>
  <c r="BR26" i="19" s="1"/>
  <c r="BS26" i="19"/>
  <c r="BT26" i="19" s="1"/>
  <c r="AD35" i="5"/>
  <c r="AW35" i="5" s="1"/>
  <c r="AW37" i="5" s="1"/>
  <c r="AW39" i="5" s="1"/>
  <c r="AW41" i="5" s="1"/>
  <c r="AC36" i="5"/>
  <c r="AF35" i="5"/>
  <c r="AY35" i="5" s="1"/>
  <c r="AY37" i="5" s="1"/>
  <c r="AY39" i="5" s="1"/>
  <c r="AY41" i="5" s="1"/>
  <c r="BQ26" i="12"/>
  <c r="BP27" i="12"/>
  <c r="BR27" i="12" s="1"/>
  <c r="BU28" i="12"/>
  <c r="BV28" i="12" s="1"/>
  <c r="BW28" i="12" s="1"/>
  <c r="BO28" i="12"/>
  <c r="BS28" i="12"/>
  <c r="BT28" i="12" s="1"/>
  <c r="BN29" i="12"/>
  <c r="S26" i="1"/>
  <c r="T26" i="1" s="1"/>
  <c r="R27" i="1"/>
  <c r="A101" i="6"/>
  <c r="P181" i="6" s="1"/>
  <c r="F111" i="6"/>
  <c r="I99" i="6"/>
  <c r="D35" i="13"/>
  <c r="BQ26" i="18" l="1"/>
  <c r="BO27" i="18"/>
  <c r="BP27" i="18" s="1"/>
  <c r="BR27" i="18" s="1"/>
  <c r="BU27" i="18"/>
  <c r="BV27" i="18" s="1"/>
  <c r="BW27" i="18" s="1"/>
  <c r="BN28" i="18"/>
  <c r="BS27" i="18"/>
  <c r="BT27" i="18" s="1"/>
  <c r="BQ26" i="19"/>
  <c r="BS27" i="19"/>
  <c r="BT27" i="19" s="1"/>
  <c r="BO27" i="19"/>
  <c r="BP27" i="19" s="1"/>
  <c r="BR27" i="19" s="1"/>
  <c r="BU27" i="19"/>
  <c r="BV27" i="19" s="1"/>
  <c r="BW27" i="19" s="1"/>
  <c r="BN28" i="19"/>
  <c r="AC42" i="5"/>
  <c r="AF36" i="5"/>
  <c r="AY36" i="5" s="1"/>
  <c r="AY38" i="5" s="1"/>
  <c r="AY40" i="5" s="1"/>
  <c r="AD36" i="5"/>
  <c r="AW36" i="5" s="1"/>
  <c r="AW38" i="5" s="1"/>
  <c r="AW40" i="5" s="1"/>
  <c r="BQ27" i="12"/>
  <c r="BP28" i="12"/>
  <c r="BR28" i="12" s="1"/>
  <c r="BU29" i="12"/>
  <c r="BV29" i="12" s="1"/>
  <c r="BW29" i="12" s="1"/>
  <c r="BO29" i="12"/>
  <c r="BS29" i="12"/>
  <c r="BT29" i="12" s="1"/>
  <c r="BN30" i="12"/>
  <c r="A113" i="6"/>
  <c r="P183" i="6" s="1"/>
  <c r="I111" i="6"/>
  <c r="F123" i="6"/>
  <c r="U26" i="1"/>
  <c r="V26" i="1" s="1"/>
  <c r="T27" i="1"/>
  <c r="D36" i="13"/>
  <c r="BQ27" i="18" l="1"/>
  <c r="BO28" i="18"/>
  <c r="BP28" i="18" s="1"/>
  <c r="BR28" i="18" s="1"/>
  <c r="BS28" i="18"/>
  <c r="BT28" i="18" s="1"/>
  <c r="BU28" i="18"/>
  <c r="BV28" i="18" s="1"/>
  <c r="BW28" i="18" s="1"/>
  <c r="BN29" i="18"/>
  <c r="BS28" i="19"/>
  <c r="BT28" i="19" s="1"/>
  <c r="BO28" i="19"/>
  <c r="BP28" i="19" s="1"/>
  <c r="BR28" i="19" s="1"/>
  <c r="BN29" i="19"/>
  <c r="BU28" i="19"/>
  <c r="BV28" i="19" s="1"/>
  <c r="BW28" i="19" s="1"/>
  <c r="BQ27" i="19"/>
  <c r="AS42" i="5"/>
  <c r="AR42" i="5"/>
  <c r="AC43" i="5"/>
  <c r="AF42" i="5"/>
  <c r="AY42" i="5" s="1"/>
  <c r="AD42" i="5"/>
  <c r="AW42" i="5" s="1"/>
  <c r="BQ28" i="12"/>
  <c r="BP29" i="12"/>
  <c r="BR29" i="12" s="1"/>
  <c r="BO30" i="12"/>
  <c r="BU30" i="12"/>
  <c r="BV30" i="12" s="1"/>
  <c r="BW30" i="12" s="1"/>
  <c r="BS30" i="12"/>
  <c r="BT30" i="12" s="1"/>
  <c r="BN31" i="12"/>
  <c r="W26" i="1"/>
  <c r="X26" i="1" s="1"/>
  <c r="V27" i="1"/>
  <c r="A125" i="6"/>
  <c r="P185" i="6" s="1"/>
  <c r="F135" i="6"/>
  <c r="I123" i="6"/>
  <c r="D37" i="13"/>
  <c r="BQ28" i="18" l="1"/>
  <c r="BN30" i="18"/>
  <c r="BO29" i="18"/>
  <c r="BP29" i="18" s="1"/>
  <c r="BR29" i="18" s="1"/>
  <c r="BU29" i="18"/>
  <c r="BV29" i="18" s="1"/>
  <c r="BW29" i="18" s="1"/>
  <c r="BS29" i="18"/>
  <c r="BT29" i="18" s="1"/>
  <c r="BQ28" i="19"/>
  <c r="BN30" i="19"/>
  <c r="BS29" i="19"/>
  <c r="BT29" i="19" s="1"/>
  <c r="BU29" i="19"/>
  <c r="BV29" i="19" s="1"/>
  <c r="BW29" i="19" s="1"/>
  <c r="BO29" i="19"/>
  <c r="BP29" i="19" s="1"/>
  <c r="BR29" i="19" s="1"/>
  <c r="AS43" i="5"/>
  <c r="AR43" i="5"/>
  <c r="AC44" i="5"/>
  <c r="AF43" i="5"/>
  <c r="AY43" i="5" s="1"/>
  <c r="AD43" i="5"/>
  <c r="AW43" i="5" s="1"/>
  <c r="BQ29" i="12"/>
  <c r="BP30" i="12"/>
  <c r="BR30" i="12" s="1"/>
  <c r="BO31" i="12"/>
  <c r="BP31" i="12" s="1"/>
  <c r="BU31" i="12"/>
  <c r="BV31" i="12" s="1"/>
  <c r="BW31" i="12" s="1"/>
  <c r="BS31" i="12"/>
  <c r="BT31" i="12" s="1"/>
  <c r="BN32" i="12"/>
  <c r="Y26" i="1"/>
  <c r="Z26" i="1" s="1"/>
  <c r="X27" i="1"/>
  <c r="A137" i="6"/>
  <c r="P187" i="6" s="1"/>
  <c r="I135" i="6"/>
  <c r="F147" i="6"/>
  <c r="D38" i="13"/>
  <c r="BN31" i="18" l="1"/>
  <c r="BS30" i="18"/>
  <c r="BT30" i="18" s="1"/>
  <c r="BO30" i="18"/>
  <c r="BP30" i="18" s="1"/>
  <c r="BR30" i="18" s="1"/>
  <c r="BU30" i="18"/>
  <c r="BV30" i="18" s="1"/>
  <c r="BW30" i="18" s="1"/>
  <c r="BQ29" i="18"/>
  <c r="BO30" i="19"/>
  <c r="BP30" i="19" s="1"/>
  <c r="BR30" i="19" s="1"/>
  <c r="BU30" i="19"/>
  <c r="BV30" i="19" s="1"/>
  <c r="BW30" i="19" s="1"/>
  <c r="BS30" i="19"/>
  <c r="BT30" i="19" s="1"/>
  <c r="BN31" i="19"/>
  <c r="BQ29" i="19"/>
  <c r="AS44" i="5"/>
  <c r="AR44" i="5"/>
  <c r="AC45" i="5"/>
  <c r="AF44" i="5"/>
  <c r="AY44" i="5" s="1"/>
  <c r="AD44" i="5"/>
  <c r="AW44" i="5" s="1"/>
  <c r="BQ30" i="12"/>
  <c r="BQ31" i="12"/>
  <c r="BR31" i="12"/>
  <c r="BO32" i="12"/>
  <c r="BU32" i="12"/>
  <c r="BV32" i="12" s="1"/>
  <c r="BW32" i="12" s="1"/>
  <c r="BS32" i="12"/>
  <c r="BT32" i="12" s="1"/>
  <c r="BN33" i="12"/>
  <c r="A149" i="6"/>
  <c r="P189" i="6" s="1"/>
  <c r="I147" i="6"/>
  <c r="F3" i="7"/>
  <c r="AA26" i="1"/>
  <c r="B44" i="1" s="1"/>
  <c r="Z27" i="1"/>
  <c r="D39" i="13"/>
  <c r="BQ30" i="18" l="1"/>
  <c r="BU31" i="18"/>
  <c r="BV31" i="18" s="1"/>
  <c r="BW31" i="18" s="1"/>
  <c r="BS31" i="18"/>
  <c r="BT31" i="18" s="1"/>
  <c r="BN32" i="18"/>
  <c r="BO31" i="18"/>
  <c r="BP31" i="18" s="1"/>
  <c r="BR31" i="18" s="1"/>
  <c r="BQ30" i="19"/>
  <c r="BN32" i="19"/>
  <c r="BU31" i="19"/>
  <c r="BV31" i="19" s="1"/>
  <c r="BW31" i="19" s="1"/>
  <c r="BO31" i="19"/>
  <c r="BP31" i="19" s="1"/>
  <c r="BR31" i="19" s="1"/>
  <c r="BS31" i="19"/>
  <c r="BT31" i="19" s="1"/>
  <c r="AS45" i="5"/>
  <c r="AR45" i="5"/>
  <c r="AC46" i="5"/>
  <c r="AF45" i="5"/>
  <c r="AY45" i="5" s="1"/>
  <c r="AD45" i="5"/>
  <c r="AW45" i="5" s="1"/>
  <c r="C44" i="1"/>
  <c r="D44" i="1" s="1"/>
  <c r="B45" i="1"/>
  <c r="BP32" i="12"/>
  <c r="BR32" i="12" s="1"/>
  <c r="BU33" i="12"/>
  <c r="BV33" i="12" s="1"/>
  <c r="BW33" i="12" s="1"/>
  <c r="BO33" i="12"/>
  <c r="BS33" i="12"/>
  <c r="BT33" i="12" s="1"/>
  <c r="BN34" i="12"/>
  <c r="A5" i="7"/>
  <c r="P177" i="7" s="1"/>
  <c r="I3" i="7"/>
  <c r="F15" i="7"/>
  <c r="D40" i="13"/>
  <c r="BQ31" i="18" l="1"/>
  <c r="BO32" i="18"/>
  <c r="BP32" i="18" s="1"/>
  <c r="BR32" i="18" s="1"/>
  <c r="BU32" i="18"/>
  <c r="BV32" i="18" s="1"/>
  <c r="BW32" i="18" s="1"/>
  <c r="BS32" i="18"/>
  <c r="BT32" i="18" s="1"/>
  <c r="BN33" i="18"/>
  <c r="BQ31" i="19"/>
  <c r="BN33" i="19"/>
  <c r="BS32" i="19"/>
  <c r="BT32" i="19" s="1"/>
  <c r="BO32" i="19"/>
  <c r="BP32" i="19" s="1"/>
  <c r="BR32" i="19" s="1"/>
  <c r="BU32" i="19"/>
  <c r="BV32" i="19" s="1"/>
  <c r="BW32" i="19" s="1"/>
  <c r="AS46" i="5"/>
  <c r="AR46" i="5"/>
  <c r="AD46" i="5"/>
  <c r="AW46" i="5" s="1"/>
  <c r="AC47" i="5"/>
  <c r="AF46" i="5"/>
  <c r="AY46" i="5" s="1"/>
  <c r="E44" i="1"/>
  <c r="F44" i="1" s="1"/>
  <c r="D45" i="1"/>
  <c r="BQ32" i="12"/>
  <c r="BP33" i="12"/>
  <c r="BQ33" i="12" s="1"/>
  <c r="BU34" i="12"/>
  <c r="BV34" i="12" s="1"/>
  <c r="BW34" i="12" s="1"/>
  <c r="BS34" i="12"/>
  <c r="BT34" i="12" s="1"/>
  <c r="BO34" i="12"/>
  <c r="BN35" i="12"/>
  <c r="A17" i="7"/>
  <c r="P179" i="7" s="1"/>
  <c r="I15" i="7"/>
  <c r="F27" i="7"/>
  <c r="D41" i="13"/>
  <c r="BQ32" i="18" l="1"/>
  <c r="BS33" i="18"/>
  <c r="BT33" i="18" s="1"/>
  <c r="BU33" i="18"/>
  <c r="BV33" i="18" s="1"/>
  <c r="BW33" i="18" s="1"/>
  <c r="BO33" i="18"/>
  <c r="BP33" i="18" s="1"/>
  <c r="BR33" i="18" s="1"/>
  <c r="BN34" i="18"/>
  <c r="BQ32" i="19"/>
  <c r="BO33" i="19"/>
  <c r="BP33" i="19" s="1"/>
  <c r="BR33" i="19" s="1"/>
  <c r="BU33" i="19"/>
  <c r="BV33" i="19" s="1"/>
  <c r="BW33" i="19" s="1"/>
  <c r="BN34" i="19"/>
  <c r="BS33" i="19"/>
  <c r="BT33" i="19" s="1"/>
  <c r="AF47" i="5"/>
  <c r="AY47" i="5" s="1"/>
  <c r="AY49" i="5" s="1"/>
  <c r="AY51" i="5" s="1"/>
  <c r="AY53" i="5" s="1"/>
  <c r="AD47" i="5"/>
  <c r="AW47" i="5" s="1"/>
  <c r="AW49" i="5" s="1"/>
  <c r="AW51" i="5" s="1"/>
  <c r="AW53" i="5" s="1"/>
  <c r="AC48" i="5"/>
  <c r="G44" i="1"/>
  <c r="H44" i="1" s="1"/>
  <c r="F45" i="1"/>
  <c r="BR33" i="12"/>
  <c r="BP34" i="12"/>
  <c r="BO35" i="12"/>
  <c r="BP35" i="12" s="1"/>
  <c r="BU35" i="12"/>
  <c r="BV35" i="12" s="1"/>
  <c r="BW35" i="12" s="1"/>
  <c r="BS35" i="12"/>
  <c r="BT35" i="12" s="1"/>
  <c r="BN36" i="12"/>
  <c r="A29" i="7"/>
  <c r="P181" i="7" s="1"/>
  <c r="I27" i="7"/>
  <c r="F39" i="7"/>
  <c r="D42" i="13"/>
  <c r="BQ33" i="18" l="1"/>
  <c r="BN35" i="18"/>
  <c r="BU34" i="18"/>
  <c r="BV34" i="18" s="1"/>
  <c r="BW34" i="18" s="1"/>
  <c r="BS34" i="18"/>
  <c r="BT34" i="18" s="1"/>
  <c r="BO34" i="18"/>
  <c r="BP34" i="18" s="1"/>
  <c r="BR34" i="18" s="1"/>
  <c r="BQ33" i="19"/>
  <c r="BN35" i="19"/>
  <c r="BU34" i="19"/>
  <c r="BV34" i="19" s="1"/>
  <c r="BW34" i="19" s="1"/>
  <c r="BS34" i="19"/>
  <c r="BT34" i="19" s="1"/>
  <c r="BO34" i="19"/>
  <c r="BP34" i="19" s="1"/>
  <c r="BR34" i="19" s="1"/>
  <c r="AC54" i="5"/>
  <c r="AF48" i="5"/>
  <c r="AY48" i="5" s="1"/>
  <c r="AY50" i="5" s="1"/>
  <c r="AY52" i="5" s="1"/>
  <c r="AD48" i="5"/>
  <c r="AW48" i="5" s="1"/>
  <c r="AW50" i="5" s="1"/>
  <c r="AW52" i="5" s="1"/>
  <c r="I44" i="1"/>
  <c r="J44" i="1" s="1"/>
  <c r="H45" i="1"/>
  <c r="BR34" i="12"/>
  <c r="BR35" i="12" s="1"/>
  <c r="BQ34" i="12"/>
  <c r="BQ35" i="12"/>
  <c r="BU36" i="12"/>
  <c r="BV36" i="12" s="1"/>
  <c r="BW36" i="12" s="1"/>
  <c r="BS36" i="12"/>
  <c r="BT36" i="12" s="1"/>
  <c r="BO36" i="12"/>
  <c r="BP36" i="12" s="1"/>
  <c r="BN37" i="12"/>
  <c r="A41" i="7"/>
  <c r="P183" i="7" s="1"/>
  <c r="I39" i="7"/>
  <c r="F51" i="7"/>
  <c r="D43" i="13"/>
  <c r="BQ34" i="18" l="1"/>
  <c r="BN36" i="18"/>
  <c r="BO35" i="18"/>
  <c r="BP35" i="18" s="1"/>
  <c r="BR35" i="18" s="1"/>
  <c r="BS35" i="18"/>
  <c r="BT35" i="18" s="1"/>
  <c r="BU35" i="18"/>
  <c r="BV35" i="18" s="1"/>
  <c r="BW35" i="18" s="1"/>
  <c r="BQ34" i="19"/>
  <c r="BS35" i="19"/>
  <c r="BT35" i="19" s="1"/>
  <c r="BN36" i="19"/>
  <c r="BO35" i="19"/>
  <c r="BP35" i="19" s="1"/>
  <c r="BR35" i="19" s="1"/>
  <c r="BU35" i="19"/>
  <c r="BV35" i="19" s="1"/>
  <c r="BW35" i="19" s="1"/>
  <c r="AS54" i="5"/>
  <c r="AR54" i="5"/>
  <c r="AC55" i="5"/>
  <c r="AF54" i="5"/>
  <c r="AY54" i="5" s="1"/>
  <c r="AD54" i="5"/>
  <c r="AW54" i="5" s="1"/>
  <c r="J45" i="1"/>
  <c r="K44" i="1"/>
  <c r="L44" i="1" s="1"/>
  <c r="BQ36" i="12"/>
  <c r="BU37" i="12"/>
  <c r="BV37" i="12" s="1"/>
  <c r="BW37" i="12" s="1"/>
  <c r="BO37" i="12"/>
  <c r="BP37" i="12" s="1"/>
  <c r="BS37" i="12"/>
  <c r="BT37" i="12" s="1"/>
  <c r="BN38" i="12"/>
  <c r="BR36" i="12"/>
  <c r="A53" i="7"/>
  <c r="P185" i="7" s="1"/>
  <c r="I51" i="7"/>
  <c r="F63" i="7"/>
  <c r="D44" i="13"/>
  <c r="BQ35" i="18" l="1"/>
  <c r="BU36" i="18"/>
  <c r="BV36" i="18" s="1"/>
  <c r="BW36" i="18" s="1"/>
  <c r="BS36" i="18"/>
  <c r="BT36" i="18" s="1"/>
  <c r="BN37" i="18"/>
  <c r="BO36" i="18"/>
  <c r="BP36" i="18" s="1"/>
  <c r="BR36" i="18" s="1"/>
  <c r="BO36" i="19"/>
  <c r="BP36" i="19" s="1"/>
  <c r="BR36" i="19" s="1"/>
  <c r="BU36" i="19"/>
  <c r="BV36" i="19" s="1"/>
  <c r="BW36" i="19" s="1"/>
  <c r="BN37" i="19"/>
  <c r="BS36" i="19"/>
  <c r="BT36" i="19" s="1"/>
  <c r="BQ35" i="19"/>
  <c r="AR55" i="5"/>
  <c r="AS55" i="5"/>
  <c r="AC56" i="5"/>
  <c r="AD55" i="5"/>
  <c r="AW55" i="5" s="1"/>
  <c r="AF55" i="5"/>
  <c r="AY55" i="5" s="1"/>
  <c r="L45" i="1"/>
  <c r="M44" i="1"/>
  <c r="N44" i="1" s="1"/>
  <c r="BR37" i="12"/>
  <c r="BQ37" i="12"/>
  <c r="BU38" i="12"/>
  <c r="BV38" i="12" s="1"/>
  <c r="BW38" i="12" s="1"/>
  <c r="BS38" i="12"/>
  <c r="BT38" i="12" s="1"/>
  <c r="BO38" i="12"/>
  <c r="BP38" i="12" s="1"/>
  <c r="BN39" i="12"/>
  <c r="A65" i="7"/>
  <c r="P187" i="7" s="1"/>
  <c r="F75" i="7"/>
  <c r="I63" i="7"/>
  <c r="D45" i="13"/>
  <c r="BU37" i="18" l="1"/>
  <c r="BV37" i="18" s="1"/>
  <c r="BW37" i="18" s="1"/>
  <c r="BS37" i="18"/>
  <c r="BT37" i="18" s="1"/>
  <c r="BO37" i="18"/>
  <c r="BP37" i="18" s="1"/>
  <c r="BR37" i="18" s="1"/>
  <c r="BN38" i="18"/>
  <c r="BQ36" i="18"/>
  <c r="BQ36" i="19"/>
  <c r="BN38" i="19"/>
  <c r="BO37" i="19"/>
  <c r="BP37" i="19" s="1"/>
  <c r="BR37" i="19" s="1"/>
  <c r="BU37" i="19"/>
  <c r="BV37" i="19" s="1"/>
  <c r="BW37" i="19" s="1"/>
  <c r="BS37" i="19"/>
  <c r="BT37" i="19" s="1"/>
  <c r="AS56" i="5"/>
  <c r="AR56" i="5"/>
  <c r="AF56" i="5"/>
  <c r="AY56" i="5" s="1"/>
  <c r="AC57" i="5"/>
  <c r="AD56" i="5"/>
  <c r="AW56" i="5" s="1"/>
  <c r="O44" i="1"/>
  <c r="P44" i="1" s="1"/>
  <c r="N45" i="1"/>
  <c r="BQ38" i="12"/>
  <c r="BR38" i="12"/>
  <c r="BU39" i="12"/>
  <c r="BV39" i="12" s="1"/>
  <c r="BW39" i="12" s="1"/>
  <c r="BS39" i="12"/>
  <c r="BT39" i="12" s="1"/>
  <c r="BO39" i="12"/>
  <c r="BN40" i="12"/>
  <c r="A77" i="7"/>
  <c r="P189" i="7" s="1"/>
  <c r="I75" i="7"/>
  <c r="F87" i="7"/>
  <c r="D46" i="13"/>
  <c r="BQ37" i="18" l="1"/>
  <c r="BO38" i="18"/>
  <c r="BP38" i="18" s="1"/>
  <c r="BR38" i="18" s="1"/>
  <c r="BS38" i="18"/>
  <c r="BT38" i="18" s="1"/>
  <c r="BU38" i="18"/>
  <c r="BV38" i="18" s="1"/>
  <c r="BW38" i="18" s="1"/>
  <c r="BN39" i="18"/>
  <c r="BQ37" i="19"/>
  <c r="BS38" i="19"/>
  <c r="BT38" i="19" s="1"/>
  <c r="BO38" i="19"/>
  <c r="BP38" i="19" s="1"/>
  <c r="BR38" i="19" s="1"/>
  <c r="BN39" i="19"/>
  <c r="BU38" i="19"/>
  <c r="BV38" i="19" s="1"/>
  <c r="BW38" i="19" s="1"/>
  <c r="AS57" i="5"/>
  <c r="AR57" i="5"/>
  <c r="AF57" i="5"/>
  <c r="AY57" i="5" s="1"/>
  <c r="AD57" i="5"/>
  <c r="AW57" i="5" s="1"/>
  <c r="AC58" i="5"/>
  <c r="Q44" i="1"/>
  <c r="R44" i="1" s="1"/>
  <c r="P45" i="1"/>
  <c r="BP39" i="12"/>
  <c r="BR39" i="12" s="1"/>
  <c r="BU40" i="12"/>
  <c r="BV40" i="12" s="1"/>
  <c r="BW40" i="12" s="1"/>
  <c r="BS40" i="12"/>
  <c r="BT40" i="12" s="1"/>
  <c r="BO40" i="12"/>
  <c r="BN41" i="12"/>
  <c r="A89" i="7"/>
  <c r="P191" i="7" s="1"/>
  <c r="F99" i="7"/>
  <c r="I87" i="7"/>
  <c r="D47" i="13"/>
  <c r="BN40" i="18" l="1"/>
  <c r="BO39" i="18"/>
  <c r="BP39" i="18" s="1"/>
  <c r="BR39" i="18" s="1"/>
  <c r="BU39" i="18"/>
  <c r="BV39" i="18" s="1"/>
  <c r="BW39" i="18" s="1"/>
  <c r="BS39" i="18"/>
  <c r="BT39" i="18" s="1"/>
  <c r="BQ38" i="18"/>
  <c r="BQ38" i="19"/>
  <c r="BS39" i="19"/>
  <c r="BT39" i="19" s="1"/>
  <c r="BN40" i="19"/>
  <c r="BO39" i="19"/>
  <c r="BP39" i="19" s="1"/>
  <c r="BR39" i="19" s="1"/>
  <c r="BU39" i="19"/>
  <c r="BV39" i="19" s="1"/>
  <c r="BW39" i="19" s="1"/>
  <c r="AS58" i="5"/>
  <c r="AR58" i="5"/>
  <c r="AC59" i="5"/>
  <c r="AD58" i="5"/>
  <c r="AW58" i="5" s="1"/>
  <c r="AF58" i="5"/>
  <c r="AY58" i="5" s="1"/>
  <c r="S44" i="1"/>
  <c r="T44" i="1" s="1"/>
  <c r="R45" i="1"/>
  <c r="BQ39" i="12"/>
  <c r="BP40" i="12"/>
  <c r="BR40" i="12" s="1"/>
  <c r="BU41" i="12"/>
  <c r="BV41" i="12" s="1"/>
  <c r="BW41" i="12" s="1"/>
  <c r="BO41" i="12"/>
  <c r="BS41" i="12"/>
  <c r="BT41" i="12" s="1"/>
  <c r="BN42" i="12"/>
  <c r="A101" i="7"/>
  <c r="P193" i="7" s="1"/>
  <c r="I99" i="7"/>
  <c r="F111" i="7"/>
  <c r="D48" i="13"/>
  <c r="BS40" i="18" l="1"/>
  <c r="BT40" i="18" s="1"/>
  <c r="BU40" i="18"/>
  <c r="BV40" i="18" s="1"/>
  <c r="BW40" i="18" s="1"/>
  <c r="BN41" i="18"/>
  <c r="BO40" i="18"/>
  <c r="BP40" i="18" s="1"/>
  <c r="BR40" i="18" s="1"/>
  <c r="BQ39" i="18"/>
  <c r="BQ39" i="19"/>
  <c r="BS40" i="19"/>
  <c r="BT40" i="19" s="1"/>
  <c r="BO40" i="19"/>
  <c r="BP40" i="19" s="1"/>
  <c r="BR40" i="19" s="1"/>
  <c r="BN41" i="19"/>
  <c r="BU40" i="19"/>
  <c r="BV40" i="19" s="1"/>
  <c r="BW40" i="19" s="1"/>
  <c r="AC60" i="5"/>
  <c r="AF59" i="5"/>
  <c r="AY59" i="5" s="1"/>
  <c r="AY61" i="5" s="1"/>
  <c r="AY63" i="5" s="1"/>
  <c r="AY65" i="5" s="1"/>
  <c r="AD59" i="5"/>
  <c r="AW59" i="5" s="1"/>
  <c r="AW61" i="5" s="1"/>
  <c r="AW63" i="5" s="1"/>
  <c r="AW65" i="5" s="1"/>
  <c r="U44" i="1"/>
  <c r="V44" i="1" s="1"/>
  <c r="T45" i="1"/>
  <c r="BQ40" i="12"/>
  <c r="BP41" i="12"/>
  <c r="BQ41" i="12" s="1"/>
  <c r="BU42" i="12"/>
  <c r="BV42" i="12" s="1"/>
  <c r="BW42" i="12" s="1"/>
  <c r="BS42" i="12"/>
  <c r="BT42" i="12" s="1"/>
  <c r="BO42" i="12"/>
  <c r="BP42" i="12" s="1"/>
  <c r="BN43" i="12"/>
  <c r="A113" i="7"/>
  <c r="P195" i="7" s="1"/>
  <c r="I111" i="7"/>
  <c r="F123" i="7"/>
  <c r="D49" i="13"/>
  <c r="BN42" i="18" l="1"/>
  <c r="BO41" i="18"/>
  <c r="BP41" i="18" s="1"/>
  <c r="BR41" i="18" s="1"/>
  <c r="BS41" i="18"/>
  <c r="BT41" i="18" s="1"/>
  <c r="BU41" i="18"/>
  <c r="BV41" i="18" s="1"/>
  <c r="BW41" i="18" s="1"/>
  <c r="BQ40" i="18"/>
  <c r="BQ40" i="19"/>
  <c r="BO41" i="19"/>
  <c r="BP41" i="19" s="1"/>
  <c r="BR41" i="19" s="1"/>
  <c r="BU41" i="19"/>
  <c r="BV41" i="19" s="1"/>
  <c r="BW41" i="19" s="1"/>
  <c r="BS41" i="19"/>
  <c r="BT41" i="19" s="1"/>
  <c r="BN42" i="19"/>
  <c r="AD60" i="5"/>
  <c r="AW60" i="5" s="1"/>
  <c r="AW62" i="5" s="1"/>
  <c r="AW64" i="5" s="1"/>
  <c r="AF60" i="5"/>
  <c r="AY60" i="5" s="1"/>
  <c r="AY62" i="5" s="1"/>
  <c r="AY64" i="5" s="1"/>
  <c r="AC66" i="5"/>
  <c r="V45" i="1"/>
  <c r="W44" i="1"/>
  <c r="X44" i="1" s="1"/>
  <c r="BR41" i="12"/>
  <c r="BR42" i="12" s="1"/>
  <c r="BQ42" i="12"/>
  <c r="BU43" i="12"/>
  <c r="BV43" i="12" s="1"/>
  <c r="BW43" i="12" s="1"/>
  <c r="BS43" i="12"/>
  <c r="BT43" i="12" s="1"/>
  <c r="BO43" i="12"/>
  <c r="BN44" i="12"/>
  <c r="A125" i="7"/>
  <c r="P197" i="7" s="1"/>
  <c r="I123" i="7"/>
  <c r="F135" i="7"/>
  <c r="D50" i="13"/>
  <c r="BQ41" i="18" l="1"/>
  <c r="BS42" i="18"/>
  <c r="BT42" i="18" s="1"/>
  <c r="BN43" i="18"/>
  <c r="BU42" i="18"/>
  <c r="BV42" i="18" s="1"/>
  <c r="BW42" i="18" s="1"/>
  <c r="BO42" i="18"/>
  <c r="BP42" i="18" s="1"/>
  <c r="BR42" i="18" s="1"/>
  <c r="BQ41" i="19"/>
  <c r="BS42" i="19"/>
  <c r="BT42" i="19" s="1"/>
  <c r="BO42" i="19"/>
  <c r="BP42" i="19" s="1"/>
  <c r="BR42" i="19" s="1"/>
  <c r="BU42" i="19"/>
  <c r="BV42" i="19" s="1"/>
  <c r="BW42" i="19" s="1"/>
  <c r="BN43" i="19"/>
  <c r="AS66" i="5"/>
  <c r="AR66" i="5"/>
  <c r="AF66" i="5"/>
  <c r="AY66" i="5" s="1"/>
  <c r="AC67" i="5"/>
  <c r="AD66" i="5"/>
  <c r="AW66" i="5" s="1"/>
  <c r="Y44" i="1"/>
  <c r="Z44" i="1" s="1"/>
  <c r="X45" i="1"/>
  <c r="BP43" i="12"/>
  <c r="BR43" i="12" s="1"/>
  <c r="BU44" i="12"/>
  <c r="BV44" i="12" s="1"/>
  <c r="BW44" i="12" s="1"/>
  <c r="BS44" i="12"/>
  <c r="BT44" i="12" s="1"/>
  <c r="BO44" i="12"/>
  <c r="BP44" i="12" s="1"/>
  <c r="BN45" i="12"/>
  <c r="A137" i="7"/>
  <c r="P199" i="7" s="1"/>
  <c r="F147" i="7"/>
  <c r="I135" i="7"/>
  <c r="D51" i="13"/>
  <c r="BU43" i="18" l="1"/>
  <c r="BV43" i="18" s="1"/>
  <c r="BW43" i="18" s="1"/>
  <c r="BN44" i="18"/>
  <c r="BO43" i="18"/>
  <c r="BP43" i="18" s="1"/>
  <c r="BR43" i="18" s="1"/>
  <c r="BS43" i="18"/>
  <c r="BT43" i="18" s="1"/>
  <c r="BQ42" i="18"/>
  <c r="BQ42" i="19"/>
  <c r="BS43" i="19"/>
  <c r="BT43" i="19" s="1"/>
  <c r="BO43" i="19"/>
  <c r="BP43" i="19" s="1"/>
  <c r="BR43" i="19" s="1"/>
  <c r="BN44" i="19"/>
  <c r="BU43" i="19"/>
  <c r="BV43" i="19" s="1"/>
  <c r="BW43" i="19" s="1"/>
  <c r="AS67" i="5"/>
  <c r="AR67" i="5"/>
  <c r="AD67" i="5"/>
  <c r="AW67" i="5" s="1"/>
  <c r="AC68" i="5"/>
  <c r="AF67" i="5"/>
  <c r="AY67" i="5" s="1"/>
  <c r="AA44" i="1"/>
  <c r="AB44" i="1" s="1"/>
  <c r="Z45" i="1"/>
  <c r="BQ43" i="12"/>
  <c r="BQ44" i="12"/>
  <c r="BR44" i="12"/>
  <c r="BS45" i="12"/>
  <c r="BT45" i="12" s="1"/>
  <c r="BU45" i="12"/>
  <c r="BV45" i="12" s="1"/>
  <c r="BW45" i="12" s="1"/>
  <c r="BO45" i="12"/>
  <c r="BP45" i="12" s="1"/>
  <c r="BN46" i="12"/>
  <c r="A149" i="7"/>
  <c r="P201" i="7" s="1"/>
  <c r="I147" i="7"/>
  <c r="F159" i="7"/>
  <c r="G21" i="13"/>
  <c r="BQ43" i="18" l="1"/>
  <c r="BN45" i="18"/>
  <c r="BS44" i="18"/>
  <c r="BT44" i="18" s="1"/>
  <c r="BO44" i="18"/>
  <c r="BP44" i="18" s="1"/>
  <c r="BR44" i="18" s="1"/>
  <c r="BU44" i="18"/>
  <c r="BV44" i="18" s="1"/>
  <c r="BW44" i="18" s="1"/>
  <c r="BQ43" i="19"/>
  <c r="BO44" i="19"/>
  <c r="BP44" i="19" s="1"/>
  <c r="BR44" i="19" s="1"/>
  <c r="BN45" i="19"/>
  <c r="BU44" i="19"/>
  <c r="BV44" i="19" s="1"/>
  <c r="BW44" i="19" s="1"/>
  <c r="BS44" i="19"/>
  <c r="BT44" i="19" s="1"/>
  <c r="AS68" i="5"/>
  <c r="AR68" i="5"/>
  <c r="AD68" i="5"/>
  <c r="AW68" i="5" s="1"/>
  <c r="AF68" i="5"/>
  <c r="AY68" i="5" s="1"/>
  <c r="AC69" i="5"/>
  <c r="AC44" i="1"/>
  <c r="B62" i="1" s="1"/>
  <c r="AB45" i="1"/>
  <c r="BQ45" i="12"/>
  <c r="BR45" i="12"/>
  <c r="BS46" i="12"/>
  <c r="BT46" i="12" s="1"/>
  <c r="BO46" i="12"/>
  <c r="BP46" i="12" s="1"/>
  <c r="BU46" i="12"/>
  <c r="BV46" i="12" s="1"/>
  <c r="BW46" i="12" s="1"/>
  <c r="BN47" i="12"/>
  <c r="A161" i="7"/>
  <c r="P203" i="7" s="1"/>
  <c r="F3" i="8"/>
  <c r="I159" i="7"/>
  <c r="G22" i="13"/>
  <c r="BQ44" i="18" l="1"/>
  <c r="BU45" i="18"/>
  <c r="BV45" i="18" s="1"/>
  <c r="BW45" i="18" s="1"/>
  <c r="BN46" i="18"/>
  <c r="BO45" i="18"/>
  <c r="BP45" i="18" s="1"/>
  <c r="BR45" i="18" s="1"/>
  <c r="BS45" i="18"/>
  <c r="BT45" i="18" s="1"/>
  <c r="BQ44" i="19"/>
  <c r="BU45" i="19"/>
  <c r="BV45" i="19" s="1"/>
  <c r="BW45" i="19" s="1"/>
  <c r="BS45" i="19"/>
  <c r="BT45" i="19" s="1"/>
  <c r="BO45" i="19"/>
  <c r="BP45" i="19" s="1"/>
  <c r="BR45" i="19" s="1"/>
  <c r="BN46" i="19"/>
  <c r="AS69" i="5"/>
  <c r="AR69" i="5"/>
  <c r="AF69" i="5"/>
  <c r="AY69" i="5" s="1"/>
  <c r="AD69" i="5"/>
  <c r="AW69" i="5" s="1"/>
  <c r="AC70" i="5"/>
  <c r="BR46" i="12"/>
  <c r="BU47" i="12"/>
  <c r="BV47" i="12" s="1"/>
  <c r="BW47" i="12" s="1"/>
  <c r="BS47" i="12"/>
  <c r="BT47" i="12" s="1"/>
  <c r="BO47" i="12"/>
  <c r="BN48" i="12"/>
  <c r="BQ46" i="12"/>
  <c r="C62" i="1"/>
  <c r="D62" i="1" s="1"/>
  <c r="B63" i="1"/>
  <c r="A5" i="8"/>
  <c r="P165" i="8" s="1"/>
  <c r="I3" i="8"/>
  <c r="F15" i="8"/>
  <c r="G23" i="13"/>
  <c r="BO46" i="18" l="1"/>
  <c r="BP46" i="18" s="1"/>
  <c r="BR46" i="18" s="1"/>
  <c r="BU46" i="18"/>
  <c r="BV46" i="18" s="1"/>
  <c r="BW46" i="18" s="1"/>
  <c r="BS46" i="18"/>
  <c r="BT46" i="18" s="1"/>
  <c r="BN47" i="18"/>
  <c r="BQ45" i="18"/>
  <c r="BQ45" i="19"/>
  <c r="BN47" i="19"/>
  <c r="BU46" i="19"/>
  <c r="BV46" i="19" s="1"/>
  <c r="BW46" i="19" s="1"/>
  <c r="BS46" i="19"/>
  <c r="BT46" i="19" s="1"/>
  <c r="BO46" i="19"/>
  <c r="BP46" i="19" s="1"/>
  <c r="BR46" i="19" s="1"/>
  <c r="AR70" i="5"/>
  <c r="AS70" i="5"/>
  <c r="AC71" i="5"/>
  <c r="AF70" i="5"/>
  <c r="AY70" i="5" s="1"/>
  <c r="AD70" i="5"/>
  <c r="AW70" i="5" s="1"/>
  <c r="BP47" i="12"/>
  <c r="BR47" i="12" s="1"/>
  <c r="BU48" i="12"/>
  <c r="BV48" i="12" s="1"/>
  <c r="BW48" i="12" s="1"/>
  <c r="BS48" i="12"/>
  <c r="BT48" i="12" s="1"/>
  <c r="BO48" i="12"/>
  <c r="BN49" i="12"/>
  <c r="A17" i="8"/>
  <c r="P167" i="8" s="1"/>
  <c r="I15" i="8"/>
  <c r="F27" i="8"/>
  <c r="E62" i="1"/>
  <c r="F62" i="1" s="1"/>
  <c r="D63" i="1"/>
  <c r="G24" i="13"/>
  <c r="BQ46" i="18" l="1"/>
  <c r="BU47" i="18"/>
  <c r="BV47" i="18" s="1"/>
  <c r="BW47" i="18" s="1"/>
  <c r="BS47" i="18"/>
  <c r="BT47" i="18" s="1"/>
  <c r="BO47" i="18"/>
  <c r="BP47" i="18" s="1"/>
  <c r="BR47" i="18" s="1"/>
  <c r="BN48" i="18"/>
  <c r="BQ46" i="19"/>
  <c r="BU47" i="19"/>
  <c r="BV47" i="19" s="1"/>
  <c r="BW47" i="19" s="1"/>
  <c r="BS47" i="19"/>
  <c r="BT47" i="19" s="1"/>
  <c r="BO47" i="19"/>
  <c r="BP47" i="19" s="1"/>
  <c r="BR47" i="19" s="1"/>
  <c r="BN48" i="19"/>
  <c r="AC72" i="5"/>
  <c r="AF71" i="5"/>
  <c r="AY71" i="5" s="1"/>
  <c r="AY73" i="5" s="1"/>
  <c r="AY75" i="5" s="1"/>
  <c r="AY77" i="5" s="1"/>
  <c r="AD71" i="5"/>
  <c r="AW71" i="5" s="1"/>
  <c r="AW73" i="5" s="1"/>
  <c r="AW75" i="5" s="1"/>
  <c r="AW77" i="5" s="1"/>
  <c r="BQ47" i="12"/>
  <c r="BP48" i="12"/>
  <c r="BR48" i="12" s="1"/>
  <c r="BS49" i="12"/>
  <c r="BT49" i="12" s="1"/>
  <c r="BU49" i="12"/>
  <c r="BV49" i="12" s="1"/>
  <c r="BW49" i="12" s="1"/>
  <c r="BO49" i="12"/>
  <c r="BN50" i="12"/>
  <c r="G62" i="1"/>
  <c r="H62" i="1" s="1"/>
  <c r="F63" i="1"/>
  <c r="A29" i="8"/>
  <c r="P169" i="8" s="1"/>
  <c r="I27" i="8"/>
  <c r="F39" i="8"/>
  <c r="G25" i="13"/>
  <c r="BQ47" i="18" l="1"/>
  <c r="BS48" i="18"/>
  <c r="BT48" i="18" s="1"/>
  <c r="BO48" i="18"/>
  <c r="BP48" i="18" s="1"/>
  <c r="BR48" i="18" s="1"/>
  <c r="BU48" i="18"/>
  <c r="BV48" i="18" s="1"/>
  <c r="BW48" i="18" s="1"/>
  <c r="BN49" i="18"/>
  <c r="BQ47" i="19"/>
  <c r="BN49" i="19"/>
  <c r="BU48" i="19"/>
  <c r="BV48" i="19" s="1"/>
  <c r="BW48" i="19" s="1"/>
  <c r="BS48" i="19"/>
  <c r="BT48" i="19" s="1"/>
  <c r="BO48" i="19"/>
  <c r="BP48" i="19" s="1"/>
  <c r="BR48" i="19" s="1"/>
  <c r="AF72" i="5"/>
  <c r="AY72" i="5" s="1"/>
  <c r="AY74" i="5" s="1"/>
  <c r="AY76" i="5" s="1"/>
  <c r="AD72" i="5"/>
  <c r="AW72" i="5" s="1"/>
  <c r="AW74" i="5" s="1"/>
  <c r="AW76" i="5" s="1"/>
  <c r="AC78" i="5"/>
  <c r="BQ48" i="12"/>
  <c r="BP49" i="12"/>
  <c r="BQ49" i="12" s="1"/>
  <c r="BS50" i="12"/>
  <c r="BT50" i="12" s="1"/>
  <c r="BO50" i="12"/>
  <c r="BP50" i="12" s="1"/>
  <c r="BU50" i="12"/>
  <c r="BV50" i="12" s="1"/>
  <c r="BW50" i="12" s="1"/>
  <c r="BN51" i="12"/>
  <c r="A41" i="8"/>
  <c r="P171" i="8" s="1"/>
  <c r="F51" i="8"/>
  <c r="I39" i="8"/>
  <c r="I62" i="1"/>
  <c r="J62" i="1" s="1"/>
  <c r="H63" i="1"/>
  <c r="G26" i="13"/>
  <c r="BQ48" i="18" l="1"/>
  <c r="BU49" i="18"/>
  <c r="BV49" i="18" s="1"/>
  <c r="BW49" i="18" s="1"/>
  <c r="BN50" i="18"/>
  <c r="BS49" i="18"/>
  <c r="BT49" i="18" s="1"/>
  <c r="BO49" i="18"/>
  <c r="BP49" i="18" s="1"/>
  <c r="BR49" i="18" s="1"/>
  <c r="BQ48" i="19"/>
  <c r="BN50" i="19"/>
  <c r="BU49" i="19"/>
  <c r="BV49" i="19" s="1"/>
  <c r="BW49" i="19" s="1"/>
  <c r="BO49" i="19"/>
  <c r="BP49" i="19" s="1"/>
  <c r="BR49" i="19" s="1"/>
  <c r="BS49" i="19"/>
  <c r="BT49" i="19" s="1"/>
  <c r="AS78" i="5"/>
  <c r="AR78" i="5"/>
  <c r="AD78" i="5"/>
  <c r="AW78" i="5" s="1"/>
  <c r="AF78" i="5"/>
  <c r="AY78" i="5" s="1"/>
  <c r="AC79" i="5"/>
  <c r="BR49" i="12"/>
  <c r="BR50" i="12" s="1"/>
  <c r="BQ50" i="12"/>
  <c r="BS51" i="12"/>
  <c r="BT51" i="12" s="1"/>
  <c r="BO51" i="12"/>
  <c r="BP51" i="12" s="1"/>
  <c r="BU51" i="12"/>
  <c r="BV51" i="12" s="1"/>
  <c r="BW51" i="12" s="1"/>
  <c r="BN52" i="12"/>
  <c r="K62" i="1"/>
  <c r="L62" i="1" s="1"/>
  <c r="J63" i="1"/>
  <c r="A53" i="8"/>
  <c r="P173" i="8" s="1"/>
  <c r="F63" i="8"/>
  <c r="I51" i="8"/>
  <c r="G27" i="13"/>
  <c r="BN51" i="18" l="1"/>
  <c r="BO50" i="18"/>
  <c r="BP50" i="18" s="1"/>
  <c r="BR50" i="18" s="1"/>
  <c r="BU50" i="18"/>
  <c r="BV50" i="18" s="1"/>
  <c r="BW50" i="18" s="1"/>
  <c r="BS50" i="18"/>
  <c r="BT50" i="18" s="1"/>
  <c r="BQ49" i="18"/>
  <c r="BQ49" i="19"/>
  <c r="BO50" i="19"/>
  <c r="BP50" i="19" s="1"/>
  <c r="BR50" i="19" s="1"/>
  <c r="BN51" i="19"/>
  <c r="BU50" i="19"/>
  <c r="BV50" i="19" s="1"/>
  <c r="BW50" i="19" s="1"/>
  <c r="BS50" i="19"/>
  <c r="BT50" i="19" s="1"/>
  <c r="AS79" i="5"/>
  <c r="AR79" i="5"/>
  <c r="AF79" i="5"/>
  <c r="AY79" i="5" s="1"/>
  <c r="AD79" i="5"/>
  <c r="AW79" i="5" s="1"/>
  <c r="AC80" i="5"/>
  <c r="BS52" i="12"/>
  <c r="BT52" i="12" s="1"/>
  <c r="BO52" i="12"/>
  <c r="BP52" i="12" s="1"/>
  <c r="BU52" i="12"/>
  <c r="BV52" i="12" s="1"/>
  <c r="BW52" i="12" s="1"/>
  <c r="BN53" i="12"/>
  <c r="BQ51" i="12"/>
  <c r="BR51" i="12"/>
  <c r="A65" i="8"/>
  <c r="P175" i="8" s="1"/>
  <c r="I63" i="8"/>
  <c r="F75" i="8"/>
  <c r="M62" i="1"/>
  <c r="N62" i="1" s="1"/>
  <c r="L63" i="1"/>
  <c r="G28" i="13"/>
  <c r="BQ50" i="18" l="1"/>
  <c r="BS51" i="18"/>
  <c r="BT51" i="18" s="1"/>
  <c r="BO51" i="18"/>
  <c r="BP51" i="18" s="1"/>
  <c r="BR51" i="18" s="1"/>
  <c r="BU51" i="18"/>
  <c r="BV51" i="18" s="1"/>
  <c r="BW51" i="18" s="1"/>
  <c r="BN52" i="18"/>
  <c r="BQ50" i="19"/>
  <c r="BU51" i="19"/>
  <c r="BV51" i="19" s="1"/>
  <c r="BW51" i="19" s="1"/>
  <c r="BN52" i="19"/>
  <c r="BS51" i="19"/>
  <c r="BT51" i="19" s="1"/>
  <c r="BO51" i="19"/>
  <c r="BP51" i="19" s="1"/>
  <c r="BR51" i="19" s="1"/>
  <c r="AS80" i="5"/>
  <c r="AR80" i="5"/>
  <c r="AC81" i="5"/>
  <c r="AF80" i="5"/>
  <c r="AY80" i="5" s="1"/>
  <c r="AD80" i="5"/>
  <c r="AW80" i="5" s="1"/>
  <c r="BR52" i="12"/>
  <c r="BQ52" i="12"/>
  <c r="BS53" i="12"/>
  <c r="BT53" i="12" s="1"/>
  <c r="BU53" i="12"/>
  <c r="BV53" i="12" s="1"/>
  <c r="BW53" i="12" s="1"/>
  <c r="BO53" i="12"/>
  <c r="BN54" i="12"/>
  <c r="O62" i="1"/>
  <c r="P62" i="1" s="1"/>
  <c r="N63" i="1"/>
  <c r="A77" i="8"/>
  <c r="P177" i="8" s="1"/>
  <c r="I75" i="8"/>
  <c r="F87" i="8"/>
  <c r="G29" i="13"/>
  <c r="BQ51" i="18" l="1"/>
  <c r="BU52" i="18"/>
  <c r="BV52" i="18" s="1"/>
  <c r="BW52" i="18" s="1"/>
  <c r="BN53" i="18"/>
  <c r="BS52" i="18"/>
  <c r="BT52" i="18" s="1"/>
  <c r="BO52" i="18"/>
  <c r="BP52" i="18" s="1"/>
  <c r="BR52" i="18" s="1"/>
  <c r="BQ51" i="19"/>
  <c r="BN53" i="19"/>
  <c r="BU52" i="19"/>
  <c r="BV52" i="19" s="1"/>
  <c r="BW52" i="19" s="1"/>
  <c r="BO52" i="19"/>
  <c r="BP52" i="19" s="1"/>
  <c r="BR52" i="19" s="1"/>
  <c r="BS52" i="19"/>
  <c r="BT52" i="19" s="1"/>
  <c r="AR81" i="5"/>
  <c r="AS81" i="5"/>
  <c r="AC82" i="5"/>
  <c r="AF81" i="5"/>
  <c r="AY81" i="5" s="1"/>
  <c r="AD81" i="5"/>
  <c r="AW81" i="5" s="1"/>
  <c r="BP53" i="12"/>
  <c r="BQ53" i="12" s="1"/>
  <c r="BO54" i="12"/>
  <c r="BU54" i="12"/>
  <c r="BV54" i="12" s="1"/>
  <c r="BW54" i="12" s="1"/>
  <c r="BS54" i="12"/>
  <c r="BT54" i="12" s="1"/>
  <c r="BN55" i="12"/>
  <c r="A89" i="8"/>
  <c r="P179" i="8" s="1"/>
  <c r="I87" i="8"/>
  <c r="F99" i="8"/>
  <c r="Q62" i="1"/>
  <c r="R62" i="1" s="1"/>
  <c r="P63" i="1"/>
  <c r="G30" i="13"/>
  <c r="BN54" i="18" l="1"/>
  <c r="BO53" i="18"/>
  <c r="BP53" i="18" s="1"/>
  <c r="BR53" i="18" s="1"/>
  <c r="BS53" i="18"/>
  <c r="BT53" i="18" s="1"/>
  <c r="BU53" i="18"/>
  <c r="BV53" i="18" s="1"/>
  <c r="BW53" i="18" s="1"/>
  <c r="BQ52" i="18"/>
  <c r="BQ52" i="19"/>
  <c r="BO53" i="19"/>
  <c r="BP53" i="19" s="1"/>
  <c r="BR53" i="19" s="1"/>
  <c r="BS53" i="19"/>
  <c r="BT53" i="19" s="1"/>
  <c r="BN54" i="19"/>
  <c r="BU53" i="19"/>
  <c r="BV53" i="19" s="1"/>
  <c r="BW53" i="19" s="1"/>
  <c r="AS82" i="5"/>
  <c r="AR82" i="5"/>
  <c r="AD82" i="5"/>
  <c r="AW82" i="5" s="1"/>
  <c r="AC83" i="5"/>
  <c r="AF82" i="5"/>
  <c r="AY82" i="5" s="1"/>
  <c r="BR53" i="12"/>
  <c r="BP54" i="12"/>
  <c r="BQ54" i="12" s="1"/>
  <c r="BS55" i="12"/>
  <c r="BT55" i="12" s="1"/>
  <c r="BO55" i="12"/>
  <c r="BU55" i="12"/>
  <c r="BV55" i="12" s="1"/>
  <c r="BW55" i="12" s="1"/>
  <c r="BN56" i="12"/>
  <c r="S62" i="1"/>
  <c r="T62" i="1" s="1"/>
  <c r="R63" i="1"/>
  <c r="A101" i="8"/>
  <c r="P181" i="8" s="1"/>
  <c r="I99" i="8"/>
  <c r="F111" i="8"/>
  <c r="G31" i="13"/>
  <c r="BQ53" i="18" l="1"/>
  <c r="BN55" i="18"/>
  <c r="BU54" i="18"/>
  <c r="BV54" i="18" s="1"/>
  <c r="BW54" i="18" s="1"/>
  <c r="BO54" i="18"/>
  <c r="BP54" i="18" s="1"/>
  <c r="BR54" i="18" s="1"/>
  <c r="BS54" i="18"/>
  <c r="BT54" i="18" s="1"/>
  <c r="BQ53" i="19"/>
  <c r="BU54" i="19"/>
  <c r="BV54" i="19" s="1"/>
  <c r="BW54" i="19" s="1"/>
  <c r="BS54" i="19"/>
  <c r="BT54" i="19" s="1"/>
  <c r="BO54" i="19"/>
  <c r="BP54" i="19" s="1"/>
  <c r="BQ54" i="19" s="1"/>
  <c r="BN55" i="19"/>
  <c r="AD83" i="5"/>
  <c r="AW83" i="5" s="1"/>
  <c r="AW85" i="5" s="1"/>
  <c r="AW87" i="5" s="1"/>
  <c r="AW89" i="5" s="1"/>
  <c r="AC84" i="5"/>
  <c r="AF83" i="5"/>
  <c r="AY83" i="5" s="1"/>
  <c r="AY85" i="5" s="1"/>
  <c r="AY87" i="5" s="1"/>
  <c r="AY89" i="5" s="1"/>
  <c r="BR54" i="12"/>
  <c r="BP55" i="12"/>
  <c r="BQ55" i="12" s="1"/>
  <c r="BO56" i="12"/>
  <c r="BP56" i="12" s="1"/>
  <c r="BU56" i="12"/>
  <c r="BV56" i="12" s="1"/>
  <c r="BW56" i="12" s="1"/>
  <c r="BS56" i="12"/>
  <c r="BT56" i="12" s="1"/>
  <c r="BN57" i="12"/>
  <c r="A113" i="8"/>
  <c r="P183" i="8" s="1"/>
  <c r="I111" i="8"/>
  <c r="F123" i="8"/>
  <c r="U62" i="1"/>
  <c r="V62" i="1" s="1"/>
  <c r="T63" i="1"/>
  <c r="G32" i="13"/>
  <c r="BQ54" i="18" l="1"/>
  <c r="BO55" i="18"/>
  <c r="BP55" i="18" s="1"/>
  <c r="BR55" i="18" s="1"/>
  <c r="BN56" i="18"/>
  <c r="BS55" i="18"/>
  <c r="BT55" i="18" s="1"/>
  <c r="BU55" i="18"/>
  <c r="BV55" i="18" s="1"/>
  <c r="BW55" i="18" s="1"/>
  <c r="BR54" i="19"/>
  <c r="BU55" i="19"/>
  <c r="BV55" i="19" s="1"/>
  <c r="BW55" i="19" s="1"/>
  <c r="BO55" i="19"/>
  <c r="BP55" i="19" s="1"/>
  <c r="BS55" i="19"/>
  <c r="BT55" i="19" s="1"/>
  <c r="BN56" i="19"/>
  <c r="AC90" i="5"/>
  <c r="AF84" i="5"/>
  <c r="AY84" i="5" s="1"/>
  <c r="AY86" i="5" s="1"/>
  <c r="AY88" i="5" s="1"/>
  <c r="AD84" i="5"/>
  <c r="AW84" i="5" s="1"/>
  <c r="AW86" i="5" s="1"/>
  <c r="AW88" i="5" s="1"/>
  <c r="BR55" i="12"/>
  <c r="BR56" i="12" s="1"/>
  <c r="BU57" i="12"/>
  <c r="BV57" i="12" s="1"/>
  <c r="BW57" i="12" s="1"/>
  <c r="BO57" i="12"/>
  <c r="BS57" i="12"/>
  <c r="BT57" i="12" s="1"/>
  <c r="BN58" i="12"/>
  <c r="BQ56" i="12"/>
  <c r="W62" i="1"/>
  <c r="X62" i="1" s="1"/>
  <c r="V63" i="1"/>
  <c r="A125" i="8"/>
  <c r="P185" i="8" s="1"/>
  <c r="F135" i="8"/>
  <c r="I123" i="8"/>
  <c r="G33" i="13"/>
  <c r="BQ55" i="18" l="1"/>
  <c r="BO56" i="18"/>
  <c r="BP56" i="18" s="1"/>
  <c r="BR56" i="18" s="1"/>
  <c r="BS56" i="18"/>
  <c r="BT56" i="18" s="1"/>
  <c r="BN57" i="18"/>
  <c r="BU56" i="18"/>
  <c r="BV56" i="18" s="1"/>
  <c r="BW56" i="18" s="1"/>
  <c r="BR55" i="19"/>
  <c r="BQ55" i="19"/>
  <c r="BN57" i="19"/>
  <c r="BS56" i="19"/>
  <c r="BT56" i="19" s="1"/>
  <c r="BU56" i="19"/>
  <c r="BV56" i="19" s="1"/>
  <c r="BW56" i="19" s="1"/>
  <c r="BO56" i="19"/>
  <c r="BP56" i="19" s="1"/>
  <c r="AS90" i="5"/>
  <c r="AR90" i="5"/>
  <c r="AC91" i="5"/>
  <c r="AF90" i="5"/>
  <c r="AY90" i="5" s="1"/>
  <c r="AD90" i="5"/>
  <c r="AW90" i="5" s="1"/>
  <c r="BP57" i="12"/>
  <c r="BQ57" i="12" s="1"/>
  <c r="BU58" i="12"/>
  <c r="BV58" i="12" s="1"/>
  <c r="BW58" i="12" s="1"/>
  <c r="BS58" i="12"/>
  <c r="BT58" i="12" s="1"/>
  <c r="BO58" i="12"/>
  <c r="BP58" i="12" s="1"/>
  <c r="BN59" i="12"/>
  <c r="A137" i="8"/>
  <c r="P187" i="8" s="1"/>
  <c r="I135" i="8"/>
  <c r="F147" i="8"/>
  <c r="Y62" i="1"/>
  <c r="Z62" i="1" s="1"/>
  <c r="X63" i="1"/>
  <c r="G34" i="13"/>
  <c r="BQ56" i="18" l="1"/>
  <c r="BS57" i="18"/>
  <c r="BT57" i="18" s="1"/>
  <c r="BN58" i="18"/>
  <c r="BO57" i="18"/>
  <c r="BP57" i="18" s="1"/>
  <c r="BR57" i="18" s="1"/>
  <c r="BU57" i="18"/>
  <c r="BV57" i="18" s="1"/>
  <c r="BW57" i="18" s="1"/>
  <c r="BR56" i="19"/>
  <c r="BQ56" i="19"/>
  <c r="BS57" i="19"/>
  <c r="BT57" i="19" s="1"/>
  <c r="BU57" i="19"/>
  <c r="BV57" i="19" s="1"/>
  <c r="BW57" i="19" s="1"/>
  <c r="BO57" i="19"/>
  <c r="BP57" i="19" s="1"/>
  <c r="BN58" i="19"/>
  <c r="AS91" i="5"/>
  <c r="AR91" i="5"/>
  <c r="AC92" i="5"/>
  <c r="AD91" i="5"/>
  <c r="AW91" i="5" s="1"/>
  <c r="AF91" i="5"/>
  <c r="AY91" i="5" s="1"/>
  <c r="Z69" i="1"/>
  <c r="AA69" i="1"/>
  <c r="BQ58" i="12"/>
  <c r="BR57" i="12"/>
  <c r="BR58" i="12" s="1"/>
  <c r="BS59" i="12"/>
  <c r="BT59" i="12" s="1"/>
  <c r="BU59" i="12"/>
  <c r="BV59" i="12" s="1"/>
  <c r="BW59" i="12" s="1"/>
  <c r="BO59" i="12"/>
  <c r="BP59" i="12" s="1"/>
  <c r="BN60" i="12"/>
  <c r="Z63" i="1"/>
  <c r="AA67" i="1"/>
  <c r="A149" i="8"/>
  <c r="P189" i="8" s="1"/>
  <c r="G35" i="13"/>
  <c r="BQ57" i="18" l="1"/>
  <c r="BS58" i="18"/>
  <c r="BT58" i="18" s="1"/>
  <c r="BN59" i="18"/>
  <c r="BU58" i="18"/>
  <c r="BV58" i="18" s="1"/>
  <c r="BW58" i="18" s="1"/>
  <c r="BO58" i="18"/>
  <c r="BP58" i="18" s="1"/>
  <c r="BR58" i="18" s="1"/>
  <c r="BR57" i="19"/>
  <c r="BU58" i="19"/>
  <c r="BV58" i="19" s="1"/>
  <c r="BW58" i="19" s="1"/>
  <c r="BO58" i="19"/>
  <c r="BP58" i="19" s="1"/>
  <c r="BR58" i="19" s="1"/>
  <c r="BN59" i="19"/>
  <c r="BS58" i="19"/>
  <c r="BT58" i="19" s="1"/>
  <c r="BQ57" i="19"/>
  <c r="AS92" i="5"/>
  <c r="AR92" i="5"/>
  <c r="AC93" i="5"/>
  <c r="AF92" i="5"/>
  <c r="AY92" i="5" s="1"/>
  <c r="AD92" i="5"/>
  <c r="AW92" i="5" s="1"/>
  <c r="AA66" i="1"/>
  <c r="AA70" i="1"/>
  <c r="AA71" i="1"/>
  <c r="Z65" i="1"/>
  <c r="AA65" i="1"/>
  <c r="AA68" i="1"/>
  <c r="Z67" i="1"/>
  <c r="Z68" i="1"/>
  <c r="Z66" i="1"/>
  <c r="Z70" i="1"/>
  <c r="Z71" i="1"/>
  <c r="I147" i="8"/>
  <c r="BR59" i="12"/>
  <c r="BO60" i="12"/>
  <c r="BU60" i="12"/>
  <c r="BV60" i="12" s="1"/>
  <c r="BW60" i="12" s="1"/>
  <c r="BS60" i="12"/>
  <c r="BT60" i="12" s="1"/>
  <c r="BN61" i="12"/>
  <c r="BQ59" i="12"/>
  <c r="G36" i="13"/>
  <c r="BQ58" i="18" l="1"/>
  <c r="A151" i="8"/>
  <c r="A152" i="8"/>
  <c r="BN60" i="18"/>
  <c r="BO59" i="18"/>
  <c r="BP59" i="18" s="1"/>
  <c r="BR59" i="18" s="1"/>
  <c r="BS59" i="18"/>
  <c r="BT59" i="18" s="1"/>
  <c r="BU59" i="18"/>
  <c r="BV59" i="18" s="1"/>
  <c r="BW59" i="18" s="1"/>
  <c r="BQ58" i="19"/>
  <c r="BU59" i="19"/>
  <c r="BV59" i="19" s="1"/>
  <c r="BW59" i="19" s="1"/>
  <c r="BO59" i="19"/>
  <c r="BP59" i="19" s="1"/>
  <c r="BQ59" i="19" s="1"/>
  <c r="BN60" i="19"/>
  <c r="BS59" i="19"/>
  <c r="BT59" i="19" s="1"/>
  <c r="AS93" i="5"/>
  <c r="AR93" i="5"/>
  <c r="AC94" i="5"/>
  <c r="AF93" i="5"/>
  <c r="AY93" i="5" s="1"/>
  <c r="AD93" i="5"/>
  <c r="AW93" i="5" s="1"/>
  <c r="A154" i="8"/>
  <c r="A156" i="8"/>
  <c r="A155" i="8"/>
  <c r="A153" i="8"/>
  <c r="A150" i="8"/>
  <c r="BP60" i="12"/>
  <c r="BR60" i="12" s="1"/>
  <c r="BO61" i="12"/>
  <c r="BS61" i="12"/>
  <c r="BT61" i="12" s="1"/>
  <c r="BU61" i="12"/>
  <c r="BV61" i="12" s="1"/>
  <c r="BW61" i="12" s="1"/>
  <c r="BN62" i="12"/>
  <c r="Z73" i="1"/>
  <c r="D84" i="1" s="1"/>
  <c r="Z72" i="1"/>
  <c r="D82" i="1" s="1"/>
  <c r="Z74" i="1"/>
  <c r="W75" i="1" s="1"/>
  <c r="G37" i="13"/>
  <c r="BN61" i="18" l="1"/>
  <c r="BS60" i="18"/>
  <c r="BT60" i="18" s="1"/>
  <c r="BU60" i="18"/>
  <c r="BV60" i="18" s="1"/>
  <c r="BW60" i="18" s="1"/>
  <c r="BO60" i="18"/>
  <c r="BP60" i="18" s="1"/>
  <c r="BR60" i="18" s="1"/>
  <c r="BQ59" i="18"/>
  <c r="BR59" i="19"/>
  <c r="BU60" i="19"/>
  <c r="BV60" i="19" s="1"/>
  <c r="BW60" i="19" s="1"/>
  <c r="BS60" i="19"/>
  <c r="BT60" i="19" s="1"/>
  <c r="BO60" i="19"/>
  <c r="BP60" i="19" s="1"/>
  <c r="BN61" i="19"/>
  <c r="AS94" i="5"/>
  <c r="AR94" i="5"/>
  <c r="AF94" i="5"/>
  <c r="AY94" i="5" s="1"/>
  <c r="AD94" i="5"/>
  <c r="AW94" i="5" s="1"/>
  <c r="AC95" i="5"/>
  <c r="BQ60" i="12"/>
  <c r="BP61" i="12"/>
  <c r="BR61" i="12" s="1"/>
  <c r="BU62" i="12"/>
  <c r="BV62" i="12" s="1"/>
  <c r="BW62" i="12" s="1"/>
  <c r="BO62" i="12"/>
  <c r="BS62" i="12"/>
  <c r="BT62" i="12" s="1"/>
  <c r="BN63" i="12"/>
  <c r="G38" i="13"/>
  <c r="BQ60" i="18" l="1"/>
  <c r="BN62" i="18"/>
  <c r="BO61" i="18"/>
  <c r="BP61" i="18" s="1"/>
  <c r="BR61" i="18" s="1"/>
  <c r="BS61" i="18"/>
  <c r="BT61" i="18" s="1"/>
  <c r="BU61" i="18"/>
  <c r="BV61" i="18" s="1"/>
  <c r="BW61" i="18" s="1"/>
  <c r="BR60" i="19"/>
  <c r="BQ60" i="19"/>
  <c r="BS61" i="19"/>
  <c r="BT61" i="19" s="1"/>
  <c r="BN62" i="19"/>
  <c r="BO61" i="19"/>
  <c r="BP61" i="19" s="1"/>
  <c r="BU61" i="19"/>
  <c r="BV61" i="19" s="1"/>
  <c r="BW61" i="19" s="1"/>
  <c r="AF95" i="5"/>
  <c r="AY95" i="5" s="1"/>
  <c r="AY97" i="5" s="1"/>
  <c r="AY99" i="5" s="1"/>
  <c r="AY101" i="5" s="1"/>
  <c r="AD95" i="5"/>
  <c r="AW95" i="5" s="1"/>
  <c r="AW97" i="5" s="1"/>
  <c r="AW99" i="5" s="1"/>
  <c r="AW101" i="5" s="1"/>
  <c r="AC96" i="5"/>
  <c r="BQ61" i="12"/>
  <c r="BP62" i="12"/>
  <c r="BR62" i="12" s="1"/>
  <c r="BO63" i="12"/>
  <c r="BU63" i="12"/>
  <c r="BV63" i="12" s="1"/>
  <c r="BW63" i="12" s="1"/>
  <c r="BS63" i="12"/>
  <c r="BT63" i="12" s="1"/>
  <c r="BN64" i="12"/>
  <c r="G39" i="13"/>
  <c r="BR61" i="19" l="1"/>
  <c r="BO62" i="18"/>
  <c r="BP62" i="18" s="1"/>
  <c r="BR62" i="18" s="1"/>
  <c r="BU62" i="18"/>
  <c r="BV62" i="18" s="1"/>
  <c r="BW62" i="18" s="1"/>
  <c r="BS62" i="18"/>
  <c r="BT62" i="18" s="1"/>
  <c r="BN63" i="18"/>
  <c r="BQ61" i="18"/>
  <c r="BU62" i="19"/>
  <c r="BV62" i="19" s="1"/>
  <c r="BW62" i="19" s="1"/>
  <c r="BN63" i="19"/>
  <c r="BO62" i="19"/>
  <c r="BP62" i="19" s="1"/>
  <c r="BR62" i="19" s="1"/>
  <c r="BS62" i="19"/>
  <c r="BT62" i="19" s="1"/>
  <c r="BQ61" i="19"/>
  <c r="AC102" i="5"/>
  <c r="AD96" i="5"/>
  <c r="AW96" i="5" s="1"/>
  <c r="AW98" i="5" s="1"/>
  <c r="AW100" i="5" s="1"/>
  <c r="AF96" i="5"/>
  <c r="AY96" i="5" s="1"/>
  <c r="AY98" i="5" s="1"/>
  <c r="AY100" i="5" s="1"/>
  <c r="BQ62" i="12"/>
  <c r="BP63" i="12"/>
  <c r="BR63" i="12" s="1"/>
  <c r="BO64" i="12"/>
  <c r="BU64" i="12"/>
  <c r="BV64" i="12" s="1"/>
  <c r="BW64" i="12" s="1"/>
  <c r="BS64" i="12"/>
  <c r="BT64" i="12" s="1"/>
  <c r="BN65" i="12"/>
  <c r="G40" i="13"/>
  <c r="BQ62" i="18" l="1"/>
  <c r="BS63" i="18"/>
  <c r="BT63" i="18" s="1"/>
  <c r="BU63" i="18"/>
  <c r="BV63" i="18" s="1"/>
  <c r="BW63" i="18" s="1"/>
  <c r="BN64" i="18"/>
  <c r="BO63" i="18"/>
  <c r="BP63" i="18" s="1"/>
  <c r="BR63" i="18" s="1"/>
  <c r="BQ62" i="19"/>
  <c r="BN64" i="19"/>
  <c r="BU63" i="19"/>
  <c r="BV63" i="19" s="1"/>
  <c r="BW63" i="19" s="1"/>
  <c r="BS63" i="19"/>
  <c r="BT63" i="19" s="1"/>
  <c r="BO63" i="19"/>
  <c r="BP63" i="19" s="1"/>
  <c r="BR63" i="19" s="1"/>
  <c r="AS102" i="5"/>
  <c r="AR102" i="5"/>
  <c r="AD102" i="5"/>
  <c r="AW102" i="5" s="1"/>
  <c r="AC103" i="5"/>
  <c r="AF102" i="5"/>
  <c r="AY102" i="5" s="1"/>
  <c r="BQ63" i="12"/>
  <c r="BP64" i="12"/>
  <c r="BR64" i="12" s="1"/>
  <c r="BU65" i="12"/>
  <c r="BV65" i="12" s="1"/>
  <c r="BW65" i="12" s="1"/>
  <c r="BO65" i="12"/>
  <c r="BS65" i="12"/>
  <c r="BT65" i="12" s="1"/>
  <c r="BN66" i="12"/>
  <c r="G41" i="13"/>
  <c r="BQ63" i="18" l="1"/>
  <c r="BU64" i="18"/>
  <c r="BV64" i="18" s="1"/>
  <c r="BW64" i="18" s="1"/>
  <c r="BN65" i="18"/>
  <c r="BO64" i="18"/>
  <c r="BP64" i="18" s="1"/>
  <c r="BR64" i="18" s="1"/>
  <c r="BS64" i="18"/>
  <c r="BT64" i="18" s="1"/>
  <c r="BQ63" i="19"/>
  <c r="BU64" i="19"/>
  <c r="BV64" i="19" s="1"/>
  <c r="BW64" i="19" s="1"/>
  <c r="BN65" i="19"/>
  <c r="BS64" i="19"/>
  <c r="BT64" i="19" s="1"/>
  <c r="BO64" i="19"/>
  <c r="BP64" i="19" s="1"/>
  <c r="BQ64" i="19" s="1"/>
  <c r="AS103" i="5"/>
  <c r="AR103" i="5"/>
  <c r="AF103" i="5"/>
  <c r="AY103" i="5" s="1"/>
  <c r="AC104" i="5"/>
  <c r="AD103" i="5"/>
  <c r="AW103" i="5" s="1"/>
  <c r="BQ64" i="12"/>
  <c r="BP65" i="12"/>
  <c r="BQ65" i="12" s="1"/>
  <c r="BU66" i="12"/>
  <c r="BV66" i="12" s="1"/>
  <c r="BW66" i="12" s="1"/>
  <c r="BS66" i="12"/>
  <c r="BT66" i="12" s="1"/>
  <c r="BO66" i="12"/>
  <c r="BP66" i="12" s="1"/>
  <c r="BN67" i="12"/>
  <c r="G42" i="13"/>
  <c r="BU65" i="18" l="1"/>
  <c r="BV65" i="18" s="1"/>
  <c r="BW65" i="18" s="1"/>
  <c r="BN66" i="18"/>
  <c r="BS65" i="18"/>
  <c r="BT65" i="18" s="1"/>
  <c r="BO65" i="18"/>
  <c r="BP65" i="18" s="1"/>
  <c r="BR65" i="18" s="1"/>
  <c r="BQ64" i="18"/>
  <c r="BR64" i="19"/>
  <c r="BN66" i="19"/>
  <c r="BU65" i="19"/>
  <c r="BV65" i="19" s="1"/>
  <c r="BW65" i="19" s="1"/>
  <c r="BS65" i="19"/>
  <c r="BT65" i="19" s="1"/>
  <c r="BO65" i="19"/>
  <c r="BP65" i="19" s="1"/>
  <c r="AS104" i="5"/>
  <c r="AR104" i="5"/>
  <c r="AF104" i="5"/>
  <c r="AY104" i="5" s="1"/>
  <c r="AC105" i="5"/>
  <c r="AD104" i="5"/>
  <c r="AW104" i="5" s="1"/>
  <c r="BR65" i="12"/>
  <c r="BR66" i="12" s="1"/>
  <c r="BQ66" i="12"/>
  <c r="BS67" i="12"/>
  <c r="BT67" i="12" s="1"/>
  <c r="BU67" i="12"/>
  <c r="BV67" i="12" s="1"/>
  <c r="BW67" i="12" s="1"/>
  <c r="BO67" i="12"/>
  <c r="BN68" i="12"/>
  <c r="G43" i="13"/>
  <c r="BR65" i="19" l="1"/>
  <c r="BS66" i="18"/>
  <c r="BT66" i="18" s="1"/>
  <c r="BU66" i="18"/>
  <c r="BV66" i="18" s="1"/>
  <c r="BW66" i="18" s="1"/>
  <c r="BN67" i="18"/>
  <c r="BO66" i="18"/>
  <c r="BP66" i="18" s="1"/>
  <c r="BR66" i="18" s="1"/>
  <c r="BQ65" i="18"/>
  <c r="BS66" i="19"/>
  <c r="BT66" i="19" s="1"/>
  <c r="BO66" i="19"/>
  <c r="BP66" i="19" s="1"/>
  <c r="BR66" i="19" s="1"/>
  <c r="BN67" i="19"/>
  <c r="BU66" i="19"/>
  <c r="BV66" i="19" s="1"/>
  <c r="BW66" i="19" s="1"/>
  <c r="BQ65" i="19"/>
  <c r="AS105" i="5"/>
  <c r="AR105" i="5"/>
  <c r="AC106" i="5"/>
  <c r="AF105" i="5"/>
  <c r="AY105" i="5" s="1"/>
  <c r="AD105" i="5"/>
  <c r="AW105" i="5" s="1"/>
  <c r="BP67" i="12"/>
  <c r="BR67" i="12" s="1"/>
  <c r="BO68" i="12"/>
  <c r="BU68" i="12"/>
  <c r="BS68" i="12"/>
  <c r="BT68" i="12" s="1"/>
  <c r="BN69" i="12"/>
  <c r="G44" i="13"/>
  <c r="BN68" i="18" l="1"/>
  <c r="BS67" i="18"/>
  <c r="BT67" i="18" s="1"/>
  <c r="BO67" i="18"/>
  <c r="BP67" i="18" s="1"/>
  <c r="BR67" i="18" s="1"/>
  <c r="BU67" i="18"/>
  <c r="BV67" i="18" s="1"/>
  <c r="BW67" i="18" s="1"/>
  <c r="BQ66" i="18"/>
  <c r="BV68" i="12"/>
  <c r="BW68" i="12" s="1"/>
  <c r="BS67" i="19"/>
  <c r="BT67" i="19" s="1"/>
  <c r="BN68" i="19"/>
  <c r="BU67" i="19"/>
  <c r="BV67" i="19" s="1"/>
  <c r="BW67" i="19" s="1"/>
  <c r="BO67" i="19"/>
  <c r="BP67" i="19" s="1"/>
  <c r="BR67" i="19" s="1"/>
  <c r="BQ66" i="19"/>
  <c r="AS106" i="5"/>
  <c r="AR106" i="5"/>
  <c r="AF106" i="5"/>
  <c r="AY106" i="5" s="1"/>
  <c r="AD106" i="5"/>
  <c r="AW106" i="5" s="1"/>
  <c r="AC107" i="5"/>
  <c r="BQ67" i="12"/>
  <c r="BP68" i="12"/>
  <c r="BR68" i="12" s="1"/>
  <c r="BO69" i="12"/>
  <c r="BS69" i="12"/>
  <c r="BT69" i="12" s="1"/>
  <c r="BU69" i="12"/>
  <c r="BV69" i="12" s="1"/>
  <c r="BW69" i="12" s="1"/>
  <c r="BN70" i="12"/>
  <c r="G45" i="13"/>
  <c r="BQ67" i="18" l="1"/>
  <c r="BS68" i="18"/>
  <c r="BT68" i="18" s="1"/>
  <c r="BU68" i="18"/>
  <c r="BV68" i="18" s="1"/>
  <c r="BW68" i="18" s="1"/>
  <c r="BN69" i="18"/>
  <c r="BO68" i="18"/>
  <c r="BP68" i="18" s="1"/>
  <c r="BR68" i="18" s="1"/>
  <c r="BQ67" i="19"/>
  <c r="BU68" i="19"/>
  <c r="BV68" i="19" s="1"/>
  <c r="BW68" i="19" s="1"/>
  <c r="BS68" i="19"/>
  <c r="BT68" i="19" s="1"/>
  <c r="BO68" i="19"/>
  <c r="BP68" i="19" s="1"/>
  <c r="BQ68" i="19" s="1"/>
  <c r="BN69" i="19"/>
  <c r="AD107" i="5"/>
  <c r="AW107" i="5" s="1"/>
  <c r="AW109" i="5" s="1"/>
  <c r="AW111" i="5" s="1"/>
  <c r="AW113" i="5" s="1"/>
  <c r="AF107" i="5"/>
  <c r="AY107" i="5" s="1"/>
  <c r="AY109" i="5" s="1"/>
  <c r="AY111" i="5" s="1"/>
  <c r="AY113" i="5" s="1"/>
  <c r="AC108" i="5"/>
  <c r="BQ68" i="12"/>
  <c r="BP69" i="12"/>
  <c r="BR69" i="12" s="1"/>
  <c r="BU70" i="12"/>
  <c r="BV70" i="12" s="1"/>
  <c r="BW70" i="12" s="1"/>
  <c r="BO70" i="12"/>
  <c r="BS70" i="12"/>
  <c r="BT70" i="12" s="1"/>
  <c r="BN71" i="12"/>
  <c r="G46" i="13"/>
  <c r="BQ68" i="18" l="1"/>
  <c r="BS69" i="18"/>
  <c r="BT69" i="18" s="1"/>
  <c r="BN70" i="18"/>
  <c r="BO69" i="18"/>
  <c r="BP69" i="18" s="1"/>
  <c r="BR69" i="18" s="1"/>
  <c r="BU69" i="18"/>
  <c r="BV69" i="18" s="1"/>
  <c r="BW69" i="18" s="1"/>
  <c r="BR68" i="19"/>
  <c r="BO69" i="19"/>
  <c r="BP69" i="19" s="1"/>
  <c r="BQ69" i="19" s="1"/>
  <c r="BS69" i="19"/>
  <c r="BT69" i="19" s="1"/>
  <c r="BU69" i="19"/>
  <c r="BV69" i="19" s="1"/>
  <c r="BW69" i="19" s="1"/>
  <c r="BN70" i="19"/>
  <c r="AC114" i="5"/>
  <c r="AF108" i="5"/>
  <c r="AY108" i="5" s="1"/>
  <c r="AY110" i="5" s="1"/>
  <c r="AY112" i="5" s="1"/>
  <c r="AD108" i="5"/>
  <c r="AW108" i="5" s="1"/>
  <c r="AW110" i="5" s="1"/>
  <c r="AW112" i="5" s="1"/>
  <c r="BQ69" i="12"/>
  <c r="BP70" i="12"/>
  <c r="BR70" i="12" s="1"/>
  <c r="BS71" i="12"/>
  <c r="BT71" i="12" s="1"/>
  <c r="BO71" i="12"/>
  <c r="BU71" i="12"/>
  <c r="BV71" i="12" s="1"/>
  <c r="BW71" i="12" s="1"/>
  <c r="BN72" i="12"/>
  <c r="G47" i="13"/>
  <c r="BS70" i="18" l="1"/>
  <c r="BT70" i="18" s="1"/>
  <c r="BN71" i="18"/>
  <c r="BO70" i="18"/>
  <c r="BP70" i="18" s="1"/>
  <c r="BR70" i="18" s="1"/>
  <c r="BU70" i="18"/>
  <c r="BV70" i="18" s="1"/>
  <c r="BW70" i="18" s="1"/>
  <c r="BQ69" i="18"/>
  <c r="BN71" i="19"/>
  <c r="BS70" i="19"/>
  <c r="BT70" i="19" s="1"/>
  <c r="BU70" i="19"/>
  <c r="BV70" i="19" s="1"/>
  <c r="BW70" i="19" s="1"/>
  <c r="BO70" i="19"/>
  <c r="BP70" i="19" s="1"/>
  <c r="BR69" i="19"/>
  <c r="AR114" i="5"/>
  <c r="AS114" i="5"/>
  <c r="AC115" i="5"/>
  <c r="AD114" i="5"/>
  <c r="AW114" i="5" s="1"/>
  <c r="AF114" i="5"/>
  <c r="AY114" i="5" s="1"/>
  <c r="BQ70" i="12"/>
  <c r="BP71" i="12"/>
  <c r="BR71" i="12" s="1"/>
  <c r="BO72" i="12"/>
  <c r="BU72" i="12"/>
  <c r="BV72" i="12" s="1"/>
  <c r="BW72" i="12" s="1"/>
  <c r="BS72" i="12"/>
  <c r="BT72" i="12" s="1"/>
  <c r="BN73" i="12"/>
  <c r="G48" i="13"/>
  <c r="BU71" i="18" l="1"/>
  <c r="BV71" i="18" s="1"/>
  <c r="BW71" i="18" s="1"/>
  <c r="BN72" i="18"/>
  <c r="BO71" i="18"/>
  <c r="BP71" i="18" s="1"/>
  <c r="BR71" i="18" s="1"/>
  <c r="BS71" i="18"/>
  <c r="BT71" i="18" s="1"/>
  <c r="BQ70" i="18"/>
  <c r="BR70" i="19"/>
  <c r="BQ70" i="19"/>
  <c r="BU71" i="19"/>
  <c r="BV71" i="19" s="1"/>
  <c r="BW71" i="19" s="1"/>
  <c r="BN72" i="19"/>
  <c r="BS71" i="19"/>
  <c r="BT71" i="19" s="1"/>
  <c r="BO71" i="19"/>
  <c r="BP71" i="19" s="1"/>
  <c r="BR71" i="19" s="1"/>
  <c r="AS115" i="5"/>
  <c r="AR115" i="5"/>
  <c r="AC116" i="5"/>
  <c r="AF115" i="5"/>
  <c r="AY115" i="5" s="1"/>
  <c r="AD115" i="5"/>
  <c r="AW115" i="5" s="1"/>
  <c r="BQ71" i="12"/>
  <c r="BP72" i="12"/>
  <c r="BR72" i="12" s="1"/>
  <c r="BU73" i="12"/>
  <c r="BV73" i="12" s="1"/>
  <c r="BW73" i="12" s="1"/>
  <c r="BO73" i="12"/>
  <c r="BS73" i="12"/>
  <c r="BT73" i="12" s="1"/>
  <c r="BN74" i="12"/>
  <c r="G49" i="13"/>
  <c r="BO72" i="18" l="1"/>
  <c r="BP72" i="18" s="1"/>
  <c r="BR72" i="18" s="1"/>
  <c r="BS72" i="18"/>
  <c r="BT72" i="18" s="1"/>
  <c r="BU72" i="18"/>
  <c r="BV72" i="18" s="1"/>
  <c r="BW72" i="18" s="1"/>
  <c r="BN73" i="18"/>
  <c r="BQ71" i="18"/>
  <c r="BN73" i="19"/>
  <c r="BU72" i="19"/>
  <c r="BV72" i="19" s="1"/>
  <c r="BW72" i="19" s="1"/>
  <c r="BS72" i="19"/>
  <c r="BT72" i="19" s="1"/>
  <c r="BO72" i="19"/>
  <c r="BP72" i="19" s="1"/>
  <c r="BR72" i="19" s="1"/>
  <c r="BQ71" i="19"/>
  <c r="AR116" i="5"/>
  <c r="AS116" i="5"/>
  <c r="AC117" i="5"/>
  <c r="AF116" i="5"/>
  <c r="AY116" i="5" s="1"/>
  <c r="AD116" i="5"/>
  <c r="AW116" i="5" s="1"/>
  <c r="BQ72" i="12"/>
  <c r="BP73" i="12"/>
  <c r="BR73" i="12" s="1"/>
  <c r="BU74" i="12"/>
  <c r="BV74" i="12" s="1"/>
  <c r="BW74" i="12" s="1"/>
  <c r="BS74" i="12"/>
  <c r="BT74" i="12" s="1"/>
  <c r="BO74" i="12"/>
  <c r="BN75" i="12"/>
  <c r="G50" i="13"/>
  <c r="BQ72" i="18" l="1"/>
  <c r="BO73" i="18"/>
  <c r="BP73" i="18" s="1"/>
  <c r="BR73" i="18" s="1"/>
  <c r="BS73" i="18"/>
  <c r="BT73" i="18" s="1"/>
  <c r="BU73" i="18"/>
  <c r="BV73" i="18" s="1"/>
  <c r="BW73" i="18" s="1"/>
  <c r="BN74" i="18"/>
  <c r="BQ72" i="19"/>
  <c r="BO73" i="19"/>
  <c r="BP73" i="19" s="1"/>
  <c r="BR73" i="19" s="1"/>
  <c r="BS73" i="19"/>
  <c r="BT73" i="19" s="1"/>
  <c r="BN74" i="19"/>
  <c r="BU73" i="19"/>
  <c r="BV73" i="19" s="1"/>
  <c r="BW73" i="19" s="1"/>
  <c r="AS117" i="5"/>
  <c r="AR117" i="5"/>
  <c r="AC118" i="5"/>
  <c r="AF117" i="5"/>
  <c r="AY117" i="5" s="1"/>
  <c r="AD117" i="5"/>
  <c r="AW117" i="5" s="1"/>
  <c r="BQ73" i="12"/>
  <c r="BP74" i="12"/>
  <c r="BR74" i="12" s="1"/>
  <c r="BS75" i="12"/>
  <c r="BT75" i="12" s="1"/>
  <c r="BU75" i="12"/>
  <c r="BV75" i="12" s="1"/>
  <c r="BW75" i="12" s="1"/>
  <c r="BO75" i="12"/>
  <c r="BN76" i="12"/>
  <c r="J21" i="13"/>
  <c r="BQ73" i="18" l="1"/>
  <c r="BU74" i="18"/>
  <c r="BV74" i="18" s="1"/>
  <c r="BW74" i="18" s="1"/>
  <c r="BO74" i="18"/>
  <c r="BP74" i="18" s="1"/>
  <c r="BR74" i="18" s="1"/>
  <c r="BS74" i="18"/>
  <c r="BT74" i="18" s="1"/>
  <c r="BN75" i="18"/>
  <c r="BQ73" i="19"/>
  <c r="BU74" i="19"/>
  <c r="BV74" i="19" s="1"/>
  <c r="BW74" i="19" s="1"/>
  <c r="BS74" i="19"/>
  <c r="BT74" i="19" s="1"/>
  <c r="BN75" i="19"/>
  <c r="BO74" i="19"/>
  <c r="BP74" i="19" s="1"/>
  <c r="BR74" i="19" s="1"/>
  <c r="AR118" i="5"/>
  <c r="AS118" i="5"/>
  <c r="AF118" i="5"/>
  <c r="AY118" i="5" s="1"/>
  <c r="AD118" i="5"/>
  <c r="AW118" i="5" s="1"/>
  <c r="AC119" i="5"/>
  <c r="BQ74" i="12"/>
  <c r="BP75" i="12"/>
  <c r="BR75" i="12" s="1"/>
  <c r="BO76" i="12"/>
  <c r="BU76" i="12"/>
  <c r="BV76" i="12" s="1"/>
  <c r="BW76" i="12" s="1"/>
  <c r="BS76" i="12"/>
  <c r="BT76" i="12" s="1"/>
  <c r="BN77" i="12"/>
  <c r="J22" i="13"/>
  <c r="BQ74" i="18" l="1"/>
  <c r="BN76" i="18"/>
  <c r="BO75" i="18"/>
  <c r="BP75" i="18" s="1"/>
  <c r="BR75" i="18" s="1"/>
  <c r="BS75" i="18"/>
  <c r="BT75" i="18" s="1"/>
  <c r="BU75" i="18"/>
  <c r="BV75" i="18" s="1"/>
  <c r="BW75" i="18" s="1"/>
  <c r="BQ74" i="19"/>
  <c r="BU75" i="19"/>
  <c r="BV75" i="19" s="1"/>
  <c r="BW75" i="19" s="1"/>
  <c r="BN76" i="19"/>
  <c r="BS75" i="19"/>
  <c r="BT75" i="19" s="1"/>
  <c r="BO75" i="19"/>
  <c r="BP75" i="19" s="1"/>
  <c r="BR75" i="19" s="1"/>
  <c r="AF119" i="5"/>
  <c r="AY119" i="5" s="1"/>
  <c r="AY121" i="5" s="1"/>
  <c r="AY123" i="5" s="1"/>
  <c r="AY125" i="5" s="1"/>
  <c r="AD119" i="5"/>
  <c r="AW119" i="5" s="1"/>
  <c r="AW121" i="5" s="1"/>
  <c r="AW123" i="5" s="1"/>
  <c r="AW125" i="5" s="1"/>
  <c r="AC120" i="5"/>
  <c r="BQ75" i="12"/>
  <c r="BP76" i="12"/>
  <c r="BR76" i="12" s="1"/>
  <c r="BO77" i="12"/>
  <c r="BS77" i="12"/>
  <c r="BT77" i="12" s="1"/>
  <c r="BU77" i="12"/>
  <c r="BV77" i="12" s="1"/>
  <c r="BW77" i="12" s="1"/>
  <c r="BN78" i="12"/>
  <c r="J23" i="13"/>
  <c r="BQ75" i="18" l="1"/>
  <c r="BO76" i="18"/>
  <c r="BP76" i="18" s="1"/>
  <c r="BR76" i="18" s="1"/>
  <c r="BN77" i="18"/>
  <c r="BU76" i="18"/>
  <c r="BV76" i="18" s="1"/>
  <c r="BW76" i="18" s="1"/>
  <c r="BS76" i="18"/>
  <c r="BT76" i="18" s="1"/>
  <c r="BQ75" i="19"/>
  <c r="BU76" i="19"/>
  <c r="BV76" i="19" s="1"/>
  <c r="BW76" i="19" s="1"/>
  <c r="BO76" i="19"/>
  <c r="BP76" i="19" s="1"/>
  <c r="BR76" i="19" s="1"/>
  <c r="BN77" i="19"/>
  <c r="BS76" i="19"/>
  <c r="BT76" i="19" s="1"/>
  <c r="AC126" i="5"/>
  <c r="AF120" i="5"/>
  <c r="AY120" i="5" s="1"/>
  <c r="AY122" i="5" s="1"/>
  <c r="AY124" i="5" s="1"/>
  <c r="AD120" i="5"/>
  <c r="AW120" i="5" s="1"/>
  <c r="AW122" i="5" s="1"/>
  <c r="AW124" i="5" s="1"/>
  <c r="BQ76" i="12"/>
  <c r="BP77" i="12"/>
  <c r="BR77" i="12" s="1"/>
  <c r="BU78" i="12"/>
  <c r="BV78" i="12" s="1"/>
  <c r="BW78" i="12" s="1"/>
  <c r="BO78" i="12"/>
  <c r="BS78" i="12"/>
  <c r="BT78" i="12" s="1"/>
  <c r="BN79" i="12"/>
  <c r="J24" i="13"/>
  <c r="BS77" i="18" l="1"/>
  <c r="BT77" i="18" s="1"/>
  <c r="BN78" i="18"/>
  <c r="BU77" i="18"/>
  <c r="BV77" i="18" s="1"/>
  <c r="BW77" i="18" s="1"/>
  <c r="BO77" i="18"/>
  <c r="BP77" i="18" s="1"/>
  <c r="BR77" i="18" s="1"/>
  <c r="BQ76" i="18"/>
  <c r="BU77" i="19"/>
  <c r="BV77" i="19" s="1"/>
  <c r="BW77" i="19" s="1"/>
  <c r="BN78" i="19"/>
  <c r="BS77" i="19"/>
  <c r="BT77" i="19" s="1"/>
  <c r="BO77" i="19"/>
  <c r="BP77" i="19" s="1"/>
  <c r="BR77" i="19" s="1"/>
  <c r="BQ76" i="19"/>
  <c r="AR126" i="5"/>
  <c r="AS126" i="5"/>
  <c r="AC127" i="5"/>
  <c r="AF126" i="5"/>
  <c r="AY126" i="5" s="1"/>
  <c r="AD126" i="5"/>
  <c r="AW126" i="5" s="1"/>
  <c r="BQ77" i="12"/>
  <c r="BP78" i="12"/>
  <c r="BR78" i="12" s="1"/>
  <c r="BO79" i="12"/>
  <c r="BU79" i="12"/>
  <c r="BV79" i="12" s="1"/>
  <c r="BW79" i="12" s="1"/>
  <c r="BS79" i="12"/>
  <c r="BT79" i="12" s="1"/>
  <c r="BN80" i="12"/>
  <c r="J25" i="13"/>
  <c r="BN79" i="18" l="1"/>
  <c r="BU78" i="18"/>
  <c r="BV78" i="18" s="1"/>
  <c r="BW78" i="18" s="1"/>
  <c r="BO78" i="18"/>
  <c r="BP78" i="18" s="1"/>
  <c r="BR78" i="18" s="1"/>
  <c r="BS78" i="18"/>
  <c r="BT78" i="18" s="1"/>
  <c r="BQ77" i="18"/>
  <c r="BQ77" i="19"/>
  <c r="BO78" i="19"/>
  <c r="BP78" i="19" s="1"/>
  <c r="BR78" i="19" s="1"/>
  <c r="BS78" i="19"/>
  <c r="BT78" i="19" s="1"/>
  <c r="BU78" i="19"/>
  <c r="BV78" i="19" s="1"/>
  <c r="BW78" i="19" s="1"/>
  <c r="BN79" i="19"/>
  <c r="AR127" i="5"/>
  <c r="AS127" i="5"/>
  <c r="AD127" i="5"/>
  <c r="AW127" i="5" s="1"/>
  <c r="AC128" i="5"/>
  <c r="AF127" i="5"/>
  <c r="AY127" i="5" s="1"/>
  <c r="BQ78" i="12"/>
  <c r="BP79" i="12"/>
  <c r="BR79" i="12" s="1"/>
  <c r="BO80" i="12"/>
  <c r="BU80" i="12"/>
  <c r="BV80" i="12" s="1"/>
  <c r="BW80" i="12" s="1"/>
  <c r="BS80" i="12"/>
  <c r="BT80" i="12" s="1"/>
  <c r="BN81" i="12"/>
  <c r="J26" i="13"/>
  <c r="BQ78" i="18" l="1"/>
  <c r="BS79" i="18"/>
  <c r="BT79" i="18" s="1"/>
  <c r="BU79" i="18"/>
  <c r="BV79" i="18" s="1"/>
  <c r="BW79" i="18" s="1"/>
  <c r="BN80" i="18"/>
  <c r="BO79" i="18"/>
  <c r="BP79" i="18" s="1"/>
  <c r="BR79" i="18" s="1"/>
  <c r="BQ78" i="19"/>
  <c r="BS79" i="19"/>
  <c r="BT79" i="19" s="1"/>
  <c r="BN80" i="19"/>
  <c r="BO79" i="19"/>
  <c r="BP79" i="19" s="1"/>
  <c r="BR79" i="19" s="1"/>
  <c r="BU79" i="19"/>
  <c r="BV79" i="19" s="1"/>
  <c r="BW79" i="19" s="1"/>
  <c r="AR128" i="5"/>
  <c r="AS128" i="5"/>
  <c r="AC129" i="5"/>
  <c r="AF128" i="5"/>
  <c r="AY128" i="5" s="1"/>
  <c r="AD128" i="5"/>
  <c r="AW128" i="5" s="1"/>
  <c r="BQ79" i="12"/>
  <c r="BP80" i="12"/>
  <c r="BR80" i="12" s="1"/>
  <c r="BU81" i="12"/>
  <c r="BV81" i="12" s="1"/>
  <c r="BW81" i="12" s="1"/>
  <c r="BO81" i="12"/>
  <c r="BS81" i="12"/>
  <c r="BT81" i="12" s="1"/>
  <c r="BN82" i="12"/>
  <c r="J27" i="13"/>
  <c r="BQ79" i="18" l="1"/>
  <c r="BN81" i="18"/>
  <c r="BS80" i="18"/>
  <c r="BT80" i="18" s="1"/>
  <c r="BO80" i="18"/>
  <c r="BP80" i="18" s="1"/>
  <c r="BR80" i="18" s="1"/>
  <c r="BU80" i="18"/>
  <c r="BV80" i="18" s="1"/>
  <c r="BW80" i="18" s="1"/>
  <c r="BS80" i="19"/>
  <c r="BT80" i="19" s="1"/>
  <c r="BU80" i="19"/>
  <c r="BV80" i="19" s="1"/>
  <c r="BW80" i="19" s="1"/>
  <c r="BN81" i="19"/>
  <c r="BO80" i="19"/>
  <c r="BP80" i="19" s="1"/>
  <c r="BR80" i="19" s="1"/>
  <c r="BQ79" i="19"/>
  <c r="AR129" i="5"/>
  <c r="AS129" i="5"/>
  <c r="AC130" i="5"/>
  <c r="AF129" i="5"/>
  <c r="AY129" i="5" s="1"/>
  <c r="AD129" i="5"/>
  <c r="AW129" i="5" s="1"/>
  <c r="BQ80" i="12"/>
  <c r="BP81" i="12"/>
  <c r="BR81" i="12" s="1"/>
  <c r="BU82" i="12"/>
  <c r="BV82" i="12" s="1"/>
  <c r="BW82" i="12" s="1"/>
  <c r="BS82" i="12"/>
  <c r="BT82" i="12" s="1"/>
  <c r="BO82" i="12"/>
  <c r="BN83" i="12"/>
  <c r="J28" i="13"/>
  <c r="BQ80" i="18" l="1"/>
  <c r="BO81" i="18"/>
  <c r="BP81" i="18" s="1"/>
  <c r="BR81" i="18" s="1"/>
  <c r="BU81" i="18"/>
  <c r="BV81" i="18" s="1"/>
  <c r="BW81" i="18" s="1"/>
  <c r="BN82" i="18"/>
  <c r="BS81" i="18"/>
  <c r="BT81" i="18" s="1"/>
  <c r="BQ80" i="19"/>
  <c r="BS81" i="19"/>
  <c r="BT81" i="19" s="1"/>
  <c r="BU81" i="19"/>
  <c r="BV81" i="19" s="1"/>
  <c r="BW81" i="19" s="1"/>
  <c r="BN82" i="19"/>
  <c r="BO81" i="19"/>
  <c r="BP81" i="19" s="1"/>
  <c r="BR81" i="19" s="1"/>
  <c r="AS130" i="5"/>
  <c r="AR130" i="5"/>
  <c r="AF130" i="5"/>
  <c r="AY130" i="5" s="1"/>
  <c r="AD130" i="5"/>
  <c r="AW130" i="5" s="1"/>
  <c r="AC131" i="5"/>
  <c r="BQ81" i="12"/>
  <c r="BP82" i="12"/>
  <c r="BR82" i="12" s="1"/>
  <c r="BS83" i="12"/>
  <c r="BT83" i="12" s="1"/>
  <c r="BU83" i="12"/>
  <c r="BV83" i="12" s="1"/>
  <c r="BW83" i="12" s="1"/>
  <c r="BO83" i="12"/>
  <c r="BN84" i="12"/>
  <c r="J29" i="13"/>
  <c r="BQ81" i="18" l="1"/>
  <c r="BN83" i="18"/>
  <c r="BO82" i="18"/>
  <c r="BP82" i="18" s="1"/>
  <c r="BR82" i="18" s="1"/>
  <c r="BU82" i="18"/>
  <c r="BV82" i="18" s="1"/>
  <c r="BW82" i="18" s="1"/>
  <c r="BS82" i="18"/>
  <c r="BT82" i="18" s="1"/>
  <c r="BN83" i="19"/>
  <c r="BO82" i="19"/>
  <c r="BP82" i="19" s="1"/>
  <c r="BR82" i="19" s="1"/>
  <c r="BU82" i="19"/>
  <c r="BV82" i="19" s="1"/>
  <c r="BW82" i="19" s="1"/>
  <c r="BS82" i="19"/>
  <c r="BT82" i="19" s="1"/>
  <c r="BQ81" i="19"/>
  <c r="AF131" i="5"/>
  <c r="AY131" i="5" s="1"/>
  <c r="AY133" i="5" s="1"/>
  <c r="AY135" i="5" s="1"/>
  <c r="AY137" i="5" s="1"/>
  <c r="AD131" i="5"/>
  <c r="AW131" i="5" s="1"/>
  <c r="AW133" i="5" s="1"/>
  <c r="AW135" i="5" s="1"/>
  <c r="AW137" i="5" s="1"/>
  <c r="AC132" i="5"/>
  <c r="BQ82" i="12"/>
  <c r="BP83" i="12"/>
  <c r="BR83" i="12" s="1"/>
  <c r="BS84" i="12"/>
  <c r="BT84" i="12" s="1"/>
  <c r="BO84" i="12"/>
  <c r="BU84" i="12"/>
  <c r="BV84" i="12" s="1"/>
  <c r="BW84" i="12" s="1"/>
  <c r="BN85" i="12"/>
  <c r="J30" i="13"/>
  <c r="BS83" i="18" l="1"/>
  <c r="BT83" i="18" s="1"/>
  <c r="BO83" i="18"/>
  <c r="BP83" i="18" s="1"/>
  <c r="BR83" i="18" s="1"/>
  <c r="BU83" i="18"/>
  <c r="BV83" i="18" s="1"/>
  <c r="BW83" i="18" s="1"/>
  <c r="BN84" i="18"/>
  <c r="BQ83" i="18"/>
  <c r="BQ82" i="18"/>
  <c r="BQ82" i="19"/>
  <c r="BN84" i="19"/>
  <c r="BS83" i="19"/>
  <c r="BT83" i="19" s="1"/>
  <c r="BU83" i="19"/>
  <c r="BV83" i="19" s="1"/>
  <c r="BW83" i="19" s="1"/>
  <c r="BO83" i="19"/>
  <c r="BP83" i="19" s="1"/>
  <c r="BR83" i="19" s="1"/>
  <c r="AC138" i="5"/>
  <c r="AF132" i="5"/>
  <c r="AY132" i="5" s="1"/>
  <c r="AY134" i="5" s="1"/>
  <c r="AY136" i="5" s="1"/>
  <c r="AD132" i="5"/>
  <c r="AW132" i="5" s="1"/>
  <c r="AW134" i="5" s="1"/>
  <c r="AW136" i="5" s="1"/>
  <c r="BQ83" i="12"/>
  <c r="BP84" i="12"/>
  <c r="BR84" i="12" s="1"/>
  <c r="BU85" i="12"/>
  <c r="BV85" i="12" s="1"/>
  <c r="BW85" i="12" s="1"/>
  <c r="BO85" i="12"/>
  <c r="BS85" i="12"/>
  <c r="BT85" i="12" s="1"/>
  <c r="BN86" i="12"/>
  <c r="J31" i="13"/>
  <c r="BU84" i="18" l="1"/>
  <c r="BV84" i="18" s="1"/>
  <c r="BW84" i="18" s="1"/>
  <c r="BO84" i="18"/>
  <c r="BP84" i="18" s="1"/>
  <c r="BR84" i="18" s="1"/>
  <c r="BS84" i="18"/>
  <c r="BT84" i="18" s="1"/>
  <c r="BN85" i="18"/>
  <c r="BQ83" i="19"/>
  <c r="BS84" i="19"/>
  <c r="BT84" i="19" s="1"/>
  <c r="BN85" i="19"/>
  <c r="BU84" i="19"/>
  <c r="BV84" i="19" s="1"/>
  <c r="BW84" i="19" s="1"/>
  <c r="BO84" i="19"/>
  <c r="BP84" i="19" s="1"/>
  <c r="BR84" i="19" s="1"/>
  <c r="AR138" i="5"/>
  <c r="AS138" i="5"/>
  <c r="AC139" i="5"/>
  <c r="AF138" i="5"/>
  <c r="AY138" i="5" s="1"/>
  <c r="AD138" i="5"/>
  <c r="AW138" i="5" s="1"/>
  <c r="BQ84" i="12"/>
  <c r="BP85" i="12"/>
  <c r="BR85" i="12" s="1"/>
  <c r="BS86" i="12"/>
  <c r="BT86" i="12" s="1"/>
  <c r="BU86" i="12"/>
  <c r="BV86" i="12" s="1"/>
  <c r="BW86" i="12" s="1"/>
  <c r="BO86" i="12"/>
  <c r="BN87" i="12"/>
  <c r="J32" i="13"/>
  <c r="BO85" i="18" l="1"/>
  <c r="BP85" i="18" s="1"/>
  <c r="BR85" i="18" s="1"/>
  <c r="BS85" i="18"/>
  <c r="BT85" i="18" s="1"/>
  <c r="BU85" i="18"/>
  <c r="BV85" i="18" s="1"/>
  <c r="BW85" i="18" s="1"/>
  <c r="BN86" i="18"/>
  <c r="BQ84" i="18"/>
  <c r="BS85" i="19"/>
  <c r="BT85" i="19" s="1"/>
  <c r="BN86" i="19"/>
  <c r="BU85" i="19"/>
  <c r="BV85" i="19" s="1"/>
  <c r="BW85" i="19" s="1"/>
  <c r="BO85" i="19"/>
  <c r="BP85" i="19" s="1"/>
  <c r="BR85" i="19" s="1"/>
  <c r="BQ84" i="19"/>
  <c r="AS139" i="5"/>
  <c r="AR139" i="5"/>
  <c r="AC140" i="5"/>
  <c r="AF139" i="5"/>
  <c r="AY139" i="5" s="1"/>
  <c r="AD139" i="5"/>
  <c r="AW139" i="5" s="1"/>
  <c r="BQ85" i="12"/>
  <c r="BP86" i="12"/>
  <c r="BR86" i="12" s="1"/>
  <c r="BU87" i="12"/>
  <c r="BV87" i="12" s="1"/>
  <c r="BW87" i="12" s="1"/>
  <c r="BS87" i="12"/>
  <c r="BT87" i="12" s="1"/>
  <c r="BO87" i="12"/>
  <c r="BN88" i="12"/>
  <c r="J33" i="13"/>
  <c r="BQ85" i="18" l="1"/>
  <c r="BN87" i="18"/>
  <c r="BU86" i="18"/>
  <c r="BV86" i="18" s="1"/>
  <c r="BW86" i="18" s="1"/>
  <c r="BO86" i="18"/>
  <c r="BP86" i="18" s="1"/>
  <c r="BR86" i="18" s="1"/>
  <c r="BS86" i="18"/>
  <c r="BT86" i="18" s="1"/>
  <c r="BQ85" i="19"/>
  <c r="BU86" i="19"/>
  <c r="BV86" i="19" s="1"/>
  <c r="BW86" i="19" s="1"/>
  <c r="BO86" i="19"/>
  <c r="BP86" i="19" s="1"/>
  <c r="BR86" i="19" s="1"/>
  <c r="BS86" i="19"/>
  <c r="BT86" i="19" s="1"/>
  <c r="BN87" i="19"/>
  <c r="AR140" i="5"/>
  <c r="AS140" i="5"/>
  <c r="AD140" i="5"/>
  <c r="AW140" i="5" s="1"/>
  <c r="AC141" i="5"/>
  <c r="AF140" i="5"/>
  <c r="AY140" i="5" s="1"/>
  <c r="BQ86" i="12"/>
  <c r="BP87" i="12"/>
  <c r="BQ87" i="12" s="1"/>
  <c r="BS88" i="12"/>
  <c r="BT88" i="12" s="1"/>
  <c r="BO88" i="12"/>
  <c r="BU88" i="12"/>
  <c r="BV88" i="12" s="1"/>
  <c r="BW88" i="12" s="1"/>
  <c r="BN89" i="12"/>
  <c r="J34" i="13"/>
  <c r="BQ86" i="18" l="1"/>
  <c r="BS87" i="18"/>
  <c r="BT87" i="18" s="1"/>
  <c r="BU87" i="18"/>
  <c r="BV87" i="18" s="1"/>
  <c r="BW87" i="18" s="1"/>
  <c r="BN88" i="18"/>
  <c r="BO87" i="18"/>
  <c r="BP87" i="18" s="1"/>
  <c r="BR87" i="18" s="1"/>
  <c r="BQ86" i="19"/>
  <c r="BO87" i="19"/>
  <c r="BP87" i="19" s="1"/>
  <c r="BR87" i="19" s="1"/>
  <c r="BS87" i="19"/>
  <c r="BT87" i="19" s="1"/>
  <c r="BN88" i="19"/>
  <c r="BU87" i="19"/>
  <c r="BV87" i="19" s="1"/>
  <c r="BW87" i="19" s="1"/>
  <c r="AR141" i="5"/>
  <c r="AS141" i="5"/>
  <c r="AC142" i="5"/>
  <c r="AF141" i="5"/>
  <c r="AY141" i="5" s="1"/>
  <c r="AD141" i="5"/>
  <c r="AW141" i="5" s="1"/>
  <c r="BR87" i="12"/>
  <c r="BP88" i="12"/>
  <c r="BS89" i="12"/>
  <c r="BT89" i="12" s="1"/>
  <c r="BO89" i="12"/>
  <c r="BU89" i="12"/>
  <c r="BV89" i="12" s="1"/>
  <c r="BW89" i="12" s="1"/>
  <c r="BN90" i="12"/>
  <c r="J35" i="13"/>
  <c r="BQ87" i="18" l="1"/>
  <c r="BO88" i="18"/>
  <c r="BP88" i="18" s="1"/>
  <c r="BR88" i="18" s="1"/>
  <c r="BU88" i="18"/>
  <c r="BV88" i="18" s="1"/>
  <c r="BW88" i="18" s="1"/>
  <c r="BS88" i="18"/>
  <c r="BT88" i="18" s="1"/>
  <c r="BN89" i="18"/>
  <c r="BQ88" i="18"/>
  <c r="BQ87" i="19"/>
  <c r="BN89" i="19"/>
  <c r="BO88" i="19"/>
  <c r="BP88" i="19" s="1"/>
  <c r="BR88" i="19" s="1"/>
  <c r="BU88" i="19"/>
  <c r="BV88" i="19" s="1"/>
  <c r="BW88" i="19" s="1"/>
  <c r="BS88" i="19"/>
  <c r="BT88" i="19" s="1"/>
  <c r="AR142" i="5"/>
  <c r="AS142" i="5"/>
  <c r="AD142" i="5"/>
  <c r="AW142" i="5" s="1"/>
  <c r="AC143" i="5"/>
  <c r="AF142" i="5"/>
  <c r="AY142" i="5" s="1"/>
  <c r="BR88" i="12"/>
  <c r="BQ88" i="12"/>
  <c r="BP89" i="12"/>
  <c r="BO90" i="12"/>
  <c r="BU90" i="12"/>
  <c r="BV90" i="12" s="1"/>
  <c r="BW90" i="12" s="1"/>
  <c r="BS90" i="12"/>
  <c r="BT90" i="12" s="1"/>
  <c r="BN91" i="12"/>
  <c r="J36" i="13"/>
  <c r="BU89" i="18" l="1"/>
  <c r="BV89" i="18" s="1"/>
  <c r="BW89" i="18" s="1"/>
  <c r="BO89" i="18"/>
  <c r="BP89" i="18" s="1"/>
  <c r="BR89" i="18" s="1"/>
  <c r="BS89" i="18"/>
  <c r="BT89" i="18" s="1"/>
  <c r="BN90" i="18"/>
  <c r="BQ88" i="19"/>
  <c r="BS89" i="19"/>
  <c r="BT89" i="19" s="1"/>
  <c r="BO89" i="19"/>
  <c r="BP89" i="19" s="1"/>
  <c r="BQ89" i="19" s="1"/>
  <c r="BU89" i="19"/>
  <c r="BV89" i="19" s="1"/>
  <c r="BW89" i="19" s="1"/>
  <c r="BN90" i="19"/>
  <c r="AF143" i="5"/>
  <c r="AY143" i="5" s="1"/>
  <c r="AY145" i="5" s="1"/>
  <c r="AY147" i="5" s="1"/>
  <c r="AY149" i="5" s="1"/>
  <c r="AD143" i="5"/>
  <c r="AW143" i="5" s="1"/>
  <c r="AW145" i="5" s="1"/>
  <c r="AW147" i="5" s="1"/>
  <c r="AW149" i="5" s="1"/>
  <c r="AC144" i="5"/>
  <c r="BR89" i="12"/>
  <c r="BQ89" i="12"/>
  <c r="BP90" i="12"/>
  <c r="BU91" i="12"/>
  <c r="BV91" i="12" s="1"/>
  <c r="BW91" i="12" s="1"/>
  <c r="BO91" i="12"/>
  <c r="BS91" i="12"/>
  <c r="BT91" i="12" s="1"/>
  <c r="BN92" i="12"/>
  <c r="J37" i="13"/>
  <c r="BQ89" i="18" l="1"/>
  <c r="BN91" i="18"/>
  <c r="BO90" i="18"/>
  <c r="BP90" i="18" s="1"/>
  <c r="BR90" i="18" s="1"/>
  <c r="BU90" i="18"/>
  <c r="BV90" i="18" s="1"/>
  <c r="BW90" i="18" s="1"/>
  <c r="BS90" i="18"/>
  <c r="BT90" i="18" s="1"/>
  <c r="BR89" i="19"/>
  <c r="BO90" i="19"/>
  <c r="BP90" i="19" s="1"/>
  <c r="BQ90" i="19" s="1"/>
  <c r="BN91" i="19"/>
  <c r="BS90" i="19"/>
  <c r="BT90" i="19" s="1"/>
  <c r="BU90" i="19"/>
  <c r="BV90" i="19" s="1"/>
  <c r="BW90" i="19" s="1"/>
  <c r="AC150" i="5"/>
  <c r="AF144" i="5"/>
  <c r="AY144" i="5" s="1"/>
  <c r="AY146" i="5" s="1"/>
  <c r="AY148" i="5" s="1"/>
  <c r="AD144" i="5"/>
  <c r="AW144" i="5" s="1"/>
  <c r="AW146" i="5" s="1"/>
  <c r="AW148" i="5" s="1"/>
  <c r="BR90" i="12"/>
  <c r="BQ90" i="12"/>
  <c r="BP91" i="12"/>
  <c r="BS92" i="12"/>
  <c r="BT92" i="12" s="1"/>
  <c r="BO92" i="12"/>
  <c r="BU92" i="12"/>
  <c r="BV92" i="12" s="1"/>
  <c r="BW92" i="12" s="1"/>
  <c r="BN93" i="12"/>
  <c r="J38" i="13"/>
  <c r="BS91" i="18" l="1"/>
  <c r="BO91" i="18"/>
  <c r="BP91" i="18" s="1"/>
  <c r="BR91" i="18" s="1"/>
  <c r="BN92" i="18"/>
  <c r="BU91" i="18"/>
  <c r="BV91" i="18" s="1"/>
  <c r="BW91" i="18" s="1"/>
  <c r="BT91" i="18"/>
  <c r="BQ90" i="18"/>
  <c r="BN92" i="19"/>
  <c r="BU91" i="19"/>
  <c r="BV91" i="19" s="1"/>
  <c r="BW91" i="19" s="1"/>
  <c r="BO91" i="19"/>
  <c r="BP91" i="19" s="1"/>
  <c r="BS91" i="19"/>
  <c r="BT91" i="19" s="1"/>
  <c r="BR90" i="19"/>
  <c r="AR150" i="5"/>
  <c r="AS150" i="5"/>
  <c r="AC151" i="5"/>
  <c r="AF150" i="5"/>
  <c r="AY150" i="5" s="1"/>
  <c r="AD150" i="5"/>
  <c r="AW150" i="5" s="1"/>
  <c r="BR91" i="12"/>
  <c r="BQ91" i="12"/>
  <c r="BP92" i="12"/>
  <c r="BU93" i="12"/>
  <c r="BV93" i="12" s="1"/>
  <c r="BW93" i="12" s="1"/>
  <c r="BO93" i="12"/>
  <c r="BS93" i="12"/>
  <c r="BT93" i="12" s="1"/>
  <c r="BN94" i="12"/>
  <c r="J39" i="13"/>
  <c r="BU92" i="18" l="1"/>
  <c r="BV92" i="18" s="1"/>
  <c r="BW92" i="18" s="1"/>
  <c r="BO92" i="18"/>
  <c r="BP92" i="18" s="1"/>
  <c r="BR92" i="18" s="1"/>
  <c r="BS92" i="18"/>
  <c r="BT92" i="18" s="1"/>
  <c r="BN93" i="18"/>
  <c r="BQ91" i="18"/>
  <c r="BR91" i="19"/>
  <c r="BQ91" i="19"/>
  <c r="BN93" i="19"/>
  <c r="BS92" i="19"/>
  <c r="BT92" i="19" s="1"/>
  <c r="BO92" i="19"/>
  <c r="BP92" i="19" s="1"/>
  <c r="BU92" i="19"/>
  <c r="BV92" i="19" s="1"/>
  <c r="BW92" i="19" s="1"/>
  <c r="AR151" i="5"/>
  <c r="AS151" i="5"/>
  <c r="AC152" i="5"/>
  <c r="AF151" i="5"/>
  <c r="AY151" i="5" s="1"/>
  <c r="AD151" i="5"/>
  <c r="AW151" i="5" s="1"/>
  <c r="BR92" i="12"/>
  <c r="BQ92" i="12"/>
  <c r="BP93" i="12"/>
  <c r="BS94" i="12"/>
  <c r="BT94" i="12" s="1"/>
  <c r="BU94" i="12"/>
  <c r="BV94" i="12" s="1"/>
  <c r="BW94" i="12" s="1"/>
  <c r="BO94" i="12"/>
  <c r="BN95" i="12"/>
  <c r="J40" i="13"/>
  <c r="BQ92" i="18" l="1"/>
  <c r="BU93" i="18"/>
  <c r="BV93" i="18" s="1"/>
  <c r="BW93" i="18" s="1"/>
  <c r="BS93" i="18"/>
  <c r="BT93" i="18" s="1"/>
  <c r="BN94" i="18"/>
  <c r="BO93" i="18"/>
  <c r="BP93" i="18" s="1"/>
  <c r="BR93" i="18" s="1"/>
  <c r="BR92" i="19"/>
  <c r="BN94" i="19"/>
  <c r="BU93" i="19"/>
  <c r="BV93" i="19" s="1"/>
  <c r="BW93" i="19" s="1"/>
  <c r="BO93" i="19"/>
  <c r="BP93" i="19" s="1"/>
  <c r="BS93" i="19"/>
  <c r="BT93" i="19" s="1"/>
  <c r="BQ92" i="19"/>
  <c r="AS152" i="5"/>
  <c r="AR152" i="5"/>
  <c r="AC153" i="5"/>
  <c r="AF152" i="5"/>
  <c r="AY152" i="5" s="1"/>
  <c r="AD152" i="5"/>
  <c r="AW152" i="5" s="1"/>
  <c r="BR93" i="12"/>
  <c r="BQ93" i="12"/>
  <c r="BP94" i="12"/>
  <c r="BS95" i="12"/>
  <c r="BT95" i="12" s="1"/>
  <c r="BO95" i="12"/>
  <c r="BU95" i="12"/>
  <c r="BV95" i="12" s="1"/>
  <c r="BW95" i="12" s="1"/>
  <c r="BN96" i="12"/>
  <c r="J41" i="13"/>
  <c r="BQ93" i="18" l="1"/>
  <c r="BN95" i="18"/>
  <c r="BS94" i="18"/>
  <c r="BT94" i="18" s="1"/>
  <c r="BO94" i="18"/>
  <c r="BP94" i="18" s="1"/>
  <c r="BR94" i="18" s="1"/>
  <c r="BU94" i="18"/>
  <c r="BV94" i="18" s="1"/>
  <c r="BW94" i="18" s="1"/>
  <c r="BR93" i="19"/>
  <c r="BQ93" i="19"/>
  <c r="BU94" i="19"/>
  <c r="BV94" i="19" s="1"/>
  <c r="BW94" i="19" s="1"/>
  <c r="BO94" i="19"/>
  <c r="BP94" i="19" s="1"/>
  <c r="BN95" i="19"/>
  <c r="BS94" i="19"/>
  <c r="BT94" i="19" s="1"/>
  <c r="AR153" i="5"/>
  <c r="AS153" i="5"/>
  <c r="AC154" i="5"/>
  <c r="AF153" i="5"/>
  <c r="AY153" i="5" s="1"/>
  <c r="AD153" i="5"/>
  <c r="AW153" i="5" s="1"/>
  <c r="BR94" i="12"/>
  <c r="BQ94" i="12"/>
  <c r="BP95" i="12"/>
  <c r="BS96" i="12"/>
  <c r="BT96" i="12" s="1"/>
  <c r="BO96" i="12"/>
  <c r="BU96" i="12"/>
  <c r="BV96" i="12" s="1"/>
  <c r="BW96" i="12" s="1"/>
  <c r="BN97" i="12"/>
  <c r="J42" i="13"/>
  <c r="BR94" i="19" l="1"/>
  <c r="BQ94" i="18"/>
  <c r="BU95" i="18"/>
  <c r="BV95" i="18" s="1"/>
  <c r="BW95" i="18" s="1"/>
  <c r="BN96" i="18"/>
  <c r="BO95" i="18"/>
  <c r="BP95" i="18" s="1"/>
  <c r="BR95" i="18" s="1"/>
  <c r="BS95" i="18"/>
  <c r="BT95" i="18" s="1"/>
  <c r="BR95" i="12"/>
  <c r="BN96" i="19"/>
  <c r="BS95" i="19"/>
  <c r="BT95" i="19" s="1"/>
  <c r="BO95" i="19"/>
  <c r="BP95" i="19" s="1"/>
  <c r="BR95" i="19" s="1"/>
  <c r="BU95" i="19"/>
  <c r="BV95" i="19" s="1"/>
  <c r="BW95" i="19" s="1"/>
  <c r="BQ94" i="19"/>
  <c r="AS154" i="5"/>
  <c r="AR154" i="5"/>
  <c r="AC155" i="5"/>
  <c r="AF154" i="5"/>
  <c r="AY154" i="5" s="1"/>
  <c r="AD154" i="5"/>
  <c r="AW154" i="5" s="1"/>
  <c r="BQ95" i="12"/>
  <c r="BP96" i="12"/>
  <c r="BR96" i="12" s="1"/>
  <c r="BS97" i="12"/>
  <c r="BT97" i="12" s="1"/>
  <c r="BO97" i="12"/>
  <c r="BU97" i="12"/>
  <c r="BV97" i="12" s="1"/>
  <c r="BW97" i="12" s="1"/>
  <c r="BN98" i="12"/>
  <c r="J43" i="13"/>
  <c r="BO96" i="18" l="1"/>
  <c r="BP96" i="18" s="1"/>
  <c r="BR96" i="18" s="1"/>
  <c r="BU96" i="18"/>
  <c r="BV96" i="18" s="1"/>
  <c r="BW96" i="18" s="1"/>
  <c r="BS96" i="18"/>
  <c r="BT96" i="18" s="1"/>
  <c r="BN97" i="18"/>
  <c r="BQ95" i="18"/>
  <c r="BQ95" i="19"/>
  <c r="BN97" i="19"/>
  <c r="BO96" i="19"/>
  <c r="BP96" i="19" s="1"/>
  <c r="BR96" i="19" s="1"/>
  <c r="BS96" i="19"/>
  <c r="BT96" i="19" s="1"/>
  <c r="BU96" i="19"/>
  <c r="BV96" i="19" s="1"/>
  <c r="BW96" i="19" s="1"/>
  <c r="AF155" i="5"/>
  <c r="AY155" i="5" s="1"/>
  <c r="AY157" i="5" s="1"/>
  <c r="AY159" i="5" s="1"/>
  <c r="AY161" i="5" s="1"/>
  <c r="AD155" i="5"/>
  <c r="AW155" i="5" s="1"/>
  <c r="AW157" i="5" s="1"/>
  <c r="AW159" i="5" s="1"/>
  <c r="AW161" i="5" s="1"/>
  <c r="AC156" i="5"/>
  <c r="BQ96" i="12"/>
  <c r="BP97" i="12"/>
  <c r="BR97" i="12" s="1"/>
  <c r="BO98" i="12"/>
  <c r="BU98" i="12"/>
  <c r="BV98" i="12" s="1"/>
  <c r="BW98" i="12" s="1"/>
  <c r="BS98" i="12"/>
  <c r="BT98" i="12" s="1"/>
  <c r="BN99" i="12"/>
  <c r="J44" i="13"/>
  <c r="BQ96" i="18" l="1"/>
  <c r="BU97" i="18"/>
  <c r="BV97" i="18" s="1"/>
  <c r="BW97" i="18" s="1"/>
  <c r="BN98" i="18"/>
  <c r="BO97" i="18"/>
  <c r="BP97" i="18" s="1"/>
  <c r="BR97" i="18" s="1"/>
  <c r="BS97" i="18"/>
  <c r="BT97" i="18" s="1"/>
  <c r="BQ96" i="19"/>
  <c r="BO97" i="19"/>
  <c r="BP97" i="19" s="1"/>
  <c r="BR97" i="19" s="1"/>
  <c r="BN98" i="19"/>
  <c r="BU97" i="19"/>
  <c r="BV97" i="19" s="1"/>
  <c r="BW97" i="19" s="1"/>
  <c r="BS97" i="19"/>
  <c r="BT97" i="19" s="1"/>
  <c r="AD156" i="5"/>
  <c r="AW156" i="5" s="1"/>
  <c r="AW158" i="5" s="1"/>
  <c r="AW160" i="5" s="1"/>
  <c r="AC6" i="6"/>
  <c r="AF6" i="6" s="1"/>
  <c r="AF156" i="5"/>
  <c r="AY156" i="5" s="1"/>
  <c r="AY158" i="5" s="1"/>
  <c r="AY160" i="5" s="1"/>
  <c r="BQ97" i="12"/>
  <c r="BP98" i="12"/>
  <c r="BR98" i="12" s="1"/>
  <c r="BU99" i="12"/>
  <c r="BV99" i="12" s="1"/>
  <c r="BW99" i="12" s="1"/>
  <c r="BO99" i="12"/>
  <c r="BS99" i="12"/>
  <c r="BT99" i="12" s="1"/>
  <c r="BN100" i="12"/>
  <c r="J45" i="13"/>
  <c r="BQ97" i="18" l="1"/>
  <c r="BN99" i="18"/>
  <c r="BU98" i="18"/>
  <c r="BV98" i="18" s="1"/>
  <c r="BW98" i="18" s="1"/>
  <c r="BO98" i="18"/>
  <c r="BP98" i="18" s="1"/>
  <c r="BR98" i="18" s="1"/>
  <c r="BS98" i="18"/>
  <c r="BT98" i="18" s="1"/>
  <c r="BQ97" i="19"/>
  <c r="BS98" i="19"/>
  <c r="BT98" i="19" s="1"/>
  <c r="BO98" i="19"/>
  <c r="BP98" i="19" s="1"/>
  <c r="BR98" i="19" s="1"/>
  <c r="BU98" i="19"/>
  <c r="BV98" i="19" s="1"/>
  <c r="BW98" i="19" s="1"/>
  <c r="BN99" i="19"/>
  <c r="AS6" i="6"/>
  <c r="AC162" i="5"/>
  <c r="AR6" i="6"/>
  <c r="AF162" i="5"/>
  <c r="AY162" i="5" s="1"/>
  <c r="AC7" i="6"/>
  <c r="AF7" i="6" s="1"/>
  <c r="AD6" i="6"/>
  <c r="BQ98" i="12"/>
  <c r="BP99" i="12"/>
  <c r="BR99" i="12" s="1"/>
  <c r="BS100" i="12"/>
  <c r="BT100" i="12" s="1"/>
  <c r="BO100" i="12"/>
  <c r="BU100" i="12"/>
  <c r="BV100" i="12" s="1"/>
  <c r="BW100" i="12" s="1"/>
  <c r="BN101" i="12"/>
  <c r="J46" i="13"/>
  <c r="BQ98" i="18" l="1"/>
  <c r="BN100" i="18"/>
  <c r="BU99" i="18"/>
  <c r="BV99" i="18" s="1"/>
  <c r="BW99" i="18" s="1"/>
  <c r="BS99" i="18"/>
  <c r="BT99" i="18" s="1"/>
  <c r="BO99" i="18"/>
  <c r="BP99" i="18" s="1"/>
  <c r="BR99" i="18" s="1"/>
  <c r="AD162" i="5"/>
  <c r="AW162" i="5" s="1"/>
  <c r="BQ98" i="19"/>
  <c r="BN100" i="19"/>
  <c r="BU99" i="19"/>
  <c r="BV99" i="19" s="1"/>
  <c r="BW99" i="19" s="1"/>
  <c r="BO99" i="19"/>
  <c r="BP99" i="19" s="1"/>
  <c r="BR99" i="19" s="1"/>
  <c r="BS99" i="19"/>
  <c r="BT99" i="19" s="1"/>
  <c r="AR7" i="6"/>
  <c r="AF163" i="5"/>
  <c r="AY163" i="5" s="1"/>
  <c r="AS7" i="6"/>
  <c r="AC163" i="5"/>
  <c r="AD7" i="6"/>
  <c r="AC8" i="6"/>
  <c r="AF8" i="6" s="1"/>
  <c r="BP100" i="12"/>
  <c r="BR100" i="12" s="1"/>
  <c r="BQ99" i="12"/>
  <c r="BU101" i="12"/>
  <c r="BV101" i="12" s="1"/>
  <c r="BW101" i="12" s="1"/>
  <c r="BO101" i="12"/>
  <c r="BS101" i="12"/>
  <c r="BT101" i="12" s="1"/>
  <c r="BN102" i="12"/>
  <c r="J47" i="13"/>
  <c r="BQ99" i="18" l="1"/>
  <c r="BO100" i="18"/>
  <c r="BP100" i="18" s="1"/>
  <c r="BR100" i="18" s="1"/>
  <c r="BN101" i="18"/>
  <c r="BS100" i="18"/>
  <c r="BT100" i="18" s="1"/>
  <c r="BU100" i="18"/>
  <c r="BV100" i="18" s="1"/>
  <c r="BW100" i="18" s="1"/>
  <c r="BQ99" i="19"/>
  <c r="BN101" i="19"/>
  <c r="BS100" i="19"/>
  <c r="BT100" i="19" s="1"/>
  <c r="BU100" i="19"/>
  <c r="BV100" i="19" s="1"/>
  <c r="BW100" i="19" s="1"/>
  <c r="BO100" i="19"/>
  <c r="BP100" i="19" s="1"/>
  <c r="BR100" i="19" s="1"/>
  <c r="AD163" i="5"/>
  <c r="AW163" i="5" s="1"/>
  <c r="AC9" i="6"/>
  <c r="AF9" i="6" s="1"/>
  <c r="AS8" i="6"/>
  <c r="AF164" i="5"/>
  <c r="AY164" i="5" s="1"/>
  <c r="AR8" i="6"/>
  <c r="AC164" i="5"/>
  <c r="AD8" i="6"/>
  <c r="BQ100" i="12"/>
  <c r="BP101" i="12"/>
  <c r="BR101" i="12" s="1"/>
  <c r="BS102" i="12"/>
  <c r="BT102" i="12" s="1"/>
  <c r="BU102" i="12"/>
  <c r="BV102" i="12" s="1"/>
  <c r="BW102" i="12" s="1"/>
  <c r="BO102" i="12"/>
  <c r="BN103" i="12"/>
  <c r="J48" i="13"/>
  <c r="BU101" i="18" l="1"/>
  <c r="BV101" i="18" s="1"/>
  <c r="BW101" i="18" s="1"/>
  <c r="BN102" i="18"/>
  <c r="BO101" i="18"/>
  <c r="BP101" i="18" s="1"/>
  <c r="BR101" i="18" s="1"/>
  <c r="BS101" i="18"/>
  <c r="BT101" i="18" s="1"/>
  <c r="BQ100" i="18"/>
  <c r="AD164" i="5"/>
  <c r="AW164" i="5" s="1"/>
  <c r="BQ100" i="19"/>
  <c r="BN102" i="19"/>
  <c r="BS101" i="19"/>
  <c r="BT101" i="19" s="1"/>
  <c r="BU101" i="19"/>
  <c r="BV101" i="19" s="1"/>
  <c r="BW101" i="19" s="1"/>
  <c r="BO101" i="19"/>
  <c r="BP101" i="19" s="1"/>
  <c r="BR101" i="19" s="1"/>
  <c r="AR9" i="6"/>
  <c r="AC165" i="5"/>
  <c r="AS9" i="6"/>
  <c r="AF165" i="5"/>
  <c r="AY165" i="5" s="1"/>
  <c r="AC10" i="6"/>
  <c r="AF10" i="6" s="1"/>
  <c r="AD9" i="6"/>
  <c r="AD165" i="5" s="1"/>
  <c r="AW165" i="5" s="1"/>
  <c r="BQ101" i="12"/>
  <c r="BP102" i="12"/>
  <c r="BR102" i="12" s="1"/>
  <c r="BU103" i="12"/>
  <c r="BV103" i="12" s="1"/>
  <c r="BW103" i="12" s="1"/>
  <c r="BS103" i="12"/>
  <c r="BT103" i="12" s="1"/>
  <c r="BO103" i="12"/>
  <c r="BN104" i="12"/>
  <c r="J49" i="13"/>
  <c r="BQ101" i="18" l="1"/>
  <c r="BS102" i="18"/>
  <c r="BT102" i="18" s="1"/>
  <c r="BU102" i="18"/>
  <c r="BV102" i="18" s="1"/>
  <c r="BW102" i="18" s="1"/>
  <c r="BN103" i="18"/>
  <c r="BO102" i="18"/>
  <c r="BP102" i="18" s="1"/>
  <c r="BR102" i="18" s="1"/>
  <c r="BQ101" i="19"/>
  <c r="BS102" i="19"/>
  <c r="BT102" i="19" s="1"/>
  <c r="BN103" i="19"/>
  <c r="BU102" i="19"/>
  <c r="BV102" i="19" s="1"/>
  <c r="BW102" i="19" s="1"/>
  <c r="BO102" i="19"/>
  <c r="BP102" i="19" s="1"/>
  <c r="BR102" i="19" s="1"/>
  <c r="AS10" i="6"/>
  <c r="AC11" i="6"/>
  <c r="AF11" i="6" s="1"/>
  <c r="AR10" i="6"/>
  <c r="AF166" i="5"/>
  <c r="AY166" i="5" s="1"/>
  <c r="AD10" i="6"/>
  <c r="AC166" i="5"/>
  <c r="BQ102" i="12"/>
  <c r="BP103" i="12"/>
  <c r="BR103" i="12" s="1"/>
  <c r="BS104" i="12"/>
  <c r="BT104" i="12" s="1"/>
  <c r="BO104" i="12"/>
  <c r="BU104" i="12"/>
  <c r="BV104" i="12" s="1"/>
  <c r="BW104" i="12" s="1"/>
  <c r="BN105" i="12"/>
  <c r="J50" i="13"/>
  <c r="BQ102" i="18" l="1"/>
  <c r="BN104" i="18"/>
  <c r="BU103" i="18"/>
  <c r="BV103" i="18" s="1"/>
  <c r="BW103" i="18" s="1"/>
  <c r="BO103" i="18"/>
  <c r="BP103" i="18" s="1"/>
  <c r="BR103" i="18" s="1"/>
  <c r="BS103" i="18"/>
  <c r="BT103" i="18" s="1"/>
  <c r="AD166" i="5"/>
  <c r="AW166" i="5" s="1"/>
  <c r="BO103" i="19"/>
  <c r="BP103" i="19" s="1"/>
  <c r="BR103" i="19" s="1"/>
  <c r="BS103" i="19"/>
  <c r="BT103" i="19" s="1"/>
  <c r="BU103" i="19"/>
  <c r="BV103" i="19" s="1"/>
  <c r="BW103" i="19" s="1"/>
  <c r="BN104" i="19"/>
  <c r="BQ102" i="19"/>
  <c r="AF167" i="5"/>
  <c r="AY167" i="5" s="1"/>
  <c r="AY169" i="5" s="1"/>
  <c r="AY171" i="5" s="1"/>
  <c r="AY173" i="5" s="1"/>
  <c r="AC12" i="6"/>
  <c r="AF12" i="6" s="1"/>
  <c r="AD11" i="6"/>
  <c r="AD167" i="5" s="1"/>
  <c r="AW167" i="5" s="1"/>
  <c r="AW169" i="5" s="1"/>
  <c r="AW171" i="5" s="1"/>
  <c r="AW173" i="5" s="1"/>
  <c r="AC167" i="5"/>
  <c r="BQ103" i="12"/>
  <c r="BP104" i="12"/>
  <c r="BR104" i="12" s="1"/>
  <c r="BU105" i="12"/>
  <c r="BV105" i="12" s="1"/>
  <c r="BW105" i="12" s="1"/>
  <c r="BO105" i="12"/>
  <c r="BS105" i="12"/>
  <c r="BT105" i="12" s="1"/>
  <c r="BN106" i="12"/>
  <c r="J51" i="13"/>
  <c r="BQ103" i="18" l="1"/>
  <c r="BN105" i="18"/>
  <c r="BU104" i="18"/>
  <c r="BV104" i="18" s="1"/>
  <c r="BW104" i="18" s="1"/>
  <c r="BS104" i="18"/>
  <c r="BT104" i="18" s="1"/>
  <c r="BO104" i="18"/>
  <c r="BP104" i="18" s="1"/>
  <c r="BR104" i="18" s="1"/>
  <c r="BQ103" i="19"/>
  <c r="BN105" i="19"/>
  <c r="BO104" i="19"/>
  <c r="BP104" i="19" s="1"/>
  <c r="BR104" i="19" s="1"/>
  <c r="BS104" i="19"/>
  <c r="BT104" i="19" s="1"/>
  <c r="BU104" i="19"/>
  <c r="BV104" i="19" s="1"/>
  <c r="BW104" i="19" s="1"/>
  <c r="AC18" i="6"/>
  <c r="AF18" i="6" s="1"/>
  <c r="AF168" i="5"/>
  <c r="AY168" i="5" s="1"/>
  <c r="AY170" i="5" s="1"/>
  <c r="AY172" i="5" s="1"/>
  <c r="AC168" i="5"/>
  <c r="AD12" i="6"/>
  <c r="BQ104" i="12"/>
  <c r="BP105" i="12"/>
  <c r="BR105" i="12" s="1"/>
  <c r="BS106" i="12"/>
  <c r="BT106" i="12" s="1"/>
  <c r="BO106" i="12"/>
  <c r="BU106" i="12"/>
  <c r="BV106" i="12" s="1"/>
  <c r="BW106" i="12" s="1"/>
  <c r="BN107" i="12"/>
  <c r="M21" i="13"/>
  <c r="BQ104" i="18" l="1"/>
  <c r="BU105" i="18"/>
  <c r="BV105" i="18" s="1"/>
  <c r="BW105" i="18" s="1"/>
  <c r="BN106" i="18"/>
  <c r="BO105" i="18"/>
  <c r="BP105" i="18" s="1"/>
  <c r="BR105" i="18" s="1"/>
  <c r="BS105" i="18"/>
  <c r="BT105" i="18" s="1"/>
  <c r="AD168" i="5"/>
  <c r="AW168" i="5" s="1"/>
  <c r="AW170" i="5" s="1"/>
  <c r="AW172" i="5" s="1"/>
  <c r="BQ104" i="19"/>
  <c r="BO105" i="19"/>
  <c r="BP105" i="19" s="1"/>
  <c r="BR105" i="19" s="1"/>
  <c r="BN106" i="19"/>
  <c r="BS105" i="19"/>
  <c r="BT105" i="19" s="1"/>
  <c r="BU105" i="19"/>
  <c r="BV105" i="19" s="1"/>
  <c r="BW105" i="19" s="1"/>
  <c r="AR18" i="6"/>
  <c r="AC174" i="5"/>
  <c r="AS18" i="6"/>
  <c r="AF174" i="5"/>
  <c r="AY174" i="5" s="1"/>
  <c r="AD18" i="6"/>
  <c r="AD174" i="5" s="1"/>
  <c r="AC19" i="6"/>
  <c r="AF19" i="6" s="1"/>
  <c r="BQ105" i="12"/>
  <c r="BP106" i="12"/>
  <c r="BR106" i="12" s="1"/>
  <c r="BU107" i="12"/>
  <c r="BV107" i="12" s="1"/>
  <c r="BW107" i="12" s="1"/>
  <c r="BO107" i="12"/>
  <c r="BS107" i="12"/>
  <c r="BT107" i="12" s="1"/>
  <c r="BN108" i="12"/>
  <c r="M22" i="13"/>
  <c r="BQ105" i="18" l="1"/>
  <c r="BU106" i="18"/>
  <c r="BV106" i="18" s="1"/>
  <c r="BW106" i="18" s="1"/>
  <c r="BN107" i="18"/>
  <c r="BO106" i="18"/>
  <c r="BP106" i="18" s="1"/>
  <c r="BR106" i="18" s="1"/>
  <c r="BS106" i="18"/>
  <c r="BT106" i="18" s="1"/>
  <c r="AW174" i="5"/>
  <c r="BQ105" i="19"/>
  <c r="BO106" i="19"/>
  <c r="BP106" i="19" s="1"/>
  <c r="BR106" i="19" s="1"/>
  <c r="BU106" i="19"/>
  <c r="BV106" i="19" s="1"/>
  <c r="BW106" i="19" s="1"/>
  <c r="BN107" i="19"/>
  <c r="BS106" i="19"/>
  <c r="BT106" i="19" s="1"/>
  <c r="AC20" i="6"/>
  <c r="AF20" i="6" s="1"/>
  <c r="AD19" i="6"/>
  <c r="AD175" i="5" s="1"/>
  <c r="AW175" i="5" s="1"/>
  <c r="AS19" i="6"/>
  <c r="AC175" i="5"/>
  <c r="AR19" i="6"/>
  <c r="AF175" i="5"/>
  <c r="AY175" i="5" s="1"/>
  <c r="BQ106" i="12"/>
  <c r="BP107" i="12"/>
  <c r="BR107" i="12" s="1"/>
  <c r="BU108" i="12"/>
  <c r="BV108" i="12" s="1"/>
  <c r="BW108" i="12" s="1"/>
  <c r="BS108" i="12"/>
  <c r="BT108" i="12" s="1"/>
  <c r="BO108" i="12"/>
  <c r="BN109" i="12"/>
  <c r="M23" i="13"/>
  <c r="BQ106" i="18" l="1"/>
  <c r="BU107" i="18"/>
  <c r="BV107" i="18" s="1"/>
  <c r="BW107" i="18" s="1"/>
  <c r="BO107" i="18"/>
  <c r="BP107" i="18" s="1"/>
  <c r="BR107" i="18" s="1"/>
  <c r="BS107" i="18"/>
  <c r="BT107" i="18" s="1"/>
  <c r="BN108" i="18"/>
  <c r="BQ106" i="19"/>
  <c r="BU107" i="19"/>
  <c r="BV107" i="19" s="1"/>
  <c r="BW107" i="19" s="1"/>
  <c r="BO107" i="19"/>
  <c r="BP107" i="19" s="1"/>
  <c r="BR107" i="19" s="1"/>
  <c r="BS107" i="19"/>
  <c r="BT107" i="19" s="1"/>
  <c r="BN108" i="19"/>
  <c r="AR20" i="6"/>
  <c r="AC176" i="5"/>
  <c r="AF176" i="5"/>
  <c r="AY176" i="5" s="1"/>
  <c r="AS20" i="6"/>
  <c r="AD20" i="6"/>
  <c r="AD176" i="5" s="1"/>
  <c r="AW176" i="5" s="1"/>
  <c r="AC21" i="6"/>
  <c r="AF21" i="6" s="1"/>
  <c r="BQ107" i="12"/>
  <c r="BP108" i="12"/>
  <c r="BR108" i="12" s="1"/>
  <c r="BU109" i="12"/>
  <c r="BV109" i="12" s="1"/>
  <c r="BW109" i="12" s="1"/>
  <c r="BO109" i="12"/>
  <c r="BS109" i="12"/>
  <c r="BT109" i="12" s="1"/>
  <c r="BN110" i="12"/>
  <c r="M24" i="13"/>
  <c r="BQ107" i="18" l="1"/>
  <c r="BU108" i="18"/>
  <c r="BV108" i="18" s="1"/>
  <c r="BW108" i="18" s="1"/>
  <c r="BO108" i="18"/>
  <c r="BP108" i="18" s="1"/>
  <c r="BR108" i="18" s="1"/>
  <c r="BS108" i="18"/>
  <c r="BT108" i="18" s="1"/>
  <c r="BN109" i="18"/>
  <c r="BQ107" i="19"/>
  <c r="BS108" i="19"/>
  <c r="BT108" i="19" s="1"/>
  <c r="BO108" i="19"/>
  <c r="BP108" i="19" s="1"/>
  <c r="BR108" i="19" s="1"/>
  <c r="BU108" i="19"/>
  <c r="BV108" i="19" s="1"/>
  <c r="BW108" i="19" s="1"/>
  <c r="BN109" i="19"/>
  <c r="AD21" i="6"/>
  <c r="AD177" i="5" s="1"/>
  <c r="AW177" i="5" s="1"/>
  <c r="AF177" i="5"/>
  <c r="AY177" i="5" s="1"/>
  <c r="AS21" i="6"/>
  <c r="AC22" i="6"/>
  <c r="AF22" i="6" s="1"/>
  <c r="AR21" i="6"/>
  <c r="AC177" i="5"/>
  <c r="BQ108" i="12"/>
  <c r="BP109" i="12"/>
  <c r="BR109" i="12" s="1"/>
  <c r="BS110" i="12"/>
  <c r="BT110" i="12" s="1"/>
  <c r="BO110" i="12"/>
  <c r="BU110" i="12"/>
  <c r="BV110" i="12" s="1"/>
  <c r="BW110" i="12" s="1"/>
  <c r="BN111" i="12"/>
  <c r="M25" i="13"/>
  <c r="BQ108" i="18" l="1"/>
  <c r="BN110" i="18"/>
  <c r="BU109" i="18"/>
  <c r="BV109" i="18" s="1"/>
  <c r="BW109" i="18" s="1"/>
  <c r="BS109" i="18"/>
  <c r="BT109" i="18" s="1"/>
  <c r="BO109" i="18"/>
  <c r="BP109" i="18" s="1"/>
  <c r="BR109" i="18" s="1"/>
  <c r="BQ108" i="19"/>
  <c r="BS109" i="19"/>
  <c r="BT109" i="19" s="1"/>
  <c r="BN110" i="19"/>
  <c r="BU109" i="19"/>
  <c r="BV109" i="19" s="1"/>
  <c r="BW109" i="19" s="1"/>
  <c r="BO109" i="19"/>
  <c r="BP109" i="19" s="1"/>
  <c r="BR109" i="19" s="1"/>
  <c r="AR22" i="6"/>
  <c r="AD22" i="6"/>
  <c r="AD178" i="5" s="1"/>
  <c r="AW178" i="5" s="1"/>
  <c r="AS22" i="6"/>
  <c r="AC178" i="5"/>
  <c r="AC23" i="6"/>
  <c r="AF23" i="6" s="1"/>
  <c r="AF178" i="5"/>
  <c r="AY178" i="5" s="1"/>
  <c r="BQ109" i="12"/>
  <c r="BP110" i="12"/>
  <c r="BR110" i="12" s="1"/>
  <c r="BU111" i="12"/>
  <c r="BV111" i="12" s="1"/>
  <c r="BW111" i="12" s="1"/>
  <c r="BO111" i="12"/>
  <c r="BP111" i="12" s="1"/>
  <c r="BS111" i="12"/>
  <c r="BT111" i="12" s="1"/>
  <c r="BN112" i="12"/>
  <c r="M26" i="13"/>
  <c r="BQ109" i="18" l="1"/>
  <c r="BU110" i="18"/>
  <c r="BV110" i="18" s="1"/>
  <c r="BW110" i="18" s="1"/>
  <c r="BO110" i="18"/>
  <c r="BP110" i="18" s="1"/>
  <c r="BR110" i="18" s="1"/>
  <c r="BS110" i="18"/>
  <c r="BT110" i="18" s="1"/>
  <c r="BN111" i="18"/>
  <c r="BQ110" i="18"/>
  <c r="BQ109" i="19"/>
  <c r="BS110" i="19"/>
  <c r="BT110" i="19" s="1"/>
  <c r="BO110" i="19"/>
  <c r="BP110" i="19" s="1"/>
  <c r="BR110" i="19" s="1"/>
  <c r="BN111" i="19"/>
  <c r="BU110" i="19"/>
  <c r="BV110" i="19" s="1"/>
  <c r="BW110" i="19" s="1"/>
  <c r="AC24" i="6"/>
  <c r="AF24" i="6" s="1"/>
  <c r="AF179" i="5"/>
  <c r="AY179" i="5" s="1"/>
  <c r="AY181" i="5" s="1"/>
  <c r="AY183" i="5" s="1"/>
  <c r="AY185" i="5" s="1"/>
  <c r="AC179" i="5"/>
  <c r="AD23" i="6"/>
  <c r="AD179" i="5" s="1"/>
  <c r="AW179" i="5" s="1"/>
  <c r="AW181" i="5" s="1"/>
  <c r="AW183" i="5" s="1"/>
  <c r="AW185" i="5" s="1"/>
  <c r="BQ110" i="12"/>
  <c r="BU112" i="12"/>
  <c r="BV112" i="12" s="1"/>
  <c r="BW112" i="12" s="1"/>
  <c r="BS112" i="12"/>
  <c r="BT112" i="12" s="1"/>
  <c r="BO112" i="12"/>
  <c r="BP112" i="12" s="1"/>
  <c r="BN113" i="12"/>
  <c r="BR111" i="12"/>
  <c r="M27" i="13"/>
  <c r="BS111" i="18" l="1"/>
  <c r="BT111" i="18" s="1"/>
  <c r="BO111" i="18"/>
  <c r="BP111" i="18" s="1"/>
  <c r="BR111" i="18" s="1"/>
  <c r="BU111" i="18"/>
  <c r="BV111" i="18" s="1"/>
  <c r="BW111" i="18" s="1"/>
  <c r="BN112" i="18"/>
  <c r="BQ110" i="19"/>
  <c r="BU111" i="19"/>
  <c r="BV111" i="19" s="1"/>
  <c r="BW111" i="19" s="1"/>
  <c r="BO111" i="19"/>
  <c r="BP111" i="19" s="1"/>
  <c r="BR111" i="19" s="1"/>
  <c r="BS111" i="19"/>
  <c r="BT111" i="19" s="1"/>
  <c r="BN112" i="19"/>
  <c r="AC180" i="5"/>
  <c r="AC30" i="6"/>
  <c r="AF30" i="6" s="1"/>
  <c r="AF180" i="5"/>
  <c r="AY180" i="5" s="1"/>
  <c r="AY182" i="5" s="1"/>
  <c r="AY184" i="5" s="1"/>
  <c r="AD24" i="6"/>
  <c r="AD180" i="5" s="1"/>
  <c r="AW180" i="5" s="1"/>
  <c r="AW182" i="5" s="1"/>
  <c r="AW184" i="5" s="1"/>
  <c r="BR112" i="12"/>
  <c r="BU113" i="12"/>
  <c r="BV113" i="12" s="1"/>
  <c r="BW113" i="12" s="1"/>
  <c r="BO113" i="12"/>
  <c r="BS113" i="12"/>
  <c r="BT113" i="12" s="1"/>
  <c r="BN114" i="12"/>
  <c r="BQ112" i="12"/>
  <c r="BQ111" i="12"/>
  <c r="M28" i="13"/>
  <c r="BQ111" i="18" l="1"/>
  <c r="BU112" i="18"/>
  <c r="BV112" i="18" s="1"/>
  <c r="BW112" i="18" s="1"/>
  <c r="BO112" i="18"/>
  <c r="BP112" i="18" s="1"/>
  <c r="BR112" i="18" s="1"/>
  <c r="BS112" i="18"/>
  <c r="BT112" i="18" s="1"/>
  <c r="BN113" i="18"/>
  <c r="BQ112" i="18"/>
  <c r="BQ111" i="19"/>
  <c r="BS112" i="19"/>
  <c r="BT112" i="19" s="1"/>
  <c r="BU112" i="19"/>
  <c r="BV112" i="19" s="1"/>
  <c r="BW112" i="19" s="1"/>
  <c r="BO112" i="19"/>
  <c r="BP112" i="19" s="1"/>
  <c r="BR112" i="19" s="1"/>
  <c r="BN113" i="19"/>
  <c r="AF186" i="5"/>
  <c r="AY186" i="5" s="1"/>
  <c r="AS30" i="6"/>
  <c r="AD30" i="6"/>
  <c r="AD186" i="5" s="1"/>
  <c r="AW186" i="5" s="1"/>
  <c r="AR30" i="6"/>
  <c r="AC31" i="6"/>
  <c r="AF31" i="6" s="1"/>
  <c r="AC186" i="5"/>
  <c r="BP113" i="12"/>
  <c r="BR113" i="12" s="1"/>
  <c r="BS114" i="12"/>
  <c r="BT114" i="12" s="1"/>
  <c r="BO114" i="12"/>
  <c r="BU114" i="12"/>
  <c r="BV114" i="12" s="1"/>
  <c r="BW114" i="12" s="1"/>
  <c r="BN115" i="12"/>
  <c r="M29" i="13"/>
  <c r="BN114" i="18" l="1"/>
  <c r="BU113" i="18"/>
  <c r="BV113" i="18" s="1"/>
  <c r="BW113" i="18" s="1"/>
  <c r="BS113" i="18"/>
  <c r="BT113" i="18" s="1"/>
  <c r="BO113" i="18"/>
  <c r="BP113" i="18" s="1"/>
  <c r="BR113" i="18" s="1"/>
  <c r="BQ112" i="19"/>
  <c r="BO113" i="19"/>
  <c r="BP113" i="19" s="1"/>
  <c r="BR113" i="19" s="1"/>
  <c r="BS113" i="19"/>
  <c r="BT113" i="19" s="1"/>
  <c r="BU113" i="19"/>
  <c r="BV113" i="19" s="1"/>
  <c r="BW113" i="19" s="1"/>
  <c r="BN114" i="19"/>
  <c r="AF187" i="5"/>
  <c r="AY187" i="5" s="1"/>
  <c r="AD31" i="6"/>
  <c r="AD187" i="5" s="1"/>
  <c r="AW187" i="5" s="1"/>
  <c r="AR31" i="6"/>
  <c r="AC187" i="5"/>
  <c r="AS31" i="6"/>
  <c r="AC32" i="6"/>
  <c r="AF32" i="6" s="1"/>
  <c r="BQ113" i="12"/>
  <c r="BP114" i="12"/>
  <c r="BR114" i="12" s="1"/>
  <c r="BU115" i="12"/>
  <c r="BV115" i="12" s="1"/>
  <c r="BW115" i="12" s="1"/>
  <c r="BO115" i="12"/>
  <c r="BS115" i="12"/>
  <c r="BT115" i="12" s="1"/>
  <c r="BN116" i="12"/>
  <c r="M30" i="13"/>
  <c r="BQ113" i="18" l="1"/>
  <c r="BU114" i="18"/>
  <c r="BV114" i="18" s="1"/>
  <c r="BW114" i="18" s="1"/>
  <c r="BO114" i="18"/>
  <c r="BP114" i="18" s="1"/>
  <c r="BR114" i="18" s="1"/>
  <c r="BS114" i="18"/>
  <c r="BT114" i="18" s="1"/>
  <c r="BN115" i="18"/>
  <c r="BQ113" i="19"/>
  <c r="BS114" i="19"/>
  <c r="BT114" i="19" s="1"/>
  <c r="BN115" i="19"/>
  <c r="BU114" i="19"/>
  <c r="BV114" i="19" s="1"/>
  <c r="BW114" i="19" s="1"/>
  <c r="BO114" i="19"/>
  <c r="BP114" i="19" s="1"/>
  <c r="BR114" i="19" s="1"/>
  <c r="AC33" i="6"/>
  <c r="AF33" i="6" s="1"/>
  <c r="AD32" i="6"/>
  <c r="AD188" i="5" s="1"/>
  <c r="AW188" i="5" s="1"/>
  <c r="AS32" i="6"/>
  <c r="AC188" i="5"/>
  <c r="AR32" i="6"/>
  <c r="AF188" i="5"/>
  <c r="AY188" i="5" s="1"/>
  <c r="BQ114" i="12"/>
  <c r="BP115" i="12"/>
  <c r="BR115" i="12" s="1"/>
  <c r="BU116" i="12"/>
  <c r="BV116" i="12" s="1"/>
  <c r="BW116" i="12" s="1"/>
  <c r="BS116" i="12"/>
  <c r="BT116" i="12" s="1"/>
  <c r="BO116" i="12"/>
  <c r="BN117" i="12"/>
  <c r="M31" i="13"/>
  <c r="BQ114" i="18" l="1"/>
  <c r="BS115" i="18"/>
  <c r="BT115" i="18" s="1"/>
  <c r="BO115" i="18"/>
  <c r="BP115" i="18" s="1"/>
  <c r="BR115" i="18" s="1"/>
  <c r="BN116" i="18"/>
  <c r="BU115" i="18"/>
  <c r="BV115" i="18" s="1"/>
  <c r="BW115" i="18" s="1"/>
  <c r="BQ114" i="19"/>
  <c r="BU115" i="19"/>
  <c r="BV115" i="19" s="1"/>
  <c r="BW115" i="19" s="1"/>
  <c r="BN116" i="19"/>
  <c r="BS115" i="19"/>
  <c r="BT115" i="19" s="1"/>
  <c r="BO115" i="19"/>
  <c r="BP115" i="19" s="1"/>
  <c r="BR115" i="19" s="1"/>
  <c r="AD33" i="6"/>
  <c r="AD189" i="5" s="1"/>
  <c r="AW189" i="5" s="1"/>
  <c r="AC189" i="5"/>
  <c r="AR33" i="6"/>
  <c r="AC34" i="6"/>
  <c r="AF34" i="6" s="1"/>
  <c r="AS33" i="6"/>
  <c r="AF189" i="5"/>
  <c r="AY189" i="5" s="1"/>
  <c r="BQ115" i="12"/>
  <c r="BP116" i="12"/>
  <c r="BR116" i="12" s="1"/>
  <c r="BU117" i="12"/>
  <c r="BV117" i="12" s="1"/>
  <c r="BW117" i="12" s="1"/>
  <c r="BO117" i="12"/>
  <c r="BS117" i="12"/>
  <c r="BT117" i="12" s="1"/>
  <c r="BN118" i="12"/>
  <c r="M32" i="13"/>
  <c r="BU116" i="18" l="1"/>
  <c r="BV116" i="18" s="1"/>
  <c r="BW116" i="18" s="1"/>
  <c r="BO116" i="18"/>
  <c r="BP116" i="18" s="1"/>
  <c r="BR116" i="18" s="1"/>
  <c r="BS116" i="18"/>
  <c r="BT116" i="18" s="1"/>
  <c r="BN117" i="18"/>
  <c r="BQ115" i="18"/>
  <c r="BQ115" i="19"/>
  <c r="BU116" i="19"/>
  <c r="BV116" i="19" s="1"/>
  <c r="BW116" i="19" s="1"/>
  <c r="BO116" i="19"/>
  <c r="BP116" i="19" s="1"/>
  <c r="BR116" i="19" s="1"/>
  <c r="BN117" i="19"/>
  <c r="BS116" i="19"/>
  <c r="BT116" i="19" s="1"/>
  <c r="AS34" i="6"/>
  <c r="AF190" i="5"/>
  <c r="AY190" i="5" s="1"/>
  <c r="AR34" i="6"/>
  <c r="AD34" i="6"/>
  <c r="AD190" i="5" s="1"/>
  <c r="AW190" i="5" s="1"/>
  <c r="AC35" i="6"/>
  <c r="AF35" i="6" s="1"/>
  <c r="AC190" i="5"/>
  <c r="BQ116" i="12"/>
  <c r="BP117" i="12"/>
  <c r="BR117" i="12" s="1"/>
  <c r="BS118" i="12"/>
  <c r="BT118" i="12" s="1"/>
  <c r="BO118" i="12"/>
  <c r="BU118" i="12"/>
  <c r="BV118" i="12" s="1"/>
  <c r="BW118" i="12" s="1"/>
  <c r="BN119" i="12"/>
  <c r="M33" i="13"/>
  <c r="BQ116" i="18" l="1"/>
  <c r="BN118" i="18"/>
  <c r="BU117" i="18"/>
  <c r="BV117" i="18" s="1"/>
  <c r="BW117" i="18" s="1"/>
  <c r="BS117" i="18"/>
  <c r="BT117" i="18" s="1"/>
  <c r="BO117" i="18"/>
  <c r="BP117" i="18" s="1"/>
  <c r="BR117" i="18" s="1"/>
  <c r="BQ116" i="19"/>
  <c r="BN118" i="19"/>
  <c r="BU117" i="19"/>
  <c r="BV117" i="19" s="1"/>
  <c r="BW117" i="19" s="1"/>
  <c r="BO117" i="19"/>
  <c r="BP117" i="19" s="1"/>
  <c r="BR117" i="19" s="1"/>
  <c r="BS117" i="19"/>
  <c r="BT117" i="19" s="1"/>
  <c r="AF191" i="5"/>
  <c r="AY191" i="5" s="1"/>
  <c r="AY193" i="5" s="1"/>
  <c r="AY195" i="5" s="1"/>
  <c r="AY197" i="5" s="1"/>
  <c r="AD35" i="6"/>
  <c r="AD191" i="5" s="1"/>
  <c r="AW191" i="5" s="1"/>
  <c r="AW193" i="5" s="1"/>
  <c r="AW195" i="5" s="1"/>
  <c r="AW197" i="5" s="1"/>
  <c r="AC191" i="5"/>
  <c r="AC36" i="6"/>
  <c r="AF36" i="6" s="1"/>
  <c r="BQ117" i="12"/>
  <c r="BP118" i="12"/>
  <c r="BR118" i="12" s="1"/>
  <c r="BU119" i="12"/>
  <c r="BV119" i="12" s="1"/>
  <c r="BW119" i="12" s="1"/>
  <c r="BO119" i="12"/>
  <c r="BP119" i="12" s="1"/>
  <c r="BS119" i="12"/>
  <c r="BT119" i="12" s="1"/>
  <c r="BN120" i="12"/>
  <c r="M34" i="13"/>
  <c r="BQ117" i="18" l="1"/>
  <c r="BU118" i="18"/>
  <c r="BV118" i="18" s="1"/>
  <c r="BW118" i="18" s="1"/>
  <c r="BO118" i="18"/>
  <c r="BP118" i="18" s="1"/>
  <c r="BR118" i="18" s="1"/>
  <c r="BS118" i="18"/>
  <c r="BT118" i="18" s="1"/>
  <c r="BN119" i="18"/>
  <c r="BU118" i="19"/>
  <c r="BV118" i="19" s="1"/>
  <c r="BW118" i="19" s="1"/>
  <c r="BO118" i="19"/>
  <c r="BP118" i="19" s="1"/>
  <c r="BR118" i="19" s="1"/>
  <c r="BS118" i="19"/>
  <c r="BT118" i="19" s="1"/>
  <c r="BN119" i="19"/>
  <c r="BQ117" i="19"/>
  <c r="AD36" i="6"/>
  <c r="AD192" i="5" s="1"/>
  <c r="AW192" i="5" s="1"/>
  <c r="AW194" i="5" s="1"/>
  <c r="AW196" i="5" s="1"/>
  <c r="AF192" i="5"/>
  <c r="AY192" i="5" s="1"/>
  <c r="AY194" i="5" s="1"/>
  <c r="AY196" i="5" s="1"/>
  <c r="AC192" i="5"/>
  <c r="AC42" i="6"/>
  <c r="AF42" i="6" s="1"/>
  <c r="BQ118" i="12"/>
  <c r="BU120" i="12"/>
  <c r="BV120" i="12" s="1"/>
  <c r="BW120" i="12" s="1"/>
  <c r="BS120" i="12"/>
  <c r="BT120" i="12" s="1"/>
  <c r="BO120" i="12"/>
  <c r="BP120" i="12" s="1"/>
  <c r="BN121" i="12"/>
  <c r="BR119" i="12"/>
  <c r="M35" i="13"/>
  <c r="BQ118" i="18" l="1"/>
  <c r="BS119" i="18"/>
  <c r="BT119" i="18" s="1"/>
  <c r="BO119" i="18"/>
  <c r="BP119" i="18" s="1"/>
  <c r="BR119" i="18" s="1"/>
  <c r="BN120" i="18"/>
  <c r="BU119" i="18"/>
  <c r="BV119" i="18" s="1"/>
  <c r="BW119" i="18" s="1"/>
  <c r="BQ118" i="19"/>
  <c r="BU119" i="19"/>
  <c r="BV119" i="19" s="1"/>
  <c r="BW119" i="19" s="1"/>
  <c r="BO119" i="19"/>
  <c r="BP119" i="19" s="1"/>
  <c r="BR119" i="19" s="1"/>
  <c r="BS119" i="19"/>
  <c r="BT119" i="19" s="1"/>
  <c r="BN120" i="19"/>
  <c r="AD42" i="6"/>
  <c r="AD198" i="5" s="1"/>
  <c r="AW198" i="5" s="1"/>
  <c r="AF198" i="5"/>
  <c r="AY198" i="5" s="1"/>
  <c r="AR42" i="6"/>
  <c r="AC198" i="5"/>
  <c r="AS42" i="6"/>
  <c r="AC43" i="6"/>
  <c r="AF43" i="6" s="1"/>
  <c r="BR120" i="12"/>
  <c r="BU121" i="12"/>
  <c r="BV121" i="12" s="1"/>
  <c r="BW121" i="12" s="1"/>
  <c r="BO121" i="12"/>
  <c r="BP121" i="12" s="1"/>
  <c r="BS121" i="12"/>
  <c r="BT121" i="12" s="1"/>
  <c r="BN122" i="12"/>
  <c r="BQ120" i="12"/>
  <c r="BQ119" i="12"/>
  <c r="M36" i="13"/>
  <c r="BU120" i="18" l="1"/>
  <c r="BV120" i="18" s="1"/>
  <c r="BW120" i="18" s="1"/>
  <c r="BO120" i="18"/>
  <c r="BP120" i="18" s="1"/>
  <c r="BR120" i="18" s="1"/>
  <c r="BS120" i="18"/>
  <c r="BT120" i="18" s="1"/>
  <c r="BN121" i="18"/>
  <c r="BQ119" i="18"/>
  <c r="BQ119" i="19"/>
  <c r="BU120" i="19"/>
  <c r="BV120" i="19" s="1"/>
  <c r="BW120" i="19" s="1"/>
  <c r="BN121" i="19"/>
  <c r="BO120" i="19"/>
  <c r="BP120" i="19" s="1"/>
  <c r="BR120" i="19" s="1"/>
  <c r="BS120" i="19"/>
  <c r="BT120" i="19" s="1"/>
  <c r="AF199" i="5"/>
  <c r="AY199" i="5" s="1"/>
  <c r="AC44" i="6"/>
  <c r="AF44" i="6" s="1"/>
  <c r="AS43" i="6"/>
  <c r="AC199" i="5"/>
  <c r="AR43" i="6"/>
  <c r="AD43" i="6"/>
  <c r="AD199" i="5" s="1"/>
  <c r="AW199" i="5" s="1"/>
  <c r="BR121" i="12"/>
  <c r="BQ121" i="12"/>
  <c r="BS122" i="12"/>
  <c r="BT122" i="12" s="1"/>
  <c r="BO122" i="12"/>
  <c r="BP122" i="12" s="1"/>
  <c r="BU122" i="12"/>
  <c r="BV122" i="12" s="1"/>
  <c r="BW122" i="12" s="1"/>
  <c r="BN123" i="12"/>
  <c r="M37" i="13"/>
  <c r="BQ120" i="18" l="1"/>
  <c r="BN122" i="18"/>
  <c r="BU121" i="18"/>
  <c r="BV121" i="18" s="1"/>
  <c r="BW121" i="18" s="1"/>
  <c r="BS121" i="18"/>
  <c r="BT121" i="18" s="1"/>
  <c r="BO121" i="18"/>
  <c r="BP121" i="18" s="1"/>
  <c r="BR121" i="18" s="1"/>
  <c r="BQ120" i="19"/>
  <c r="BS121" i="19"/>
  <c r="BT121" i="19" s="1"/>
  <c r="BN122" i="19"/>
  <c r="BU121" i="19"/>
  <c r="BV121" i="19" s="1"/>
  <c r="BW121" i="19" s="1"/>
  <c r="BO121" i="19"/>
  <c r="BP121" i="19" s="1"/>
  <c r="BR121" i="19" s="1"/>
  <c r="AD44" i="6"/>
  <c r="AD200" i="5" s="1"/>
  <c r="AW200" i="5" s="1"/>
  <c r="AC45" i="6"/>
  <c r="AF45" i="6" s="1"/>
  <c r="AR44" i="6"/>
  <c r="AC200" i="5"/>
  <c r="AS44" i="6"/>
  <c r="AF200" i="5"/>
  <c r="AY200" i="5" s="1"/>
  <c r="BR122" i="12"/>
  <c r="BU123" i="12"/>
  <c r="BV123" i="12" s="1"/>
  <c r="BW123" i="12" s="1"/>
  <c r="BO123" i="12"/>
  <c r="BP123" i="12" s="1"/>
  <c r="BS123" i="12"/>
  <c r="BT123" i="12" s="1"/>
  <c r="BN124" i="12"/>
  <c r="BQ122" i="12"/>
  <c r="M38" i="13"/>
  <c r="BQ121" i="18" l="1"/>
  <c r="BU122" i="18"/>
  <c r="BV122" i="18" s="1"/>
  <c r="BW122" i="18" s="1"/>
  <c r="BO122" i="18"/>
  <c r="BP122" i="18" s="1"/>
  <c r="BR122" i="18" s="1"/>
  <c r="BS122" i="18"/>
  <c r="BT122" i="18" s="1"/>
  <c r="BN123" i="18"/>
  <c r="BQ121" i="19"/>
  <c r="BS122" i="19"/>
  <c r="BT122" i="19" s="1"/>
  <c r="BN123" i="19"/>
  <c r="BO122" i="19"/>
  <c r="BP122" i="19" s="1"/>
  <c r="BR122" i="19" s="1"/>
  <c r="BU122" i="19"/>
  <c r="BV122" i="19" s="1"/>
  <c r="BW122" i="19" s="1"/>
  <c r="AD45" i="6"/>
  <c r="AD201" i="5" s="1"/>
  <c r="AW201" i="5" s="1"/>
  <c r="AC46" i="6"/>
  <c r="AF46" i="6" s="1"/>
  <c r="AS45" i="6"/>
  <c r="AC201" i="5"/>
  <c r="AR45" i="6"/>
  <c r="AF201" i="5"/>
  <c r="AY201" i="5" s="1"/>
  <c r="BR123" i="12"/>
  <c r="BU124" i="12"/>
  <c r="BV124" i="12" s="1"/>
  <c r="BW124" i="12" s="1"/>
  <c r="BS124" i="12"/>
  <c r="BT124" i="12" s="1"/>
  <c r="BO124" i="12"/>
  <c r="BN125" i="12"/>
  <c r="M39" i="13"/>
  <c r="BQ122" i="18" l="1"/>
  <c r="BS123" i="18"/>
  <c r="BT123" i="18" s="1"/>
  <c r="BO123" i="18"/>
  <c r="BP123" i="18" s="1"/>
  <c r="BR123" i="18" s="1"/>
  <c r="BN124" i="18"/>
  <c r="BU123" i="18"/>
  <c r="BV123" i="18" s="1"/>
  <c r="BW123" i="18" s="1"/>
  <c r="BO123" i="19"/>
  <c r="BP123" i="19" s="1"/>
  <c r="BR123" i="19" s="1"/>
  <c r="BS123" i="19"/>
  <c r="BT123" i="19" s="1"/>
  <c r="BN124" i="19"/>
  <c r="BU123" i="19"/>
  <c r="BV123" i="19" s="1"/>
  <c r="BW123" i="19" s="1"/>
  <c r="BQ122" i="19"/>
  <c r="AR46" i="6"/>
  <c r="AD46" i="6"/>
  <c r="AD202" i="5" s="1"/>
  <c r="AW202" i="5" s="1"/>
  <c r="AS46" i="6"/>
  <c r="AC47" i="6"/>
  <c r="AF47" i="6" s="1"/>
  <c r="AC202" i="5"/>
  <c r="AF202" i="5"/>
  <c r="AY202" i="5" s="1"/>
  <c r="BP124" i="12"/>
  <c r="BQ124" i="12" s="1"/>
  <c r="BU125" i="12"/>
  <c r="BV125" i="12" s="1"/>
  <c r="BW125" i="12" s="1"/>
  <c r="BO125" i="12"/>
  <c r="BP125" i="12" s="1"/>
  <c r="BS125" i="12"/>
  <c r="BT125" i="12" s="1"/>
  <c r="BN126" i="12"/>
  <c r="BQ123" i="12"/>
  <c r="M40" i="13"/>
  <c r="BU124" i="18" l="1"/>
  <c r="BV124" i="18" s="1"/>
  <c r="BW124" i="18" s="1"/>
  <c r="BO124" i="18"/>
  <c r="BP124" i="18" s="1"/>
  <c r="BR124" i="18" s="1"/>
  <c r="BS124" i="18"/>
  <c r="BT124" i="18" s="1"/>
  <c r="BN125" i="18"/>
  <c r="BQ124" i="18"/>
  <c r="BQ123" i="18"/>
  <c r="BQ123" i="19"/>
  <c r="BS124" i="19"/>
  <c r="BT124" i="19" s="1"/>
  <c r="BO124" i="19"/>
  <c r="BP124" i="19" s="1"/>
  <c r="BR124" i="19" s="1"/>
  <c r="BU124" i="19"/>
  <c r="BV124" i="19" s="1"/>
  <c r="BW124" i="19" s="1"/>
  <c r="BN125" i="19"/>
  <c r="AF203" i="5"/>
  <c r="AY203" i="5" s="1"/>
  <c r="AY205" i="5" s="1"/>
  <c r="AY207" i="5" s="1"/>
  <c r="AY209" i="5" s="1"/>
  <c r="AD47" i="6"/>
  <c r="AD203" i="5" s="1"/>
  <c r="AW203" i="5" s="1"/>
  <c r="AW205" i="5" s="1"/>
  <c r="AW207" i="5" s="1"/>
  <c r="AW209" i="5" s="1"/>
  <c r="AC203" i="5"/>
  <c r="AC48" i="6"/>
  <c r="AF48" i="6" s="1"/>
  <c r="BR124" i="12"/>
  <c r="BR125" i="12" s="1"/>
  <c r="BS126" i="12"/>
  <c r="BT126" i="12" s="1"/>
  <c r="BO126" i="12"/>
  <c r="BP126" i="12" s="1"/>
  <c r="BU126" i="12"/>
  <c r="BV126" i="12" s="1"/>
  <c r="BW126" i="12" s="1"/>
  <c r="BN127" i="12"/>
  <c r="BQ125" i="12"/>
  <c r="M41" i="13"/>
  <c r="BN126" i="18" l="1"/>
  <c r="BU125" i="18"/>
  <c r="BV125" i="18" s="1"/>
  <c r="BW125" i="18" s="1"/>
  <c r="BS125" i="18"/>
  <c r="BT125" i="18" s="1"/>
  <c r="BO125" i="18"/>
  <c r="BP125" i="18" s="1"/>
  <c r="BR125" i="18" s="1"/>
  <c r="BQ124" i="19"/>
  <c r="BN126" i="19"/>
  <c r="BS125" i="19"/>
  <c r="BT125" i="19" s="1"/>
  <c r="BU125" i="19"/>
  <c r="BV125" i="19" s="1"/>
  <c r="BW125" i="19" s="1"/>
  <c r="BO125" i="19"/>
  <c r="BP125" i="19" s="1"/>
  <c r="BR125" i="19" s="1"/>
  <c r="AC204" i="5"/>
  <c r="AF204" i="5"/>
  <c r="AY204" i="5" s="1"/>
  <c r="AY206" i="5" s="1"/>
  <c r="AY208" i="5" s="1"/>
  <c r="AD48" i="6"/>
  <c r="AD204" i="5" s="1"/>
  <c r="AW204" i="5" s="1"/>
  <c r="AW206" i="5" s="1"/>
  <c r="AW208" i="5" s="1"/>
  <c r="AC54" i="6"/>
  <c r="AF54" i="6" s="1"/>
  <c r="BO127" i="12"/>
  <c r="BP127" i="12" s="1"/>
  <c r="BU127" i="12"/>
  <c r="BV127" i="12" s="1"/>
  <c r="BW127" i="12" s="1"/>
  <c r="BS127" i="12"/>
  <c r="BT127" i="12" s="1"/>
  <c r="BN128" i="12"/>
  <c r="BQ126" i="12"/>
  <c r="BR126" i="12"/>
  <c r="M42" i="13"/>
  <c r="BQ125" i="18" l="1"/>
  <c r="BU126" i="18"/>
  <c r="BV126" i="18" s="1"/>
  <c r="BW126" i="18" s="1"/>
  <c r="BO126" i="18"/>
  <c r="BP126" i="18" s="1"/>
  <c r="BR126" i="18" s="1"/>
  <c r="BS126" i="18"/>
  <c r="BT126" i="18" s="1"/>
  <c r="BN127" i="18"/>
  <c r="BQ125" i="19"/>
  <c r="BU126" i="19"/>
  <c r="BV126" i="19" s="1"/>
  <c r="BW126" i="19" s="1"/>
  <c r="BO126" i="19"/>
  <c r="BP126" i="19" s="1"/>
  <c r="BR126" i="19" s="1"/>
  <c r="BS126" i="19"/>
  <c r="BT126" i="19" s="1"/>
  <c r="BN127" i="19"/>
  <c r="AD54" i="6"/>
  <c r="AD210" i="5" s="1"/>
  <c r="AW210" i="5" s="1"/>
  <c r="AS54" i="6"/>
  <c r="AC55" i="6"/>
  <c r="AF55" i="6" s="1"/>
  <c r="AR54" i="6"/>
  <c r="AC210" i="5"/>
  <c r="AF210" i="5"/>
  <c r="AY210" i="5" s="1"/>
  <c r="BR127" i="12"/>
  <c r="BO128" i="12"/>
  <c r="BP128" i="12" s="1"/>
  <c r="BS128" i="12"/>
  <c r="BT128" i="12" s="1"/>
  <c r="BU128" i="12"/>
  <c r="BV128" i="12" s="1"/>
  <c r="BW128" i="12" s="1"/>
  <c r="BN129" i="12"/>
  <c r="BQ127" i="12"/>
  <c r="M43" i="13"/>
  <c r="BQ126" i="18" l="1"/>
  <c r="BS127" i="18"/>
  <c r="BT127" i="18" s="1"/>
  <c r="BO127" i="18"/>
  <c r="BP127" i="18" s="1"/>
  <c r="BR127" i="18" s="1"/>
  <c r="BU127" i="18"/>
  <c r="BV127" i="18" s="1"/>
  <c r="BW127" i="18" s="1"/>
  <c r="BN128" i="18"/>
  <c r="BQ126" i="19"/>
  <c r="BU127" i="19"/>
  <c r="BV127" i="19" s="1"/>
  <c r="BW127" i="19" s="1"/>
  <c r="BO127" i="19"/>
  <c r="BP127" i="19" s="1"/>
  <c r="BR127" i="19" s="1"/>
  <c r="BN128" i="19"/>
  <c r="BS127" i="19"/>
  <c r="BT127" i="19" s="1"/>
  <c r="AC56" i="6"/>
  <c r="AF56" i="6" s="1"/>
  <c r="AF211" i="5"/>
  <c r="AY211" i="5" s="1"/>
  <c r="AR55" i="6"/>
  <c r="AD55" i="6"/>
  <c r="AD211" i="5" s="1"/>
  <c r="AW211" i="5" s="1"/>
  <c r="AS55" i="6"/>
  <c r="AC211" i="5"/>
  <c r="BU129" i="12"/>
  <c r="BV129" i="12" s="1"/>
  <c r="BW129" i="12" s="1"/>
  <c r="BO129" i="12"/>
  <c r="BP129" i="12" s="1"/>
  <c r="BS129" i="12"/>
  <c r="BT129" i="12" s="1"/>
  <c r="BN130" i="12"/>
  <c r="BQ128" i="12"/>
  <c r="BR128" i="12"/>
  <c r="M44" i="13"/>
  <c r="BU128" i="18" l="1"/>
  <c r="BV128" i="18" s="1"/>
  <c r="BW128" i="18" s="1"/>
  <c r="BO128" i="18"/>
  <c r="BP128" i="18" s="1"/>
  <c r="BR128" i="18" s="1"/>
  <c r="BS128" i="18"/>
  <c r="BT128" i="18" s="1"/>
  <c r="BN129" i="18"/>
  <c r="BQ128" i="18"/>
  <c r="BQ127" i="18"/>
  <c r="BQ127" i="19"/>
  <c r="BO128" i="19"/>
  <c r="BP128" i="19" s="1"/>
  <c r="BR128" i="19" s="1"/>
  <c r="BS128" i="19"/>
  <c r="BT128" i="19" s="1"/>
  <c r="BU128" i="19"/>
  <c r="BV128" i="19" s="1"/>
  <c r="BW128" i="19" s="1"/>
  <c r="BN129" i="19"/>
  <c r="AD56" i="6"/>
  <c r="AD212" i="5" s="1"/>
  <c r="AW212" i="5" s="1"/>
  <c r="AR56" i="6"/>
  <c r="AC212" i="5"/>
  <c r="AF212" i="5"/>
  <c r="AY212" i="5" s="1"/>
  <c r="AS56" i="6"/>
  <c r="AC57" i="6"/>
  <c r="AF57" i="6" s="1"/>
  <c r="BR129" i="12"/>
  <c r="BS130" i="12"/>
  <c r="BT130" i="12" s="1"/>
  <c r="BU130" i="12"/>
  <c r="BV130" i="12" s="1"/>
  <c r="BW130" i="12" s="1"/>
  <c r="BO130" i="12"/>
  <c r="BN131" i="12"/>
  <c r="BQ129" i="12"/>
  <c r="M45" i="13"/>
  <c r="BO129" i="18" l="1"/>
  <c r="BP129" i="18" s="1"/>
  <c r="BR129" i="18" s="1"/>
  <c r="BU129" i="18"/>
  <c r="BV129" i="18" s="1"/>
  <c r="BW129" i="18" s="1"/>
  <c r="BS129" i="18"/>
  <c r="BT129" i="18" s="1"/>
  <c r="BN130" i="18"/>
  <c r="BQ128" i="19"/>
  <c r="BO129" i="19"/>
  <c r="BP129" i="19" s="1"/>
  <c r="BR129" i="19" s="1"/>
  <c r="BS129" i="19"/>
  <c r="BT129" i="19" s="1"/>
  <c r="BN130" i="19"/>
  <c r="BU129" i="19"/>
  <c r="BV129" i="19" s="1"/>
  <c r="BW129" i="19" s="1"/>
  <c r="AC58" i="6"/>
  <c r="AF58" i="6" s="1"/>
  <c r="AC213" i="5"/>
  <c r="AR57" i="6"/>
  <c r="AS57" i="6"/>
  <c r="AF213" i="5"/>
  <c r="AY213" i="5" s="1"/>
  <c r="AD57" i="6"/>
  <c r="AD213" i="5" s="1"/>
  <c r="AW213" i="5" s="1"/>
  <c r="BP130" i="12"/>
  <c r="BR130" i="12" s="1"/>
  <c r="BU131" i="12"/>
  <c r="BV131" i="12" s="1"/>
  <c r="BW131" i="12" s="1"/>
  <c r="BS131" i="12"/>
  <c r="BT131" i="12" s="1"/>
  <c r="BO131" i="12"/>
  <c r="BN132" i="12"/>
  <c r="M46" i="13"/>
  <c r="BQ129" i="18" l="1"/>
  <c r="BS130" i="18"/>
  <c r="BT130" i="18" s="1"/>
  <c r="BU130" i="18"/>
  <c r="BV130" i="18" s="1"/>
  <c r="BW130" i="18" s="1"/>
  <c r="BN131" i="18"/>
  <c r="BO130" i="18"/>
  <c r="BP130" i="18" s="1"/>
  <c r="BR130" i="18" s="1"/>
  <c r="BQ129" i="19"/>
  <c r="BS130" i="19"/>
  <c r="BT130" i="19" s="1"/>
  <c r="BN131" i="19"/>
  <c r="BU130" i="19"/>
  <c r="BV130" i="19" s="1"/>
  <c r="BW130" i="19" s="1"/>
  <c r="BO130" i="19"/>
  <c r="BP130" i="19" s="1"/>
  <c r="BR130" i="19" s="1"/>
  <c r="AS58" i="6"/>
  <c r="AC59" i="6"/>
  <c r="AF59" i="6" s="1"/>
  <c r="AR58" i="6"/>
  <c r="AF214" i="5"/>
  <c r="AY214" i="5" s="1"/>
  <c r="AC214" i="5"/>
  <c r="AD58" i="6"/>
  <c r="AD214" i="5" s="1"/>
  <c r="AW214" i="5" s="1"/>
  <c r="BQ130" i="12"/>
  <c r="BP131" i="12"/>
  <c r="BR131" i="12" s="1"/>
  <c r="BU132" i="12"/>
  <c r="BV132" i="12" s="1"/>
  <c r="BW132" i="12" s="1"/>
  <c r="BO132" i="12"/>
  <c r="BS132" i="12"/>
  <c r="BT132" i="12" s="1"/>
  <c r="BN133" i="12"/>
  <c r="M47" i="13"/>
  <c r="BO131" i="18" l="1"/>
  <c r="BP131" i="18" s="1"/>
  <c r="BR131" i="18" s="1"/>
  <c r="BN132" i="18"/>
  <c r="BS131" i="18"/>
  <c r="BT131" i="18" s="1"/>
  <c r="BU131" i="18"/>
  <c r="BV131" i="18" s="1"/>
  <c r="BW131" i="18" s="1"/>
  <c r="BQ131" i="18"/>
  <c r="BQ130" i="18"/>
  <c r="BS131" i="19"/>
  <c r="BT131" i="19" s="1"/>
  <c r="BO131" i="19"/>
  <c r="BP131" i="19" s="1"/>
  <c r="BR131" i="19" s="1"/>
  <c r="BU131" i="19"/>
  <c r="BV131" i="19" s="1"/>
  <c r="BW131" i="19" s="1"/>
  <c r="BN132" i="19"/>
  <c r="BQ130" i="19"/>
  <c r="AF215" i="5"/>
  <c r="AY215" i="5" s="1"/>
  <c r="AY217" i="5" s="1"/>
  <c r="AY219" i="5" s="1"/>
  <c r="AY221" i="5" s="1"/>
  <c r="AC215" i="5"/>
  <c r="AC60" i="6"/>
  <c r="AF60" i="6" s="1"/>
  <c r="AD59" i="6"/>
  <c r="AD215" i="5" s="1"/>
  <c r="AW215" i="5" s="1"/>
  <c r="AW217" i="5" s="1"/>
  <c r="AW219" i="5" s="1"/>
  <c r="AW221" i="5" s="1"/>
  <c r="BQ131" i="12"/>
  <c r="BP132" i="12"/>
  <c r="BR132" i="12" s="1"/>
  <c r="BS133" i="12"/>
  <c r="BT133" i="12" s="1"/>
  <c r="BU133" i="12"/>
  <c r="BV133" i="12" s="1"/>
  <c r="BW133" i="12" s="1"/>
  <c r="BO133" i="12"/>
  <c r="BP133" i="12" s="1"/>
  <c r="BN134" i="12"/>
  <c r="M48" i="13"/>
  <c r="BU132" i="18" l="1"/>
  <c r="BV132" i="18" s="1"/>
  <c r="BW132" i="18" s="1"/>
  <c r="BN133" i="18"/>
  <c r="BO132" i="18"/>
  <c r="BP132" i="18" s="1"/>
  <c r="BR132" i="18" s="1"/>
  <c r="BS132" i="18"/>
  <c r="BT132" i="18" s="1"/>
  <c r="BQ132" i="18"/>
  <c r="BS132" i="19"/>
  <c r="BT132" i="19" s="1"/>
  <c r="BU132" i="19"/>
  <c r="BV132" i="19" s="1"/>
  <c r="BW132" i="19" s="1"/>
  <c r="BO132" i="19"/>
  <c r="BP132" i="19" s="1"/>
  <c r="BR132" i="19" s="1"/>
  <c r="BN133" i="19"/>
  <c r="BQ131" i="19"/>
  <c r="AD60" i="6"/>
  <c r="AD216" i="5" s="1"/>
  <c r="AW216" i="5" s="1"/>
  <c r="AW218" i="5" s="1"/>
  <c r="AW220" i="5" s="1"/>
  <c r="AC216" i="5"/>
  <c r="AF216" i="5"/>
  <c r="AY216" i="5" s="1"/>
  <c r="AY218" i="5" s="1"/>
  <c r="AY220" i="5" s="1"/>
  <c r="AC66" i="6"/>
  <c r="AF66" i="6" s="1"/>
  <c r="BQ132" i="12"/>
  <c r="BU134" i="12"/>
  <c r="BV134" i="12" s="1"/>
  <c r="BW134" i="12" s="1"/>
  <c r="BO134" i="12"/>
  <c r="BS134" i="12"/>
  <c r="BT134" i="12" s="1"/>
  <c r="BN135" i="12"/>
  <c r="BR133" i="12"/>
  <c r="M49" i="13"/>
  <c r="BS133" i="18" l="1"/>
  <c r="BT133" i="18" s="1"/>
  <c r="BU133" i="18"/>
  <c r="BV133" i="18" s="1"/>
  <c r="BW133" i="18" s="1"/>
  <c r="BN134" i="18"/>
  <c r="BO133" i="18"/>
  <c r="BP133" i="18" s="1"/>
  <c r="BR133" i="18" s="1"/>
  <c r="BO133" i="19"/>
  <c r="BP133" i="19" s="1"/>
  <c r="BR133" i="19" s="1"/>
  <c r="BU133" i="19"/>
  <c r="BV133" i="19" s="1"/>
  <c r="BW133" i="19" s="1"/>
  <c r="BN134" i="19"/>
  <c r="BS133" i="19"/>
  <c r="BT133" i="19" s="1"/>
  <c r="BQ132" i="19"/>
  <c r="AC67" i="6"/>
  <c r="AF67" i="6" s="1"/>
  <c r="AR66" i="6"/>
  <c r="AC222" i="5"/>
  <c r="AS66" i="6"/>
  <c r="AD66" i="6"/>
  <c r="AD222" i="5" s="1"/>
  <c r="AW222" i="5" s="1"/>
  <c r="AF222" i="5"/>
  <c r="AY222" i="5" s="1"/>
  <c r="BP134" i="12"/>
  <c r="BR134" i="12" s="1"/>
  <c r="BU135" i="12"/>
  <c r="BV135" i="12" s="1"/>
  <c r="BW135" i="12" s="1"/>
  <c r="BS135" i="12"/>
  <c r="BT135" i="12" s="1"/>
  <c r="BO135" i="12"/>
  <c r="BN136" i="12"/>
  <c r="BQ133" i="12"/>
  <c r="M50" i="13"/>
  <c r="BO134" i="18" l="1"/>
  <c r="BP134" i="18" s="1"/>
  <c r="BR134" i="18" s="1"/>
  <c r="BN135" i="18"/>
  <c r="BS134" i="18"/>
  <c r="BT134" i="18" s="1"/>
  <c r="BU134" i="18"/>
  <c r="BV134" i="18" s="1"/>
  <c r="BW134" i="18" s="1"/>
  <c r="BQ134" i="18"/>
  <c r="BQ133" i="18"/>
  <c r="BQ133" i="19"/>
  <c r="BS134" i="19"/>
  <c r="BT134" i="19" s="1"/>
  <c r="BN135" i="19"/>
  <c r="BU134" i="19"/>
  <c r="BV134" i="19" s="1"/>
  <c r="BW134" i="19" s="1"/>
  <c r="BO134" i="19"/>
  <c r="BP134" i="19" s="1"/>
  <c r="BR134" i="19" s="1"/>
  <c r="AC68" i="6"/>
  <c r="AF68" i="6" s="1"/>
  <c r="AD67" i="6"/>
  <c r="AD223" i="5" s="1"/>
  <c r="AW223" i="5" s="1"/>
  <c r="AR67" i="6"/>
  <c r="AC223" i="5"/>
  <c r="AS67" i="6"/>
  <c r="AF223" i="5"/>
  <c r="AY223" i="5" s="1"/>
  <c r="BQ134" i="12"/>
  <c r="BP135" i="12"/>
  <c r="BR135" i="12" s="1"/>
  <c r="BU136" i="12"/>
  <c r="BV136" i="12" s="1"/>
  <c r="BW136" i="12" s="1"/>
  <c r="BO136" i="12"/>
  <c r="BS136" i="12"/>
  <c r="BT136" i="12" s="1"/>
  <c r="BN137" i="12"/>
  <c r="M51" i="13"/>
  <c r="BO135" i="18" l="1"/>
  <c r="BP135" i="18" s="1"/>
  <c r="BR135" i="18" s="1"/>
  <c r="BN136" i="18"/>
  <c r="BS135" i="18"/>
  <c r="BT135" i="18" s="1"/>
  <c r="BU135" i="18"/>
  <c r="BV135" i="18" s="1"/>
  <c r="BW135" i="18" s="1"/>
  <c r="BQ135" i="18"/>
  <c r="BS135" i="19"/>
  <c r="BT135" i="19" s="1"/>
  <c r="BU135" i="19"/>
  <c r="BV135" i="19" s="1"/>
  <c r="BW135" i="19" s="1"/>
  <c r="BO135" i="19"/>
  <c r="BP135" i="19" s="1"/>
  <c r="BR135" i="19" s="1"/>
  <c r="BN136" i="19"/>
  <c r="BQ134" i="19"/>
  <c r="AF224" i="5"/>
  <c r="AY224" i="5" s="1"/>
  <c r="AD68" i="6"/>
  <c r="AD224" i="5" s="1"/>
  <c r="AW224" i="5" s="1"/>
  <c r="AS68" i="6"/>
  <c r="AC224" i="5"/>
  <c r="AR68" i="6"/>
  <c r="AC69" i="6"/>
  <c r="AF69" i="6" s="1"/>
  <c r="BQ135" i="12"/>
  <c r="BP136" i="12"/>
  <c r="BR136" i="12" s="1"/>
  <c r="BU137" i="12"/>
  <c r="BV137" i="12" s="1"/>
  <c r="BW137" i="12" s="1"/>
  <c r="BO137" i="12"/>
  <c r="BS137" i="12"/>
  <c r="BT137" i="12" s="1"/>
  <c r="BN138" i="12"/>
  <c r="P21" i="13"/>
  <c r="BU136" i="18" l="1"/>
  <c r="BV136" i="18" s="1"/>
  <c r="BW136" i="18" s="1"/>
  <c r="BN137" i="18"/>
  <c r="BO136" i="18"/>
  <c r="BP136" i="18" s="1"/>
  <c r="BR136" i="18" s="1"/>
  <c r="BS136" i="18"/>
  <c r="BT136" i="18" s="1"/>
  <c r="BU136" i="19"/>
  <c r="BV136" i="19" s="1"/>
  <c r="BW136" i="19" s="1"/>
  <c r="BO136" i="19"/>
  <c r="BP136" i="19" s="1"/>
  <c r="BR136" i="19" s="1"/>
  <c r="BS136" i="19"/>
  <c r="BT136" i="19" s="1"/>
  <c r="BN137" i="19"/>
  <c r="BQ135" i="19"/>
  <c r="AC70" i="6"/>
  <c r="AF70" i="6" s="1"/>
  <c r="AR69" i="6"/>
  <c r="AF225" i="5"/>
  <c r="AY225" i="5" s="1"/>
  <c r="AS69" i="6"/>
  <c r="AD69" i="6"/>
  <c r="AD225" i="5" s="1"/>
  <c r="AW225" i="5" s="1"/>
  <c r="AC225" i="5"/>
  <c r="BQ136" i="12"/>
  <c r="BP137" i="12"/>
  <c r="BR137" i="12" s="1"/>
  <c r="BS138" i="12"/>
  <c r="BT138" i="12" s="1"/>
  <c r="BO138" i="12"/>
  <c r="BU138" i="12"/>
  <c r="BV138" i="12" s="1"/>
  <c r="BW138" i="12" s="1"/>
  <c r="BN139" i="12"/>
  <c r="P22" i="13"/>
  <c r="BQ136" i="18" l="1"/>
  <c r="BS137" i="18"/>
  <c r="BT137" i="18" s="1"/>
  <c r="BU137" i="18"/>
  <c r="BV137" i="18" s="1"/>
  <c r="BW137" i="18" s="1"/>
  <c r="BN138" i="18"/>
  <c r="BO137" i="18"/>
  <c r="BP137" i="18" s="1"/>
  <c r="BR137" i="18" s="1"/>
  <c r="BQ136" i="19"/>
  <c r="BO137" i="19"/>
  <c r="BP137" i="19" s="1"/>
  <c r="BR137" i="19" s="1"/>
  <c r="BU137" i="19"/>
  <c r="BV137" i="19" s="1"/>
  <c r="BW137" i="19" s="1"/>
  <c r="BN138" i="19"/>
  <c r="BS137" i="19"/>
  <c r="BT137" i="19" s="1"/>
  <c r="AS70" i="6"/>
  <c r="AF226" i="5"/>
  <c r="AY226" i="5" s="1"/>
  <c r="AR70" i="6"/>
  <c r="AD70" i="6"/>
  <c r="AD226" i="5" s="1"/>
  <c r="AW226" i="5" s="1"/>
  <c r="AC226" i="5"/>
  <c r="AC71" i="6"/>
  <c r="AF71" i="6" s="1"/>
  <c r="BQ137" i="12"/>
  <c r="BP138" i="12"/>
  <c r="BR138" i="12" s="1"/>
  <c r="BO139" i="12"/>
  <c r="BU139" i="12"/>
  <c r="BV139" i="12" s="1"/>
  <c r="BW139" i="12" s="1"/>
  <c r="BS139" i="12"/>
  <c r="BT139" i="12" s="1"/>
  <c r="BN140" i="12"/>
  <c r="P23" i="13"/>
  <c r="BO138" i="18" l="1"/>
  <c r="BP138" i="18" s="1"/>
  <c r="BR138" i="18" s="1"/>
  <c r="BN139" i="18"/>
  <c r="BS138" i="18"/>
  <c r="BT138" i="18" s="1"/>
  <c r="BU138" i="18"/>
  <c r="BV138" i="18" s="1"/>
  <c r="BW138" i="18" s="1"/>
  <c r="BQ138" i="18"/>
  <c r="BQ137" i="18"/>
  <c r="BQ137" i="19"/>
  <c r="BN139" i="19"/>
  <c r="BS138" i="19"/>
  <c r="BT138" i="19" s="1"/>
  <c r="BU138" i="19"/>
  <c r="BV138" i="19" s="1"/>
  <c r="BW138" i="19" s="1"/>
  <c r="BO138" i="19"/>
  <c r="BP138" i="19" s="1"/>
  <c r="BR138" i="19" s="1"/>
  <c r="AF227" i="5"/>
  <c r="AY227" i="5" s="1"/>
  <c r="AY229" i="5" s="1"/>
  <c r="AY231" i="5" s="1"/>
  <c r="AY233" i="5" s="1"/>
  <c r="AD71" i="6"/>
  <c r="AD227" i="5" s="1"/>
  <c r="AW227" i="5" s="1"/>
  <c r="AW229" i="5" s="1"/>
  <c r="AW231" i="5" s="1"/>
  <c r="AW233" i="5" s="1"/>
  <c r="AC72" i="6"/>
  <c r="AF72" i="6" s="1"/>
  <c r="AC227" i="5"/>
  <c r="BQ138" i="12"/>
  <c r="BP139" i="12"/>
  <c r="BR139" i="12" s="1"/>
  <c r="BU140" i="12"/>
  <c r="BV140" i="12" s="1"/>
  <c r="BW140" i="12" s="1"/>
  <c r="BO140" i="12"/>
  <c r="BS140" i="12"/>
  <c r="BT140" i="12" s="1"/>
  <c r="BN141" i="12"/>
  <c r="P24" i="13"/>
  <c r="BO139" i="18" l="1"/>
  <c r="BP139" i="18" s="1"/>
  <c r="BR139" i="18" s="1"/>
  <c r="BN140" i="18"/>
  <c r="BS139" i="18"/>
  <c r="BT139" i="18" s="1"/>
  <c r="BU139" i="18"/>
  <c r="BV139" i="18" s="1"/>
  <c r="BW139" i="18" s="1"/>
  <c r="BQ139" i="18"/>
  <c r="BQ138" i="19"/>
  <c r="BN140" i="19"/>
  <c r="BO139" i="19"/>
  <c r="BP139" i="19" s="1"/>
  <c r="BR139" i="19" s="1"/>
  <c r="BS139" i="19"/>
  <c r="BT139" i="19" s="1"/>
  <c r="BU139" i="19"/>
  <c r="BV139" i="19" s="1"/>
  <c r="BW139" i="19" s="1"/>
  <c r="AD72" i="6"/>
  <c r="AD228" i="5" s="1"/>
  <c r="AW228" i="5" s="1"/>
  <c r="AW230" i="5" s="1"/>
  <c r="AW232" i="5" s="1"/>
  <c r="AC228" i="5"/>
  <c r="AC78" i="6"/>
  <c r="AF78" i="6" s="1"/>
  <c r="AF228" i="5"/>
  <c r="AY228" i="5" s="1"/>
  <c r="AY230" i="5" s="1"/>
  <c r="AY232" i="5" s="1"/>
  <c r="BQ139" i="12"/>
  <c r="BP140" i="12"/>
  <c r="BR140" i="12" s="1"/>
  <c r="BU141" i="12"/>
  <c r="BV141" i="12" s="1"/>
  <c r="BW141" i="12" s="1"/>
  <c r="BO141" i="12"/>
  <c r="BP141" i="12" s="1"/>
  <c r="BS141" i="12"/>
  <c r="BT141" i="12" s="1"/>
  <c r="BN142" i="12"/>
  <c r="P25" i="13"/>
  <c r="BU140" i="18" l="1"/>
  <c r="BV140" i="18" s="1"/>
  <c r="BW140" i="18" s="1"/>
  <c r="BN141" i="18"/>
  <c r="BO140" i="18"/>
  <c r="BP140" i="18" s="1"/>
  <c r="BR140" i="18" s="1"/>
  <c r="BS140" i="18"/>
  <c r="BT140" i="18" s="1"/>
  <c r="BQ139" i="19"/>
  <c r="BU140" i="19"/>
  <c r="BV140" i="19" s="1"/>
  <c r="BW140" i="19" s="1"/>
  <c r="BN141" i="19"/>
  <c r="BS140" i="19"/>
  <c r="BT140" i="19" s="1"/>
  <c r="BO140" i="19"/>
  <c r="BP140" i="19" s="1"/>
  <c r="BR140" i="19" s="1"/>
  <c r="AD78" i="6"/>
  <c r="AD234" i="5" s="1"/>
  <c r="AW234" i="5" s="1"/>
  <c r="AC234" i="5"/>
  <c r="AR78" i="6"/>
  <c r="AC79" i="6"/>
  <c r="AF79" i="6" s="1"/>
  <c r="AS78" i="6"/>
  <c r="AF234" i="5"/>
  <c r="AY234" i="5" s="1"/>
  <c r="BQ140" i="12"/>
  <c r="BU142" i="12"/>
  <c r="BV142" i="12" s="1"/>
  <c r="BW142" i="12" s="1"/>
  <c r="BS142" i="12"/>
  <c r="BT142" i="12" s="1"/>
  <c r="BO142" i="12"/>
  <c r="BP142" i="12" s="1"/>
  <c r="BN143" i="12"/>
  <c r="BR141" i="12"/>
  <c r="P26" i="13"/>
  <c r="BQ140" i="18" l="1"/>
  <c r="BS141" i="18"/>
  <c r="BT141" i="18" s="1"/>
  <c r="BN142" i="18"/>
  <c r="BU141" i="18"/>
  <c r="BV141" i="18" s="1"/>
  <c r="BW141" i="18" s="1"/>
  <c r="BO141" i="18"/>
  <c r="BP141" i="18" s="1"/>
  <c r="BR141" i="18" s="1"/>
  <c r="BQ140" i="19"/>
  <c r="BO141" i="19"/>
  <c r="BP141" i="19" s="1"/>
  <c r="BR141" i="19" s="1"/>
  <c r="BU141" i="19"/>
  <c r="BV141" i="19" s="1"/>
  <c r="BW141" i="19" s="1"/>
  <c r="BN142" i="19"/>
  <c r="BS141" i="19"/>
  <c r="BT141" i="19" s="1"/>
  <c r="AD79" i="6"/>
  <c r="AD235" i="5" s="1"/>
  <c r="AW235" i="5" s="1"/>
  <c r="AS79" i="6"/>
  <c r="AC80" i="6"/>
  <c r="AF80" i="6" s="1"/>
  <c r="AR79" i="6"/>
  <c r="AC235" i="5"/>
  <c r="AF235" i="5"/>
  <c r="AY235" i="5" s="1"/>
  <c r="BR142" i="12"/>
  <c r="BS143" i="12"/>
  <c r="BT143" i="12" s="1"/>
  <c r="BO143" i="12"/>
  <c r="BP143" i="12" s="1"/>
  <c r="BU143" i="12"/>
  <c r="BV143" i="12" s="1"/>
  <c r="BW143" i="12" s="1"/>
  <c r="BN144" i="12"/>
  <c r="BQ142" i="12"/>
  <c r="BQ141" i="12"/>
  <c r="P27" i="13"/>
  <c r="BO142" i="18" l="1"/>
  <c r="BP142" i="18" s="1"/>
  <c r="BR142" i="18" s="1"/>
  <c r="BN143" i="18"/>
  <c r="BS142" i="18"/>
  <c r="BT142" i="18" s="1"/>
  <c r="BU142" i="18"/>
  <c r="BV142" i="18" s="1"/>
  <c r="BW142" i="18" s="1"/>
  <c r="BQ142" i="18"/>
  <c r="BQ141" i="18"/>
  <c r="BQ141" i="19"/>
  <c r="BU142" i="19"/>
  <c r="BV142" i="19" s="1"/>
  <c r="BW142" i="19" s="1"/>
  <c r="BO142" i="19"/>
  <c r="BP142" i="19" s="1"/>
  <c r="BR142" i="19" s="1"/>
  <c r="BN143" i="19"/>
  <c r="BS142" i="19"/>
  <c r="BT142" i="19" s="1"/>
  <c r="AC81" i="6"/>
  <c r="AF81" i="6" s="1"/>
  <c r="AD80" i="6"/>
  <c r="AD236" i="5" s="1"/>
  <c r="AW236" i="5" s="1"/>
  <c r="AR80" i="6"/>
  <c r="AC236" i="5"/>
  <c r="AS80" i="6"/>
  <c r="AF236" i="5"/>
  <c r="AY236" i="5" s="1"/>
  <c r="BR143" i="12"/>
  <c r="BQ143" i="12"/>
  <c r="BU144" i="12"/>
  <c r="BV144" i="12" s="1"/>
  <c r="BW144" i="12" s="1"/>
  <c r="BO144" i="12"/>
  <c r="BS144" i="12"/>
  <c r="BT144" i="12" s="1"/>
  <c r="BN145" i="12"/>
  <c r="P28" i="13"/>
  <c r="BO143" i="18" l="1"/>
  <c r="BP143" i="18" s="1"/>
  <c r="BR143" i="18" s="1"/>
  <c r="BN144" i="18"/>
  <c r="BS143" i="18"/>
  <c r="BT143" i="18" s="1"/>
  <c r="BU143" i="18"/>
  <c r="BV143" i="18" s="1"/>
  <c r="BW143" i="18" s="1"/>
  <c r="BQ143" i="18"/>
  <c r="BQ142" i="19"/>
  <c r="BN144" i="19"/>
  <c r="BO143" i="19"/>
  <c r="BP143" i="19" s="1"/>
  <c r="BR143" i="19" s="1"/>
  <c r="BS143" i="19"/>
  <c r="BT143" i="19" s="1"/>
  <c r="BU143" i="19"/>
  <c r="BV143" i="19" s="1"/>
  <c r="BW143" i="19" s="1"/>
  <c r="AF237" i="5"/>
  <c r="AY237" i="5" s="1"/>
  <c r="AD81" i="6"/>
  <c r="AD237" i="5" s="1"/>
  <c r="AW237" i="5" s="1"/>
  <c r="AS81" i="6"/>
  <c r="AC237" i="5"/>
  <c r="AR81" i="6"/>
  <c r="AC82" i="6"/>
  <c r="AF82" i="6" s="1"/>
  <c r="BP144" i="12"/>
  <c r="BR144" i="12" s="1"/>
  <c r="BO145" i="12"/>
  <c r="BU145" i="12"/>
  <c r="BV145" i="12" s="1"/>
  <c r="BW145" i="12" s="1"/>
  <c r="BS145" i="12"/>
  <c r="BT145" i="12" s="1"/>
  <c r="BN146" i="12"/>
  <c r="P29" i="13"/>
  <c r="BU144" i="18" l="1"/>
  <c r="BV144" i="18" s="1"/>
  <c r="BW144" i="18" s="1"/>
  <c r="BO144" i="18"/>
  <c r="BP144" i="18" s="1"/>
  <c r="BR144" i="18" s="1"/>
  <c r="BS144" i="18"/>
  <c r="BT144" i="18" s="1"/>
  <c r="BN145" i="18"/>
  <c r="BQ143" i="19"/>
  <c r="BU144" i="19"/>
  <c r="BV144" i="19" s="1"/>
  <c r="BW144" i="19" s="1"/>
  <c r="BN145" i="19"/>
  <c r="BS144" i="19"/>
  <c r="BT144" i="19" s="1"/>
  <c r="BO144" i="19"/>
  <c r="BP144" i="19" s="1"/>
  <c r="BR144" i="19" s="1"/>
  <c r="AR82" i="6"/>
  <c r="AC238" i="5"/>
  <c r="AS82" i="6"/>
  <c r="AD82" i="6"/>
  <c r="AD238" i="5" s="1"/>
  <c r="AW238" i="5" s="1"/>
  <c r="AF238" i="5"/>
  <c r="AY238" i="5" s="1"/>
  <c r="AC83" i="6"/>
  <c r="AF83" i="6" s="1"/>
  <c r="BQ144" i="12"/>
  <c r="BP145" i="12"/>
  <c r="BR145" i="12" s="1"/>
  <c r="BO146" i="12"/>
  <c r="BU146" i="12"/>
  <c r="BV146" i="12" s="1"/>
  <c r="BW146" i="12" s="1"/>
  <c r="BS146" i="12"/>
  <c r="BT146" i="12" s="1"/>
  <c r="BN147" i="12"/>
  <c r="P30" i="13"/>
  <c r="BQ144" i="18" l="1"/>
  <c r="BS145" i="18"/>
  <c r="BT145" i="18" s="1"/>
  <c r="BN146" i="18"/>
  <c r="BU145" i="18"/>
  <c r="BV145" i="18" s="1"/>
  <c r="BW145" i="18" s="1"/>
  <c r="BO145" i="18"/>
  <c r="BP145" i="18" s="1"/>
  <c r="BR145" i="18" s="1"/>
  <c r="BQ144" i="19"/>
  <c r="BS145" i="19"/>
  <c r="BT145" i="19" s="1"/>
  <c r="BU145" i="19"/>
  <c r="BV145" i="19" s="1"/>
  <c r="BW145" i="19" s="1"/>
  <c r="BO145" i="19"/>
  <c r="BP145" i="19" s="1"/>
  <c r="BR145" i="19" s="1"/>
  <c r="BN146" i="19"/>
  <c r="AC239" i="5"/>
  <c r="AF239" i="5"/>
  <c r="AY239" i="5" s="1"/>
  <c r="AY241" i="5" s="1"/>
  <c r="AY243" i="5" s="1"/>
  <c r="AY245" i="5" s="1"/>
  <c r="AD83" i="6"/>
  <c r="AD239" i="5" s="1"/>
  <c r="AW239" i="5" s="1"/>
  <c r="AW241" i="5" s="1"/>
  <c r="AW243" i="5" s="1"/>
  <c r="AW245" i="5" s="1"/>
  <c r="AC84" i="6"/>
  <c r="AF84" i="6" s="1"/>
  <c r="BQ145" i="12"/>
  <c r="BP146" i="12"/>
  <c r="BR146" i="12" s="1"/>
  <c r="BU147" i="12"/>
  <c r="BV147" i="12" s="1"/>
  <c r="BW147" i="12" s="1"/>
  <c r="BO147" i="12"/>
  <c r="BS147" i="12"/>
  <c r="BT147" i="12" s="1"/>
  <c r="BN148" i="12"/>
  <c r="P31" i="13"/>
  <c r="BQ145" i="18" l="1"/>
  <c r="BO146" i="18"/>
  <c r="BP146" i="18" s="1"/>
  <c r="BR146" i="18" s="1"/>
  <c r="BN147" i="18"/>
  <c r="BS146" i="18"/>
  <c r="BT146" i="18" s="1"/>
  <c r="BU146" i="18"/>
  <c r="BV146" i="18" s="1"/>
  <c r="BW146" i="18" s="1"/>
  <c r="BQ146" i="18"/>
  <c r="BQ145" i="19"/>
  <c r="BU146" i="19"/>
  <c r="BV146" i="19" s="1"/>
  <c r="BW146" i="19" s="1"/>
  <c r="BN147" i="19"/>
  <c r="BO146" i="19"/>
  <c r="BP146" i="19" s="1"/>
  <c r="BR146" i="19" s="1"/>
  <c r="BS146" i="19"/>
  <c r="BT146" i="19" s="1"/>
  <c r="AC240" i="5"/>
  <c r="AF240" i="5"/>
  <c r="AY240" i="5" s="1"/>
  <c r="AY242" i="5" s="1"/>
  <c r="AY244" i="5" s="1"/>
  <c r="AC90" i="6"/>
  <c r="AF90" i="6" s="1"/>
  <c r="AD84" i="6"/>
  <c r="AD240" i="5" s="1"/>
  <c r="AW240" i="5" s="1"/>
  <c r="AW242" i="5" s="1"/>
  <c r="AW244" i="5" s="1"/>
  <c r="BQ146" i="12"/>
  <c r="BP147" i="12"/>
  <c r="BQ147" i="12" s="1"/>
  <c r="BS148" i="12"/>
  <c r="BT148" i="12" s="1"/>
  <c r="BU148" i="12"/>
  <c r="BV148" i="12" s="1"/>
  <c r="BW148" i="12" s="1"/>
  <c r="BO148" i="12"/>
  <c r="BP148" i="12" s="1"/>
  <c r="BN149" i="12"/>
  <c r="P32" i="13"/>
  <c r="BO147" i="18" l="1"/>
  <c r="BP147" i="18" s="1"/>
  <c r="BR147" i="18" s="1"/>
  <c r="BS147" i="18"/>
  <c r="BT147" i="18" s="1"/>
  <c r="BN148" i="18"/>
  <c r="BU147" i="18"/>
  <c r="BV147" i="18" s="1"/>
  <c r="BW147" i="18" s="1"/>
  <c r="BQ147" i="18"/>
  <c r="BQ146" i="19"/>
  <c r="BO147" i="19"/>
  <c r="BP147" i="19" s="1"/>
  <c r="BR147" i="19" s="1"/>
  <c r="BU147" i="19"/>
  <c r="BV147" i="19" s="1"/>
  <c r="BW147" i="19" s="1"/>
  <c r="BS147" i="19"/>
  <c r="BT147" i="19" s="1"/>
  <c r="BN148" i="19"/>
  <c r="AF246" i="5"/>
  <c r="AY246" i="5" s="1"/>
  <c r="AD90" i="6"/>
  <c r="AD246" i="5" s="1"/>
  <c r="AW246" i="5" s="1"/>
  <c r="AS90" i="6"/>
  <c r="AC246" i="5"/>
  <c r="AR90" i="6"/>
  <c r="AC91" i="6"/>
  <c r="AF91" i="6" s="1"/>
  <c r="BR147" i="12"/>
  <c r="BR148" i="12" s="1"/>
  <c r="BS149" i="12"/>
  <c r="BT149" i="12" s="1"/>
  <c r="BO149" i="12"/>
  <c r="BP149" i="12" s="1"/>
  <c r="BU149" i="12"/>
  <c r="BV149" i="12" s="1"/>
  <c r="BW149" i="12" s="1"/>
  <c r="BN150" i="12"/>
  <c r="BQ148" i="12"/>
  <c r="P33" i="13"/>
  <c r="BU148" i="18" l="1"/>
  <c r="BV148" i="18" s="1"/>
  <c r="BW148" i="18" s="1"/>
  <c r="BN149" i="18"/>
  <c r="BO148" i="18"/>
  <c r="BP148" i="18" s="1"/>
  <c r="BR148" i="18" s="1"/>
  <c r="BS148" i="18"/>
  <c r="BT148" i="18" s="1"/>
  <c r="BQ148" i="18"/>
  <c r="BQ147" i="19"/>
  <c r="BS148" i="19"/>
  <c r="BT148" i="19" s="1"/>
  <c r="BU148" i="19"/>
  <c r="BV148" i="19" s="1"/>
  <c r="BW148" i="19" s="1"/>
  <c r="BO148" i="19"/>
  <c r="BP148" i="19" s="1"/>
  <c r="BR148" i="19" s="1"/>
  <c r="BN149" i="19"/>
  <c r="AD91" i="6"/>
  <c r="AD247" i="5" s="1"/>
  <c r="AW247" i="5" s="1"/>
  <c r="AR91" i="6"/>
  <c r="AC92" i="6"/>
  <c r="AF92" i="6" s="1"/>
  <c r="AS91" i="6"/>
  <c r="AC247" i="5"/>
  <c r="AF247" i="5"/>
  <c r="AY247" i="5" s="1"/>
  <c r="BO150" i="12"/>
  <c r="BP150" i="12" s="1"/>
  <c r="BU150" i="12"/>
  <c r="BV150" i="12" s="1"/>
  <c r="BW150" i="12" s="1"/>
  <c r="BS150" i="12"/>
  <c r="BT150" i="12" s="1"/>
  <c r="BN151" i="12"/>
  <c r="BQ149" i="12"/>
  <c r="BR149" i="12"/>
  <c r="P34" i="13"/>
  <c r="BS149" i="18" l="1"/>
  <c r="BT149" i="18" s="1"/>
  <c r="BU149" i="18"/>
  <c r="BV149" i="18" s="1"/>
  <c r="BW149" i="18" s="1"/>
  <c r="BO149" i="18"/>
  <c r="BP149" i="18" s="1"/>
  <c r="BR149" i="18" s="1"/>
  <c r="BN150" i="18"/>
  <c r="BQ148" i="19"/>
  <c r="BO149" i="19"/>
  <c r="BP149" i="19" s="1"/>
  <c r="BR149" i="19" s="1"/>
  <c r="BU149" i="19"/>
  <c r="BV149" i="19" s="1"/>
  <c r="BW149" i="19" s="1"/>
  <c r="BN150" i="19"/>
  <c r="BS149" i="19"/>
  <c r="BT149" i="19" s="1"/>
  <c r="AD92" i="6"/>
  <c r="AD248" i="5" s="1"/>
  <c r="AW248" i="5" s="1"/>
  <c r="AC93" i="6"/>
  <c r="AF93" i="6" s="1"/>
  <c r="AS92" i="6"/>
  <c r="AC248" i="5"/>
  <c r="AR92" i="6"/>
  <c r="AF248" i="5"/>
  <c r="AY248" i="5" s="1"/>
  <c r="BR150" i="12"/>
  <c r="BO151" i="12"/>
  <c r="BS151" i="12"/>
  <c r="BT151" i="12" s="1"/>
  <c r="BU151" i="12"/>
  <c r="BV151" i="12" s="1"/>
  <c r="BW151" i="12" s="1"/>
  <c r="BN152" i="12"/>
  <c r="BQ150" i="12"/>
  <c r="P35" i="13"/>
  <c r="BO150" i="18" l="1"/>
  <c r="BP150" i="18" s="1"/>
  <c r="BR150" i="18" s="1"/>
  <c r="BN151" i="18"/>
  <c r="BS150" i="18"/>
  <c r="BT150" i="18" s="1"/>
  <c r="BU150" i="18"/>
  <c r="BV150" i="18" s="1"/>
  <c r="BW150" i="18" s="1"/>
  <c r="BQ150" i="18"/>
  <c r="BQ149" i="18"/>
  <c r="BQ149" i="19"/>
  <c r="BU150" i="19"/>
  <c r="BV150" i="19" s="1"/>
  <c r="BW150" i="19" s="1"/>
  <c r="BO150" i="19"/>
  <c r="BP150" i="19" s="1"/>
  <c r="BR150" i="19" s="1"/>
  <c r="BN151" i="19"/>
  <c r="BS150" i="19"/>
  <c r="BT150" i="19" s="1"/>
  <c r="AD93" i="6"/>
  <c r="AD249" i="5" s="1"/>
  <c r="AW249" i="5" s="1"/>
  <c r="AF249" i="5"/>
  <c r="AY249" i="5" s="1"/>
  <c r="AR93" i="6"/>
  <c r="AC249" i="5"/>
  <c r="AS93" i="6"/>
  <c r="AC94" i="6"/>
  <c r="AF94" i="6" s="1"/>
  <c r="BP151" i="12"/>
  <c r="BR151" i="12" s="1"/>
  <c r="BU152" i="12"/>
  <c r="BV152" i="12" s="1"/>
  <c r="BW152" i="12" s="1"/>
  <c r="BO152" i="12"/>
  <c r="BS152" i="12"/>
  <c r="BT152" i="12" s="1"/>
  <c r="BN153" i="12"/>
  <c r="P36" i="13"/>
  <c r="BN152" i="18" l="1"/>
  <c r="BU151" i="18"/>
  <c r="BV151" i="18" s="1"/>
  <c r="BW151" i="18" s="1"/>
  <c r="BO151" i="18"/>
  <c r="BP151" i="18" s="1"/>
  <c r="BR151" i="18" s="1"/>
  <c r="BS151" i="18"/>
  <c r="BT151" i="18" s="1"/>
  <c r="BQ150" i="19"/>
  <c r="BS151" i="19"/>
  <c r="BT151" i="19" s="1"/>
  <c r="BO151" i="19"/>
  <c r="BP151" i="19" s="1"/>
  <c r="BR151" i="19" s="1"/>
  <c r="BU151" i="19"/>
  <c r="BV151" i="19" s="1"/>
  <c r="BW151" i="19" s="1"/>
  <c r="BN152" i="19"/>
  <c r="AS94" i="6"/>
  <c r="AC250" i="5"/>
  <c r="AR94" i="6"/>
  <c r="AD94" i="6"/>
  <c r="AD250" i="5" s="1"/>
  <c r="AW250" i="5" s="1"/>
  <c r="AC95" i="6"/>
  <c r="AF95" i="6" s="1"/>
  <c r="AF250" i="5"/>
  <c r="AY250" i="5" s="1"/>
  <c r="BQ151" i="12"/>
  <c r="BP152" i="12"/>
  <c r="BR152" i="12" s="1"/>
  <c r="BS153" i="12"/>
  <c r="BT153" i="12" s="1"/>
  <c r="BO153" i="12"/>
  <c r="BU153" i="12"/>
  <c r="BV153" i="12" s="1"/>
  <c r="BW153" i="12" s="1"/>
  <c r="BN154" i="12"/>
  <c r="P37" i="13"/>
  <c r="BQ151" i="18" l="1"/>
  <c r="BU152" i="18"/>
  <c r="BV152" i="18" s="1"/>
  <c r="BW152" i="18" s="1"/>
  <c r="BN153" i="18"/>
  <c r="BO152" i="18"/>
  <c r="BP152" i="18" s="1"/>
  <c r="BR152" i="18" s="1"/>
  <c r="BS152" i="18"/>
  <c r="BT152" i="18" s="1"/>
  <c r="BQ151" i="19"/>
  <c r="BS152" i="19"/>
  <c r="BT152" i="19" s="1"/>
  <c r="BO152" i="19"/>
  <c r="BP152" i="19" s="1"/>
  <c r="BR152" i="19" s="1"/>
  <c r="BN153" i="19"/>
  <c r="BU152" i="19"/>
  <c r="BV152" i="19" s="1"/>
  <c r="BW152" i="19" s="1"/>
  <c r="AC96" i="6"/>
  <c r="AF96" i="6" s="1"/>
  <c r="AF251" i="5"/>
  <c r="AY251" i="5" s="1"/>
  <c r="AY253" i="5" s="1"/>
  <c r="AY255" i="5" s="1"/>
  <c r="AY257" i="5" s="1"/>
  <c r="AC251" i="5"/>
  <c r="AD95" i="6"/>
  <c r="AD251" i="5" s="1"/>
  <c r="AW251" i="5" s="1"/>
  <c r="AW253" i="5" s="1"/>
  <c r="AW255" i="5" s="1"/>
  <c r="AW257" i="5" s="1"/>
  <c r="BQ152" i="12"/>
  <c r="BP153" i="12"/>
  <c r="BR153" i="12" s="1"/>
  <c r="BO154" i="12"/>
  <c r="BU154" i="12"/>
  <c r="BV154" i="12" s="1"/>
  <c r="BW154" i="12" s="1"/>
  <c r="BS154" i="12"/>
  <c r="BT154" i="12" s="1"/>
  <c r="BN155" i="12"/>
  <c r="P38" i="13"/>
  <c r="BQ152" i="18" l="1"/>
  <c r="BS153" i="18"/>
  <c r="BT153" i="18" s="1"/>
  <c r="BO153" i="18"/>
  <c r="BP153" i="18" s="1"/>
  <c r="BR153" i="18" s="1"/>
  <c r="BN154" i="18"/>
  <c r="BU153" i="18"/>
  <c r="BV153" i="18" s="1"/>
  <c r="BW153" i="18" s="1"/>
  <c r="BQ153" i="18"/>
  <c r="BQ152" i="19"/>
  <c r="BO153" i="19"/>
  <c r="BP153" i="19" s="1"/>
  <c r="BR153" i="19" s="1"/>
  <c r="BS153" i="19"/>
  <c r="BT153" i="19" s="1"/>
  <c r="BN154" i="19"/>
  <c r="BU153" i="19"/>
  <c r="BV153" i="19" s="1"/>
  <c r="BW153" i="19" s="1"/>
  <c r="AD96" i="6"/>
  <c r="AD252" i="5" s="1"/>
  <c r="AW252" i="5" s="1"/>
  <c r="AW254" i="5" s="1"/>
  <c r="AW256" i="5" s="1"/>
  <c r="AC252" i="5"/>
  <c r="AC102" i="6"/>
  <c r="AF102" i="6" s="1"/>
  <c r="AF252" i="5"/>
  <c r="AY252" i="5" s="1"/>
  <c r="AY254" i="5" s="1"/>
  <c r="AY256" i="5" s="1"/>
  <c r="BQ153" i="12"/>
  <c r="BP154" i="12"/>
  <c r="BR154" i="12" s="1"/>
  <c r="BU155" i="12"/>
  <c r="BV155" i="12" s="1"/>
  <c r="BW155" i="12" s="1"/>
  <c r="BO155" i="12"/>
  <c r="BS155" i="12"/>
  <c r="BT155" i="12" s="1"/>
  <c r="BN156" i="12"/>
  <c r="P39" i="13"/>
  <c r="BO154" i="18" l="1"/>
  <c r="BP154" i="18" s="1"/>
  <c r="BR154" i="18" s="1"/>
  <c r="BN155" i="18"/>
  <c r="BS154" i="18"/>
  <c r="BT154" i="18" s="1"/>
  <c r="BU154" i="18"/>
  <c r="BV154" i="18" s="1"/>
  <c r="BW154" i="18" s="1"/>
  <c r="BQ154" i="18"/>
  <c r="BQ153" i="19"/>
  <c r="BO154" i="19"/>
  <c r="BP154" i="19" s="1"/>
  <c r="BR154" i="19" s="1"/>
  <c r="BS154" i="19"/>
  <c r="BT154" i="19" s="1"/>
  <c r="BU154" i="19"/>
  <c r="BV154" i="19" s="1"/>
  <c r="BW154" i="19" s="1"/>
  <c r="BN155" i="19"/>
  <c r="AC103" i="6"/>
  <c r="AF103" i="6" s="1"/>
  <c r="AS102" i="6"/>
  <c r="AC258" i="5"/>
  <c r="AD102" i="6"/>
  <c r="AD258" i="5" s="1"/>
  <c r="AW258" i="5" s="1"/>
  <c r="AR102" i="6"/>
  <c r="AF258" i="5"/>
  <c r="AY258" i="5" s="1"/>
  <c r="BQ154" i="12"/>
  <c r="BP155" i="12"/>
  <c r="BQ155" i="12" s="1"/>
  <c r="BU156" i="12"/>
  <c r="BV156" i="12" s="1"/>
  <c r="BW156" i="12" s="1"/>
  <c r="BS156" i="12"/>
  <c r="BT156" i="12" s="1"/>
  <c r="BO156" i="12"/>
  <c r="BP156" i="12" s="1"/>
  <c r="BN157" i="12"/>
  <c r="P40" i="13"/>
  <c r="BO155" i="18" l="1"/>
  <c r="BP155" i="18" s="1"/>
  <c r="BR155" i="18" s="1"/>
  <c r="BN156" i="18"/>
  <c r="BS155" i="18"/>
  <c r="BT155" i="18" s="1"/>
  <c r="BU155" i="18"/>
  <c r="BV155" i="18" s="1"/>
  <c r="BW155" i="18" s="1"/>
  <c r="BQ155" i="18"/>
  <c r="BQ154" i="19"/>
  <c r="BO155" i="19"/>
  <c r="BP155" i="19" s="1"/>
  <c r="BR155" i="19" s="1"/>
  <c r="BU155" i="19"/>
  <c r="BV155" i="19" s="1"/>
  <c r="BW155" i="19" s="1"/>
  <c r="BS155" i="19"/>
  <c r="BT155" i="19" s="1"/>
  <c r="BN156" i="19"/>
  <c r="AC259" i="5"/>
  <c r="AS103" i="6"/>
  <c r="AF259" i="5"/>
  <c r="AY259" i="5" s="1"/>
  <c r="AC104" i="6"/>
  <c r="AF104" i="6" s="1"/>
  <c r="AR103" i="6"/>
  <c r="AD103" i="6"/>
  <c r="AD259" i="5" s="1"/>
  <c r="AW259" i="5" s="1"/>
  <c r="BR155" i="12"/>
  <c r="BR156" i="12" s="1"/>
  <c r="BS157" i="12"/>
  <c r="BT157" i="12" s="1"/>
  <c r="BU157" i="12"/>
  <c r="BV157" i="12" s="1"/>
  <c r="BW157" i="12" s="1"/>
  <c r="BO157" i="12"/>
  <c r="BP157" i="12" s="1"/>
  <c r="BN158" i="12"/>
  <c r="BQ156" i="12"/>
  <c r="P41" i="13"/>
  <c r="BU156" i="18" l="1"/>
  <c r="BV156" i="18" s="1"/>
  <c r="BW156" i="18" s="1"/>
  <c r="BN157" i="18"/>
  <c r="BO156" i="18"/>
  <c r="BP156" i="18" s="1"/>
  <c r="BR156" i="18" s="1"/>
  <c r="BS156" i="18"/>
  <c r="BT156" i="18" s="1"/>
  <c r="BQ156" i="18"/>
  <c r="BN157" i="19"/>
  <c r="BO156" i="19"/>
  <c r="BP156" i="19" s="1"/>
  <c r="BR156" i="19" s="1"/>
  <c r="BU156" i="19"/>
  <c r="BV156" i="19" s="1"/>
  <c r="BW156" i="19" s="1"/>
  <c r="BS156" i="19"/>
  <c r="BT156" i="19" s="1"/>
  <c r="BQ155" i="19"/>
  <c r="AC260" i="5"/>
  <c r="AD104" i="6"/>
  <c r="AD260" i="5" s="1"/>
  <c r="AW260" i="5" s="1"/>
  <c r="AR104" i="6"/>
  <c r="AS104" i="6"/>
  <c r="AC105" i="6"/>
  <c r="AF105" i="6" s="1"/>
  <c r="AF260" i="5"/>
  <c r="AY260" i="5" s="1"/>
  <c r="BR157" i="12"/>
  <c r="BS158" i="12"/>
  <c r="BT158" i="12" s="1"/>
  <c r="BO158" i="12"/>
  <c r="BU158" i="12"/>
  <c r="BV158" i="12" s="1"/>
  <c r="BW158" i="12" s="1"/>
  <c r="BN159" i="12"/>
  <c r="BQ157" i="12"/>
  <c r="P42" i="13"/>
  <c r="BS157" i="18" l="1"/>
  <c r="BT157" i="18" s="1"/>
  <c r="BN158" i="18"/>
  <c r="BO157" i="18"/>
  <c r="BP157" i="18" s="1"/>
  <c r="BR157" i="18" s="1"/>
  <c r="BU157" i="18"/>
  <c r="BV157" i="18" s="1"/>
  <c r="BW157" i="18" s="1"/>
  <c r="BQ156" i="19"/>
  <c r="BS157" i="19"/>
  <c r="BT157" i="19" s="1"/>
  <c r="BU157" i="19"/>
  <c r="BV157" i="19" s="1"/>
  <c r="BW157" i="19" s="1"/>
  <c r="BO157" i="19"/>
  <c r="BP157" i="19" s="1"/>
  <c r="BR157" i="19" s="1"/>
  <c r="BN158" i="19"/>
  <c r="AD105" i="6"/>
  <c r="AD261" i="5" s="1"/>
  <c r="AW261" i="5" s="1"/>
  <c r="AC106" i="6"/>
  <c r="AF106" i="6" s="1"/>
  <c r="AS105" i="6"/>
  <c r="AF261" i="5"/>
  <c r="AY261" i="5" s="1"/>
  <c r="AR105" i="6"/>
  <c r="AC261" i="5"/>
  <c r="BP158" i="12"/>
  <c r="BR158" i="12" s="1"/>
  <c r="BS159" i="12"/>
  <c r="BT159" i="12" s="1"/>
  <c r="BU159" i="12"/>
  <c r="BV159" i="12" s="1"/>
  <c r="BW159" i="12" s="1"/>
  <c r="BO159" i="12"/>
  <c r="BN160" i="12"/>
  <c r="P43" i="13"/>
  <c r="BO158" i="18" l="1"/>
  <c r="BP158" i="18" s="1"/>
  <c r="BR158" i="18" s="1"/>
  <c r="BN159" i="18"/>
  <c r="BS158" i="18"/>
  <c r="BT158" i="18" s="1"/>
  <c r="BU158" i="18"/>
  <c r="BV158" i="18" s="1"/>
  <c r="BW158" i="18" s="1"/>
  <c r="BQ158" i="18"/>
  <c r="BQ157" i="18"/>
  <c r="BQ157" i="19"/>
  <c r="BO158" i="19"/>
  <c r="BP158" i="19" s="1"/>
  <c r="BR158" i="19" s="1"/>
  <c r="BS158" i="19"/>
  <c r="BT158" i="19" s="1"/>
  <c r="BU158" i="19"/>
  <c r="BV158" i="19" s="1"/>
  <c r="BW158" i="19" s="1"/>
  <c r="BN159" i="19"/>
  <c r="AR106" i="6"/>
  <c r="AC107" i="6"/>
  <c r="AF107" i="6" s="1"/>
  <c r="AS106" i="6"/>
  <c r="AC262" i="5"/>
  <c r="AF262" i="5"/>
  <c r="AY262" i="5" s="1"/>
  <c r="AD106" i="6"/>
  <c r="AD262" i="5" s="1"/>
  <c r="AW262" i="5" s="1"/>
  <c r="BQ158" i="12"/>
  <c r="BP159" i="12"/>
  <c r="BR159" i="12" s="1"/>
  <c r="BO160" i="12"/>
  <c r="BU160" i="12"/>
  <c r="BV160" i="12" s="1"/>
  <c r="BW160" i="12" s="1"/>
  <c r="BS160" i="12"/>
  <c r="BT160" i="12" s="1"/>
  <c r="BN161" i="12"/>
  <c r="P44" i="13"/>
  <c r="BU159" i="18" l="1"/>
  <c r="BV159" i="18" s="1"/>
  <c r="BW159" i="18" s="1"/>
  <c r="BO159" i="18"/>
  <c r="BP159" i="18" s="1"/>
  <c r="BR159" i="18" s="1"/>
  <c r="BN160" i="18"/>
  <c r="BS159" i="18"/>
  <c r="BT159" i="18" s="1"/>
  <c r="BQ159" i="18"/>
  <c r="BQ158" i="19"/>
  <c r="BO159" i="19"/>
  <c r="BP159" i="19" s="1"/>
  <c r="BR159" i="19" s="1"/>
  <c r="BS159" i="19"/>
  <c r="BT159" i="19" s="1"/>
  <c r="BN160" i="19"/>
  <c r="BU159" i="19"/>
  <c r="BV159" i="19" s="1"/>
  <c r="BW159" i="19" s="1"/>
  <c r="AC263" i="5"/>
  <c r="AC108" i="6"/>
  <c r="AF108" i="6" s="1"/>
  <c r="AF263" i="5"/>
  <c r="AY263" i="5" s="1"/>
  <c r="AY265" i="5" s="1"/>
  <c r="AY267" i="5" s="1"/>
  <c r="AY269" i="5" s="1"/>
  <c r="AD107" i="6"/>
  <c r="AD263" i="5" s="1"/>
  <c r="AW263" i="5" s="1"/>
  <c r="AW265" i="5" s="1"/>
  <c r="AW267" i="5" s="1"/>
  <c r="AW269" i="5" s="1"/>
  <c r="BQ159" i="12"/>
  <c r="BP160" i="12"/>
  <c r="BR160" i="12" s="1"/>
  <c r="BU161" i="12"/>
  <c r="BV161" i="12" s="1"/>
  <c r="BW161" i="12" s="1"/>
  <c r="BO161" i="12"/>
  <c r="BS161" i="12"/>
  <c r="BT161" i="12" s="1"/>
  <c r="BN162" i="12"/>
  <c r="P45" i="13"/>
  <c r="BU160" i="18" l="1"/>
  <c r="BV160" i="18" s="1"/>
  <c r="BW160" i="18" s="1"/>
  <c r="BN161" i="18"/>
  <c r="BO160" i="18"/>
  <c r="BP160" i="18" s="1"/>
  <c r="BR160" i="18" s="1"/>
  <c r="BS160" i="18"/>
  <c r="BT160" i="18" s="1"/>
  <c r="BQ160" i="18"/>
  <c r="BQ159" i="19"/>
  <c r="BU160" i="19"/>
  <c r="BV160" i="19" s="1"/>
  <c r="BW160" i="19" s="1"/>
  <c r="BS160" i="19"/>
  <c r="BT160" i="19" s="1"/>
  <c r="BN161" i="19"/>
  <c r="BO160" i="19"/>
  <c r="BP160" i="19" s="1"/>
  <c r="BR160" i="19" s="1"/>
  <c r="AF264" i="5"/>
  <c r="AY264" i="5" s="1"/>
  <c r="AY266" i="5" s="1"/>
  <c r="AY268" i="5" s="1"/>
  <c r="AD108" i="6"/>
  <c r="AD264" i="5" s="1"/>
  <c r="AW264" i="5" s="1"/>
  <c r="AW266" i="5" s="1"/>
  <c r="AW268" i="5" s="1"/>
  <c r="AC114" i="6"/>
  <c r="AF114" i="6" s="1"/>
  <c r="AC264" i="5"/>
  <c r="BQ160" i="12"/>
  <c r="BP161" i="12"/>
  <c r="BQ161" i="12" s="1"/>
  <c r="BU162" i="12"/>
  <c r="BV162" i="12" s="1"/>
  <c r="BW162" i="12" s="1"/>
  <c r="BS162" i="12"/>
  <c r="BT162" i="12" s="1"/>
  <c r="BO162" i="12"/>
  <c r="BP162" i="12" s="1"/>
  <c r="BN163" i="12"/>
  <c r="P46" i="13"/>
  <c r="BN162" i="18" l="1"/>
  <c r="BU161" i="18"/>
  <c r="BV161" i="18" s="1"/>
  <c r="BW161" i="18" s="1"/>
  <c r="BO161" i="18"/>
  <c r="BP161" i="18" s="1"/>
  <c r="BR161" i="18" s="1"/>
  <c r="BS161" i="18"/>
  <c r="BT161" i="18" s="1"/>
  <c r="BO161" i="19"/>
  <c r="BP161" i="19" s="1"/>
  <c r="BR161" i="19" s="1"/>
  <c r="BN162" i="19"/>
  <c r="BU161" i="19"/>
  <c r="BV161" i="19" s="1"/>
  <c r="BW161" i="19" s="1"/>
  <c r="BS161" i="19"/>
  <c r="BT161" i="19" s="1"/>
  <c r="BQ160" i="19"/>
  <c r="AF270" i="5"/>
  <c r="AY270" i="5" s="1"/>
  <c r="AC115" i="6"/>
  <c r="AF115" i="6" s="1"/>
  <c r="AS114" i="6"/>
  <c r="AD114" i="6"/>
  <c r="AD270" i="5" s="1"/>
  <c r="AW270" i="5" s="1"/>
  <c r="AR114" i="6"/>
  <c r="AC270" i="5"/>
  <c r="BR161" i="12"/>
  <c r="BR162" i="12" s="1"/>
  <c r="BS163" i="12"/>
  <c r="BT163" i="12" s="1"/>
  <c r="BU163" i="12"/>
  <c r="BV163" i="12" s="1"/>
  <c r="BW163" i="12" s="1"/>
  <c r="BO163" i="12"/>
  <c r="BN164" i="12"/>
  <c r="BQ162" i="12"/>
  <c r="P47" i="13"/>
  <c r="BQ161" i="18" l="1"/>
  <c r="BO162" i="18"/>
  <c r="BP162" i="18" s="1"/>
  <c r="BR162" i="18" s="1"/>
  <c r="BN163" i="18"/>
  <c r="BS162" i="18"/>
  <c r="BT162" i="18" s="1"/>
  <c r="BU162" i="18"/>
  <c r="BV162" i="18" s="1"/>
  <c r="BW162" i="18" s="1"/>
  <c r="BQ162" i="18"/>
  <c r="BQ161" i="19"/>
  <c r="BO162" i="19"/>
  <c r="BP162" i="19" s="1"/>
  <c r="BR162" i="19" s="1"/>
  <c r="BS162" i="19"/>
  <c r="BT162" i="19" s="1"/>
  <c r="BU162" i="19"/>
  <c r="BV162" i="19" s="1"/>
  <c r="BW162" i="19" s="1"/>
  <c r="BN163" i="19"/>
  <c r="AD115" i="6"/>
  <c r="AD271" i="5" s="1"/>
  <c r="AW271" i="5" s="1"/>
  <c r="AC116" i="6"/>
  <c r="AF116" i="6" s="1"/>
  <c r="AR115" i="6"/>
  <c r="AC271" i="5"/>
  <c r="AS115" i="6"/>
  <c r="AF271" i="5"/>
  <c r="AY271" i="5" s="1"/>
  <c r="BP163" i="12"/>
  <c r="BR163" i="12" s="1"/>
  <c r="BS164" i="12"/>
  <c r="BT164" i="12" s="1"/>
  <c r="BO164" i="12"/>
  <c r="BP164" i="12" s="1"/>
  <c r="BU164" i="12"/>
  <c r="BV164" i="12" s="1"/>
  <c r="BW164" i="12" s="1"/>
  <c r="BN165" i="12"/>
  <c r="P48" i="13"/>
  <c r="P49" i="13" s="1"/>
  <c r="BO163" i="18" l="1"/>
  <c r="BP163" i="18" s="1"/>
  <c r="BR163" i="18" s="1"/>
  <c r="BN164" i="18"/>
  <c r="BS163" i="18"/>
  <c r="BT163" i="18" s="1"/>
  <c r="BU163" i="18"/>
  <c r="BV163" i="18" s="1"/>
  <c r="BW163" i="18" s="1"/>
  <c r="BQ163" i="18"/>
  <c r="BQ162" i="19"/>
  <c r="BO163" i="19"/>
  <c r="BP163" i="19" s="1"/>
  <c r="BQ163" i="19" s="1"/>
  <c r="BU163" i="19"/>
  <c r="BV163" i="19" s="1"/>
  <c r="BW163" i="19" s="1"/>
  <c r="BS163" i="19"/>
  <c r="BT163" i="19" s="1"/>
  <c r="BN164" i="19"/>
  <c r="AC117" i="6"/>
  <c r="AF117" i="6" s="1"/>
  <c r="AS116" i="6"/>
  <c r="AC272" i="5"/>
  <c r="AR116" i="6"/>
  <c r="AF272" i="5"/>
  <c r="AY272" i="5" s="1"/>
  <c r="AD116" i="6"/>
  <c r="AD272" i="5" s="1"/>
  <c r="AW272" i="5" s="1"/>
  <c r="BQ163" i="12"/>
  <c r="BR164" i="12"/>
  <c r="BS165" i="12"/>
  <c r="BT165" i="12" s="1"/>
  <c r="BU165" i="12"/>
  <c r="BV165" i="12" s="1"/>
  <c r="BW165" i="12" s="1"/>
  <c r="BO165" i="12"/>
  <c r="BN166" i="12"/>
  <c r="BQ164" i="12"/>
  <c r="S21" i="13"/>
  <c r="BU164" i="18" l="1"/>
  <c r="BV164" i="18" s="1"/>
  <c r="BW164" i="18" s="1"/>
  <c r="BN165" i="18"/>
  <c r="BO164" i="18"/>
  <c r="BP164" i="18" s="1"/>
  <c r="BR164" i="18" s="1"/>
  <c r="BS164" i="18"/>
  <c r="BT164" i="18" s="1"/>
  <c r="BQ164" i="18"/>
  <c r="BR163" i="19"/>
  <c r="BN165" i="19"/>
  <c r="BO164" i="19"/>
  <c r="BP164" i="19" s="1"/>
  <c r="BQ164" i="19" s="1"/>
  <c r="BU164" i="19"/>
  <c r="BV164" i="19" s="1"/>
  <c r="BW164" i="19" s="1"/>
  <c r="BS164" i="19"/>
  <c r="BT164" i="19" s="1"/>
  <c r="AC118" i="6"/>
  <c r="AF118" i="6" s="1"/>
  <c r="AC273" i="5"/>
  <c r="AR117" i="6"/>
  <c r="AF273" i="5"/>
  <c r="AY273" i="5" s="1"/>
  <c r="AS117" i="6"/>
  <c r="AD117" i="6"/>
  <c r="AD273" i="5" s="1"/>
  <c r="AW273" i="5" s="1"/>
  <c r="BP165" i="12"/>
  <c r="BR165" i="12" s="1"/>
  <c r="BO166" i="12"/>
  <c r="BU166" i="12"/>
  <c r="BV166" i="12" s="1"/>
  <c r="BW166" i="12" s="1"/>
  <c r="BS166" i="12"/>
  <c r="BT166" i="12" s="1"/>
  <c r="BN167" i="12"/>
  <c r="S22" i="13"/>
  <c r="BS165" i="18" l="1"/>
  <c r="BT165" i="18" s="1"/>
  <c r="BN166" i="18"/>
  <c r="BU165" i="18"/>
  <c r="BV165" i="18" s="1"/>
  <c r="BW165" i="18" s="1"/>
  <c r="BO165" i="18"/>
  <c r="BP165" i="18" s="1"/>
  <c r="BR165" i="18" s="1"/>
  <c r="BN166" i="19"/>
  <c r="BS165" i="19"/>
  <c r="BT165" i="19" s="1"/>
  <c r="BU165" i="19"/>
  <c r="BV165" i="19" s="1"/>
  <c r="BW165" i="19" s="1"/>
  <c r="BO165" i="19"/>
  <c r="BP165" i="19" s="1"/>
  <c r="BR164" i="19"/>
  <c r="AR118" i="6"/>
  <c r="AD118" i="6"/>
  <c r="AD274" i="5" s="1"/>
  <c r="AW274" i="5" s="1"/>
  <c r="AC119" i="6"/>
  <c r="AF119" i="6" s="1"/>
  <c r="AF274" i="5"/>
  <c r="AY274" i="5" s="1"/>
  <c r="AS118" i="6"/>
  <c r="AC274" i="5"/>
  <c r="BQ165" i="12"/>
  <c r="BP166" i="12"/>
  <c r="BR166" i="12" s="1"/>
  <c r="BU167" i="12"/>
  <c r="BV167" i="12" s="1"/>
  <c r="BW167" i="12" s="1"/>
  <c r="BO167" i="12"/>
  <c r="BS167" i="12"/>
  <c r="BT167" i="12" s="1"/>
  <c r="BN168" i="12"/>
  <c r="S23" i="13"/>
  <c r="BO166" i="18" l="1"/>
  <c r="BP166" i="18" s="1"/>
  <c r="BR166" i="18" s="1"/>
  <c r="BN167" i="18"/>
  <c r="BS166" i="18"/>
  <c r="BT166" i="18" s="1"/>
  <c r="BU166" i="18"/>
  <c r="BV166" i="18" s="1"/>
  <c r="BW166" i="18" s="1"/>
  <c r="BQ166" i="18"/>
  <c r="BQ165" i="18"/>
  <c r="BR165" i="19"/>
  <c r="BQ165" i="19"/>
  <c r="BO166" i="19"/>
  <c r="BP166" i="19" s="1"/>
  <c r="BS166" i="19"/>
  <c r="BT166" i="19" s="1"/>
  <c r="BU166" i="19"/>
  <c r="BV166" i="19" s="1"/>
  <c r="BW166" i="19" s="1"/>
  <c r="BN167" i="19"/>
  <c r="AD119" i="6"/>
  <c r="AD275" i="5" s="1"/>
  <c r="AW275" i="5" s="1"/>
  <c r="AW277" i="5" s="1"/>
  <c r="AW279" i="5" s="1"/>
  <c r="AW281" i="5" s="1"/>
  <c r="AC275" i="5"/>
  <c r="AC120" i="6"/>
  <c r="AF120" i="6" s="1"/>
  <c r="AF275" i="5"/>
  <c r="AY275" i="5" s="1"/>
  <c r="AY277" i="5" s="1"/>
  <c r="AY279" i="5" s="1"/>
  <c r="AY281" i="5" s="1"/>
  <c r="BQ166" i="12"/>
  <c r="BP167" i="12"/>
  <c r="BQ167" i="12" s="1"/>
  <c r="BU168" i="12"/>
  <c r="BV168" i="12" s="1"/>
  <c r="BW168" i="12" s="1"/>
  <c r="BS168" i="12"/>
  <c r="BT168" i="12" s="1"/>
  <c r="BO168" i="12"/>
  <c r="BP168" i="12" s="1"/>
  <c r="BN169" i="12"/>
  <c r="S24" i="13"/>
  <c r="BO167" i="18" l="1"/>
  <c r="BP167" i="18" s="1"/>
  <c r="BR167" i="18" s="1"/>
  <c r="BN168" i="18"/>
  <c r="BS167" i="18"/>
  <c r="BT167" i="18" s="1"/>
  <c r="BU167" i="18"/>
  <c r="BV167" i="18" s="1"/>
  <c r="BW167" i="18" s="1"/>
  <c r="BQ167" i="18"/>
  <c r="BR166" i="19"/>
  <c r="BQ166" i="19"/>
  <c r="BN168" i="19"/>
  <c r="BS167" i="19"/>
  <c r="BT167" i="19" s="1"/>
  <c r="BO167" i="19"/>
  <c r="BP167" i="19" s="1"/>
  <c r="BQ167" i="19" s="1"/>
  <c r="BU167" i="19"/>
  <c r="BV167" i="19" s="1"/>
  <c r="BW167" i="19" s="1"/>
  <c r="AF276" i="5"/>
  <c r="AY276" i="5" s="1"/>
  <c r="AY278" i="5" s="1"/>
  <c r="AY280" i="5" s="1"/>
  <c r="AD120" i="6"/>
  <c r="AD276" i="5" s="1"/>
  <c r="AW276" i="5" s="1"/>
  <c r="AW278" i="5" s="1"/>
  <c r="AW280" i="5" s="1"/>
  <c r="AC276" i="5"/>
  <c r="AC126" i="6"/>
  <c r="AF126" i="6" s="1"/>
  <c r="BR167" i="12"/>
  <c r="BR168" i="12" s="1"/>
  <c r="BU169" i="12"/>
  <c r="BV169" i="12" s="1"/>
  <c r="BW169" i="12" s="1"/>
  <c r="BO169" i="12"/>
  <c r="BS169" i="12"/>
  <c r="BT169" i="12" s="1"/>
  <c r="BN170" i="12"/>
  <c r="BQ168" i="12"/>
  <c r="S25" i="13"/>
  <c r="BU168" i="18" l="1"/>
  <c r="BV168" i="18" s="1"/>
  <c r="BW168" i="18" s="1"/>
  <c r="BN169" i="18"/>
  <c r="BO168" i="18"/>
  <c r="BP168" i="18" s="1"/>
  <c r="BR168" i="18" s="1"/>
  <c r="BS168" i="18"/>
  <c r="BT168" i="18" s="1"/>
  <c r="BU168" i="19"/>
  <c r="BV168" i="19" s="1"/>
  <c r="BW168" i="19" s="1"/>
  <c r="BN169" i="19"/>
  <c r="BS168" i="19"/>
  <c r="BT168" i="19" s="1"/>
  <c r="BO168" i="19"/>
  <c r="BP168" i="19" s="1"/>
  <c r="BR167" i="19"/>
  <c r="AD126" i="6"/>
  <c r="AD282" i="5" s="1"/>
  <c r="AW282" i="5" s="1"/>
  <c r="AF282" i="5"/>
  <c r="AY282" i="5" s="1"/>
  <c r="AR126" i="6"/>
  <c r="AC127" i="6"/>
  <c r="AF127" i="6" s="1"/>
  <c r="AS126" i="6"/>
  <c r="AC282" i="5"/>
  <c r="BP169" i="12"/>
  <c r="BQ169" i="12" s="1"/>
  <c r="BU170" i="12"/>
  <c r="BV170" i="12" s="1"/>
  <c r="BW170" i="12" s="1"/>
  <c r="BS170" i="12"/>
  <c r="BT170" i="12" s="1"/>
  <c r="BO170" i="12"/>
  <c r="BP170" i="12" s="1"/>
  <c r="BN171" i="12"/>
  <c r="S26" i="13"/>
  <c r="BQ168" i="18" l="1"/>
  <c r="BS169" i="18"/>
  <c r="BT169" i="18" s="1"/>
  <c r="BN170" i="18"/>
  <c r="BU169" i="18"/>
  <c r="BV169" i="18" s="1"/>
  <c r="BW169" i="18" s="1"/>
  <c r="BO169" i="18"/>
  <c r="BP169" i="18" s="1"/>
  <c r="BR169" i="18" s="1"/>
  <c r="BR168" i="19"/>
  <c r="BQ168" i="19"/>
  <c r="BO169" i="19"/>
  <c r="BP169" i="19" s="1"/>
  <c r="BN170" i="19"/>
  <c r="BU169" i="19"/>
  <c r="BV169" i="19" s="1"/>
  <c r="BW169" i="19" s="1"/>
  <c r="BS169" i="19"/>
  <c r="BT169" i="19" s="1"/>
  <c r="AF283" i="5"/>
  <c r="AY283" i="5" s="1"/>
  <c r="AD127" i="6"/>
  <c r="AD283" i="5" s="1"/>
  <c r="AW283" i="5" s="1"/>
  <c r="AS127" i="6"/>
  <c r="AC283" i="5"/>
  <c r="AR127" i="6"/>
  <c r="AC128" i="6"/>
  <c r="AF128" i="6" s="1"/>
  <c r="BR169" i="12"/>
  <c r="BR170" i="12" s="1"/>
  <c r="BQ170" i="12"/>
  <c r="BS171" i="12"/>
  <c r="BT171" i="12" s="1"/>
  <c r="BU171" i="12"/>
  <c r="BV171" i="12" s="1"/>
  <c r="BW171" i="12" s="1"/>
  <c r="BO171" i="12"/>
  <c r="BN172" i="12"/>
  <c r="S27" i="13"/>
  <c r="BU170" i="18" l="1"/>
  <c r="BV170" i="18" s="1"/>
  <c r="BW170" i="18" s="1"/>
  <c r="BS170" i="18"/>
  <c r="BT170" i="18" s="1"/>
  <c r="BN171" i="18"/>
  <c r="BO170" i="18"/>
  <c r="BP170" i="18" s="1"/>
  <c r="BR170" i="18" s="1"/>
  <c r="BQ169" i="18"/>
  <c r="BR169" i="19"/>
  <c r="BQ169" i="19"/>
  <c r="BN171" i="19"/>
  <c r="BU170" i="19"/>
  <c r="BV170" i="19" s="1"/>
  <c r="BW170" i="19" s="1"/>
  <c r="BO170" i="19"/>
  <c r="BP170" i="19" s="1"/>
  <c r="BS170" i="19"/>
  <c r="BT170" i="19" s="1"/>
  <c r="AC129" i="6"/>
  <c r="AF129" i="6" s="1"/>
  <c r="AR128" i="6"/>
  <c r="AF284" i="5"/>
  <c r="AY284" i="5" s="1"/>
  <c r="AS128" i="6"/>
  <c r="AC284" i="5"/>
  <c r="AD128" i="6"/>
  <c r="AD284" i="5" s="1"/>
  <c r="AW284" i="5" s="1"/>
  <c r="BP171" i="12"/>
  <c r="BR171" i="12" s="1"/>
  <c r="BO172" i="12"/>
  <c r="BU172" i="12"/>
  <c r="BV172" i="12" s="1"/>
  <c r="BW172" i="12" s="1"/>
  <c r="BS172" i="12"/>
  <c r="BT172" i="12" s="1"/>
  <c r="BN173" i="12"/>
  <c r="S28" i="13"/>
  <c r="BQ170" i="18" l="1"/>
  <c r="BU171" i="18"/>
  <c r="BV171" i="18" s="1"/>
  <c r="BW171" i="18" s="1"/>
  <c r="BN172" i="18"/>
  <c r="BS171" i="18"/>
  <c r="BT171" i="18" s="1"/>
  <c r="BO171" i="18"/>
  <c r="BP171" i="18" s="1"/>
  <c r="BR171" i="18" s="1"/>
  <c r="BR170" i="19"/>
  <c r="BQ170" i="19"/>
  <c r="BS171" i="19"/>
  <c r="BT171" i="19" s="1"/>
  <c r="BN172" i="19"/>
  <c r="BO171" i="19"/>
  <c r="BP171" i="19" s="1"/>
  <c r="BR171" i="19" s="1"/>
  <c r="BU171" i="19"/>
  <c r="BV171" i="19" s="1"/>
  <c r="BW171" i="19" s="1"/>
  <c r="AF285" i="5"/>
  <c r="AY285" i="5" s="1"/>
  <c r="AC285" i="5"/>
  <c r="AS129" i="6"/>
  <c r="AD129" i="6"/>
  <c r="AD285" i="5" s="1"/>
  <c r="AW285" i="5" s="1"/>
  <c r="AR129" i="6"/>
  <c r="AC130" i="6"/>
  <c r="AF130" i="6" s="1"/>
  <c r="BQ171" i="12"/>
  <c r="BP172" i="12"/>
  <c r="BQ172" i="12" s="1"/>
  <c r="BU173" i="12"/>
  <c r="BV173" i="12" s="1"/>
  <c r="BW173" i="12" s="1"/>
  <c r="BO173" i="12"/>
  <c r="BS173" i="12"/>
  <c r="BT173" i="12" s="1"/>
  <c r="BN174" i="12"/>
  <c r="S29" i="13"/>
  <c r="BQ171" i="18" l="1"/>
  <c r="BN173" i="18"/>
  <c r="BO172" i="18"/>
  <c r="BP172" i="18" s="1"/>
  <c r="BR172" i="18" s="1"/>
  <c r="BU172" i="18"/>
  <c r="BV172" i="18" s="1"/>
  <c r="BW172" i="18" s="1"/>
  <c r="BS172" i="18"/>
  <c r="BT172" i="18" s="1"/>
  <c r="BQ171" i="19"/>
  <c r="BN173" i="19"/>
  <c r="BS172" i="19"/>
  <c r="BT172" i="19" s="1"/>
  <c r="BO172" i="19"/>
  <c r="BP172" i="19" s="1"/>
  <c r="BR172" i="19" s="1"/>
  <c r="BU172" i="19"/>
  <c r="BV172" i="19" s="1"/>
  <c r="BW172" i="19" s="1"/>
  <c r="AR130" i="6"/>
  <c r="AC131" i="6"/>
  <c r="AF131" i="6" s="1"/>
  <c r="AS130" i="6"/>
  <c r="AF286" i="5"/>
  <c r="AY286" i="5" s="1"/>
  <c r="AD130" i="6"/>
  <c r="AD286" i="5" s="1"/>
  <c r="AW286" i="5" s="1"/>
  <c r="AC286" i="5"/>
  <c r="BR172" i="12"/>
  <c r="BP173" i="12"/>
  <c r="BQ173" i="12" s="1"/>
  <c r="BU174" i="12"/>
  <c r="BV174" i="12" s="1"/>
  <c r="BW174" i="12" s="1"/>
  <c r="BS174" i="12"/>
  <c r="BT174" i="12" s="1"/>
  <c r="BO174" i="12"/>
  <c r="BP174" i="12" s="1"/>
  <c r="BN175" i="12"/>
  <c r="S30" i="13"/>
  <c r="BQ172" i="18" l="1"/>
  <c r="BS173" i="18"/>
  <c r="BT173" i="18" s="1"/>
  <c r="BO173" i="18"/>
  <c r="BP173" i="18" s="1"/>
  <c r="BR173" i="18" s="1"/>
  <c r="BU173" i="18"/>
  <c r="BV173" i="18" s="1"/>
  <c r="BW173" i="18" s="1"/>
  <c r="BN174" i="18"/>
  <c r="BQ172" i="19"/>
  <c r="BS173" i="19"/>
  <c r="BT173" i="19" s="1"/>
  <c r="BO173" i="19"/>
  <c r="BP173" i="19" s="1"/>
  <c r="BR173" i="19" s="1"/>
  <c r="BN174" i="19"/>
  <c r="BU173" i="19"/>
  <c r="BV173" i="19" s="1"/>
  <c r="BW173" i="19" s="1"/>
  <c r="AC132" i="6"/>
  <c r="AF132" i="6" s="1"/>
  <c r="AC287" i="5"/>
  <c r="AF287" i="5"/>
  <c r="AY287" i="5" s="1"/>
  <c r="AY289" i="5" s="1"/>
  <c r="AY291" i="5" s="1"/>
  <c r="AY293" i="5" s="1"/>
  <c r="AD131" i="6"/>
  <c r="AD287" i="5" s="1"/>
  <c r="AW287" i="5" s="1"/>
  <c r="AW289" i="5" s="1"/>
  <c r="AW291" i="5" s="1"/>
  <c r="AW293" i="5" s="1"/>
  <c r="BR173" i="12"/>
  <c r="BR174" i="12" s="1"/>
  <c r="BU175" i="12"/>
  <c r="BV175" i="12" s="1"/>
  <c r="BW175" i="12" s="1"/>
  <c r="BO175" i="12"/>
  <c r="BS175" i="12"/>
  <c r="BT175" i="12" s="1"/>
  <c r="BN176" i="12"/>
  <c r="BQ174" i="12"/>
  <c r="S31" i="13"/>
  <c r="BQ173" i="18" l="1"/>
  <c r="BO174" i="18"/>
  <c r="BP174" i="18" s="1"/>
  <c r="BR174" i="18" s="1"/>
  <c r="BU174" i="18"/>
  <c r="BV174" i="18" s="1"/>
  <c r="BW174" i="18" s="1"/>
  <c r="BS174" i="18"/>
  <c r="BT174" i="18" s="1"/>
  <c r="BN175" i="18"/>
  <c r="BQ174" i="18"/>
  <c r="BU174" i="19"/>
  <c r="BV174" i="19" s="1"/>
  <c r="BW174" i="19" s="1"/>
  <c r="BO174" i="19"/>
  <c r="BP174" i="19" s="1"/>
  <c r="BR174" i="19" s="1"/>
  <c r="BN175" i="19"/>
  <c r="BS174" i="19"/>
  <c r="BT174" i="19" s="1"/>
  <c r="BQ173" i="19"/>
  <c r="AD132" i="6"/>
  <c r="AD288" i="5" s="1"/>
  <c r="AW288" i="5" s="1"/>
  <c r="AW290" i="5" s="1"/>
  <c r="AW292" i="5" s="1"/>
  <c r="AC138" i="6"/>
  <c r="AF138" i="6" s="1"/>
  <c r="AC288" i="5"/>
  <c r="AF288" i="5"/>
  <c r="AY288" i="5" s="1"/>
  <c r="AY290" i="5" s="1"/>
  <c r="AY292" i="5" s="1"/>
  <c r="BP175" i="12"/>
  <c r="BQ175" i="12" s="1"/>
  <c r="BU176" i="12"/>
  <c r="BV176" i="12" s="1"/>
  <c r="BW176" i="12" s="1"/>
  <c r="BS176" i="12"/>
  <c r="BT176" i="12" s="1"/>
  <c r="BO176" i="12"/>
  <c r="BP176" i="12" s="1"/>
  <c r="BN177" i="12"/>
  <c r="S32" i="13"/>
  <c r="BN176" i="18" l="1"/>
  <c r="BU175" i="18"/>
  <c r="BV175" i="18" s="1"/>
  <c r="BW175" i="18" s="1"/>
  <c r="BS175" i="18"/>
  <c r="BT175" i="18" s="1"/>
  <c r="BO175" i="18"/>
  <c r="BP175" i="18" s="1"/>
  <c r="BR175" i="18" s="1"/>
  <c r="BQ174" i="19"/>
  <c r="BS175" i="19"/>
  <c r="BT175" i="19" s="1"/>
  <c r="BN176" i="19"/>
  <c r="BU175" i="19"/>
  <c r="BV175" i="19" s="1"/>
  <c r="BW175" i="19" s="1"/>
  <c r="BO175" i="19"/>
  <c r="BP175" i="19" s="1"/>
  <c r="BR175" i="19" s="1"/>
  <c r="AD138" i="6"/>
  <c r="AD294" i="5" s="1"/>
  <c r="AW294" i="5" s="1"/>
  <c r="AC294" i="5"/>
  <c r="AS138" i="6"/>
  <c r="AC139" i="6"/>
  <c r="AF139" i="6" s="1"/>
  <c r="AR138" i="6"/>
  <c r="AF294" i="5"/>
  <c r="AY294" i="5" s="1"/>
  <c r="BR175" i="12"/>
  <c r="BR176" i="12" s="1"/>
  <c r="BS177" i="12"/>
  <c r="BT177" i="12" s="1"/>
  <c r="BU177" i="12"/>
  <c r="BV177" i="12" s="1"/>
  <c r="BW177" i="12" s="1"/>
  <c r="BO177" i="12"/>
  <c r="BP177" i="12" s="1"/>
  <c r="BN178" i="12"/>
  <c r="BQ176" i="12"/>
  <c r="S33" i="13"/>
  <c r="BQ175" i="18" l="1"/>
  <c r="BU176" i="18"/>
  <c r="BV176" i="18" s="1"/>
  <c r="BW176" i="18" s="1"/>
  <c r="BO176" i="18"/>
  <c r="BP176" i="18" s="1"/>
  <c r="BR176" i="18" s="1"/>
  <c r="BS176" i="18"/>
  <c r="BT176" i="18" s="1"/>
  <c r="BN177" i="18"/>
  <c r="BQ175" i="19"/>
  <c r="BU176" i="19"/>
  <c r="BV176" i="19" s="1"/>
  <c r="BW176" i="19" s="1"/>
  <c r="BO176" i="19"/>
  <c r="BP176" i="19" s="1"/>
  <c r="BR176" i="19" s="1"/>
  <c r="BN177" i="19"/>
  <c r="BS176" i="19"/>
  <c r="BT176" i="19" s="1"/>
  <c r="AD139" i="6"/>
  <c r="AD295" i="5" s="1"/>
  <c r="AW295" i="5" s="1"/>
  <c r="AF295" i="5"/>
  <c r="AY295" i="5" s="1"/>
  <c r="AC295" i="5"/>
  <c r="AR139" i="6"/>
  <c r="AS139" i="6"/>
  <c r="AC140" i="6"/>
  <c r="AF140" i="6" s="1"/>
  <c r="BR177" i="12"/>
  <c r="BS178" i="12"/>
  <c r="BT178" i="12" s="1"/>
  <c r="BO178" i="12"/>
  <c r="BU178" i="12"/>
  <c r="BV178" i="12" s="1"/>
  <c r="BW178" i="12" s="1"/>
  <c r="BN179" i="12"/>
  <c r="BQ177" i="12"/>
  <c r="S34" i="13"/>
  <c r="BQ176" i="18" l="1"/>
  <c r="BN178" i="18"/>
  <c r="BU177" i="18"/>
  <c r="BV177" i="18" s="1"/>
  <c r="BW177" i="18" s="1"/>
  <c r="BO177" i="18"/>
  <c r="BP177" i="18" s="1"/>
  <c r="BR177" i="18" s="1"/>
  <c r="BS177" i="18"/>
  <c r="BT177" i="18" s="1"/>
  <c r="BN178" i="19"/>
  <c r="BS177" i="19"/>
  <c r="BT177" i="19" s="1"/>
  <c r="BU177" i="19"/>
  <c r="BV177" i="19" s="1"/>
  <c r="BW177" i="19" s="1"/>
  <c r="BO177" i="19"/>
  <c r="BP177" i="19" s="1"/>
  <c r="BR177" i="19" s="1"/>
  <c r="BQ176" i="19"/>
  <c r="AC296" i="5"/>
  <c r="AS140" i="6"/>
  <c r="AF296" i="5"/>
  <c r="AY296" i="5" s="1"/>
  <c r="AR140" i="6"/>
  <c r="AC141" i="6"/>
  <c r="AF141" i="6" s="1"/>
  <c r="AD140" i="6"/>
  <c r="AD296" i="5" s="1"/>
  <c r="AW296" i="5" s="1"/>
  <c r="BP178" i="12"/>
  <c r="BR178" i="12" s="1"/>
  <c r="BU179" i="12"/>
  <c r="BV179" i="12" s="1"/>
  <c r="BW179" i="12" s="1"/>
  <c r="BO179" i="12"/>
  <c r="BS179" i="12"/>
  <c r="BT179" i="12" s="1"/>
  <c r="BN180" i="12"/>
  <c r="S35" i="13"/>
  <c r="BQ177" i="18" l="1"/>
  <c r="BU178" i="18"/>
  <c r="BV178" i="18" s="1"/>
  <c r="BW178" i="18" s="1"/>
  <c r="BO178" i="18"/>
  <c r="BP178" i="18" s="1"/>
  <c r="BR178" i="18" s="1"/>
  <c r="BS178" i="18"/>
  <c r="BT178" i="18" s="1"/>
  <c r="BN179" i="18"/>
  <c r="BS178" i="19"/>
  <c r="BT178" i="19" s="1"/>
  <c r="BU178" i="19"/>
  <c r="BV178" i="19" s="1"/>
  <c r="BW178" i="19" s="1"/>
  <c r="BN179" i="19"/>
  <c r="BO178" i="19"/>
  <c r="BP178" i="19" s="1"/>
  <c r="BR178" i="19" s="1"/>
  <c r="BQ177" i="19"/>
  <c r="AD141" i="6"/>
  <c r="AD297" i="5" s="1"/>
  <c r="AW297" i="5" s="1"/>
  <c r="AF297" i="5"/>
  <c r="AY297" i="5" s="1"/>
  <c r="AR141" i="6"/>
  <c r="AC142" i="6"/>
  <c r="AF142" i="6" s="1"/>
  <c r="AS141" i="6"/>
  <c r="AC297" i="5"/>
  <c r="BQ178" i="12"/>
  <c r="BP179" i="12"/>
  <c r="BR179" i="12" s="1"/>
  <c r="BU180" i="12"/>
  <c r="BV180" i="12" s="1"/>
  <c r="BW180" i="12" s="1"/>
  <c r="BS180" i="12"/>
  <c r="BT180" i="12" s="1"/>
  <c r="BO180" i="12"/>
  <c r="BN181" i="12"/>
  <c r="S36" i="13"/>
  <c r="BQ178" i="18" l="1"/>
  <c r="BN180" i="18"/>
  <c r="BU179" i="18"/>
  <c r="BV179" i="18" s="1"/>
  <c r="BW179" i="18" s="1"/>
  <c r="BO179" i="18"/>
  <c r="BP179" i="18" s="1"/>
  <c r="BR179" i="18" s="1"/>
  <c r="BS179" i="18"/>
  <c r="BT179" i="18" s="1"/>
  <c r="BS179" i="19"/>
  <c r="BT179" i="19" s="1"/>
  <c r="BN180" i="19"/>
  <c r="BO179" i="19"/>
  <c r="BP179" i="19" s="1"/>
  <c r="BR179" i="19" s="1"/>
  <c r="BU179" i="19"/>
  <c r="BV179" i="19" s="1"/>
  <c r="BW179" i="19" s="1"/>
  <c r="BQ178" i="19"/>
  <c r="AR142" i="6"/>
  <c r="AC143" i="6"/>
  <c r="AF143" i="6" s="1"/>
  <c r="AF298" i="5"/>
  <c r="AY298" i="5" s="1"/>
  <c r="AC298" i="5"/>
  <c r="AS142" i="6"/>
  <c r="AD142" i="6"/>
  <c r="AD298" i="5" s="1"/>
  <c r="AW298" i="5" s="1"/>
  <c r="BQ179" i="12"/>
  <c r="BP180" i="12"/>
  <c r="BR180" i="12" s="1"/>
  <c r="BS181" i="12"/>
  <c r="BT181" i="12" s="1"/>
  <c r="BO181" i="12"/>
  <c r="BU181" i="12"/>
  <c r="BV181" i="12" s="1"/>
  <c r="BW181" i="12" s="1"/>
  <c r="BN182" i="12"/>
  <c r="S37" i="13"/>
  <c r="BQ179" i="18" l="1"/>
  <c r="BU180" i="18"/>
  <c r="BV180" i="18" s="1"/>
  <c r="BW180" i="18" s="1"/>
  <c r="BO180" i="18"/>
  <c r="BP180" i="18" s="1"/>
  <c r="BR180" i="18" s="1"/>
  <c r="BS180" i="18"/>
  <c r="BT180" i="18" s="1"/>
  <c r="BN181" i="18"/>
  <c r="BQ179" i="19"/>
  <c r="BU180" i="19"/>
  <c r="BV180" i="19" s="1"/>
  <c r="BW180" i="19" s="1"/>
  <c r="BN181" i="19"/>
  <c r="BS180" i="19"/>
  <c r="BT180" i="19" s="1"/>
  <c r="BO180" i="19"/>
  <c r="BP180" i="19" s="1"/>
  <c r="BR180" i="19" s="1"/>
  <c r="AD143" i="6"/>
  <c r="AD299" i="5" s="1"/>
  <c r="AW299" i="5" s="1"/>
  <c r="AW301" i="5" s="1"/>
  <c r="AW303" i="5" s="1"/>
  <c r="AW305" i="5" s="1"/>
  <c r="AC144" i="6"/>
  <c r="AF144" i="6" s="1"/>
  <c r="AC299" i="5"/>
  <c r="AF299" i="5"/>
  <c r="AY299" i="5" s="1"/>
  <c r="AY301" i="5" s="1"/>
  <c r="AY303" i="5" s="1"/>
  <c r="AY305" i="5" s="1"/>
  <c r="BQ180" i="12"/>
  <c r="BP181" i="12"/>
  <c r="BR181" i="12" s="1"/>
  <c r="BS182" i="12"/>
  <c r="BT182" i="12" s="1"/>
  <c r="BO182" i="12"/>
  <c r="BU182" i="12"/>
  <c r="BV182" i="12" s="1"/>
  <c r="BW182" i="12" s="1"/>
  <c r="BN183" i="12"/>
  <c r="S38" i="13"/>
  <c r="BQ180" i="18" l="1"/>
  <c r="BS181" i="18"/>
  <c r="BT181" i="18" s="1"/>
  <c r="BN182" i="18"/>
  <c r="BU181" i="18"/>
  <c r="BV181" i="18" s="1"/>
  <c r="BW181" i="18" s="1"/>
  <c r="BO181" i="18"/>
  <c r="BP181" i="18" s="1"/>
  <c r="BR181" i="18" s="1"/>
  <c r="BO181" i="19"/>
  <c r="BP181" i="19" s="1"/>
  <c r="BR181" i="19" s="1"/>
  <c r="BN182" i="19"/>
  <c r="BS181" i="19"/>
  <c r="BT181" i="19" s="1"/>
  <c r="BU181" i="19"/>
  <c r="BV181" i="19" s="1"/>
  <c r="BW181" i="19" s="1"/>
  <c r="BQ180" i="19"/>
  <c r="AC300" i="5"/>
  <c r="AC150" i="6"/>
  <c r="AF150" i="6" s="1"/>
  <c r="AF300" i="5"/>
  <c r="AY300" i="5" s="1"/>
  <c r="AY302" i="5" s="1"/>
  <c r="AY304" i="5" s="1"/>
  <c r="AD144" i="6"/>
  <c r="AD300" i="5" s="1"/>
  <c r="AW300" i="5" s="1"/>
  <c r="AW302" i="5" s="1"/>
  <c r="AW304" i="5" s="1"/>
  <c r="BQ181" i="12"/>
  <c r="BP182" i="12"/>
  <c r="BR182" i="12" s="1"/>
  <c r="BU183" i="12"/>
  <c r="BV183" i="12" s="1"/>
  <c r="BW183" i="12" s="1"/>
  <c r="BO183" i="12"/>
  <c r="BS183" i="12"/>
  <c r="BT183" i="12" s="1"/>
  <c r="BN184" i="12"/>
  <c r="S39" i="13"/>
  <c r="BQ181" i="18" l="1"/>
  <c r="BU182" i="18"/>
  <c r="BV182" i="18" s="1"/>
  <c r="BW182" i="18" s="1"/>
  <c r="BO182" i="18"/>
  <c r="BP182" i="18" s="1"/>
  <c r="BR182" i="18" s="1"/>
  <c r="BS182" i="18"/>
  <c r="BT182" i="18" s="1"/>
  <c r="BN183" i="18"/>
  <c r="BQ181" i="19"/>
  <c r="BU182" i="19"/>
  <c r="BV182" i="19" s="1"/>
  <c r="BW182" i="19" s="1"/>
  <c r="BN183" i="19"/>
  <c r="BO182" i="19"/>
  <c r="BP182" i="19" s="1"/>
  <c r="BR182" i="19" s="1"/>
  <c r="BS182" i="19"/>
  <c r="BT182" i="19" s="1"/>
  <c r="AF306" i="5"/>
  <c r="AY306" i="5" s="1"/>
  <c r="AD150" i="6"/>
  <c r="AD306" i="5" s="1"/>
  <c r="AW306" i="5" s="1"/>
  <c r="AR150" i="6"/>
  <c r="AC306" i="5"/>
  <c r="AS150" i="6"/>
  <c r="AC151" i="6"/>
  <c r="AF151" i="6" s="1"/>
  <c r="BQ182" i="12"/>
  <c r="BP183" i="12"/>
  <c r="BR183" i="12" s="1"/>
  <c r="BU184" i="12"/>
  <c r="BV184" i="12" s="1"/>
  <c r="BW184" i="12" s="1"/>
  <c r="BO184" i="12"/>
  <c r="BS184" i="12"/>
  <c r="BT184" i="12" s="1"/>
  <c r="BN185" i="12"/>
  <c r="S40" i="13"/>
  <c r="BQ182" i="18" l="1"/>
  <c r="BN184" i="18"/>
  <c r="BU183" i="18"/>
  <c r="BV183" i="18" s="1"/>
  <c r="BW183" i="18" s="1"/>
  <c r="BO183" i="18"/>
  <c r="BP183" i="18" s="1"/>
  <c r="BR183" i="18" s="1"/>
  <c r="BS183" i="18"/>
  <c r="BT183" i="18" s="1"/>
  <c r="BQ182" i="19"/>
  <c r="BU183" i="19"/>
  <c r="BV183" i="19" s="1"/>
  <c r="BW183" i="19" s="1"/>
  <c r="BN184" i="19"/>
  <c r="BS183" i="19"/>
  <c r="BT183" i="19" s="1"/>
  <c r="BO183" i="19"/>
  <c r="BP183" i="19" s="1"/>
  <c r="BR183" i="19" s="1"/>
  <c r="AD151" i="6"/>
  <c r="AD307" i="5" s="1"/>
  <c r="AW307" i="5" s="1"/>
  <c r="AR151" i="6"/>
  <c r="AC307" i="5"/>
  <c r="AF307" i="5"/>
  <c r="AY307" i="5" s="1"/>
  <c r="AS151" i="6"/>
  <c r="AC152" i="6"/>
  <c r="AF152" i="6" s="1"/>
  <c r="BQ183" i="12"/>
  <c r="BP184" i="12"/>
  <c r="BR184" i="12" s="1"/>
  <c r="BS185" i="12"/>
  <c r="BT185" i="12" s="1"/>
  <c r="BU185" i="12"/>
  <c r="BV185" i="12" s="1"/>
  <c r="BW185" i="12" s="1"/>
  <c r="BO185" i="12"/>
  <c r="BN186" i="12"/>
  <c r="S41" i="13"/>
  <c r="BQ183" i="18" l="1"/>
  <c r="BU184" i="18"/>
  <c r="BV184" i="18" s="1"/>
  <c r="BW184" i="18" s="1"/>
  <c r="BO184" i="18"/>
  <c r="BP184" i="18" s="1"/>
  <c r="BR184" i="18" s="1"/>
  <c r="BS184" i="18"/>
  <c r="BT184" i="18" s="1"/>
  <c r="BN185" i="18"/>
  <c r="BQ183" i="19"/>
  <c r="BO184" i="19"/>
  <c r="BP184" i="19" s="1"/>
  <c r="BR184" i="19" s="1"/>
  <c r="BU184" i="19"/>
  <c r="BV184" i="19" s="1"/>
  <c r="BW184" i="19" s="1"/>
  <c r="BN185" i="19"/>
  <c r="BS184" i="19"/>
  <c r="BT184" i="19" s="1"/>
  <c r="AC308" i="5"/>
  <c r="AR152" i="6"/>
  <c r="AF308" i="5"/>
  <c r="AY308" i="5" s="1"/>
  <c r="AS152" i="6"/>
  <c r="AC153" i="6"/>
  <c r="AF153" i="6" s="1"/>
  <c r="AD152" i="6"/>
  <c r="AD308" i="5" s="1"/>
  <c r="AW308" i="5" s="1"/>
  <c r="BQ184" i="12"/>
  <c r="BP185" i="12"/>
  <c r="BR185" i="12" s="1"/>
  <c r="BS186" i="12"/>
  <c r="BT186" i="12" s="1"/>
  <c r="BO186" i="12"/>
  <c r="BU186" i="12"/>
  <c r="BV186" i="12" s="1"/>
  <c r="BW186" i="12" s="1"/>
  <c r="BN187" i="12"/>
  <c r="S42" i="13"/>
  <c r="BQ184" i="18" l="1"/>
  <c r="BN186" i="18"/>
  <c r="BU185" i="18"/>
  <c r="BV185" i="18" s="1"/>
  <c r="BW185" i="18" s="1"/>
  <c r="BO185" i="18"/>
  <c r="BP185" i="18" s="1"/>
  <c r="BR185" i="18" s="1"/>
  <c r="BS185" i="18"/>
  <c r="BT185" i="18" s="1"/>
  <c r="CC22" i="18"/>
  <c r="BQ184" i="19"/>
  <c r="BN186" i="19"/>
  <c r="BU185" i="19"/>
  <c r="BV185" i="19" s="1"/>
  <c r="BW185" i="19" s="1"/>
  <c r="BO185" i="19"/>
  <c r="BP185" i="19" s="1"/>
  <c r="BR185" i="19" s="1"/>
  <c r="BS185" i="19"/>
  <c r="BT185" i="19" s="1"/>
  <c r="AF309" i="5"/>
  <c r="AY309" i="5" s="1"/>
  <c r="AD153" i="6"/>
  <c r="AD309" i="5" s="1"/>
  <c r="AW309" i="5" s="1"/>
  <c r="AS153" i="6"/>
  <c r="AC309" i="5"/>
  <c r="AR153" i="6"/>
  <c r="AC154" i="6"/>
  <c r="AF154" i="6" s="1"/>
  <c r="BQ185" i="12"/>
  <c r="BP186" i="12"/>
  <c r="BR186" i="12" s="1"/>
  <c r="BU187" i="12"/>
  <c r="BV187" i="12" s="1"/>
  <c r="BW187" i="12" s="1"/>
  <c r="BO187" i="12"/>
  <c r="BS187" i="12"/>
  <c r="BT187" i="12" s="1"/>
  <c r="BN188" i="12"/>
  <c r="S43" i="13"/>
  <c r="BQ185" i="18" l="1"/>
  <c r="BU186" i="18"/>
  <c r="BV186" i="18" s="1"/>
  <c r="BW186" i="18" s="1"/>
  <c r="BO186" i="18"/>
  <c r="BP186" i="18" s="1"/>
  <c r="BR186" i="18" s="1"/>
  <c r="BS186" i="18"/>
  <c r="BT186" i="18" s="1"/>
  <c r="BN187" i="18"/>
  <c r="BQ185" i="19"/>
  <c r="BO186" i="19"/>
  <c r="BP186" i="19" s="1"/>
  <c r="BR186" i="19" s="1"/>
  <c r="BS186" i="19"/>
  <c r="BT186" i="19" s="1"/>
  <c r="BN187" i="19"/>
  <c r="BU186" i="19"/>
  <c r="BV186" i="19" s="1"/>
  <c r="BW186" i="19" s="1"/>
  <c r="AR154" i="6"/>
  <c r="AD154" i="6"/>
  <c r="AD310" i="5" s="1"/>
  <c r="AW310" i="5" s="1"/>
  <c r="AS154" i="6"/>
  <c r="AC155" i="6"/>
  <c r="AF155" i="6" s="1"/>
  <c r="AF310" i="5"/>
  <c r="AY310" i="5" s="1"/>
  <c r="AC310" i="5"/>
  <c r="BQ186" i="12"/>
  <c r="BP187" i="12"/>
  <c r="BR187" i="12" s="1"/>
  <c r="BU188" i="12"/>
  <c r="BV188" i="12" s="1"/>
  <c r="BW188" i="12" s="1"/>
  <c r="BS188" i="12"/>
  <c r="BT188" i="12" s="1"/>
  <c r="BO188" i="12"/>
  <c r="BN189" i="12"/>
  <c r="S44" i="13"/>
  <c r="BQ186" i="18" l="1"/>
  <c r="BN188" i="18"/>
  <c r="BU187" i="18"/>
  <c r="BV187" i="18" s="1"/>
  <c r="BW187" i="18" s="1"/>
  <c r="BO187" i="18"/>
  <c r="BP187" i="18" s="1"/>
  <c r="BR187" i="18" s="1"/>
  <c r="BS187" i="18"/>
  <c r="BT187" i="18" s="1"/>
  <c r="BQ187" i="18"/>
  <c r="BQ186" i="19"/>
  <c r="BO187" i="19"/>
  <c r="BP187" i="19" s="1"/>
  <c r="BR187" i="19" s="1"/>
  <c r="BU187" i="19"/>
  <c r="BV187" i="19" s="1"/>
  <c r="BW187" i="19" s="1"/>
  <c r="BN188" i="19"/>
  <c r="BS187" i="19"/>
  <c r="BT187" i="19" s="1"/>
  <c r="AF311" i="5"/>
  <c r="AY311" i="5" s="1"/>
  <c r="AY313" i="5" s="1"/>
  <c r="AY315" i="5" s="1"/>
  <c r="AY317" i="5" s="1"/>
  <c r="AD155" i="6"/>
  <c r="AD311" i="5" s="1"/>
  <c r="AW311" i="5" s="1"/>
  <c r="AW313" i="5" s="1"/>
  <c r="AW315" i="5" s="1"/>
  <c r="AW317" i="5" s="1"/>
  <c r="AC311" i="5"/>
  <c r="AC156" i="6"/>
  <c r="AF156" i="6" s="1"/>
  <c r="BQ187" i="12"/>
  <c r="CC23" i="18" s="1"/>
  <c r="BP188" i="12"/>
  <c r="BR188" i="12" s="1"/>
  <c r="BS189" i="12"/>
  <c r="BT189" i="12" s="1"/>
  <c r="BO189" i="12"/>
  <c r="BU189" i="12"/>
  <c r="BV189" i="12" s="1"/>
  <c r="BW189" i="12" s="1"/>
  <c r="BN190" i="12"/>
  <c r="S45" i="13"/>
  <c r="BU188" i="18" l="1"/>
  <c r="BV188" i="18" s="1"/>
  <c r="BW188" i="18" s="1"/>
  <c r="BO188" i="18"/>
  <c r="BP188" i="18" s="1"/>
  <c r="BR188" i="18" s="1"/>
  <c r="BS188" i="18"/>
  <c r="BT188" i="18" s="1"/>
  <c r="BN189" i="18"/>
  <c r="BQ188" i="18"/>
  <c r="CD24" i="18"/>
  <c r="CC24" i="18"/>
  <c r="BQ187" i="19"/>
  <c r="BO188" i="19"/>
  <c r="BP188" i="19" s="1"/>
  <c r="BR188" i="19" s="1"/>
  <c r="BU188" i="19"/>
  <c r="BV188" i="19" s="1"/>
  <c r="BW188" i="19" s="1"/>
  <c r="BN189" i="19"/>
  <c r="BS188" i="19"/>
  <c r="BT188" i="19" s="1"/>
  <c r="AC6" i="7"/>
  <c r="AC312" i="5"/>
  <c r="AD156" i="6"/>
  <c r="AF312" i="5"/>
  <c r="AY312" i="5" s="1"/>
  <c r="AY314" i="5" s="1"/>
  <c r="AY316" i="5" s="1"/>
  <c r="BQ188" i="12"/>
  <c r="BP189" i="12"/>
  <c r="BR189" i="12" s="1"/>
  <c r="BS190" i="12"/>
  <c r="BT190" i="12" s="1"/>
  <c r="BO190" i="12"/>
  <c r="BU190" i="12"/>
  <c r="BV190" i="12" s="1"/>
  <c r="BW190" i="12" s="1"/>
  <c r="BN191" i="12"/>
  <c r="S46" i="13"/>
  <c r="BN190" i="18" l="1"/>
  <c r="BU189" i="18"/>
  <c r="BV189" i="18" s="1"/>
  <c r="BW189" i="18" s="1"/>
  <c r="BO189" i="18"/>
  <c r="BP189" i="18" s="1"/>
  <c r="BR189" i="18" s="1"/>
  <c r="BS189" i="18"/>
  <c r="BT189" i="18" s="1"/>
  <c r="BQ189" i="18"/>
  <c r="BQ188" i="19"/>
  <c r="AD312" i="5"/>
  <c r="AW312" i="5" s="1"/>
  <c r="AW314" i="5" s="1"/>
  <c r="AW316" i="5" s="1"/>
  <c r="BN190" i="19"/>
  <c r="BS189" i="19"/>
  <c r="BT189" i="19" s="1"/>
  <c r="BU189" i="19"/>
  <c r="BV189" i="19" s="1"/>
  <c r="BW189" i="19" s="1"/>
  <c r="BO189" i="19"/>
  <c r="BP189" i="19" s="1"/>
  <c r="BR189" i="19" s="1"/>
  <c r="AD6" i="7"/>
  <c r="AD318" i="5" s="1"/>
  <c r="AC7" i="7"/>
  <c r="AS6" i="7"/>
  <c r="AC318" i="5"/>
  <c r="AR6" i="7"/>
  <c r="AF6" i="7"/>
  <c r="BQ189" i="12"/>
  <c r="BP190" i="12"/>
  <c r="BR190" i="12" s="1"/>
  <c r="BU191" i="12"/>
  <c r="BV191" i="12" s="1"/>
  <c r="BW191" i="12" s="1"/>
  <c r="BO191" i="12"/>
  <c r="BS191" i="12"/>
  <c r="BT191" i="12" s="1"/>
  <c r="BN192" i="12"/>
  <c r="S47" i="13"/>
  <c r="BU190" i="18" l="1"/>
  <c r="BV190" i="18" s="1"/>
  <c r="BW190" i="18" s="1"/>
  <c r="BO190" i="18"/>
  <c r="BP190" i="18" s="1"/>
  <c r="BR190" i="18" s="1"/>
  <c r="BS190" i="18"/>
  <c r="BT190" i="18" s="1"/>
  <c r="BN191" i="18"/>
  <c r="BQ190" i="18"/>
  <c r="AW318" i="5"/>
  <c r="BO190" i="19"/>
  <c r="BP190" i="19" s="1"/>
  <c r="BR190" i="19" s="1"/>
  <c r="BU190" i="19"/>
  <c r="BV190" i="19" s="1"/>
  <c r="BW190" i="19" s="1"/>
  <c r="BS190" i="19"/>
  <c r="BT190" i="19" s="1"/>
  <c r="BN191" i="19"/>
  <c r="AF318" i="5"/>
  <c r="AY318" i="5" s="1"/>
  <c r="BQ189" i="19"/>
  <c r="AC8" i="7"/>
  <c r="AR7" i="7"/>
  <c r="AD7" i="7"/>
  <c r="AD319" i="5" s="1"/>
  <c r="AW319" i="5" s="1"/>
  <c r="AS7" i="7"/>
  <c r="AC319" i="5"/>
  <c r="AF7" i="7"/>
  <c r="AF319" i="5" s="1"/>
  <c r="AY319" i="5" s="1"/>
  <c r="BQ190" i="12"/>
  <c r="BP191" i="12"/>
  <c r="BR191" i="12" s="1"/>
  <c r="BU192" i="12"/>
  <c r="BV192" i="12" s="1"/>
  <c r="BW192" i="12" s="1"/>
  <c r="BO192" i="12"/>
  <c r="BS192" i="12"/>
  <c r="BT192" i="12" s="1"/>
  <c r="BN193" i="12"/>
  <c r="S48" i="13"/>
  <c r="BN192" i="18" l="1"/>
  <c r="BU191" i="18"/>
  <c r="BV191" i="18" s="1"/>
  <c r="BW191" i="18" s="1"/>
  <c r="BO191" i="18"/>
  <c r="BP191" i="18" s="1"/>
  <c r="BR191" i="18" s="1"/>
  <c r="BS191" i="18"/>
  <c r="BT191" i="18" s="1"/>
  <c r="BQ191" i="18"/>
  <c r="BQ190" i="19"/>
  <c r="BN192" i="19"/>
  <c r="BS191" i="19"/>
  <c r="BT191" i="19" s="1"/>
  <c r="BU191" i="19"/>
  <c r="BV191" i="19" s="1"/>
  <c r="BW191" i="19" s="1"/>
  <c r="BO191" i="19"/>
  <c r="BP191" i="19" s="1"/>
  <c r="BR191" i="19" s="1"/>
  <c r="AC9" i="7"/>
  <c r="AC320" i="5"/>
  <c r="AS8" i="7"/>
  <c r="AF8" i="7"/>
  <c r="AF320" i="5" s="1"/>
  <c r="AY320" i="5" s="1"/>
  <c r="AR8" i="7"/>
  <c r="AD8" i="7"/>
  <c r="BQ191" i="12"/>
  <c r="BP192" i="12"/>
  <c r="BR192" i="12" s="1"/>
  <c r="BS193" i="12"/>
  <c r="BT193" i="12" s="1"/>
  <c r="BU193" i="12"/>
  <c r="BV193" i="12" s="1"/>
  <c r="BW193" i="12" s="1"/>
  <c r="BO193" i="12"/>
  <c r="BN194" i="12"/>
  <c r="S49" i="13"/>
  <c r="BU192" i="18" l="1"/>
  <c r="BV192" i="18" s="1"/>
  <c r="BW192" i="18" s="1"/>
  <c r="BO192" i="18"/>
  <c r="BP192" i="18" s="1"/>
  <c r="BR192" i="18" s="1"/>
  <c r="BS192" i="18"/>
  <c r="BT192" i="18" s="1"/>
  <c r="BN193" i="18"/>
  <c r="BQ192" i="18"/>
  <c r="BQ191" i="19"/>
  <c r="BU192" i="19"/>
  <c r="BV192" i="19" s="1"/>
  <c r="BW192" i="19" s="1"/>
  <c r="BN193" i="19"/>
  <c r="BS192" i="19"/>
  <c r="BT192" i="19" s="1"/>
  <c r="BO192" i="19"/>
  <c r="BP192" i="19" s="1"/>
  <c r="BR192" i="19" s="1"/>
  <c r="AD320" i="5"/>
  <c r="AW320" i="5" s="1"/>
  <c r="AC321" i="5"/>
  <c r="R49" i="13" s="1"/>
  <c r="AR9" i="7"/>
  <c r="AC10" i="7"/>
  <c r="AS9" i="7"/>
  <c r="AF9" i="7"/>
  <c r="AD9" i="7"/>
  <c r="AD321" i="5" s="1"/>
  <c r="AW321" i="5" s="1"/>
  <c r="BQ192" i="12"/>
  <c r="BP193" i="12"/>
  <c r="BR193" i="12" s="1"/>
  <c r="BS194" i="12"/>
  <c r="BT194" i="12" s="1"/>
  <c r="BO194" i="12"/>
  <c r="BU194" i="12"/>
  <c r="BV194" i="12" s="1"/>
  <c r="BW194" i="12" s="1"/>
  <c r="BN195" i="12"/>
  <c r="S50" i="13"/>
  <c r="BN194" i="18" l="1"/>
  <c r="BU193" i="18"/>
  <c r="BV193" i="18" s="1"/>
  <c r="BW193" i="18" s="1"/>
  <c r="BO193" i="18"/>
  <c r="BP193" i="18" s="1"/>
  <c r="BR193" i="18" s="1"/>
  <c r="BS193" i="18"/>
  <c r="BT193" i="18" s="1"/>
  <c r="BQ193" i="18"/>
  <c r="BS193" i="19"/>
  <c r="BT193" i="19" s="1"/>
  <c r="BO193" i="19"/>
  <c r="BP193" i="19" s="1"/>
  <c r="BR193" i="19" s="1"/>
  <c r="BN194" i="19"/>
  <c r="BU193" i="19"/>
  <c r="BV193" i="19" s="1"/>
  <c r="BW193" i="19" s="1"/>
  <c r="AF321" i="5"/>
  <c r="AY321" i="5" s="1"/>
  <c r="BQ192" i="19"/>
  <c r="AC322" i="5"/>
  <c r="R48" i="13" s="1"/>
  <c r="AC11" i="7"/>
  <c r="AS10" i="7"/>
  <c r="AR10" i="7"/>
  <c r="AF10" i="7"/>
  <c r="AD10" i="7"/>
  <c r="C38" i="13"/>
  <c r="C45" i="13"/>
  <c r="F31" i="13"/>
  <c r="F47" i="13"/>
  <c r="I32" i="13"/>
  <c r="I48" i="13"/>
  <c r="L34" i="13"/>
  <c r="C41" i="13"/>
  <c r="C42" i="13"/>
  <c r="F24" i="13"/>
  <c r="F40" i="13"/>
  <c r="I25" i="13"/>
  <c r="I41" i="13"/>
  <c r="L27" i="13"/>
  <c r="L43" i="13"/>
  <c r="C39" i="13"/>
  <c r="C47" i="13"/>
  <c r="F33" i="13"/>
  <c r="F49" i="13"/>
  <c r="I34" i="13"/>
  <c r="I50" i="13"/>
  <c r="L36" i="13"/>
  <c r="C31" i="13"/>
  <c r="C36" i="13"/>
  <c r="F26" i="13"/>
  <c r="F42" i="13"/>
  <c r="I27" i="13"/>
  <c r="I43" i="13"/>
  <c r="L29" i="13"/>
  <c r="O26" i="13"/>
  <c r="O38" i="13"/>
  <c r="O50" i="13"/>
  <c r="R31" i="13"/>
  <c r="R43" i="13"/>
  <c r="L45" i="13"/>
  <c r="C37" i="13"/>
  <c r="C49" i="13"/>
  <c r="F35" i="13"/>
  <c r="F51" i="13"/>
  <c r="I36" i="13"/>
  <c r="L22" i="13"/>
  <c r="L38" i="13"/>
  <c r="C35" i="13"/>
  <c r="C25" i="13"/>
  <c r="F28" i="13"/>
  <c r="F44" i="13"/>
  <c r="I29" i="13"/>
  <c r="I45" i="13"/>
  <c r="L31" i="13"/>
  <c r="L46" i="13"/>
  <c r="C27" i="13"/>
  <c r="F21" i="13"/>
  <c r="F37" i="13"/>
  <c r="I22" i="13"/>
  <c r="I38" i="13"/>
  <c r="L24" i="13"/>
  <c r="L40" i="13"/>
  <c r="C33" i="13"/>
  <c r="C44" i="13"/>
  <c r="F30" i="13"/>
  <c r="F46" i="13"/>
  <c r="I31" i="13"/>
  <c r="I47" i="13"/>
  <c r="L37" i="13"/>
  <c r="L50" i="13"/>
  <c r="O23" i="13"/>
  <c r="O27" i="13"/>
  <c r="O31" i="13"/>
  <c r="O35" i="13"/>
  <c r="O39" i="13"/>
  <c r="O43" i="13"/>
  <c r="O47" i="13"/>
  <c r="O51" i="13"/>
  <c r="R24" i="13"/>
  <c r="R28" i="13"/>
  <c r="R32" i="13"/>
  <c r="R36" i="13"/>
  <c r="R40" i="13"/>
  <c r="R44" i="13"/>
  <c r="R41" i="13"/>
  <c r="O22" i="13"/>
  <c r="O30" i="13"/>
  <c r="O42" i="13"/>
  <c r="R23" i="13"/>
  <c r="R35" i="13"/>
  <c r="R47" i="13"/>
  <c r="C40" i="13"/>
  <c r="C21" i="13"/>
  <c r="F23" i="13"/>
  <c r="F39" i="13"/>
  <c r="I24" i="13"/>
  <c r="I40" i="13"/>
  <c r="L26" i="13"/>
  <c r="L42" i="13"/>
  <c r="C23" i="13"/>
  <c r="C46" i="13"/>
  <c r="F32" i="13"/>
  <c r="F48" i="13"/>
  <c r="I33" i="13"/>
  <c r="I49" i="13"/>
  <c r="L35" i="13"/>
  <c r="C30" i="13"/>
  <c r="C29" i="13"/>
  <c r="F25" i="13"/>
  <c r="F41" i="13"/>
  <c r="I26" i="13"/>
  <c r="I42" i="13"/>
  <c r="L28" i="13"/>
  <c r="L44" i="13"/>
  <c r="C28" i="13"/>
  <c r="C48" i="13"/>
  <c r="F34" i="13"/>
  <c r="F50" i="13"/>
  <c r="I35" i="13"/>
  <c r="L21" i="13"/>
  <c r="L47" i="13"/>
  <c r="L51" i="13"/>
  <c r="O24" i="13"/>
  <c r="O28" i="13"/>
  <c r="O32" i="13"/>
  <c r="O36" i="13"/>
  <c r="O40" i="13"/>
  <c r="O44" i="13"/>
  <c r="O48" i="13"/>
  <c r="R21" i="13"/>
  <c r="R25" i="13"/>
  <c r="R29" i="13"/>
  <c r="R33" i="13"/>
  <c r="R37" i="13"/>
  <c r="R45" i="13"/>
  <c r="C34" i="13"/>
  <c r="C32" i="13"/>
  <c r="F27" i="13"/>
  <c r="F43" i="13"/>
  <c r="I28" i="13"/>
  <c r="I44" i="13"/>
  <c r="L30" i="13"/>
  <c r="L33" i="13"/>
  <c r="C26" i="13"/>
  <c r="C50" i="13"/>
  <c r="F36" i="13"/>
  <c r="I21" i="13"/>
  <c r="I37" i="13"/>
  <c r="L23" i="13"/>
  <c r="L39" i="13"/>
  <c r="C24" i="13"/>
  <c r="C43" i="13"/>
  <c r="F29" i="13"/>
  <c r="F45" i="13"/>
  <c r="I30" i="13"/>
  <c r="I46" i="13"/>
  <c r="L32" i="13"/>
  <c r="L41" i="13"/>
  <c r="C22" i="13"/>
  <c r="F22" i="13"/>
  <c r="F38" i="13"/>
  <c r="I23" i="13"/>
  <c r="I39" i="13"/>
  <c r="L25" i="13"/>
  <c r="L48" i="13"/>
  <c r="O21" i="13"/>
  <c r="O25" i="13"/>
  <c r="O29" i="13"/>
  <c r="O33" i="13"/>
  <c r="O37" i="13"/>
  <c r="O41" i="13"/>
  <c r="O45" i="13"/>
  <c r="O49" i="13"/>
  <c r="R22" i="13"/>
  <c r="R26" i="13"/>
  <c r="R30" i="13"/>
  <c r="R34" i="13"/>
  <c r="R38" i="13"/>
  <c r="R42" i="13"/>
  <c r="R46" i="13"/>
  <c r="L49" i="13"/>
  <c r="O34" i="13"/>
  <c r="O46" i="13"/>
  <c r="R27" i="13"/>
  <c r="R39" i="13"/>
  <c r="BQ193" i="12"/>
  <c r="BP194" i="12"/>
  <c r="BR194" i="12" s="1"/>
  <c r="BU195" i="12"/>
  <c r="BV195" i="12" s="1"/>
  <c r="BW195" i="12" s="1"/>
  <c r="BO195" i="12"/>
  <c r="BS195" i="12"/>
  <c r="BT195" i="12" s="1"/>
  <c r="BN196" i="12"/>
  <c r="S51" i="13"/>
  <c r="BU194" i="18" l="1"/>
  <c r="BV194" i="18" s="1"/>
  <c r="BW194" i="18" s="1"/>
  <c r="BO194" i="18"/>
  <c r="BP194" i="18" s="1"/>
  <c r="BR194" i="18" s="1"/>
  <c r="BS194" i="18"/>
  <c r="BT194" i="18" s="1"/>
  <c r="BN195" i="18"/>
  <c r="BQ194" i="18"/>
  <c r="BQ193" i="19"/>
  <c r="AD322" i="5"/>
  <c r="AW322" i="5" s="1"/>
  <c r="BU194" i="19"/>
  <c r="BV194" i="19" s="1"/>
  <c r="BW194" i="19" s="1"/>
  <c r="BN195" i="19"/>
  <c r="BO194" i="19"/>
  <c r="BP194" i="19" s="1"/>
  <c r="BR194" i="19" s="1"/>
  <c r="BS194" i="19"/>
  <c r="BT194" i="19" s="1"/>
  <c r="AF322" i="5"/>
  <c r="AY322" i="5" s="1"/>
  <c r="M52" i="13"/>
  <c r="P52" i="13"/>
  <c r="A52" i="13"/>
  <c r="J52" i="13"/>
  <c r="D52" i="13"/>
  <c r="AC323" i="5"/>
  <c r="AC12" i="7"/>
  <c r="AF11" i="7"/>
  <c r="AF323" i="5" s="1"/>
  <c r="AY323" i="5" s="1"/>
  <c r="AY325" i="5" s="1"/>
  <c r="AY327" i="5" s="1"/>
  <c r="AY329" i="5" s="1"/>
  <c r="AD11" i="7"/>
  <c r="AD323" i="5" s="1"/>
  <c r="AW323" i="5" s="1"/>
  <c r="AW325" i="5" s="1"/>
  <c r="AW327" i="5" s="1"/>
  <c r="AW329" i="5" s="1"/>
  <c r="G52" i="13"/>
  <c r="BQ194" i="12"/>
  <c r="BP195" i="12"/>
  <c r="BR195" i="12" s="1"/>
  <c r="BU196" i="12"/>
  <c r="BV196" i="12" s="1"/>
  <c r="BW196" i="12" s="1"/>
  <c r="BS196" i="12"/>
  <c r="BT196" i="12" s="1"/>
  <c r="BO196" i="12"/>
  <c r="BN197" i="12"/>
  <c r="V21" i="13"/>
  <c r="BN196" i="18" l="1"/>
  <c r="BU195" i="18"/>
  <c r="BV195" i="18" s="1"/>
  <c r="BW195" i="18" s="1"/>
  <c r="BO195" i="18"/>
  <c r="BP195" i="18" s="1"/>
  <c r="BR195" i="18" s="1"/>
  <c r="BS195" i="18"/>
  <c r="BT195" i="18" s="1"/>
  <c r="BQ195" i="18"/>
  <c r="BQ194" i="19"/>
  <c r="BS195" i="19"/>
  <c r="BT195" i="19" s="1"/>
  <c r="BO195" i="19"/>
  <c r="BP195" i="19" s="1"/>
  <c r="BQ195" i="19" s="1"/>
  <c r="BU195" i="19"/>
  <c r="BV195" i="19" s="1"/>
  <c r="BW195" i="19" s="1"/>
  <c r="BN196" i="19"/>
  <c r="AC324" i="5"/>
  <c r="AF12" i="7"/>
  <c r="AF324" i="5" s="1"/>
  <c r="AY324" i="5" s="1"/>
  <c r="AY326" i="5" s="1"/>
  <c r="AY328" i="5" s="1"/>
  <c r="AC18" i="7"/>
  <c r="AD12" i="7"/>
  <c r="AD324" i="5" s="1"/>
  <c r="AW324" i="5" s="1"/>
  <c r="AW326" i="5" s="1"/>
  <c r="AW328" i="5" s="1"/>
  <c r="BQ195" i="12"/>
  <c r="BP196" i="12"/>
  <c r="BR196" i="12" s="1"/>
  <c r="BS197" i="12"/>
  <c r="BT197" i="12" s="1"/>
  <c r="BO197" i="12"/>
  <c r="BU197" i="12"/>
  <c r="BV197" i="12" s="1"/>
  <c r="BW197" i="12" s="1"/>
  <c r="BN198" i="12"/>
  <c r="V22" i="13"/>
  <c r="BU196" i="18" l="1"/>
  <c r="BV196" i="18" s="1"/>
  <c r="BW196" i="18" s="1"/>
  <c r="BO196" i="18"/>
  <c r="BP196" i="18" s="1"/>
  <c r="BR196" i="18" s="1"/>
  <c r="BS196" i="18"/>
  <c r="BT196" i="18" s="1"/>
  <c r="BN197" i="18"/>
  <c r="BQ196" i="18"/>
  <c r="BR195" i="19"/>
  <c r="BN197" i="19"/>
  <c r="BS196" i="19"/>
  <c r="BT196" i="19" s="1"/>
  <c r="BO196" i="19"/>
  <c r="BP196" i="19" s="1"/>
  <c r="BU196" i="19"/>
  <c r="BV196" i="19" s="1"/>
  <c r="BW196" i="19" s="1"/>
  <c r="AS18" i="7"/>
  <c r="AD18" i="7"/>
  <c r="AD330" i="5" s="1"/>
  <c r="AW330" i="5" s="1"/>
  <c r="AC19" i="7"/>
  <c r="AR18" i="7"/>
  <c r="AC330" i="5"/>
  <c r="AF18" i="7"/>
  <c r="AF330" i="5" s="1"/>
  <c r="AY330" i="5" s="1"/>
  <c r="BQ196" i="12"/>
  <c r="BP197" i="12"/>
  <c r="BR197" i="12" s="1"/>
  <c r="BS198" i="12"/>
  <c r="BT198" i="12" s="1"/>
  <c r="BO198" i="12"/>
  <c r="BU198" i="12"/>
  <c r="BV198" i="12" s="1"/>
  <c r="BW198" i="12" s="1"/>
  <c r="BN199" i="12"/>
  <c r="V23" i="13"/>
  <c r="BN198" i="18" l="1"/>
  <c r="BU197" i="18"/>
  <c r="BV197" i="18" s="1"/>
  <c r="BW197" i="18" s="1"/>
  <c r="BO197" i="18"/>
  <c r="BP197" i="18" s="1"/>
  <c r="BR197" i="18" s="1"/>
  <c r="BS197" i="18"/>
  <c r="BT197" i="18" s="1"/>
  <c r="BQ197" i="18"/>
  <c r="BR196" i="19"/>
  <c r="BQ196" i="19"/>
  <c r="BO197" i="19"/>
  <c r="BP197" i="19" s="1"/>
  <c r="BN198" i="19"/>
  <c r="BS197" i="19"/>
  <c r="BT197" i="19" s="1"/>
  <c r="BU197" i="19"/>
  <c r="BV197" i="19" s="1"/>
  <c r="BW197" i="19" s="1"/>
  <c r="AD19" i="7"/>
  <c r="AD331" i="5" s="1"/>
  <c r="AW331" i="5" s="1"/>
  <c r="AS19" i="7"/>
  <c r="AC331" i="5"/>
  <c r="AR19" i="7"/>
  <c r="AF19" i="7"/>
  <c r="AF331" i="5" s="1"/>
  <c r="AY331" i="5" s="1"/>
  <c r="AC20" i="7"/>
  <c r="BQ197" i="12"/>
  <c r="BP198" i="12"/>
  <c r="BR198" i="12" s="1"/>
  <c r="BU199" i="12"/>
  <c r="BV199" i="12" s="1"/>
  <c r="BW199" i="12" s="1"/>
  <c r="BO199" i="12"/>
  <c r="BS199" i="12"/>
  <c r="BT199" i="12" s="1"/>
  <c r="BN200" i="12"/>
  <c r="V24" i="13"/>
  <c r="BU198" i="18" l="1"/>
  <c r="BV198" i="18" s="1"/>
  <c r="BW198" i="18" s="1"/>
  <c r="BO198" i="18"/>
  <c r="BP198" i="18" s="1"/>
  <c r="BR198" i="18" s="1"/>
  <c r="BS198" i="18"/>
  <c r="BT198" i="18" s="1"/>
  <c r="BN199" i="18"/>
  <c r="BQ198" i="18"/>
  <c r="BR197" i="19"/>
  <c r="BQ197" i="19"/>
  <c r="BU198" i="19"/>
  <c r="BV198" i="19" s="1"/>
  <c r="BW198" i="19" s="1"/>
  <c r="BN199" i="19"/>
  <c r="BO198" i="19"/>
  <c r="BP198" i="19" s="1"/>
  <c r="BR198" i="19" s="1"/>
  <c r="BS198" i="19"/>
  <c r="BT198" i="19" s="1"/>
  <c r="AS20" i="7"/>
  <c r="AF20" i="7"/>
  <c r="AF332" i="5" s="1"/>
  <c r="AY332" i="5" s="1"/>
  <c r="AC21" i="7"/>
  <c r="AD20" i="7"/>
  <c r="AD332" i="5" s="1"/>
  <c r="AW332" i="5" s="1"/>
  <c r="AR20" i="7"/>
  <c r="AC332" i="5"/>
  <c r="BQ198" i="12"/>
  <c r="BP199" i="12"/>
  <c r="BQ199" i="12" s="1"/>
  <c r="BU200" i="12"/>
  <c r="BV200" i="12" s="1"/>
  <c r="BW200" i="12" s="1"/>
  <c r="BO200" i="12"/>
  <c r="BP200" i="12" s="1"/>
  <c r="BS200" i="12"/>
  <c r="BT200" i="12" s="1"/>
  <c r="BN201" i="12"/>
  <c r="V25" i="13"/>
  <c r="BN200" i="18" l="1"/>
  <c r="BU199" i="18"/>
  <c r="BV199" i="18" s="1"/>
  <c r="BW199" i="18" s="1"/>
  <c r="BO199" i="18"/>
  <c r="BP199" i="18" s="1"/>
  <c r="BR199" i="18" s="1"/>
  <c r="BS199" i="18"/>
  <c r="BT199" i="18" s="1"/>
  <c r="BQ199" i="18"/>
  <c r="BQ198" i="19"/>
  <c r="BO199" i="19"/>
  <c r="BP199" i="19" s="1"/>
  <c r="BQ199" i="19" s="1"/>
  <c r="BU199" i="19"/>
  <c r="BV199" i="19" s="1"/>
  <c r="BW199" i="19" s="1"/>
  <c r="BN200" i="19"/>
  <c r="BS199" i="19"/>
  <c r="BT199" i="19" s="1"/>
  <c r="AC22" i="7"/>
  <c r="AR21" i="7"/>
  <c r="AF21" i="7"/>
  <c r="AF333" i="5" s="1"/>
  <c r="AY333" i="5" s="1"/>
  <c r="AD21" i="7"/>
  <c r="AD333" i="5" s="1"/>
  <c r="AW333" i="5" s="1"/>
  <c r="AS21" i="7"/>
  <c r="AC333" i="5"/>
  <c r="BR199" i="12"/>
  <c r="BR200" i="12" s="1"/>
  <c r="BS201" i="12"/>
  <c r="BT201" i="12" s="1"/>
  <c r="BU201" i="12"/>
  <c r="BV201" i="12" s="1"/>
  <c r="BW201" i="12" s="1"/>
  <c r="BO201" i="12"/>
  <c r="BN202" i="12"/>
  <c r="BQ200" i="12"/>
  <c r="V26" i="13"/>
  <c r="BU200" i="18" l="1"/>
  <c r="BV200" i="18" s="1"/>
  <c r="BW200" i="18" s="1"/>
  <c r="BO200" i="18"/>
  <c r="BP200" i="18" s="1"/>
  <c r="BR200" i="18" s="1"/>
  <c r="BS200" i="18"/>
  <c r="BT200" i="18" s="1"/>
  <c r="BN201" i="18"/>
  <c r="BQ200" i="18"/>
  <c r="BR199" i="19"/>
  <c r="BN201" i="19"/>
  <c r="BS200" i="19"/>
  <c r="BT200" i="19" s="1"/>
  <c r="BO200" i="19"/>
  <c r="BP200" i="19" s="1"/>
  <c r="BU200" i="19"/>
  <c r="BV200" i="19" s="1"/>
  <c r="BW200" i="19" s="1"/>
  <c r="AC23" i="7"/>
  <c r="AC334" i="5"/>
  <c r="AR22" i="7"/>
  <c r="AF22" i="7"/>
  <c r="AF334" i="5" s="1"/>
  <c r="AY334" i="5" s="1"/>
  <c r="AS22" i="7"/>
  <c r="AD22" i="7"/>
  <c r="AD334" i="5" s="1"/>
  <c r="AW334" i="5" s="1"/>
  <c r="BP201" i="12"/>
  <c r="BR201" i="12" s="1"/>
  <c r="BS202" i="12"/>
  <c r="BT202" i="12" s="1"/>
  <c r="BO202" i="12"/>
  <c r="BU202" i="12"/>
  <c r="BV202" i="12" s="1"/>
  <c r="BW202" i="12" s="1"/>
  <c r="BN203" i="12"/>
  <c r="V27" i="13"/>
  <c r="BN202" i="18" l="1"/>
  <c r="BU201" i="18"/>
  <c r="BV201" i="18" s="1"/>
  <c r="BW201" i="18" s="1"/>
  <c r="BO201" i="18"/>
  <c r="BP201" i="18" s="1"/>
  <c r="BR201" i="18" s="1"/>
  <c r="BS201" i="18"/>
  <c r="BT201" i="18" s="1"/>
  <c r="BQ201" i="18"/>
  <c r="BR200" i="19"/>
  <c r="BQ200" i="19"/>
  <c r="BU201" i="19"/>
  <c r="BV201" i="19" s="1"/>
  <c r="BW201" i="19" s="1"/>
  <c r="BS201" i="19"/>
  <c r="BT201" i="19" s="1"/>
  <c r="BO201" i="19"/>
  <c r="BP201" i="19" s="1"/>
  <c r="BR201" i="19" s="1"/>
  <c r="BN202" i="19"/>
  <c r="AC24" i="7"/>
  <c r="AF23" i="7"/>
  <c r="AF335" i="5" s="1"/>
  <c r="AY335" i="5" s="1"/>
  <c r="AY337" i="5" s="1"/>
  <c r="AY339" i="5" s="1"/>
  <c r="AY341" i="5" s="1"/>
  <c r="AC335" i="5"/>
  <c r="AD23" i="7"/>
  <c r="AD335" i="5" s="1"/>
  <c r="AW335" i="5" s="1"/>
  <c r="AW337" i="5" s="1"/>
  <c r="AW339" i="5" s="1"/>
  <c r="AW341" i="5" s="1"/>
  <c r="BQ201" i="12"/>
  <c r="BP202" i="12"/>
  <c r="BQ202" i="12" s="1"/>
  <c r="BU203" i="12"/>
  <c r="BV203" i="12" s="1"/>
  <c r="BW203" i="12" s="1"/>
  <c r="BO203" i="12"/>
  <c r="BS203" i="12"/>
  <c r="BT203" i="12" s="1"/>
  <c r="BN204" i="12"/>
  <c r="V28" i="13"/>
  <c r="BU202" i="18" l="1"/>
  <c r="BV202" i="18" s="1"/>
  <c r="BW202" i="18" s="1"/>
  <c r="BO202" i="18"/>
  <c r="BP202" i="18" s="1"/>
  <c r="BR202" i="18" s="1"/>
  <c r="BS202" i="18"/>
  <c r="BT202" i="18" s="1"/>
  <c r="BN203" i="18"/>
  <c r="BQ202" i="18"/>
  <c r="BQ201" i="19"/>
  <c r="BN203" i="19"/>
  <c r="BO202" i="19"/>
  <c r="BP202" i="19" s="1"/>
  <c r="BR202" i="19" s="1"/>
  <c r="BS202" i="19"/>
  <c r="BT202" i="19" s="1"/>
  <c r="BU202" i="19"/>
  <c r="BV202" i="19" s="1"/>
  <c r="BW202" i="19" s="1"/>
  <c r="AC30" i="7"/>
  <c r="AF24" i="7"/>
  <c r="AF336" i="5" s="1"/>
  <c r="AY336" i="5" s="1"/>
  <c r="AY338" i="5" s="1"/>
  <c r="AY340" i="5" s="1"/>
  <c r="AC336" i="5"/>
  <c r="AD24" i="7"/>
  <c r="AD336" i="5" s="1"/>
  <c r="AW336" i="5" s="1"/>
  <c r="AW338" i="5" s="1"/>
  <c r="AW340" i="5" s="1"/>
  <c r="BR202" i="12"/>
  <c r="BP203" i="12"/>
  <c r="BU204" i="12"/>
  <c r="BV204" i="12" s="1"/>
  <c r="BW204" i="12" s="1"/>
  <c r="BS204" i="12"/>
  <c r="BT204" i="12" s="1"/>
  <c r="BO204" i="12"/>
  <c r="BN205" i="12"/>
  <c r="V29" i="13"/>
  <c r="BN204" i="18" l="1"/>
  <c r="BU203" i="18"/>
  <c r="BV203" i="18" s="1"/>
  <c r="BW203" i="18" s="1"/>
  <c r="BO203" i="18"/>
  <c r="BP203" i="18" s="1"/>
  <c r="BR203" i="18" s="1"/>
  <c r="BS203" i="18"/>
  <c r="BT203" i="18" s="1"/>
  <c r="BQ203" i="18"/>
  <c r="BQ202" i="19"/>
  <c r="BS203" i="19"/>
  <c r="BT203" i="19" s="1"/>
  <c r="BN204" i="19"/>
  <c r="BU203" i="19"/>
  <c r="BV203" i="19" s="1"/>
  <c r="BW203" i="19" s="1"/>
  <c r="BO203" i="19"/>
  <c r="BP203" i="19" s="1"/>
  <c r="BR203" i="19" s="1"/>
  <c r="AC342" i="5"/>
  <c r="AF30" i="7"/>
  <c r="AF342" i="5" s="1"/>
  <c r="AY342" i="5" s="1"/>
  <c r="AS30" i="7"/>
  <c r="AD30" i="7"/>
  <c r="AD342" i="5" s="1"/>
  <c r="AW342" i="5" s="1"/>
  <c r="AR30" i="7"/>
  <c r="AC31" i="7"/>
  <c r="BR203" i="12"/>
  <c r="BQ203" i="12"/>
  <c r="BP204" i="12"/>
  <c r="BQ204" i="12" s="1"/>
  <c r="BS205" i="12"/>
  <c r="BT205" i="12" s="1"/>
  <c r="BO205" i="12"/>
  <c r="BP205" i="12" s="1"/>
  <c r="BU205" i="12"/>
  <c r="BV205" i="12" s="1"/>
  <c r="BW205" i="12" s="1"/>
  <c r="BN206" i="12"/>
  <c r="V30" i="13"/>
  <c r="BU204" i="18" l="1"/>
  <c r="BV204" i="18" s="1"/>
  <c r="BW204" i="18" s="1"/>
  <c r="BO204" i="18"/>
  <c r="BP204" i="18" s="1"/>
  <c r="BR204" i="18" s="1"/>
  <c r="BS204" i="18"/>
  <c r="BT204" i="18" s="1"/>
  <c r="BN205" i="18"/>
  <c r="BQ204" i="18"/>
  <c r="BQ203" i="19"/>
  <c r="BN205" i="19"/>
  <c r="BS204" i="19"/>
  <c r="BT204" i="19" s="1"/>
  <c r="BU204" i="19"/>
  <c r="BV204" i="19" s="1"/>
  <c r="BW204" i="19" s="1"/>
  <c r="BO204" i="19"/>
  <c r="BP204" i="19" s="1"/>
  <c r="BR204" i="19" s="1"/>
  <c r="AD31" i="7"/>
  <c r="AD343" i="5" s="1"/>
  <c r="AW343" i="5" s="1"/>
  <c r="AC343" i="5"/>
  <c r="AR31" i="7"/>
  <c r="AC32" i="7"/>
  <c r="AS31" i="7"/>
  <c r="AF31" i="7"/>
  <c r="AF343" i="5" s="1"/>
  <c r="AY343" i="5" s="1"/>
  <c r="BR204" i="12"/>
  <c r="BR205" i="12" s="1"/>
  <c r="BS206" i="12"/>
  <c r="BT206" i="12" s="1"/>
  <c r="BO206" i="12"/>
  <c r="BP206" i="12" s="1"/>
  <c r="BU206" i="12"/>
  <c r="BV206" i="12" s="1"/>
  <c r="BW206" i="12" s="1"/>
  <c r="BN207" i="12"/>
  <c r="BQ205" i="12"/>
  <c r="V31" i="13"/>
  <c r="BN206" i="18" l="1"/>
  <c r="BU205" i="18"/>
  <c r="BV205" i="18" s="1"/>
  <c r="BW205" i="18" s="1"/>
  <c r="BO205" i="18"/>
  <c r="BP205" i="18" s="1"/>
  <c r="BR205" i="18" s="1"/>
  <c r="BS205" i="18"/>
  <c r="BT205" i="18" s="1"/>
  <c r="BQ205" i="18"/>
  <c r="BQ204" i="19"/>
  <c r="BU205" i="19"/>
  <c r="BV205" i="19" s="1"/>
  <c r="BW205" i="19" s="1"/>
  <c r="BO205" i="19"/>
  <c r="BP205" i="19" s="1"/>
  <c r="BR205" i="19" s="1"/>
  <c r="BS205" i="19"/>
  <c r="BT205" i="19" s="1"/>
  <c r="BN206" i="19"/>
  <c r="AC344" i="5"/>
  <c r="AF32" i="7"/>
  <c r="AF344" i="5" s="1"/>
  <c r="AY344" i="5" s="1"/>
  <c r="AS32" i="7"/>
  <c r="AD32" i="7"/>
  <c r="AD344" i="5" s="1"/>
  <c r="AW344" i="5" s="1"/>
  <c r="AR32" i="7"/>
  <c r="AC33" i="7"/>
  <c r="BR206" i="12"/>
  <c r="BQ206" i="12"/>
  <c r="BU207" i="12"/>
  <c r="BV207" i="12" s="1"/>
  <c r="BW207" i="12" s="1"/>
  <c r="BO207" i="12"/>
  <c r="BS207" i="12"/>
  <c r="BT207" i="12" s="1"/>
  <c r="BN208" i="12"/>
  <c r="V32" i="13"/>
  <c r="BU206" i="18" l="1"/>
  <c r="BV206" i="18" s="1"/>
  <c r="BW206" i="18" s="1"/>
  <c r="BO206" i="18"/>
  <c r="BP206" i="18" s="1"/>
  <c r="BR206" i="18" s="1"/>
  <c r="BS206" i="18"/>
  <c r="BT206" i="18" s="1"/>
  <c r="BN207" i="18"/>
  <c r="BQ206" i="18"/>
  <c r="BQ205" i="19"/>
  <c r="BS206" i="19"/>
  <c r="BT206" i="19" s="1"/>
  <c r="BU206" i="19"/>
  <c r="BV206" i="19" s="1"/>
  <c r="BW206" i="19" s="1"/>
  <c r="BO206" i="19"/>
  <c r="BP206" i="19" s="1"/>
  <c r="BR206" i="19" s="1"/>
  <c r="BN207" i="19"/>
  <c r="AC345" i="5"/>
  <c r="AF33" i="7"/>
  <c r="AF345" i="5" s="1"/>
  <c r="AY345" i="5" s="1"/>
  <c r="AR33" i="7"/>
  <c r="AD33" i="7"/>
  <c r="AD345" i="5" s="1"/>
  <c r="AW345" i="5" s="1"/>
  <c r="AS33" i="7"/>
  <c r="AC34" i="7"/>
  <c r="BP207" i="12"/>
  <c r="BQ207" i="12" s="1"/>
  <c r="BU208" i="12"/>
  <c r="BV208" i="12" s="1"/>
  <c r="BW208" i="12" s="1"/>
  <c r="BO208" i="12"/>
  <c r="BP208" i="12" s="1"/>
  <c r="BS208" i="12"/>
  <c r="BT208" i="12" s="1"/>
  <c r="BN209" i="12"/>
  <c r="V33" i="13"/>
  <c r="BN208" i="18" l="1"/>
  <c r="BU207" i="18"/>
  <c r="BV207" i="18" s="1"/>
  <c r="BW207" i="18" s="1"/>
  <c r="BO207" i="18"/>
  <c r="BP207" i="18" s="1"/>
  <c r="BR207" i="18" s="1"/>
  <c r="BS207" i="18"/>
  <c r="BT207" i="18" s="1"/>
  <c r="BQ207" i="18"/>
  <c r="BS207" i="19"/>
  <c r="BT207" i="19" s="1"/>
  <c r="BO207" i="19"/>
  <c r="BP207" i="19" s="1"/>
  <c r="BR207" i="19" s="1"/>
  <c r="BU207" i="19"/>
  <c r="BV207" i="19" s="1"/>
  <c r="BW207" i="19" s="1"/>
  <c r="BN208" i="19"/>
  <c r="BQ206" i="19"/>
  <c r="AS34" i="7"/>
  <c r="AC346" i="5"/>
  <c r="AR34" i="7"/>
  <c r="AD34" i="7"/>
  <c r="AD346" i="5" s="1"/>
  <c r="AW346" i="5" s="1"/>
  <c r="AC35" i="7"/>
  <c r="AF34" i="7"/>
  <c r="AF346" i="5" s="1"/>
  <c r="AY346" i="5" s="1"/>
  <c r="BR207" i="12"/>
  <c r="BR208" i="12" s="1"/>
  <c r="BS209" i="12"/>
  <c r="BT209" i="12" s="1"/>
  <c r="BU209" i="12"/>
  <c r="BV209" i="12" s="1"/>
  <c r="BW209" i="12" s="1"/>
  <c r="BO209" i="12"/>
  <c r="BN210" i="12"/>
  <c r="BQ208" i="12"/>
  <c r="V34" i="13"/>
  <c r="BU208" i="18" l="1"/>
  <c r="BV208" i="18" s="1"/>
  <c r="BW208" i="18" s="1"/>
  <c r="BO208" i="18"/>
  <c r="BP208" i="18" s="1"/>
  <c r="BR208" i="18" s="1"/>
  <c r="BS208" i="18"/>
  <c r="BT208" i="18" s="1"/>
  <c r="BN209" i="18"/>
  <c r="BQ208" i="18"/>
  <c r="BQ207" i="19"/>
  <c r="BS208" i="19"/>
  <c r="BT208" i="19" s="1"/>
  <c r="BO208" i="19"/>
  <c r="BP208" i="19" s="1"/>
  <c r="BR208" i="19" s="1"/>
  <c r="BU208" i="19"/>
  <c r="BV208" i="19" s="1"/>
  <c r="BW208" i="19" s="1"/>
  <c r="BN209" i="19"/>
  <c r="AD35" i="7"/>
  <c r="AD347" i="5" s="1"/>
  <c r="AW347" i="5" s="1"/>
  <c r="AW349" i="5" s="1"/>
  <c r="AW351" i="5" s="1"/>
  <c r="AW353" i="5" s="1"/>
  <c r="AC36" i="7"/>
  <c r="AC347" i="5"/>
  <c r="AF35" i="7"/>
  <c r="AF347" i="5" s="1"/>
  <c r="AY347" i="5" s="1"/>
  <c r="AY349" i="5" s="1"/>
  <c r="AY351" i="5" s="1"/>
  <c r="AY353" i="5" s="1"/>
  <c r="BP209" i="12"/>
  <c r="BR209" i="12" s="1"/>
  <c r="BS210" i="12"/>
  <c r="BT210" i="12" s="1"/>
  <c r="BO210" i="12"/>
  <c r="BU210" i="12"/>
  <c r="BV210" i="12" s="1"/>
  <c r="BW210" i="12" s="1"/>
  <c r="BN211" i="12"/>
  <c r="V35" i="13"/>
  <c r="BN210" i="18" l="1"/>
  <c r="BU209" i="18"/>
  <c r="BV209" i="18" s="1"/>
  <c r="BW209" i="18" s="1"/>
  <c r="BO209" i="18"/>
  <c r="BP209" i="18" s="1"/>
  <c r="BR209" i="18" s="1"/>
  <c r="BS209" i="18"/>
  <c r="BT209" i="18" s="1"/>
  <c r="BQ209" i="18"/>
  <c r="BQ208" i="19"/>
  <c r="BN210" i="19"/>
  <c r="BS209" i="19"/>
  <c r="BT209" i="19" s="1"/>
  <c r="BU209" i="19"/>
  <c r="BV209" i="19" s="1"/>
  <c r="BW209" i="19" s="1"/>
  <c r="BO209" i="19"/>
  <c r="BP209" i="19" s="1"/>
  <c r="BR209" i="19" s="1"/>
  <c r="AF36" i="7"/>
  <c r="AF348" i="5" s="1"/>
  <c r="AY348" i="5" s="1"/>
  <c r="AY350" i="5" s="1"/>
  <c r="AY352" i="5" s="1"/>
  <c r="AD36" i="7"/>
  <c r="AD348" i="5" s="1"/>
  <c r="AW348" i="5" s="1"/>
  <c r="AW350" i="5" s="1"/>
  <c r="AW352" i="5" s="1"/>
  <c r="AC348" i="5"/>
  <c r="AC42" i="7"/>
  <c r="BQ209" i="12"/>
  <c r="BP210" i="12"/>
  <c r="BR210" i="12" s="1"/>
  <c r="BS211" i="12"/>
  <c r="BT211" i="12" s="1"/>
  <c r="BO211" i="12"/>
  <c r="BU211" i="12"/>
  <c r="BV211" i="12" s="1"/>
  <c r="BW211" i="12" s="1"/>
  <c r="BN212" i="12"/>
  <c r="V36" i="13"/>
  <c r="BU210" i="18" l="1"/>
  <c r="BV210" i="18" s="1"/>
  <c r="BW210" i="18" s="1"/>
  <c r="BS210" i="18"/>
  <c r="BT210" i="18" s="1"/>
  <c r="BO210" i="18"/>
  <c r="BP210" i="18" s="1"/>
  <c r="BR210" i="18" s="1"/>
  <c r="BN211" i="18"/>
  <c r="BQ210" i="18"/>
  <c r="BQ209" i="19"/>
  <c r="BN211" i="19"/>
  <c r="BO210" i="19"/>
  <c r="BP210" i="19" s="1"/>
  <c r="BR210" i="19" s="1"/>
  <c r="BS210" i="19"/>
  <c r="BT210" i="19" s="1"/>
  <c r="BU210" i="19"/>
  <c r="BV210" i="19" s="1"/>
  <c r="BW210" i="19" s="1"/>
  <c r="AC354" i="5"/>
  <c r="AR42" i="7"/>
  <c r="AF42" i="7"/>
  <c r="AF354" i="5" s="1"/>
  <c r="AY354" i="5" s="1"/>
  <c r="AD42" i="7"/>
  <c r="AD354" i="5" s="1"/>
  <c r="AW354" i="5" s="1"/>
  <c r="AS42" i="7"/>
  <c r="AC43" i="7"/>
  <c r="BQ210" i="12"/>
  <c r="BP211" i="12"/>
  <c r="BR211" i="12" s="1"/>
  <c r="BO212" i="12"/>
  <c r="BP212" i="12" s="1"/>
  <c r="BU212" i="12"/>
  <c r="BV212" i="12" s="1"/>
  <c r="BW212" i="12" s="1"/>
  <c r="BS212" i="12"/>
  <c r="BT212" i="12" s="1"/>
  <c r="BN213" i="12"/>
  <c r="V37" i="13"/>
  <c r="BN212" i="18" l="1"/>
  <c r="BU211" i="18"/>
  <c r="BV211" i="18" s="1"/>
  <c r="BW211" i="18" s="1"/>
  <c r="BO211" i="18"/>
  <c r="BP211" i="18" s="1"/>
  <c r="BR211" i="18" s="1"/>
  <c r="BS211" i="18"/>
  <c r="BT211" i="18" s="1"/>
  <c r="BQ211" i="18"/>
  <c r="BQ210" i="19"/>
  <c r="BU211" i="19"/>
  <c r="BV211" i="19" s="1"/>
  <c r="BW211" i="19" s="1"/>
  <c r="BS211" i="19"/>
  <c r="BT211" i="19" s="1"/>
  <c r="BN212" i="19"/>
  <c r="BO211" i="19"/>
  <c r="BP211" i="19" s="1"/>
  <c r="BR211" i="19" s="1"/>
  <c r="AF43" i="7"/>
  <c r="AF355" i="5" s="1"/>
  <c r="AY355" i="5" s="1"/>
  <c r="AS43" i="7"/>
  <c r="AD43" i="7"/>
  <c r="AD355" i="5" s="1"/>
  <c r="AW355" i="5" s="1"/>
  <c r="AR43" i="7"/>
  <c r="AC44" i="7"/>
  <c r="AC355" i="5"/>
  <c r="BQ212" i="12"/>
  <c r="BR212" i="12"/>
  <c r="BQ211" i="12"/>
  <c r="BU213" i="12"/>
  <c r="BV213" i="12" s="1"/>
  <c r="BW213" i="12" s="1"/>
  <c r="BO213" i="12"/>
  <c r="BS213" i="12"/>
  <c r="BT213" i="12" s="1"/>
  <c r="BN214" i="12"/>
  <c r="V38" i="13"/>
  <c r="BU212" i="18" l="1"/>
  <c r="BV212" i="18" s="1"/>
  <c r="BW212" i="18" s="1"/>
  <c r="BO212" i="18"/>
  <c r="BP212" i="18" s="1"/>
  <c r="BR212" i="18" s="1"/>
  <c r="BS212" i="18"/>
  <c r="BT212" i="18" s="1"/>
  <c r="BN213" i="18"/>
  <c r="BQ212" i="18"/>
  <c r="BQ211" i="19"/>
  <c r="BU212" i="19"/>
  <c r="BV212" i="19" s="1"/>
  <c r="BW212" i="19" s="1"/>
  <c r="BS212" i="19"/>
  <c r="BT212" i="19" s="1"/>
  <c r="BN213" i="19"/>
  <c r="BO212" i="19"/>
  <c r="BP212" i="19" s="1"/>
  <c r="BR212" i="19" s="1"/>
  <c r="AF44" i="7"/>
  <c r="AF356" i="5" s="1"/>
  <c r="AY356" i="5" s="1"/>
  <c r="AD44" i="7"/>
  <c r="AD356" i="5" s="1"/>
  <c r="AW356" i="5" s="1"/>
  <c r="AR44" i="7"/>
  <c r="AC45" i="7"/>
  <c r="AS44" i="7"/>
  <c r="AC356" i="5"/>
  <c r="BP213" i="12"/>
  <c r="BR213" i="12" s="1"/>
  <c r="BU214" i="12"/>
  <c r="BV214" i="12" s="1"/>
  <c r="BW214" i="12" s="1"/>
  <c r="BS214" i="12"/>
  <c r="BT214" i="12" s="1"/>
  <c r="BO214" i="12"/>
  <c r="BN215" i="12"/>
  <c r="V39" i="13"/>
  <c r="BN214" i="18" l="1"/>
  <c r="BU213" i="18"/>
  <c r="BV213" i="18" s="1"/>
  <c r="BW213" i="18" s="1"/>
  <c r="BO213" i="18"/>
  <c r="BP213" i="18" s="1"/>
  <c r="BR213" i="18" s="1"/>
  <c r="BS213" i="18"/>
  <c r="BT213" i="18" s="1"/>
  <c r="BQ213" i="18"/>
  <c r="BN214" i="19"/>
  <c r="BO213" i="19"/>
  <c r="BP213" i="19" s="1"/>
  <c r="BR213" i="19" s="1"/>
  <c r="BS213" i="19"/>
  <c r="BT213" i="19" s="1"/>
  <c r="BU213" i="19"/>
  <c r="BV213" i="19" s="1"/>
  <c r="BW213" i="19" s="1"/>
  <c r="BQ212" i="19"/>
  <c r="AC46" i="7"/>
  <c r="AS45" i="7"/>
  <c r="AR45" i="7"/>
  <c r="AC357" i="5"/>
  <c r="AD45" i="7"/>
  <c r="AD357" i="5" s="1"/>
  <c r="AW357" i="5" s="1"/>
  <c r="AF45" i="7"/>
  <c r="AF357" i="5" s="1"/>
  <c r="AY357" i="5" s="1"/>
  <c r="BQ213" i="12"/>
  <c r="BP214" i="12"/>
  <c r="BR214" i="12" s="1"/>
  <c r="BS215" i="12"/>
  <c r="BT215" i="12" s="1"/>
  <c r="BO215" i="12"/>
  <c r="BU215" i="12"/>
  <c r="BV215" i="12" s="1"/>
  <c r="BW215" i="12" s="1"/>
  <c r="BN216" i="12"/>
  <c r="V40" i="13"/>
  <c r="BU214" i="18" l="1"/>
  <c r="BV214" i="18" s="1"/>
  <c r="BW214" i="18" s="1"/>
  <c r="BO214" i="18"/>
  <c r="BP214" i="18" s="1"/>
  <c r="BR214" i="18" s="1"/>
  <c r="BS214" i="18"/>
  <c r="BT214" i="18" s="1"/>
  <c r="BN215" i="18"/>
  <c r="BQ214" i="18"/>
  <c r="BO214" i="19"/>
  <c r="BP214" i="19" s="1"/>
  <c r="BR214" i="19" s="1"/>
  <c r="BS214" i="19"/>
  <c r="BT214" i="19" s="1"/>
  <c r="BU214" i="19"/>
  <c r="BV214" i="19" s="1"/>
  <c r="BW214" i="19" s="1"/>
  <c r="BN215" i="19"/>
  <c r="BQ213" i="19"/>
  <c r="AR46" i="7"/>
  <c r="AC47" i="7"/>
  <c r="AS46" i="7"/>
  <c r="AF46" i="7"/>
  <c r="AF358" i="5" s="1"/>
  <c r="AY358" i="5" s="1"/>
  <c r="AD46" i="7"/>
  <c r="AD358" i="5" s="1"/>
  <c r="AW358" i="5" s="1"/>
  <c r="AC358" i="5"/>
  <c r="BQ214" i="12"/>
  <c r="BP215" i="12"/>
  <c r="BQ215" i="12" s="1"/>
  <c r="BS216" i="12"/>
  <c r="BT216" i="12" s="1"/>
  <c r="BO216" i="12"/>
  <c r="BU216" i="12"/>
  <c r="BV216" i="12" s="1"/>
  <c r="BW216" i="12" s="1"/>
  <c r="BN217" i="12"/>
  <c r="V41" i="13"/>
  <c r="BU215" i="18" l="1"/>
  <c r="BV215" i="18" s="1"/>
  <c r="BW215" i="18" s="1"/>
  <c r="BO215" i="18"/>
  <c r="BP215" i="18" s="1"/>
  <c r="BR215" i="18" s="1"/>
  <c r="BS215" i="18"/>
  <c r="BT215" i="18" s="1"/>
  <c r="BN216" i="18"/>
  <c r="BQ215" i="18"/>
  <c r="BQ214" i="19"/>
  <c r="BO215" i="19"/>
  <c r="BP215" i="19" s="1"/>
  <c r="BR215" i="19" s="1"/>
  <c r="BS215" i="19"/>
  <c r="BT215" i="19" s="1"/>
  <c r="BU215" i="19"/>
  <c r="BV215" i="19" s="1"/>
  <c r="BW215" i="19" s="1"/>
  <c r="BN216" i="19"/>
  <c r="AD47" i="7"/>
  <c r="AD359" i="5" s="1"/>
  <c r="AW359" i="5" s="1"/>
  <c r="AW361" i="5" s="1"/>
  <c r="AW363" i="5" s="1"/>
  <c r="AW365" i="5" s="1"/>
  <c r="AC48" i="7"/>
  <c r="AC359" i="5"/>
  <c r="AF47" i="7"/>
  <c r="AF359" i="5" s="1"/>
  <c r="AY359" i="5" s="1"/>
  <c r="AY361" i="5" s="1"/>
  <c r="AY363" i="5" s="1"/>
  <c r="AY365" i="5" s="1"/>
  <c r="BR215" i="12"/>
  <c r="BP216" i="12"/>
  <c r="BS217" i="12"/>
  <c r="BT217" i="12" s="1"/>
  <c r="BU217" i="12"/>
  <c r="BV217" i="12" s="1"/>
  <c r="BW217" i="12" s="1"/>
  <c r="BO217" i="12"/>
  <c r="BP217" i="12" s="1"/>
  <c r="BN218" i="12"/>
  <c r="V42" i="13"/>
  <c r="BU216" i="18" l="1"/>
  <c r="BV216" i="18" s="1"/>
  <c r="BW216" i="18" s="1"/>
  <c r="BO216" i="18"/>
  <c r="BP216" i="18" s="1"/>
  <c r="BR216" i="18" s="1"/>
  <c r="BS216" i="18"/>
  <c r="BT216" i="18" s="1"/>
  <c r="BN217" i="18"/>
  <c r="BQ216" i="18"/>
  <c r="BQ215" i="19"/>
  <c r="BS216" i="19"/>
  <c r="BT216" i="19" s="1"/>
  <c r="BO216" i="19"/>
  <c r="BP216" i="19" s="1"/>
  <c r="BR216" i="19" s="1"/>
  <c r="BU216" i="19"/>
  <c r="BV216" i="19" s="1"/>
  <c r="BW216" i="19" s="1"/>
  <c r="BN217" i="19"/>
  <c r="AD48" i="7"/>
  <c r="AD360" i="5" s="1"/>
  <c r="AW360" i="5" s="1"/>
  <c r="AW362" i="5" s="1"/>
  <c r="AW364" i="5" s="1"/>
  <c r="AC54" i="7"/>
  <c r="AC360" i="5"/>
  <c r="AF48" i="7"/>
  <c r="AF360" i="5" s="1"/>
  <c r="AY360" i="5" s="1"/>
  <c r="AY362" i="5" s="1"/>
  <c r="AY364" i="5" s="1"/>
  <c r="BR216" i="12"/>
  <c r="BQ216" i="12"/>
  <c r="BO218" i="12"/>
  <c r="BS218" i="12"/>
  <c r="BT218" i="12" s="1"/>
  <c r="BU218" i="12"/>
  <c r="BV218" i="12" s="1"/>
  <c r="BW218" i="12" s="1"/>
  <c r="BN219" i="12"/>
  <c r="BQ217" i="12"/>
  <c r="V43" i="13"/>
  <c r="BN218" i="18" l="1"/>
  <c r="BU217" i="18"/>
  <c r="BV217" i="18" s="1"/>
  <c r="BW217" i="18" s="1"/>
  <c r="BO217" i="18"/>
  <c r="BP217" i="18" s="1"/>
  <c r="BR217" i="18" s="1"/>
  <c r="BS217" i="18"/>
  <c r="BT217" i="18" s="1"/>
  <c r="BQ217" i="18"/>
  <c r="BQ216" i="19"/>
  <c r="BO217" i="19"/>
  <c r="BP217" i="19" s="1"/>
  <c r="BR217" i="19" s="1"/>
  <c r="BN218" i="19"/>
  <c r="BS217" i="19"/>
  <c r="BT217" i="19" s="1"/>
  <c r="BU217" i="19"/>
  <c r="BV217" i="19" s="1"/>
  <c r="BW217" i="19" s="1"/>
  <c r="AC55" i="7"/>
  <c r="AC366" i="5"/>
  <c r="AS54" i="7"/>
  <c r="AF54" i="7"/>
  <c r="AF366" i="5" s="1"/>
  <c r="AY366" i="5" s="1"/>
  <c r="AR54" i="7"/>
  <c r="AD54" i="7"/>
  <c r="AD366" i="5" s="1"/>
  <c r="AW366" i="5" s="1"/>
  <c r="BP218" i="12"/>
  <c r="BQ218" i="12" s="1"/>
  <c r="BU219" i="12"/>
  <c r="BV219" i="12" s="1"/>
  <c r="BW219" i="12" s="1"/>
  <c r="BO219" i="12"/>
  <c r="BS219" i="12"/>
  <c r="BT219" i="12" s="1"/>
  <c r="BN220" i="12"/>
  <c r="BR217" i="12"/>
  <c r="V44" i="13"/>
  <c r="BU218" i="18" l="1"/>
  <c r="BV218" i="18" s="1"/>
  <c r="BW218" i="18" s="1"/>
  <c r="BO218" i="18"/>
  <c r="BP218" i="18" s="1"/>
  <c r="BR218" i="18" s="1"/>
  <c r="BN219" i="18"/>
  <c r="BS218" i="18"/>
  <c r="BT218" i="18" s="1"/>
  <c r="BQ218" i="18"/>
  <c r="BQ217" i="19"/>
  <c r="BO218" i="19"/>
  <c r="BP218" i="19" s="1"/>
  <c r="BR218" i="19" s="1"/>
  <c r="BS218" i="19"/>
  <c r="BT218" i="19" s="1"/>
  <c r="BN219" i="19"/>
  <c r="BU218" i="19"/>
  <c r="BV218" i="19" s="1"/>
  <c r="BW218" i="19" s="1"/>
  <c r="AD55" i="7"/>
  <c r="AD367" i="5" s="1"/>
  <c r="AW367" i="5" s="1"/>
  <c r="AR55" i="7"/>
  <c r="AS55" i="7"/>
  <c r="AC367" i="5"/>
  <c r="AF55" i="7"/>
  <c r="AF367" i="5" s="1"/>
  <c r="AY367" i="5" s="1"/>
  <c r="AC56" i="7"/>
  <c r="BR218" i="12"/>
  <c r="BP219" i="12"/>
  <c r="BQ219" i="12" s="1"/>
  <c r="BU220" i="12"/>
  <c r="BV220" i="12" s="1"/>
  <c r="BW220" i="12" s="1"/>
  <c r="BO220" i="12"/>
  <c r="BS220" i="12"/>
  <c r="BT220" i="12" s="1"/>
  <c r="BN221" i="12"/>
  <c r="V45" i="13"/>
  <c r="BN220" i="18" l="1"/>
  <c r="BU219" i="18"/>
  <c r="BV219" i="18" s="1"/>
  <c r="BW219" i="18" s="1"/>
  <c r="BO219" i="18"/>
  <c r="BP219" i="18" s="1"/>
  <c r="BR219" i="18" s="1"/>
  <c r="BS219" i="18"/>
  <c r="BT219" i="18" s="1"/>
  <c r="BQ219" i="18"/>
  <c r="BQ218" i="19"/>
  <c r="BS219" i="19"/>
  <c r="BT219" i="19" s="1"/>
  <c r="BO219" i="19"/>
  <c r="BP219" i="19" s="1"/>
  <c r="BR219" i="19" s="1"/>
  <c r="BU219" i="19"/>
  <c r="BV219" i="19" s="1"/>
  <c r="BW219" i="19" s="1"/>
  <c r="BN220" i="19"/>
  <c r="AD56" i="7"/>
  <c r="AD368" i="5" s="1"/>
  <c r="AW368" i="5" s="1"/>
  <c r="AC57" i="7"/>
  <c r="AS56" i="7"/>
  <c r="AC368" i="5"/>
  <c r="AR56" i="7"/>
  <c r="AF56" i="7"/>
  <c r="AF368" i="5" s="1"/>
  <c r="AY368" i="5" s="1"/>
  <c r="BR219" i="12"/>
  <c r="BP220" i="12"/>
  <c r="BQ220" i="12" s="1"/>
  <c r="BU221" i="12"/>
  <c r="BV221" i="12" s="1"/>
  <c r="BW221" i="12" s="1"/>
  <c r="BO221" i="12"/>
  <c r="BP221" i="12" s="1"/>
  <c r="BS221" i="12"/>
  <c r="BT221" i="12" s="1"/>
  <c r="BN222" i="12"/>
  <c r="V46" i="13"/>
  <c r="BU220" i="18" l="1"/>
  <c r="BV220" i="18" s="1"/>
  <c r="BW220" i="18" s="1"/>
  <c r="BO220" i="18"/>
  <c r="BP220" i="18" s="1"/>
  <c r="BR220" i="18" s="1"/>
  <c r="BS220" i="18"/>
  <c r="BT220" i="18" s="1"/>
  <c r="BN221" i="18"/>
  <c r="BQ220" i="18"/>
  <c r="BQ219" i="19"/>
  <c r="BU220" i="19"/>
  <c r="BV220" i="19" s="1"/>
  <c r="BW220" i="19" s="1"/>
  <c r="BS220" i="19"/>
  <c r="BT220" i="19" s="1"/>
  <c r="BN221" i="19"/>
  <c r="BO220" i="19"/>
  <c r="BP220" i="19" s="1"/>
  <c r="BR220" i="19" s="1"/>
  <c r="AC369" i="5"/>
  <c r="AF57" i="7"/>
  <c r="AF369" i="5" s="1"/>
  <c r="AY369" i="5" s="1"/>
  <c r="AR57" i="7"/>
  <c r="AD57" i="7"/>
  <c r="AD369" i="5" s="1"/>
  <c r="AW369" i="5" s="1"/>
  <c r="AS57" i="7"/>
  <c r="AC58" i="7"/>
  <c r="BR220" i="12"/>
  <c r="BR221" i="12" s="1"/>
  <c r="BU222" i="12"/>
  <c r="BV222" i="12" s="1"/>
  <c r="BW222" i="12" s="1"/>
  <c r="BS222" i="12"/>
  <c r="BT222" i="12" s="1"/>
  <c r="BO222" i="12"/>
  <c r="BN223" i="12"/>
  <c r="V47" i="13"/>
  <c r="BN222" i="18" l="1"/>
  <c r="BU221" i="18"/>
  <c r="BV221" i="18" s="1"/>
  <c r="BW221" i="18" s="1"/>
  <c r="BO221" i="18"/>
  <c r="BP221" i="18" s="1"/>
  <c r="BR221" i="18" s="1"/>
  <c r="BS221" i="18"/>
  <c r="BT221" i="18" s="1"/>
  <c r="BQ221" i="18"/>
  <c r="BU221" i="19"/>
  <c r="BV221" i="19" s="1"/>
  <c r="BW221" i="19" s="1"/>
  <c r="BS221" i="19"/>
  <c r="BT221" i="19" s="1"/>
  <c r="BN222" i="19"/>
  <c r="BO221" i="19"/>
  <c r="BP221" i="19" s="1"/>
  <c r="BR221" i="19" s="1"/>
  <c r="BQ220" i="19"/>
  <c r="AS58" i="7"/>
  <c r="AF58" i="7"/>
  <c r="AF370" i="5" s="1"/>
  <c r="AY370" i="5" s="1"/>
  <c r="AR58" i="7"/>
  <c r="AC59" i="7"/>
  <c r="AD58" i="7"/>
  <c r="AD370" i="5" s="1"/>
  <c r="AW370" i="5" s="1"/>
  <c r="AC370" i="5"/>
  <c r="BP222" i="12"/>
  <c r="BQ222" i="12" s="1"/>
  <c r="BS223" i="12"/>
  <c r="BT223" i="12" s="1"/>
  <c r="BU223" i="12"/>
  <c r="BV223" i="12" s="1"/>
  <c r="BW223" i="12" s="1"/>
  <c r="BO223" i="12"/>
  <c r="BN224" i="12"/>
  <c r="BQ221" i="12"/>
  <c r="V48" i="13"/>
  <c r="BU222" i="18" l="1"/>
  <c r="BV222" i="18" s="1"/>
  <c r="BW222" i="18" s="1"/>
  <c r="BO222" i="18"/>
  <c r="BP222" i="18" s="1"/>
  <c r="BR222" i="18" s="1"/>
  <c r="BS222" i="18"/>
  <c r="BT222" i="18" s="1"/>
  <c r="BN223" i="18"/>
  <c r="BQ222" i="18"/>
  <c r="BN223" i="19"/>
  <c r="BO222" i="19"/>
  <c r="BP222" i="19" s="1"/>
  <c r="BR222" i="19" s="1"/>
  <c r="BS222" i="19"/>
  <c r="BT222" i="19" s="1"/>
  <c r="BU222" i="19"/>
  <c r="BV222" i="19" s="1"/>
  <c r="BW222" i="19" s="1"/>
  <c r="BQ221" i="19"/>
  <c r="AD59" i="7"/>
  <c r="AD371" i="5" s="1"/>
  <c r="AW371" i="5" s="1"/>
  <c r="AW373" i="5" s="1"/>
  <c r="AW375" i="5" s="1"/>
  <c r="AW377" i="5" s="1"/>
  <c r="AC60" i="7"/>
  <c r="AC371" i="5"/>
  <c r="AF59" i="7"/>
  <c r="AF371" i="5" s="1"/>
  <c r="AY371" i="5" s="1"/>
  <c r="AY373" i="5" s="1"/>
  <c r="AY375" i="5" s="1"/>
  <c r="AY377" i="5" s="1"/>
  <c r="BR222" i="12"/>
  <c r="BP223" i="12"/>
  <c r="BQ223" i="12" s="1"/>
  <c r="BS224" i="12"/>
  <c r="BT224" i="12" s="1"/>
  <c r="BO224" i="12"/>
  <c r="BP224" i="12" s="1"/>
  <c r="BU224" i="12"/>
  <c r="BV224" i="12" s="1"/>
  <c r="BW224" i="12" s="1"/>
  <c r="BN225" i="12"/>
  <c r="V49" i="13"/>
  <c r="BN224" i="18" l="1"/>
  <c r="BU223" i="18"/>
  <c r="BV223" i="18" s="1"/>
  <c r="BW223" i="18" s="1"/>
  <c r="BS223" i="18"/>
  <c r="BT223" i="18" s="1"/>
  <c r="BO223" i="18"/>
  <c r="BP223" i="18" s="1"/>
  <c r="BR223" i="18" s="1"/>
  <c r="BQ223" i="18"/>
  <c r="BQ222" i="19"/>
  <c r="BN224" i="19"/>
  <c r="BS223" i="19"/>
  <c r="BT223" i="19" s="1"/>
  <c r="BO223" i="19"/>
  <c r="BP223" i="19" s="1"/>
  <c r="BR223" i="19" s="1"/>
  <c r="BU223" i="19"/>
  <c r="BV223" i="19" s="1"/>
  <c r="BW223" i="19" s="1"/>
  <c r="AD60" i="7"/>
  <c r="AD372" i="5" s="1"/>
  <c r="AW372" i="5" s="1"/>
  <c r="AW374" i="5" s="1"/>
  <c r="AW376" i="5" s="1"/>
  <c r="AC66" i="7"/>
  <c r="AC372" i="5"/>
  <c r="AF60" i="7"/>
  <c r="AF372" i="5" s="1"/>
  <c r="AY372" i="5" s="1"/>
  <c r="AY374" i="5" s="1"/>
  <c r="AY376" i="5" s="1"/>
  <c r="BR223" i="12"/>
  <c r="BR224" i="12" s="1"/>
  <c r="BS225" i="12"/>
  <c r="BT225" i="12" s="1"/>
  <c r="BO225" i="12"/>
  <c r="BP225" i="12" s="1"/>
  <c r="BU225" i="12"/>
  <c r="BV225" i="12" s="1"/>
  <c r="BW225" i="12" s="1"/>
  <c r="BN226" i="12"/>
  <c r="BQ224" i="12"/>
  <c r="V50" i="13"/>
  <c r="BU224" i="18" l="1"/>
  <c r="BV224" i="18" s="1"/>
  <c r="BW224" i="18" s="1"/>
  <c r="BO224" i="18"/>
  <c r="BP224" i="18" s="1"/>
  <c r="BR224" i="18" s="1"/>
  <c r="BS224" i="18"/>
  <c r="BT224" i="18" s="1"/>
  <c r="BN225" i="18"/>
  <c r="BQ224" i="18"/>
  <c r="BQ223" i="19"/>
  <c r="BS224" i="19"/>
  <c r="BT224" i="19" s="1"/>
  <c r="BN225" i="19"/>
  <c r="BO224" i="19"/>
  <c r="BP224" i="19" s="1"/>
  <c r="BR224" i="19" s="1"/>
  <c r="BU224" i="19"/>
  <c r="BV224" i="19" s="1"/>
  <c r="BW224" i="19" s="1"/>
  <c r="AD66" i="7"/>
  <c r="AD378" i="5" s="1"/>
  <c r="AW378" i="5" s="1"/>
  <c r="AR66" i="7"/>
  <c r="AC67" i="7"/>
  <c r="AS66" i="7"/>
  <c r="AC378" i="5"/>
  <c r="AF66" i="7"/>
  <c r="AF378" i="5" s="1"/>
  <c r="AY378" i="5" s="1"/>
  <c r="BR225" i="12"/>
  <c r="BO226" i="12"/>
  <c r="BP226" i="12" s="1"/>
  <c r="BU226" i="12"/>
  <c r="BV226" i="12" s="1"/>
  <c r="BW226" i="12" s="1"/>
  <c r="BS226" i="12"/>
  <c r="BT226" i="12" s="1"/>
  <c r="BN227" i="12"/>
  <c r="Y21" i="13"/>
  <c r="BN226" i="18" l="1"/>
  <c r="BU225" i="18"/>
  <c r="BV225" i="18" s="1"/>
  <c r="BW225" i="18" s="1"/>
  <c r="BO225" i="18"/>
  <c r="BP225" i="18" s="1"/>
  <c r="BR225" i="18" s="1"/>
  <c r="BS225" i="18"/>
  <c r="BT225" i="18" s="1"/>
  <c r="BQ225" i="18"/>
  <c r="BQ224" i="19"/>
  <c r="BU225" i="19"/>
  <c r="BV225" i="19" s="1"/>
  <c r="BW225" i="19" s="1"/>
  <c r="BN226" i="19"/>
  <c r="BS225" i="19"/>
  <c r="BT225" i="19" s="1"/>
  <c r="BO225" i="19"/>
  <c r="BP225" i="19" s="1"/>
  <c r="BR225" i="19" s="1"/>
  <c r="AC379" i="5"/>
  <c r="AF67" i="7"/>
  <c r="AF379" i="5" s="1"/>
  <c r="AY379" i="5" s="1"/>
  <c r="AS67" i="7"/>
  <c r="AD67" i="7"/>
  <c r="AD379" i="5" s="1"/>
  <c r="AW379" i="5" s="1"/>
  <c r="AR67" i="7"/>
  <c r="AC68" i="7"/>
  <c r="BQ226" i="12"/>
  <c r="BR226" i="12"/>
  <c r="BS227" i="12"/>
  <c r="BT227" i="12" s="1"/>
  <c r="BU227" i="12"/>
  <c r="BV227" i="12" s="1"/>
  <c r="BW227" i="12" s="1"/>
  <c r="BO227" i="12"/>
  <c r="BN228" i="12"/>
  <c r="BQ225" i="12"/>
  <c r="Y22" i="13"/>
  <c r="BO226" i="18" l="1"/>
  <c r="BP226" i="18" s="1"/>
  <c r="BR226" i="18" s="1"/>
  <c r="BS226" i="18"/>
  <c r="BT226" i="18" s="1"/>
  <c r="BN227" i="18"/>
  <c r="BU226" i="18"/>
  <c r="BV226" i="18" s="1"/>
  <c r="BW226" i="18" s="1"/>
  <c r="BQ226" i="18"/>
  <c r="BQ225" i="19"/>
  <c r="BN227" i="19"/>
  <c r="BS226" i="19"/>
  <c r="BT226" i="19" s="1"/>
  <c r="BO226" i="19"/>
  <c r="BP226" i="19" s="1"/>
  <c r="BQ226" i="19" s="1"/>
  <c r="BU226" i="19"/>
  <c r="BV226" i="19" s="1"/>
  <c r="BW226" i="19" s="1"/>
  <c r="AF68" i="7"/>
  <c r="AF380" i="5" s="1"/>
  <c r="AY380" i="5" s="1"/>
  <c r="AD68" i="7"/>
  <c r="AD380" i="5" s="1"/>
  <c r="AW380" i="5" s="1"/>
  <c r="AR68" i="7"/>
  <c r="AC69" i="7"/>
  <c r="AS68" i="7"/>
  <c r="AC380" i="5"/>
  <c r="BP227" i="12"/>
  <c r="BQ227" i="12" s="1"/>
  <c r="BS228" i="12"/>
  <c r="BT228" i="12" s="1"/>
  <c r="BO228" i="12"/>
  <c r="BP228" i="12" s="1"/>
  <c r="BU228" i="12"/>
  <c r="BV228" i="12" s="1"/>
  <c r="BW228" i="12" s="1"/>
  <c r="BN229" i="12"/>
  <c r="Y23" i="13"/>
  <c r="BN228" i="18" l="1"/>
  <c r="BU227" i="18"/>
  <c r="BV227" i="18" s="1"/>
  <c r="BW227" i="18" s="1"/>
  <c r="BO227" i="18"/>
  <c r="BP227" i="18" s="1"/>
  <c r="BR227" i="18" s="1"/>
  <c r="BS227" i="18"/>
  <c r="BT227" i="18" s="1"/>
  <c r="BQ227" i="18"/>
  <c r="BU227" i="19"/>
  <c r="BV227" i="19" s="1"/>
  <c r="BW227" i="19" s="1"/>
  <c r="BS227" i="19"/>
  <c r="BT227" i="19" s="1"/>
  <c r="BO227" i="19"/>
  <c r="BP227" i="19" s="1"/>
  <c r="BN228" i="19"/>
  <c r="BR226" i="19"/>
  <c r="AC381" i="5"/>
  <c r="AS69" i="7"/>
  <c r="AF69" i="7"/>
  <c r="AF381" i="5" s="1"/>
  <c r="AY381" i="5" s="1"/>
  <c r="AR69" i="7"/>
  <c r="AD69" i="7"/>
  <c r="AD381" i="5" s="1"/>
  <c r="AW381" i="5" s="1"/>
  <c r="AC70" i="7"/>
  <c r="BR227" i="12"/>
  <c r="BR228" i="12" s="1"/>
  <c r="BQ228" i="12"/>
  <c r="BS229" i="12"/>
  <c r="BT229" i="12" s="1"/>
  <c r="BU229" i="12"/>
  <c r="BV229" i="12" s="1"/>
  <c r="BW229" i="12" s="1"/>
  <c r="BO229" i="12"/>
  <c r="BP229" i="12" s="1"/>
  <c r="BN230" i="12"/>
  <c r="Y24" i="13"/>
  <c r="BU228" i="18" l="1"/>
  <c r="BV228" i="18" s="1"/>
  <c r="BW228" i="18" s="1"/>
  <c r="BN229" i="18"/>
  <c r="BO228" i="18"/>
  <c r="BP228" i="18" s="1"/>
  <c r="BR228" i="18" s="1"/>
  <c r="BS228" i="18"/>
  <c r="BT228" i="18" s="1"/>
  <c r="BQ228" i="18"/>
  <c r="BS228" i="19"/>
  <c r="BT228" i="19" s="1"/>
  <c r="BN229" i="19"/>
  <c r="BO228" i="19"/>
  <c r="BP228" i="19" s="1"/>
  <c r="BU228" i="19"/>
  <c r="BV228" i="19" s="1"/>
  <c r="BW228" i="19" s="1"/>
  <c r="BR227" i="19"/>
  <c r="BQ227" i="19"/>
  <c r="AC71" i="7"/>
  <c r="AS70" i="7"/>
  <c r="AC382" i="5"/>
  <c r="AF70" i="7"/>
  <c r="AF382" i="5" s="1"/>
  <c r="AY382" i="5" s="1"/>
  <c r="AD70" i="7"/>
  <c r="AD382" i="5" s="1"/>
  <c r="AW382" i="5" s="1"/>
  <c r="AR70" i="7"/>
  <c r="BO230" i="12"/>
  <c r="BU230" i="12"/>
  <c r="BV230" i="12" s="1"/>
  <c r="BW230" i="12" s="1"/>
  <c r="BS230" i="12"/>
  <c r="BT230" i="12" s="1"/>
  <c r="BN231" i="12"/>
  <c r="BR229" i="12"/>
  <c r="Y25" i="13"/>
  <c r="BN230" i="18" l="1"/>
  <c r="BU229" i="18"/>
  <c r="BV229" i="18" s="1"/>
  <c r="BW229" i="18" s="1"/>
  <c r="BO229" i="18"/>
  <c r="BP229" i="18" s="1"/>
  <c r="BR229" i="18" s="1"/>
  <c r="BS229" i="18"/>
  <c r="BT229" i="18" s="1"/>
  <c r="BQ229" i="18"/>
  <c r="BQ228" i="19"/>
  <c r="BN230" i="19"/>
  <c r="BU229" i="19"/>
  <c r="BV229" i="19" s="1"/>
  <c r="BW229" i="19" s="1"/>
  <c r="BS229" i="19"/>
  <c r="BT229" i="19" s="1"/>
  <c r="BO229" i="19"/>
  <c r="BP229" i="19" s="1"/>
  <c r="BR228" i="19"/>
  <c r="AC72" i="7"/>
  <c r="AD71" i="7"/>
  <c r="AD383" i="5" s="1"/>
  <c r="AW383" i="5" s="1"/>
  <c r="AW385" i="5" s="1"/>
  <c r="AW387" i="5" s="1"/>
  <c r="AW389" i="5" s="1"/>
  <c r="AC383" i="5"/>
  <c r="AF71" i="7"/>
  <c r="AF383" i="5" s="1"/>
  <c r="AY383" i="5" s="1"/>
  <c r="AY385" i="5" s="1"/>
  <c r="AY387" i="5" s="1"/>
  <c r="AY389" i="5" s="1"/>
  <c r="BP230" i="12"/>
  <c r="BR230" i="12" s="1"/>
  <c r="BQ229" i="12"/>
  <c r="BU231" i="12"/>
  <c r="BV231" i="12" s="1"/>
  <c r="BW231" i="12" s="1"/>
  <c r="BO231" i="12"/>
  <c r="BS231" i="12"/>
  <c r="BT231" i="12" s="1"/>
  <c r="BN232" i="12"/>
  <c r="Y26" i="13"/>
  <c r="BU230" i="18" l="1"/>
  <c r="BV230" i="18" s="1"/>
  <c r="BW230" i="18" s="1"/>
  <c r="BO230" i="18"/>
  <c r="BP230" i="18" s="1"/>
  <c r="BR230" i="18" s="1"/>
  <c r="BS230" i="18"/>
  <c r="BT230" i="18" s="1"/>
  <c r="BN231" i="18"/>
  <c r="BQ230" i="18"/>
  <c r="BR229" i="19"/>
  <c r="BQ229" i="19"/>
  <c r="BU230" i="19"/>
  <c r="BV230" i="19" s="1"/>
  <c r="BW230" i="19" s="1"/>
  <c r="BN231" i="19"/>
  <c r="BO230" i="19"/>
  <c r="BP230" i="19" s="1"/>
  <c r="BS230" i="19"/>
  <c r="BT230" i="19" s="1"/>
  <c r="AC384" i="5"/>
  <c r="AC78" i="7"/>
  <c r="AD72" i="7"/>
  <c r="AD384" i="5" s="1"/>
  <c r="AW384" i="5" s="1"/>
  <c r="AW386" i="5" s="1"/>
  <c r="AW388" i="5" s="1"/>
  <c r="AF72" i="7"/>
  <c r="AF384" i="5" s="1"/>
  <c r="AY384" i="5" s="1"/>
  <c r="AY386" i="5" s="1"/>
  <c r="AY388" i="5" s="1"/>
  <c r="BQ230" i="12"/>
  <c r="BP231" i="12"/>
  <c r="BQ231" i="12" s="1"/>
  <c r="BU232" i="12"/>
  <c r="BV232" i="12" s="1"/>
  <c r="BW232" i="12" s="1"/>
  <c r="BS232" i="12"/>
  <c r="BT232" i="12" s="1"/>
  <c r="BO232" i="12"/>
  <c r="BP232" i="12" s="1"/>
  <c r="BN233" i="12"/>
  <c r="Y27" i="13"/>
  <c r="BN232" i="18" l="1"/>
  <c r="BU231" i="18"/>
  <c r="BV231" i="18" s="1"/>
  <c r="BW231" i="18" s="1"/>
  <c r="BS231" i="18"/>
  <c r="BT231" i="18" s="1"/>
  <c r="BO231" i="18"/>
  <c r="BP231" i="18" s="1"/>
  <c r="BR231" i="18" s="1"/>
  <c r="BQ231" i="18"/>
  <c r="BQ230" i="19"/>
  <c r="BO231" i="19"/>
  <c r="BP231" i="19" s="1"/>
  <c r="BN232" i="19"/>
  <c r="BU231" i="19"/>
  <c r="BV231" i="19" s="1"/>
  <c r="BW231" i="19" s="1"/>
  <c r="BS231" i="19"/>
  <c r="BT231" i="19" s="1"/>
  <c r="BR230" i="19"/>
  <c r="AC390" i="5"/>
  <c r="AR78" i="7"/>
  <c r="AC79" i="7"/>
  <c r="AS78" i="7"/>
  <c r="AF78" i="7"/>
  <c r="AF390" i="5" s="1"/>
  <c r="AY390" i="5" s="1"/>
  <c r="AD78" i="7"/>
  <c r="AD390" i="5" s="1"/>
  <c r="AW390" i="5" s="1"/>
  <c r="BR231" i="12"/>
  <c r="BR232" i="12" s="1"/>
  <c r="BU233" i="12"/>
  <c r="BV233" i="12" s="1"/>
  <c r="BW233" i="12" s="1"/>
  <c r="BO233" i="12"/>
  <c r="BP233" i="12" s="1"/>
  <c r="BS233" i="12"/>
  <c r="BT233" i="12" s="1"/>
  <c r="BN234" i="12"/>
  <c r="BQ232" i="12"/>
  <c r="Y28" i="13"/>
  <c r="BU232" i="18" l="1"/>
  <c r="BV232" i="18" s="1"/>
  <c r="BW232" i="18" s="1"/>
  <c r="BN233" i="18"/>
  <c r="BO232" i="18"/>
  <c r="BP232" i="18" s="1"/>
  <c r="BR232" i="18" s="1"/>
  <c r="BS232" i="18"/>
  <c r="BT232" i="18" s="1"/>
  <c r="BQ232" i="18"/>
  <c r="BQ231" i="19"/>
  <c r="BS232" i="19"/>
  <c r="BT232" i="19" s="1"/>
  <c r="BO232" i="19"/>
  <c r="BP232" i="19" s="1"/>
  <c r="BN233" i="19"/>
  <c r="BU232" i="19"/>
  <c r="BV232" i="19" s="1"/>
  <c r="BW232" i="19" s="1"/>
  <c r="BR231" i="19"/>
  <c r="AC391" i="5"/>
  <c r="AS79" i="7"/>
  <c r="AD79" i="7"/>
  <c r="AD391" i="5" s="1"/>
  <c r="AW391" i="5" s="1"/>
  <c r="AC80" i="7"/>
  <c r="AR79" i="7"/>
  <c r="AF79" i="7"/>
  <c r="AF391" i="5" s="1"/>
  <c r="AY391" i="5" s="1"/>
  <c r="BU234" i="12"/>
  <c r="BV234" i="12" s="1"/>
  <c r="BW234" i="12" s="1"/>
  <c r="BS234" i="12"/>
  <c r="BT234" i="12" s="1"/>
  <c r="BO234" i="12"/>
  <c r="BP234" i="12" s="1"/>
  <c r="BN235" i="12"/>
  <c r="BR233" i="12"/>
  <c r="Y29" i="13"/>
  <c r="BN234" i="18" l="1"/>
  <c r="BU233" i="18"/>
  <c r="BV233" i="18" s="1"/>
  <c r="BW233" i="18" s="1"/>
  <c r="BO233" i="18"/>
  <c r="BP233" i="18" s="1"/>
  <c r="BR233" i="18" s="1"/>
  <c r="BS233" i="18"/>
  <c r="BT233" i="18" s="1"/>
  <c r="BQ233" i="18"/>
  <c r="BQ232" i="19"/>
  <c r="BS233" i="19"/>
  <c r="BT233" i="19" s="1"/>
  <c r="BO233" i="19"/>
  <c r="BP233" i="19" s="1"/>
  <c r="BU233" i="19"/>
  <c r="BV233" i="19" s="1"/>
  <c r="BW233" i="19" s="1"/>
  <c r="BN234" i="19"/>
  <c r="BR232" i="19"/>
  <c r="AC392" i="5"/>
  <c r="AC81" i="7"/>
  <c r="AR80" i="7"/>
  <c r="AD80" i="7"/>
  <c r="AD392" i="5" s="1"/>
  <c r="AW392" i="5" s="1"/>
  <c r="AS80" i="7"/>
  <c r="AF80" i="7"/>
  <c r="AF392" i="5" s="1"/>
  <c r="AY392" i="5" s="1"/>
  <c r="BR234" i="12"/>
  <c r="BQ233" i="12"/>
  <c r="BU235" i="12"/>
  <c r="BV235" i="12" s="1"/>
  <c r="BW235" i="12" s="1"/>
  <c r="BS235" i="12"/>
  <c r="BT235" i="12" s="1"/>
  <c r="BO235" i="12"/>
  <c r="BN236" i="12"/>
  <c r="BQ234" i="12"/>
  <c r="Y30" i="13"/>
  <c r="BU234" i="18" l="1"/>
  <c r="BV234" i="18" s="1"/>
  <c r="BW234" i="18" s="1"/>
  <c r="BS234" i="18"/>
  <c r="BT234" i="18" s="1"/>
  <c r="BO234" i="18"/>
  <c r="BP234" i="18" s="1"/>
  <c r="BR234" i="18" s="1"/>
  <c r="BN235" i="18"/>
  <c r="BQ234" i="18"/>
  <c r="BQ233" i="19"/>
  <c r="BU234" i="19"/>
  <c r="BV234" i="19" s="1"/>
  <c r="BW234" i="19" s="1"/>
  <c r="BN235" i="19"/>
  <c r="BS234" i="19"/>
  <c r="BT234" i="19" s="1"/>
  <c r="BO234" i="19"/>
  <c r="BP234" i="19" s="1"/>
  <c r="BR233" i="19"/>
  <c r="AC393" i="5"/>
  <c r="AD81" i="7"/>
  <c r="AD393" i="5" s="1"/>
  <c r="AW393" i="5" s="1"/>
  <c r="AC82" i="7"/>
  <c r="AR81" i="7"/>
  <c r="AF81" i="7"/>
  <c r="AF393" i="5" s="1"/>
  <c r="AY393" i="5" s="1"/>
  <c r="AS81" i="7"/>
  <c r="BP235" i="12"/>
  <c r="BQ235" i="12" s="1"/>
  <c r="BU236" i="12"/>
  <c r="BV236" i="12" s="1"/>
  <c r="BW236" i="12" s="1"/>
  <c r="BS236" i="12"/>
  <c r="BT236" i="12" s="1"/>
  <c r="BO236" i="12"/>
  <c r="BP236" i="12" s="1"/>
  <c r="BN237" i="12"/>
  <c r="Y31" i="13"/>
  <c r="BN236" i="18" l="1"/>
  <c r="BU235" i="18"/>
  <c r="BV235" i="18" s="1"/>
  <c r="BW235" i="18" s="1"/>
  <c r="BO235" i="18"/>
  <c r="BP235" i="18" s="1"/>
  <c r="BR235" i="18" s="1"/>
  <c r="BS235" i="18"/>
  <c r="BT235" i="18" s="1"/>
  <c r="BQ235" i="18"/>
  <c r="BR234" i="19"/>
  <c r="BQ234" i="19"/>
  <c r="BU235" i="19"/>
  <c r="BV235" i="19" s="1"/>
  <c r="BW235" i="19" s="1"/>
  <c r="BS235" i="19"/>
  <c r="BT235" i="19" s="1"/>
  <c r="BO235" i="19"/>
  <c r="BP235" i="19" s="1"/>
  <c r="BQ235" i="19" s="1"/>
  <c r="BN236" i="19"/>
  <c r="AS82" i="7"/>
  <c r="AC83" i="7"/>
  <c r="AR82" i="7"/>
  <c r="AD82" i="7"/>
  <c r="AD394" i="5" s="1"/>
  <c r="AW394" i="5" s="1"/>
  <c r="AF82" i="7"/>
  <c r="AF394" i="5" s="1"/>
  <c r="AY394" i="5" s="1"/>
  <c r="AC394" i="5"/>
  <c r="BR235" i="12"/>
  <c r="BR236" i="12" s="1"/>
  <c r="BU237" i="12"/>
  <c r="BV237" i="12" s="1"/>
  <c r="BW237" i="12" s="1"/>
  <c r="BO237" i="12"/>
  <c r="BP237" i="12" s="1"/>
  <c r="BS237" i="12"/>
  <c r="BT237" i="12" s="1"/>
  <c r="BN238" i="12"/>
  <c r="BQ236" i="12"/>
  <c r="Y32" i="13"/>
  <c r="BO236" i="18" l="1"/>
  <c r="BP236" i="18" s="1"/>
  <c r="BR236" i="18" s="1"/>
  <c r="BS236" i="18"/>
  <c r="BT236" i="18" s="1"/>
  <c r="BN237" i="18"/>
  <c r="BU236" i="18"/>
  <c r="BV236" i="18" s="1"/>
  <c r="BW236" i="18" s="1"/>
  <c r="BQ236" i="18"/>
  <c r="BR235" i="19"/>
  <c r="BO236" i="19"/>
  <c r="BP236" i="19" s="1"/>
  <c r="BQ236" i="19" s="1"/>
  <c r="BU236" i="19"/>
  <c r="BV236" i="19" s="1"/>
  <c r="BW236" i="19" s="1"/>
  <c r="BS236" i="19"/>
  <c r="BT236" i="19" s="1"/>
  <c r="BN237" i="19"/>
  <c r="AC84" i="7"/>
  <c r="AD83" i="7"/>
  <c r="AD395" i="5" s="1"/>
  <c r="AW395" i="5" s="1"/>
  <c r="AW397" i="5" s="1"/>
  <c r="AW399" i="5" s="1"/>
  <c r="AW401" i="5" s="1"/>
  <c r="AC395" i="5"/>
  <c r="AF83" i="7"/>
  <c r="AF395" i="5" s="1"/>
  <c r="AY395" i="5" s="1"/>
  <c r="AY397" i="5" s="1"/>
  <c r="AY399" i="5" s="1"/>
  <c r="AY401" i="5" s="1"/>
  <c r="BU238" i="12"/>
  <c r="BV238" i="12" s="1"/>
  <c r="BW238" i="12" s="1"/>
  <c r="BS238" i="12"/>
  <c r="BT238" i="12" s="1"/>
  <c r="BO238" i="12"/>
  <c r="BP238" i="12" s="1"/>
  <c r="BN239" i="12"/>
  <c r="BR237" i="12"/>
  <c r="Y33" i="13"/>
  <c r="BN238" i="18" l="1"/>
  <c r="BU237" i="18"/>
  <c r="BV237" i="18" s="1"/>
  <c r="BW237" i="18" s="1"/>
  <c r="BO237" i="18"/>
  <c r="BP237" i="18" s="1"/>
  <c r="BR237" i="18" s="1"/>
  <c r="BS237" i="18"/>
  <c r="BT237" i="18" s="1"/>
  <c r="BQ237" i="18"/>
  <c r="BN238" i="19"/>
  <c r="BU237" i="19"/>
  <c r="BV237" i="19" s="1"/>
  <c r="BW237" i="19" s="1"/>
  <c r="BO237" i="19"/>
  <c r="BP237" i="19" s="1"/>
  <c r="BS237" i="19"/>
  <c r="BT237" i="19" s="1"/>
  <c r="BR236" i="19"/>
  <c r="AC396" i="5"/>
  <c r="AC90" i="7"/>
  <c r="AD84" i="7"/>
  <c r="AD396" i="5" s="1"/>
  <c r="AW396" i="5" s="1"/>
  <c r="AW398" i="5" s="1"/>
  <c r="AW400" i="5" s="1"/>
  <c r="AF84" i="7"/>
  <c r="AF396" i="5" s="1"/>
  <c r="AY396" i="5" s="1"/>
  <c r="AY398" i="5" s="1"/>
  <c r="AY400" i="5" s="1"/>
  <c r="BR238" i="12"/>
  <c r="BQ238" i="12"/>
  <c r="BQ237" i="12"/>
  <c r="BS239" i="12"/>
  <c r="BT239" i="12" s="1"/>
  <c r="BO239" i="12"/>
  <c r="BU239" i="12"/>
  <c r="BV239" i="12" s="1"/>
  <c r="BW239" i="12" s="1"/>
  <c r="BN240" i="12"/>
  <c r="Y34" i="13"/>
  <c r="BU238" i="18" l="1"/>
  <c r="BV238" i="18" s="1"/>
  <c r="BW238" i="18" s="1"/>
  <c r="BO238" i="18"/>
  <c r="BP238" i="18" s="1"/>
  <c r="BR238" i="18" s="1"/>
  <c r="BN239" i="18"/>
  <c r="BS238" i="18"/>
  <c r="BT238" i="18" s="1"/>
  <c r="BQ238" i="18"/>
  <c r="BR237" i="19"/>
  <c r="BQ237" i="19"/>
  <c r="BU238" i="19"/>
  <c r="BV238" i="19" s="1"/>
  <c r="BW238" i="19" s="1"/>
  <c r="BN239" i="19"/>
  <c r="BS238" i="19"/>
  <c r="BT238" i="19" s="1"/>
  <c r="BO238" i="19"/>
  <c r="BP238" i="19" s="1"/>
  <c r="AF90" i="7"/>
  <c r="AF402" i="5" s="1"/>
  <c r="AY402" i="5" s="1"/>
  <c r="AD90" i="7"/>
  <c r="AD402" i="5" s="1"/>
  <c r="AW402" i="5" s="1"/>
  <c r="AR90" i="7"/>
  <c r="AC402" i="5"/>
  <c r="AS90" i="7"/>
  <c r="AC91" i="7"/>
  <c r="BP239" i="12"/>
  <c r="BQ239" i="12" s="1"/>
  <c r="BU240" i="12"/>
  <c r="BV240" i="12" s="1"/>
  <c r="BW240" i="12" s="1"/>
  <c r="BO240" i="12"/>
  <c r="BP240" i="12" s="1"/>
  <c r="BS240" i="12"/>
  <c r="BT240" i="12" s="1"/>
  <c r="BN241" i="12"/>
  <c r="Y35" i="13"/>
  <c r="BU239" i="18" l="1"/>
  <c r="BV239" i="18" s="1"/>
  <c r="BW239" i="18" s="1"/>
  <c r="BN240" i="18"/>
  <c r="BO239" i="18"/>
  <c r="BP239" i="18" s="1"/>
  <c r="BR239" i="18" s="1"/>
  <c r="BS239" i="18"/>
  <c r="BT239" i="18" s="1"/>
  <c r="BQ239" i="18"/>
  <c r="BQ238" i="19"/>
  <c r="BS239" i="19"/>
  <c r="BT239" i="19" s="1"/>
  <c r="BO239" i="19"/>
  <c r="BP239" i="19" s="1"/>
  <c r="BN240" i="19"/>
  <c r="BU239" i="19"/>
  <c r="BV239" i="19" s="1"/>
  <c r="BW239" i="19" s="1"/>
  <c r="BR238" i="19"/>
  <c r="AC403" i="5"/>
  <c r="AR91" i="7"/>
  <c r="AC92" i="7"/>
  <c r="AF91" i="7"/>
  <c r="AF403" i="5" s="1"/>
  <c r="AY403" i="5" s="1"/>
  <c r="AS91" i="7"/>
  <c r="AD91" i="7"/>
  <c r="AD403" i="5" s="1"/>
  <c r="AW403" i="5" s="1"/>
  <c r="BR239" i="12"/>
  <c r="BR240" i="12" s="1"/>
  <c r="BQ240" i="12"/>
  <c r="BS241" i="12"/>
  <c r="BT241" i="12" s="1"/>
  <c r="BU241" i="12"/>
  <c r="BV241" i="12" s="1"/>
  <c r="BW241" i="12" s="1"/>
  <c r="BO241" i="12"/>
  <c r="BP241" i="12" s="1"/>
  <c r="BN242" i="12"/>
  <c r="Y36" i="13"/>
  <c r="BU240" i="18" l="1"/>
  <c r="BV240" i="18" s="1"/>
  <c r="BW240" i="18" s="1"/>
  <c r="BN241" i="18"/>
  <c r="BO240" i="18"/>
  <c r="BP240" i="18" s="1"/>
  <c r="BR240" i="18" s="1"/>
  <c r="BS240" i="18"/>
  <c r="BT240" i="18" s="1"/>
  <c r="BQ240" i="18"/>
  <c r="BR239" i="19"/>
  <c r="BQ239" i="19"/>
  <c r="BO240" i="19"/>
  <c r="BP240" i="19" s="1"/>
  <c r="BU240" i="19"/>
  <c r="BV240" i="19" s="1"/>
  <c r="BW240" i="19" s="1"/>
  <c r="BS240" i="19"/>
  <c r="BT240" i="19" s="1"/>
  <c r="BN241" i="19"/>
  <c r="AF92" i="7"/>
  <c r="AF404" i="5" s="1"/>
  <c r="AY404" i="5" s="1"/>
  <c r="AR92" i="7"/>
  <c r="AC93" i="7"/>
  <c r="AS92" i="7"/>
  <c r="AC404" i="5"/>
  <c r="AD92" i="7"/>
  <c r="AD404" i="5" s="1"/>
  <c r="AW404" i="5" s="1"/>
  <c r="BS242" i="12"/>
  <c r="BT242" i="12" s="1"/>
  <c r="BO242" i="12"/>
  <c r="BU242" i="12"/>
  <c r="BV242" i="12" s="1"/>
  <c r="BW242" i="12" s="1"/>
  <c r="BN243" i="12"/>
  <c r="BR241" i="12"/>
  <c r="Y37" i="13"/>
  <c r="BN242" i="18" l="1"/>
  <c r="BU241" i="18"/>
  <c r="BV241" i="18" s="1"/>
  <c r="BW241" i="18" s="1"/>
  <c r="BO241" i="18"/>
  <c r="BP241" i="18" s="1"/>
  <c r="BR241" i="18" s="1"/>
  <c r="BS241" i="18"/>
  <c r="BT241" i="18" s="1"/>
  <c r="BQ241" i="18"/>
  <c r="BQ240" i="19"/>
  <c r="BR240" i="19"/>
  <c r="BO241" i="19"/>
  <c r="BP241" i="19" s="1"/>
  <c r="BQ241" i="19" s="1"/>
  <c r="BU241" i="19"/>
  <c r="BV241" i="19" s="1"/>
  <c r="BW241" i="19" s="1"/>
  <c r="BN242" i="19"/>
  <c r="BS241" i="19"/>
  <c r="BT241" i="19" s="1"/>
  <c r="AC94" i="7"/>
  <c r="AR93" i="7"/>
  <c r="AD93" i="7"/>
  <c r="AD405" i="5" s="1"/>
  <c r="AW405" i="5" s="1"/>
  <c r="AC405" i="5"/>
  <c r="AS93" i="7"/>
  <c r="AF93" i="7"/>
  <c r="AF405" i="5" s="1"/>
  <c r="AY405" i="5" s="1"/>
  <c r="BP242" i="12"/>
  <c r="BQ242" i="12" s="1"/>
  <c r="BQ241" i="12"/>
  <c r="BU243" i="12"/>
  <c r="BV243" i="12" s="1"/>
  <c r="BW243" i="12" s="1"/>
  <c r="BO243" i="12"/>
  <c r="BP243" i="12" s="1"/>
  <c r="BS243" i="12"/>
  <c r="BT243" i="12" s="1"/>
  <c r="BN244" i="12"/>
  <c r="Y38" i="13"/>
  <c r="BU242" i="18" l="1"/>
  <c r="BV242" i="18" s="1"/>
  <c r="BW242" i="18" s="1"/>
  <c r="BN243" i="18"/>
  <c r="BO242" i="18"/>
  <c r="BP242" i="18" s="1"/>
  <c r="BR242" i="18" s="1"/>
  <c r="BS242" i="18"/>
  <c r="BT242" i="18" s="1"/>
  <c r="BQ242" i="18"/>
  <c r="BR241" i="19"/>
  <c r="BU242" i="19"/>
  <c r="BV242" i="19" s="1"/>
  <c r="BW242" i="19" s="1"/>
  <c r="BN243" i="19"/>
  <c r="BS242" i="19"/>
  <c r="BT242" i="19" s="1"/>
  <c r="BO242" i="19"/>
  <c r="BP242" i="19" s="1"/>
  <c r="AR94" i="7"/>
  <c r="AC406" i="5"/>
  <c r="AS94" i="7"/>
  <c r="AD94" i="7"/>
  <c r="AD406" i="5" s="1"/>
  <c r="AW406" i="5" s="1"/>
  <c r="AC95" i="7"/>
  <c r="AF94" i="7"/>
  <c r="AF406" i="5" s="1"/>
  <c r="AY406" i="5" s="1"/>
  <c r="BR242" i="12"/>
  <c r="BR243" i="12" s="1"/>
  <c r="BQ243" i="12"/>
  <c r="BS244" i="12"/>
  <c r="BT244" i="12" s="1"/>
  <c r="BU244" i="12"/>
  <c r="BV244" i="12" s="1"/>
  <c r="BW244" i="12" s="1"/>
  <c r="BO244" i="12"/>
  <c r="BN245" i="12"/>
  <c r="Y39" i="13"/>
  <c r="BN244" i="18" l="1"/>
  <c r="BO243" i="18"/>
  <c r="BP243" i="18" s="1"/>
  <c r="BR243" i="18" s="1"/>
  <c r="BU243" i="18"/>
  <c r="BV243" i="18" s="1"/>
  <c r="BW243" i="18" s="1"/>
  <c r="BS243" i="18"/>
  <c r="BT243" i="18" s="1"/>
  <c r="BQ243" i="18"/>
  <c r="BR242" i="19"/>
  <c r="BQ242" i="19"/>
  <c r="BS243" i="19"/>
  <c r="BT243" i="19" s="1"/>
  <c r="BO243" i="19"/>
  <c r="BP243" i="19" s="1"/>
  <c r="BN244" i="19"/>
  <c r="BU243" i="19"/>
  <c r="BV243" i="19" s="1"/>
  <c r="BW243" i="19" s="1"/>
  <c r="AC407" i="5"/>
  <c r="AC96" i="7"/>
  <c r="AF95" i="7"/>
  <c r="AF407" i="5" s="1"/>
  <c r="AY407" i="5" s="1"/>
  <c r="AY409" i="5" s="1"/>
  <c r="AY411" i="5" s="1"/>
  <c r="AY413" i="5" s="1"/>
  <c r="AD95" i="7"/>
  <c r="AD407" i="5" s="1"/>
  <c r="AW407" i="5" s="1"/>
  <c r="AW409" i="5" s="1"/>
  <c r="AW411" i="5" s="1"/>
  <c r="AW413" i="5" s="1"/>
  <c r="BP244" i="12"/>
  <c r="BR244" i="12" s="1"/>
  <c r="BO245" i="12"/>
  <c r="BP245" i="12" s="1"/>
  <c r="BU245" i="12"/>
  <c r="BV245" i="12" s="1"/>
  <c r="BW245" i="12" s="1"/>
  <c r="BS245" i="12"/>
  <c r="BT245" i="12" s="1"/>
  <c r="BN246" i="12"/>
  <c r="Y40" i="13"/>
  <c r="BU244" i="18" l="1"/>
  <c r="BV244" i="18" s="1"/>
  <c r="BW244" i="18" s="1"/>
  <c r="BO244" i="18"/>
  <c r="BP244" i="18" s="1"/>
  <c r="BR244" i="18" s="1"/>
  <c r="BS244" i="18"/>
  <c r="BT244" i="18" s="1"/>
  <c r="BN245" i="18"/>
  <c r="BQ244" i="18"/>
  <c r="BR243" i="19"/>
  <c r="BQ243" i="19"/>
  <c r="BO244" i="19"/>
  <c r="BP244" i="19" s="1"/>
  <c r="BQ244" i="19" s="1"/>
  <c r="BU244" i="19"/>
  <c r="BV244" i="19" s="1"/>
  <c r="BW244" i="19" s="1"/>
  <c r="BS244" i="19"/>
  <c r="BT244" i="19" s="1"/>
  <c r="BN245" i="19"/>
  <c r="AC408" i="5"/>
  <c r="AC102" i="7"/>
  <c r="AF96" i="7"/>
  <c r="AF408" i="5" s="1"/>
  <c r="AY408" i="5" s="1"/>
  <c r="AY410" i="5" s="1"/>
  <c r="AY412" i="5" s="1"/>
  <c r="AD96" i="7"/>
  <c r="AD408" i="5" s="1"/>
  <c r="AW408" i="5" s="1"/>
  <c r="AW410" i="5" s="1"/>
  <c r="AW412" i="5" s="1"/>
  <c r="BQ244" i="12"/>
  <c r="BU246" i="12"/>
  <c r="BV246" i="12" s="1"/>
  <c r="BW246" i="12" s="1"/>
  <c r="BO246" i="12"/>
  <c r="BS246" i="12"/>
  <c r="BT246" i="12" s="1"/>
  <c r="BN247" i="12"/>
  <c r="BQ245" i="12"/>
  <c r="BR245" i="12"/>
  <c r="Y41" i="13"/>
  <c r="BN246" i="18" l="1"/>
  <c r="BU245" i="18"/>
  <c r="BV245" i="18" s="1"/>
  <c r="BW245" i="18" s="1"/>
  <c r="BO245" i="18"/>
  <c r="BP245" i="18" s="1"/>
  <c r="BR245" i="18" s="1"/>
  <c r="BS245" i="18"/>
  <c r="BT245" i="18" s="1"/>
  <c r="BQ245" i="18"/>
  <c r="BS245" i="19"/>
  <c r="BT245" i="19" s="1"/>
  <c r="BO245" i="19"/>
  <c r="BP245" i="19" s="1"/>
  <c r="BN246" i="19"/>
  <c r="BU245" i="19"/>
  <c r="BV245" i="19" s="1"/>
  <c r="BW245" i="19" s="1"/>
  <c r="BR244" i="19"/>
  <c r="AC414" i="5"/>
  <c r="AD102" i="7"/>
  <c r="AD414" i="5" s="1"/>
  <c r="AW414" i="5" s="1"/>
  <c r="AR102" i="7"/>
  <c r="AS102" i="7"/>
  <c r="AF102" i="7"/>
  <c r="AF414" i="5" s="1"/>
  <c r="AY414" i="5" s="1"/>
  <c r="AC103" i="7"/>
  <c r="BP246" i="12"/>
  <c r="BQ246" i="12" s="1"/>
  <c r="BO247" i="12"/>
  <c r="BP247" i="12" s="1"/>
  <c r="BU247" i="12"/>
  <c r="BV247" i="12" s="1"/>
  <c r="BW247" i="12" s="1"/>
  <c r="BS247" i="12"/>
  <c r="BT247" i="12" s="1"/>
  <c r="BN248" i="12"/>
  <c r="Y42" i="13"/>
  <c r="BU246" i="18" l="1"/>
  <c r="BV246" i="18" s="1"/>
  <c r="BW246" i="18" s="1"/>
  <c r="BS246" i="18"/>
  <c r="BT246" i="18" s="1"/>
  <c r="BO246" i="18"/>
  <c r="BP246" i="18" s="1"/>
  <c r="BR246" i="18" s="1"/>
  <c r="BN247" i="18"/>
  <c r="BQ246" i="18"/>
  <c r="BR245" i="19"/>
  <c r="BQ245" i="19"/>
  <c r="BO246" i="19"/>
  <c r="BP246" i="19" s="1"/>
  <c r="BU246" i="19"/>
  <c r="BV246" i="19" s="1"/>
  <c r="BW246" i="19" s="1"/>
  <c r="BN247" i="19"/>
  <c r="BS246" i="19"/>
  <c r="BT246" i="19" s="1"/>
  <c r="AD103" i="7"/>
  <c r="AD415" i="5" s="1"/>
  <c r="AW415" i="5" s="1"/>
  <c r="AR103" i="7"/>
  <c r="AC104" i="7"/>
  <c r="AS103" i="7"/>
  <c r="AC415" i="5"/>
  <c r="AF103" i="7"/>
  <c r="AF415" i="5" s="1"/>
  <c r="AY415" i="5" s="1"/>
  <c r="BR246" i="12"/>
  <c r="BR247" i="12" s="1"/>
  <c r="BQ247" i="12"/>
  <c r="BO248" i="12"/>
  <c r="BP248" i="12" s="1"/>
  <c r="BU248" i="12"/>
  <c r="BV248" i="12" s="1"/>
  <c r="BW248" i="12" s="1"/>
  <c r="BS248" i="12"/>
  <c r="BT248" i="12" s="1"/>
  <c r="BN249" i="12"/>
  <c r="Y43" i="13"/>
  <c r="BN248" i="18" l="1"/>
  <c r="BO247" i="18"/>
  <c r="BP247" i="18" s="1"/>
  <c r="BR247" i="18" s="1"/>
  <c r="BS247" i="18"/>
  <c r="BT247" i="18" s="1"/>
  <c r="BU247" i="18"/>
  <c r="BV247" i="18" s="1"/>
  <c r="BW247" i="18" s="1"/>
  <c r="BQ247" i="18"/>
  <c r="BQ246" i="19"/>
  <c r="BR246" i="19"/>
  <c r="BU247" i="19"/>
  <c r="BV247" i="19" s="1"/>
  <c r="BW247" i="19" s="1"/>
  <c r="BS247" i="19"/>
  <c r="BT247" i="19" s="1"/>
  <c r="BO247" i="19"/>
  <c r="BP247" i="19" s="1"/>
  <c r="BN248" i="19"/>
  <c r="AF104" i="7"/>
  <c r="AF416" i="5" s="1"/>
  <c r="AY416" i="5" s="1"/>
  <c r="AD104" i="7"/>
  <c r="AD416" i="5" s="1"/>
  <c r="AW416" i="5" s="1"/>
  <c r="AS104" i="7"/>
  <c r="AC416" i="5"/>
  <c r="AR104" i="7"/>
  <c r="AC105" i="7"/>
  <c r="BR248" i="12"/>
  <c r="BQ248" i="12"/>
  <c r="BU249" i="12"/>
  <c r="BV249" i="12" s="1"/>
  <c r="BW249" i="12" s="1"/>
  <c r="BS249" i="12"/>
  <c r="BT249" i="12" s="1"/>
  <c r="BO249" i="12"/>
  <c r="BN250" i="12"/>
  <c r="Y44" i="13"/>
  <c r="BN249" i="18" l="1"/>
  <c r="BU248" i="18"/>
  <c r="BV248" i="18" s="1"/>
  <c r="BW248" i="18" s="1"/>
  <c r="BO248" i="18"/>
  <c r="BP248" i="18" s="1"/>
  <c r="BR248" i="18" s="1"/>
  <c r="BS248" i="18"/>
  <c r="BT248" i="18" s="1"/>
  <c r="BQ248" i="18"/>
  <c r="BR247" i="19"/>
  <c r="BQ247" i="19"/>
  <c r="BU248" i="19"/>
  <c r="BV248" i="19" s="1"/>
  <c r="BW248" i="19" s="1"/>
  <c r="BN249" i="19"/>
  <c r="BS248" i="19"/>
  <c r="BT248" i="19" s="1"/>
  <c r="BO248" i="19"/>
  <c r="BP248" i="19" s="1"/>
  <c r="AC417" i="5"/>
  <c r="AC106" i="7"/>
  <c r="AR105" i="7"/>
  <c r="AF105" i="7"/>
  <c r="AF417" i="5" s="1"/>
  <c r="AY417" i="5" s="1"/>
  <c r="AS105" i="7"/>
  <c r="AD105" i="7"/>
  <c r="AD417" i="5" s="1"/>
  <c r="AW417" i="5" s="1"/>
  <c r="BP249" i="12"/>
  <c r="BR249" i="12" s="1"/>
  <c r="BU250" i="12"/>
  <c r="BV250" i="12" s="1"/>
  <c r="BW250" i="12" s="1"/>
  <c r="BO250" i="12"/>
  <c r="BS250" i="12"/>
  <c r="BT250" i="12" s="1"/>
  <c r="BN251" i="12"/>
  <c r="Y45" i="13"/>
  <c r="BN250" i="18" l="1"/>
  <c r="BU249" i="18"/>
  <c r="BV249" i="18" s="1"/>
  <c r="BW249" i="18" s="1"/>
  <c r="BO249" i="18"/>
  <c r="BP249" i="18" s="1"/>
  <c r="BR249" i="18" s="1"/>
  <c r="BS249" i="18"/>
  <c r="BT249" i="18" s="1"/>
  <c r="BQ249" i="18"/>
  <c r="BR248" i="19"/>
  <c r="BQ248" i="19"/>
  <c r="BS249" i="19"/>
  <c r="BT249" i="19" s="1"/>
  <c r="BO249" i="19"/>
  <c r="BP249" i="19" s="1"/>
  <c r="BU249" i="19"/>
  <c r="BV249" i="19" s="1"/>
  <c r="BW249" i="19" s="1"/>
  <c r="BN250" i="19"/>
  <c r="AR106" i="7"/>
  <c r="AC107" i="7"/>
  <c r="AF106" i="7"/>
  <c r="AF418" i="5" s="1"/>
  <c r="AY418" i="5" s="1"/>
  <c r="AD106" i="7"/>
  <c r="AD418" i="5" s="1"/>
  <c r="AW418" i="5" s="1"/>
  <c r="AS106" i="7"/>
  <c r="AC418" i="5"/>
  <c r="BQ249" i="12"/>
  <c r="BP250" i="12"/>
  <c r="BR250" i="12" s="1"/>
  <c r="BO251" i="12"/>
  <c r="BU251" i="12"/>
  <c r="BV251" i="12" s="1"/>
  <c r="BW251" i="12" s="1"/>
  <c r="BS251" i="12"/>
  <c r="BT251" i="12" s="1"/>
  <c r="BN252" i="12"/>
  <c r="Y46" i="13"/>
  <c r="BR249" i="19" l="1"/>
  <c r="BO250" i="18"/>
  <c r="BP250" i="18" s="1"/>
  <c r="BR250" i="18" s="1"/>
  <c r="BS250" i="18"/>
  <c r="BT250" i="18" s="1"/>
  <c r="BN251" i="18"/>
  <c r="BU250" i="18"/>
  <c r="BV250" i="18" s="1"/>
  <c r="BW250" i="18" s="1"/>
  <c r="BQ250" i="18"/>
  <c r="BQ249" i="19"/>
  <c r="BN251" i="19"/>
  <c r="BS250" i="19"/>
  <c r="BT250" i="19" s="1"/>
  <c r="BO250" i="19"/>
  <c r="BP250" i="19" s="1"/>
  <c r="BU250" i="19"/>
  <c r="BV250" i="19" s="1"/>
  <c r="BW250" i="19" s="1"/>
  <c r="AF107" i="7"/>
  <c r="AF419" i="5" s="1"/>
  <c r="AY419" i="5" s="1"/>
  <c r="AY421" i="5" s="1"/>
  <c r="AY423" i="5" s="1"/>
  <c r="AY425" i="5" s="1"/>
  <c r="AD107" i="7"/>
  <c r="AD419" i="5" s="1"/>
  <c r="AW419" i="5" s="1"/>
  <c r="AW421" i="5" s="1"/>
  <c r="AW423" i="5" s="1"/>
  <c r="AW425" i="5" s="1"/>
  <c r="AC108" i="7"/>
  <c r="AC419" i="5"/>
  <c r="BQ250" i="12"/>
  <c r="BP251" i="12"/>
  <c r="BR251" i="12" s="1"/>
  <c r="BO252" i="12"/>
  <c r="BU252" i="12"/>
  <c r="BV252" i="12" s="1"/>
  <c r="BW252" i="12" s="1"/>
  <c r="BS252" i="12"/>
  <c r="BT252" i="12" s="1"/>
  <c r="BN253" i="12"/>
  <c r="Y47" i="13"/>
  <c r="BR250" i="19" l="1"/>
  <c r="BN252" i="18"/>
  <c r="BU251" i="18"/>
  <c r="BV251" i="18" s="1"/>
  <c r="BW251" i="18" s="1"/>
  <c r="BS251" i="18"/>
  <c r="BT251" i="18" s="1"/>
  <c r="BO251" i="18"/>
  <c r="BP251" i="18" s="1"/>
  <c r="BR251" i="18" s="1"/>
  <c r="BQ251" i="18"/>
  <c r="BQ250" i="19"/>
  <c r="BN252" i="19"/>
  <c r="BU251" i="19"/>
  <c r="BV251" i="19" s="1"/>
  <c r="BW251" i="19" s="1"/>
  <c r="BS251" i="19"/>
  <c r="BT251" i="19" s="1"/>
  <c r="BO251" i="19"/>
  <c r="BP251" i="19" s="1"/>
  <c r="BR251" i="19" s="1"/>
  <c r="AC114" i="7"/>
  <c r="AC420" i="5"/>
  <c r="AF108" i="7"/>
  <c r="AF420" i="5" s="1"/>
  <c r="AY420" i="5" s="1"/>
  <c r="AY422" i="5" s="1"/>
  <c r="AY424" i="5" s="1"/>
  <c r="AD108" i="7"/>
  <c r="AD420" i="5" s="1"/>
  <c r="AW420" i="5" s="1"/>
  <c r="AW422" i="5" s="1"/>
  <c r="AW424" i="5" s="1"/>
  <c r="BQ251" i="12"/>
  <c r="BP252" i="12"/>
  <c r="BR252" i="12" s="1"/>
  <c r="BO253" i="12"/>
  <c r="BU253" i="12"/>
  <c r="BV253" i="12" s="1"/>
  <c r="BW253" i="12" s="1"/>
  <c r="BS253" i="12"/>
  <c r="BT253" i="12" s="1"/>
  <c r="BN254" i="12"/>
  <c r="Y48" i="13"/>
  <c r="BU252" i="18" l="1"/>
  <c r="BV252" i="18" s="1"/>
  <c r="BW252" i="18" s="1"/>
  <c r="BO252" i="18"/>
  <c r="BP252" i="18" s="1"/>
  <c r="BR252" i="18" s="1"/>
  <c r="BS252" i="18"/>
  <c r="BT252" i="18" s="1"/>
  <c r="BN253" i="18"/>
  <c r="BQ252" i="18"/>
  <c r="BQ251" i="19"/>
  <c r="BN253" i="19"/>
  <c r="BS252" i="19"/>
  <c r="BT252" i="19" s="1"/>
  <c r="BO252" i="19"/>
  <c r="BP252" i="19" s="1"/>
  <c r="BR252" i="19" s="1"/>
  <c r="BU252" i="19"/>
  <c r="BV252" i="19" s="1"/>
  <c r="BW252" i="19" s="1"/>
  <c r="AF114" i="7"/>
  <c r="AF426" i="5" s="1"/>
  <c r="AY426" i="5" s="1"/>
  <c r="AC115" i="7"/>
  <c r="AR114" i="7"/>
  <c r="AC426" i="5"/>
  <c r="AS114" i="7"/>
  <c r="AD114" i="7"/>
  <c r="AD426" i="5" s="1"/>
  <c r="AW426" i="5" s="1"/>
  <c r="BQ252" i="12"/>
  <c r="BP253" i="12"/>
  <c r="BR253" i="12" s="1"/>
  <c r="BS254" i="12"/>
  <c r="BT254" i="12" s="1"/>
  <c r="BU254" i="12"/>
  <c r="BV254" i="12" s="1"/>
  <c r="BW254" i="12" s="1"/>
  <c r="BO254" i="12"/>
  <c r="BN255" i="12"/>
  <c r="Y49" i="13"/>
  <c r="BN254" i="18" l="1"/>
  <c r="BU253" i="18"/>
  <c r="BV253" i="18" s="1"/>
  <c r="BW253" i="18" s="1"/>
  <c r="BO253" i="18"/>
  <c r="BP253" i="18" s="1"/>
  <c r="BR253" i="18" s="1"/>
  <c r="BS253" i="18"/>
  <c r="BT253" i="18" s="1"/>
  <c r="BQ253" i="18"/>
  <c r="BQ252" i="19"/>
  <c r="BO253" i="19"/>
  <c r="BP253" i="19" s="1"/>
  <c r="BR253" i="19" s="1"/>
  <c r="BU253" i="19"/>
  <c r="BV253" i="19" s="1"/>
  <c r="BW253" i="19" s="1"/>
  <c r="BN254" i="19"/>
  <c r="BS253" i="19"/>
  <c r="BT253" i="19" s="1"/>
  <c r="AC427" i="5"/>
  <c r="AC116" i="7"/>
  <c r="AS115" i="7"/>
  <c r="AF115" i="7"/>
  <c r="AF427" i="5" s="1"/>
  <c r="AY427" i="5" s="1"/>
  <c r="AR115" i="7"/>
  <c r="AD115" i="7"/>
  <c r="AD427" i="5" s="1"/>
  <c r="AW427" i="5" s="1"/>
  <c r="BQ253" i="12"/>
  <c r="BP254" i="12"/>
  <c r="BR254" i="12" s="1"/>
  <c r="BS255" i="12"/>
  <c r="BT255" i="12" s="1"/>
  <c r="BO255" i="12"/>
  <c r="BU255" i="12"/>
  <c r="BV255" i="12" s="1"/>
  <c r="BW255" i="12" s="1"/>
  <c r="BN256" i="12"/>
  <c r="Y50" i="13"/>
  <c r="BS254" i="18" l="1"/>
  <c r="BT254" i="18" s="1"/>
  <c r="BO254" i="18"/>
  <c r="BP254" i="18" s="1"/>
  <c r="BR254" i="18" s="1"/>
  <c r="BN255" i="18"/>
  <c r="BU254" i="18"/>
  <c r="BV254" i="18" s="1"/>
  <c r="BW254" i="18" s="1"/>
  <c r="BQ254" i="18"/>
  <c r="BQ253" i="19"/>
  <c r="BS254" i="19"/>
  <c r="BT254" i="19" s="1"/>
  <c r="BO254" i="19"/>
  <c r="BP254" i="19" s="1"/>
  <c r="BR254" i="19" s="1"/>
  <c r="BU254" i="19"/>
  <c r="BV254" i="19" s="1"/>
  <c r="BW254" i="19" s="1"/>
  <c r="BN255" i="19"/>
  <c r="AF116" i="7"/>
  <c r="AF428" i="5" s="1"/>
  <c r="AY428" i="5" s="1"/>
  <c r="AC117" i="7"/>
  <c r="AR116" i="7"/>
  <c r="AD116" i="7"/>
  <c r="AD428" i="5" s="1"/>
  <c r="AW428" i="5" s="1"/>
  <c r="AS116" i="7"/>
  <c r="AC428" i="5"/>
  <c r="BQ254" i="12"/>
  <c r="BP255" i="12"/>
  <c r="BR255" i="12" s="1"/>
  <c r="BO256" i="12"/>
  <c r="BU256" i="12"/>
  <c r="BV256" i="12" s="1"/>
  <c r="BW256" i="12" s="1"/>
  <c r="BS256" i="12"/>
  <c r="BT256" i="12" s="1"/>
  <c r="BN257" i="12"/>
  <c r="Y51" i="13"/>
  <c r="BN256" i="18" l="1"/>
  <c r="BO255" i="18"/>
  <c r="BP255" i="18" s="1"/>
  <c r="BR255" i="18" s="1"/>
  <c r="BS255" i="18"/>
  <c r="BT255" i="18" s="1"/>
  <c r="BU255" i="18"/>
  <c r="BV255" i="18" s="1"/>
  <c r="BW255" i="18" s="1"/>
  <c r="BQ255" i="18"/>
  <c r="BN256" i="19"/>
  <c r="BU255" i="19"/>
  <c r="BV255" i="19" s="1"/>
  <c r="BW255" i="19" s="1"/>
  <c r="BS255" i="19"/>
  <c r="BT255" i="19" s="1"/>
  <c r="BO255" i="19"/>
  <c r="BP255" i="19" s="1"/>
  <c r="BR255" i="19" s="1"/>
  <c r="BQ254" i="19"/>
  <c r="AC118" i="7"/>
  <c r="AC429" i="5"/>
  <c r="AS117" i="7"/>
  <c r="AF117" i="7"/>
  <c r="AF429" i="5" s="1"/>
  <c r="AY429" i="5" s="1"/>
  <c r="AR117" i="7"/>
  <c r="AD117" i="7"/>
  <c r="AD429" i="5" s="1"/>
  <c r="AW429" i="5" s="1"/>
  <c r="BQ255" i="12"/>
  <c r="BP256" i="12"/>
  <c r="BR256" i="12" s="1"/>
  <c r="BS257" i="12"/>
  <c r="BT257" i="12" s="1"/>
  <c r="BO257" i="12"/>
  <c r="BU257" i="12"/>
  <c r="BV257" i="12" s="1"/>
  <c r="BW257" i="12" s="1"/>
  <c r="BN258" i="12"/>
  <c r="AB21" i="13"/>
  <c r="BS256" i="18" l="1"/>
  <c r="BT256" i="18" s="1"/>
  <c r="BO256" i="18"/>
  <c r="BP256" i="18" s="1"/>
  <c r="BR256" i="18" s="1"/>
  <c r="BN257" i="18"/>
  <c r="BU256" i="18"/>
  <c r="BV256" i="18" s="1"/>
  <c r="BW256" i="18" s="1"/>
  <c r="BQ256" i="18"/>
  <c r="BQ255" i="19"/>
  <c r="BU256" i="19"/>
  <c r="BV256" i="19" s="1"/>
  <c r="BW256" i="19" s="1"/>
  <c r="BS256" i="19"/>
  <c r="BT256" i="19" s="1"/>
  <c r="BN257" i="19"/>
  <c r="BO256" i="19"/>
  <c r="BP256" i="19" s="1"/>
  <c r="BR256" i="19" s="1"/>
  <c r="AR118" i="7"/>
  <c r="AC430" i="5"/>
  <c r="AS118" i="7"/>
  <c r="AF118" i="7"/>
  <c r="AF430" i="5" s="1"/>
  <c r="AY430" i="5" s="1"/>
  <c r="AD118" i="7"/>
  <c r="AD430" i="5" s="1"/>
  <c r="AW430" i="5" s="1"/>
  <c r="AC119" i="7"/>
  <c r="BQ256" i="12"/>
  <c r="BP257" i="12"/>
  <c r="BR257" i="12" s="1"/>
  <c r="BU258" i="12"/>
  <c r="BV258" i="12" s="1"/>
  <c r="BW258" i="12" s="1"/>
  <c r="BS258" i="12"/>
  <c r="BT258" i="12" s="1"/>
  <c r="BO258" i="12"/>
  <c r="BN259" i="12"/>
  <c r="AB22" i="13"/>
  <c r="BN258" i="18" l="1"/>
  <c r="BO257" i="18"/>
  <c r="BP257" i="18" s="1"/>
  <c r="BR257" i="18" s="1"/>
  <c r="BS257" i="18"/>
  <c r="BT257" i="18" s="1"/>
  <c r="BU257" i="18"/>
  <c r="BV257" i="18" s="1"/>
  <c r="BW257" i="18" s="1"/>
  <c r="BQ257" i="18"/>
  <c r="BQ256" i="19"/>
  <c r="BO257" i="19"/>
  <c r="BP257" i="19" s="1"/>
  <c r="BR257" i="19" s="1"/>
  <c r="BN258" i="19"/>
  <c r="BU257" i="19"/>
  <c r="BV257" i="19" s="1"/>
  <c r="BW257" i="19" s="1"/>
  <c r="BS257" i="19"/>
  <c r="BT257" i="19" s="1"/>
  <c r="AD119" i="7"/>
  <c r="AD431" i="5" s="1"/>
  <c r="AW431" i="5" s="1"/>
  <c r="AW433" i="5" s="1"/>
  <c r="AW435" i="5" s="1"/>
  <c r="AW437" i="5" s="1"/>
  <c r="AC120" i="7"/>
  <c r="AF119" i="7"/>
  <c r="AF431" i="5" s="1"/>
  <c r="AY431" i="5" s="1"/>
  <c r="AY433" i="5" s="1"/>
  <c r="AY435" i="5" s="1"/>
  <c r="AY437" i="5" s="1"/>
  <c r="AC431" i="5"/>
  <c r="BQ257" i="12"/>
  <c r="BP258" i="12"/>
  <c r="BR258" i="12" s="1"/>
  <c r="BU259" i="12"/>
  <c r="BV259" i="12" s="1"/>
  <c r="BW259" i="12" s="1"/>
  <c r="BO259" i="12"/>
  <c r="BS259" i="12"/>
  <c r="BT259" i="12" s="1"/>
  <c r="BN260" i="12"/>
  <c r="AB23" i="13"/>
  <c r="BO258" i="18" l="1"/>
  <c r="BP258" i="18" s="1"/>
  <c r="BR258" i="18" s="1"/>
  <c r="BN259" i="18"/>
  <c r="BU258" i="18"/>
  <c r="BV258" i="18" s="1"/>
  <c r="BW258" i="18" s="1"/>
  <c r="BS258" i="18"/>
  <c r="BT258" i="18" s="1"/>
  <c r="BQ258" i="18"/>
  <c r="BQ257" i="19"/>
  <c r="BU258" i="19"/>
  <c r="BV258" i="19" s="1"/>
  <c r="BW258" i="19" s="1"/>
  <c r="BS258" i="19"/>
  <c r="BT258" i="19" s="1"/>
  <c r="BN259" i="19"/>
  <c r="BO258" i="19"/>
  <c r="BP258" i="19" s="1"/>
  <c r="BR258" i="19" s="1"/>
  <c r="AC432" i="5"/>
  <c r="AF120" i="7"/>
  <c r="AF432" i="5" s="1"/>
  <c r="AY432" i="5" s="1"/>
  <c r="AY434" i="5" s="1"/>
  <c r="AY436" i="5" s="1"/>
  <c r="AD120" i="7"/>
  <c r="AD432" i="5" s="1"/>
  <c r="AW432" i="5" s="1"/>
  <c r="AW434" i="5" s="1"/>
  <c r="AW436" i="5" s="1"/>
  <c r="AC126" i="7"/>
  <c r="BQ258" i="12"/>
  <c r="BP259" i="12"/>
  <c r="BR259" i="12" s="1"/>
  <c r="BS260" i="12"/>
  <c r="BT260" i="12" s="1"/>
  <c r="BU260" i="12"/>
  <c r="BV260" i="12" s="1"/>
  <c r="BW260" i="12" s="1"/>
  <c r="BO260" i="12"/>
  <c r="BN261" i="12"/>
  <c r="AB24" i="13"/>
  <c r="BU259" i="18" l="1"/>
  <c r="BV259" i="18" s="1"/>
  <c r="BW259" i="18" s="1"/>
  <c r="BO259" i="18"/>
  <c r="BP259" i="18" s="1"/>
  <c r="BR259" i="18" s="1"/>
  <c r="BS259" i="18"/>
  <c r="BN260" i="18"/>
  <c r="BT259" i="18"/>
  <c r="BQ259" i="18"/>
  <c r="BQ258" i="19"/>
  <c r="BS259" i="19"/>
  <c r="BT259" i="19" s="1"/>
  <c r="BO259" i="19"/>
  <c r="BP259" i="19" s="1"/>
  <c r="BR259" i="19" s="1"/>
  <c r="BU259" i="19"/>
  <c r="BV259" i="19" s="1"/>
  <c r="BW259" i="19" s="1"/>
  <c r="BN260" i="19"/>
  <c r="AC127" i="7"/>
  <c r="AS126" i="7"/>
  <c r="AF126" i="7"/>
  <c r="AF438" i="5" s="1"/>
  <c r="AY438" i="5" s="1"/>
  <c r="AR126" i="7"/>
  <c r="AD126" i="7"/>
  <c r="AD438" i="5" s="1"/>
  <c r="AW438" i="5" s="1"/>
  <c r="AC438" i="5"/>
  <c r="BQ259" i="12"/>
  <c r="BP260" i="12"/>
  <c r="BR260" i="12" s="1"/>
  <c r="BS261" i="12"/>
  <c r="BT261" i="12" s="1"/>
  <c r="BO261" i="12"/>
  <c r="BU261" i="12"/>
  <c r="BV261" i="12" s="1"/>
  <c r="BW261" i="12" s="1"/>
  <c r="BN262" i="12"/>
  <c r="AB25" i="13"/>
  <c r="BS260" i="18" l="1"/>
  <c r="BT260" i="18" s="1"/>
  <c r="BU260" i="18"/>
  <c r="BV260" i="18" s="1"/>
  <c r="BW260" i="18" s="1"/>
  <c r="BO260" i="18"/>
  <c r="BP260" i="18" s="1"/>
  <c r="BR260" i="18" s="1"/>
  <c r="BN261" i="18"/>
  <c r="BQ260" i="18"/>
  <c r="BQ259" i="19"/>
  <c r="BS260" i="19"/>
  <c r="BT260" i="19" s="1"/>
  <c r="BN261" i="19"/>
  <c r="BO260" i="19"/>
  <c r="BP260" i="19" s="1"/>
  <c r="BR260" i="19" s="1"/>
  <c r="BU260" i="19"/>
  <c r="BV260" i="19" s="1"/>
  <c r="BW260" i="19" s="1"/>
  <c r="AC439" i="5"/>
  <c r="AC128" i="7"/>
  <c r="AR127" i="7"/>
  <c r="AF127" i="7"/>
  <c r="AF439" i="5" s="1"/>
  <c r="AY439" i="5" s="1"/>
  <c r="AS127" i="7"/>
  <c r="AD127" i="7"/>
  <c r="AD439" i="5" s="1"/>
  <c r="AW439" i="5" s="1"/>
  <c r="BQ260" i="12"/>
  <c r="BP261" i="12"/>
  <c r="BR261" i="12" s="1"/>
  <c r="BU262" i="12"/>
  <c r="BV262" i="12" s="1"/>
  <c r="BW262" i="12" s="1"/>
  <c r="BO262" i="12"/>
  <c r="BS262" i="12"/>
  <c r="BT262" i="12" s="1"/>
  <c r="BN263" i="12"/>
  <c r="AB26" i="13"/>
  <c r="BU261" i="18" l="1"/>
  <c r="BV261" i="18" s="1"/>
  <c r="BO261" i="18"/>
  <c r="BP261" i="18" s="1"/>
  <c r="BR261" i="18" s="1"/>
  <c r="BN262" i="18"/>
  <c r="BT261" i="18"/>
  <c r="BW261" i="18"/>
  <c r="BS261" i="18"/>
  <c r="BQ261" i="18"/>
  <c r="BU261" i="19"/>
  <c r="BV261" i="19" s="1"/>
  <c r="BW261" i="19" s="1"/>
  <c r="BN262" i="19"/>
  <c r="BS261" i="19"/>
  <c r="BT261" i="19" s="1"/>
  <c r="BO261" i="19"/>
  <c r="BP261" i="19" s="1"/>
  <c r="BR261" i="19" s="1"/>
  <c r="BQ260" i="19"/>
  <c r="AC440" i="5"/>
  <c r="AF128" i="7"/>
  <c r="AF440" i="5" s="1"/>
  <c r="AY440" i="5" s="1"/>
  <c r="AS128" i="7"/>
  <c r="AD128" i="7"/>
  <c r="AD440" i="5" s="1"/>
  <c r="AW440" i="5" s="1"/>
  <c r="AR128" i="7"/>
  <c r="AC129" i="7"/>
  <c r="BQ261" i="12"/>
  <c r="BP262" i="12"/>
  <c r="BQ262" i="12" s="1"/>
  <c r="BU263" i="12"/>
  <c r="BV263" i="12" s="1"/>
  <c r="BW263" i="12" s="1"/>
  <c r="BS263" i="12"/>
  <c r="BT263" i="12" s="1"/>
  <c r="BO263" i="12"/>
  <c r="BP263" i="12" s="1"/>
  <c r="BN264" i="12"/>
  <c r="AB27" i="13"/>
  <c r="BO262" i="18" l="1"/>
  <c r="BP262" i="18" s="1"/>
  <c r="BR262" i="18" s="1"/>
  <c r="BN263" i="18"/>
  <c r="BU262" i="18"/>
  <c r="BV262" i="18" s="1"/>
  <c r="BW262" i="18" s="1"/>
  <c r="BS262" i="18"/>
  <c r="BT262" i="18" s="1"/>
  <c r="BQ262" i="18"/>
  <c r="BQ261" i="19"/>
  <c r="BS262" i="19"/>
  <c r="BT262" i="19" s="1"/>
  <c r="BU262" i="19"/>
  <c r="BV262" i="19" s="1"/>
  <c r="BW262" i="19" s="1"/>
  <c r="BO262" i="19"/>
  <c r="BP262" i="19" s="1"/>
  <c r="BR262" i="19" s="1"/>
  <c r="BN263" i="19"/>
  <c r="AD129" i="7"/>
  <c r="AD441" i="5" s="1"/>
  <c r="AW441" i="5" s="1"/>
  <c r="AC441" i="5"/>
  <c r="AR129" i="7"/>
  <c r="AC130" i="7"/>
  <c r="AS129" i="7"/>
  <c r="AF129" i="7"/>
  <c r="AF441" i="5" s="1"/>
  <c r="AY441" i="5" s="1"/>
  <c r="BR262" i="12"/>
  <c r="BR263" i="12" s="1"/>
  <c r="BU264" i="12"/>
  <c r="BV264" i="12" s="1"/>
  <c r="BW264" i="12" s="1"/>
  <c r="BO264" i="12"/>
  <c r="BS264" i="12"/>
  <c r="BT264" i="12" s="1"/>
  <c r="BN265" i="12"/>
  <c r="BQ263" i="12"/>
  <c r="AB28" i="13"/>
  <c r="BN264" i="18" l="1"/>
  <c r="BO263" i="18"/>
  <c r="BP263" i="18" s="1"/>
  <c r="BR263" i="18" s="1"/>
  <c r="BS263" i="18"/>
  <c r="BT263" i="18" s="1"/>
  <c r="BU263" i="18"/>
  <c r="BV263" i="18" s="1"/>
  <c r="BW263" i="18" s="1"/>
  <c r="BQ263" i="18"/>
  <c r="BQ262" i="19"/>
  <c r="BU263" i="19"/>
  <c r="BV263" i="19" s="1"/>
  <c r="BW263" i="19" s="1"/>
  <c r="BS263" i="19"/>
  <c r="BT263" i="19" s="1"/>
  <c r="BO263" i="19"/>
  <c r="BP263" i="19" s="1"/>
  <c r="BR263" i="19" s="1"/>
  <c r="BN264" i="19"/>
  <c r="AS130" i="7"/>
  <c r="AC131" i="7"/>
  <c r="AR130" i="7"/>
  <c r="AC442" i="5"/>
  <c r="AF130" i="7"/>
  <c r="AF442" i="5" s="1"/>
  <c r="AY442" i="5" s="1"/>
  <c r="AD130" i="7"/>
  <c r="AD442" i="5" s="1"/>
  <c r="AW442" i="5" s="1"/>
  <c r="BP264" i="12"/>
  <c r="BQ264" i="12" s="1"/>
  <c r="BU265" i="12"/>
  <c r="BV265" i="12" s="1"/>
  <c r="BW265" i="12" s="1"/>
  <c r="BS265" i="12"/>
  <c r="BT265" i="12" s="1"/>
  <c r="BO265" i="12"/>
  <c r="BP265" i="12" s="1"/>
  <c r="BN266" i="12"/>
  <c r="AB29" i="13"/>
  <c r="BS264" i="18" l="1"/>
  <c r="BT264" i="18" s="1"/>
  <c r="BN265" i="18"/>
  <c r="BO264" i="18"/>
  <c r="BP264" i="18" s="1"/>
  <c r="BR264" i="18" s="1"/>
  <c r="BU264" i="18"/>
  <c r="BV264" i="18" s="1"/>
  <c r="BW264" i="18" s="1"/>
  <c r="BQ264" i="18"/>
  <c r="BN265" i="19"/>
  <c r="BS264" i="19"/>
  <c r="BT264" i="19" s="1"/>
  <c r="BO264" i="19"/>
  <c r="BP264" i="19" s="1"/>
  <c r="BR264" i="19" s="1"/>
  <c r="BU264" i="19"/>
  <c r="BV264" i="19" s="1"/>
  <c r="BW264" i="19" s="1"/>
  <c r="BQ263" i="19"/>
  <c r="AF131" i="7"/>
  <c r="AF443" i="5" s="1"/>
  <c r="AY443" i="5" s="1"/>
  <c r="AY445" i="5" s="1"/>
  <c r="AY447" i="5" s="1"/>
  <c r="AY449" i="5" s="1"/>
  <c r="AC132" i="7"/>
  <c r="AD131" i="7"/>
  <c r="AD443" i="5" s="1"/>
  <c r="AW443" i="5" s="1"/>
  <c r="AW445" i="5" s="1"/>
  <c r="AW447" i="5" s="1"/>
  <c r="AW449" i="5" s="1"/>
  <c r="AC443" i="5"/>
  <c r="BR264" i="12"/>
  <c r="BR265" i="12" s="1"/>
  <c r="BS266" i="12"/>
  <c r="BT266" i="12" s="1"/>
  <c r="BU266" i="12"/>
  <c r="BV266" i="12" s="1"/>
  <c r="BW266" i="12" s="1"/>
  <c r="BO266" i="12"/>
  <c r="BN267" i="12"/>
  <c r="BQ265" i="12"/>
  <c r="AB30" i="13"/>
  <c r="BN266" i="18" l="1"/>
  <c r="BO265" i="18"/>
  <c r="BP265" i="18" s="1"/>
  <c r="BR265" i="18" s="1"/>
  <c r="BS265" i="18"/>
  <c r="BT265" i="18" s="1"/>
  <c r="BU265" i="18"/>
  <c r="BV265" i="18" s="1"/>
  <c r="BW265" i="18" s="1"/>
  <c r="BQ265" i="18"/>
  <c r="BQ264" i="19"/>
  <c r="BU265" i="19"/>
  <c r="BV265" i="19" s="1"/>
  <c r="BW265" i="19" s="1"/>
  <c r="BN266" i="19"/>
  <c r="BS265" i="19"/>
  <c r="BT265" i="19" s="1"/>
  <c r="BO265" i="19"/>
  <c r="BP265" i="19" s="1"/>
  <c r="BR265" i="19" s="1"/>
  <c r="AD132" i="7"/>
  <c r="AD444" i="5" s="1"/>
  <c r="AW444" i="5" s="1"/>
  <c r="AW446" i="5" s="1"/>
  <c r="AW448" i="5" s="1"/>
  <c r="AF132" i="7"/>
  <c r="AF444" i="5" s="1"/>
  <c r="AY444" i="5" s="1"/>
  <c r="AY446" i="5" s="1"/>
  <c r="AY448" i="5" s="1"/>
  <c r="AC138" i="7"/>
  <c r="AC444" i="5"/>
  <c r="BP266" i="12"/>
  <c r="BR266" i="12" s="1"/>
  <c r="BS267" i="12"/>
  <c r="BT267" i="12" s="1"/>
  <c r="BO267" i="12"/>
  <c r="BP267" i="12" s="1"/>
  <c r="BU267" i="12"/>
  <c r="BV267" i="12" s="1"/>
  <c r="BW267" i="12" s="1"/>
  <c r="BN268" i="12"/>
  <c r="AB31" i="13"/>
  <c r="BN267" i="18" l="1"/>
  <c r="BO266" i="18"/>
  <c r="BP266" i="18" s="1"/>
  <c r="BR266" i="18" s="1"/>
  <c r="BU266" i="18"/>
  <c r="BV266" i="18" s="1"/>
  <c r="BW266" i="18" s="1"/>
  <c r="BS266" i="18"/>
  <c r="BT266" i="18" s="1"/>
  <c r="BQ266" i="18"/>
  <c r="BQ265" i="19"/>
  <c r="BN267" i="19"/>
  <c r="BS266" i="19"/>
  <c r="BT266" i="19" s="1"/>
  <c r="BO266" i="19"/>
  <c r="BP266" i="19" s="1"/>
  <c r="BR266" i="19" s="1"/>
  <c r="BU266" i="19"/>
  <c r="BV266" i="19" s="1"/>
  <c r="BW266" i="19" s="1"/>
  <c r="AC450" i="5"/>
  <c r="AD138" i="7"/>
  <c r="AD450" i="5" s="1"/>
  <c r="AW450" i="5" s="1"/>
  <c r="AR138" i="7"/>
  <c r="AF138" i="7"/>
  <c r="AF450" i="5" s="1"/>
  <c r="AY450" i="5" s="1"/>
  <c r="AS138" i="7"/>
  <c r="AC139" i="7"/>
  <c r="BQ266" i="12"/>
  <c r="BS268" i="12"/>
  <c r="BT268" i="12" s="1"/>
  <c r="BU268" i="12"/>
  <c r="BV268" i="12" s="1"/>
  <c r="BW268" i="12" s="1"/>
  <c r="BO268" i="12"/>
  <c r="BP268" i="12" s="1"/>
  <c r="BN269" i="12"/>
  <c r="BQ267" i="12"/>
  <c r="BR267" i="12"/>
  <c r="AB32" i="13"/>
  <c r="BU267" i="18" l="1"/>
  <c r="BV267" i="18" s="1"/>
  <c r="BW267" i="18" s="1"/>
  <c r="BN268" i="18"/>
  <c r="BT267" i="18"/>
  <c r="BO267" i="18"/>
  <c r="BP267" i="18" s="1"/>
  <c r="BR267" i="18" s="1"/>
  <c r="BS267" i="18"/>
  <c r="BQ267" i="18"/>
  <c r="BQ266" i="19"/>
  <c r="BN268" i="19"/>
  <c r="BU267" i="19"/>
  <c r="BV267" i="19" s="1"/>
  <c r="BW267" i="19" s="1"/>
  <c r="BS267" i="19"/>
  <c r="BT267" i="19" s="1"/>
  <c r="BO267" i="19"/>
  <c r="BP267" i="19" s="1"/>
  <c r="BR267" i="19" s="1"/>
  <c r="AF139" i="7"/>
  <c r="AF451" i="5" s="1"/>
  <c r="AY451" i="5" s="1"/>
  <c r="AD139" i="7"/>
  <c r="AD451" i="5" s="1"/>
  <c r="AW451" i="5" s="1"/>
  <c r="AS139" i="7"/>
  <c r="AC140" i="7"/>
  <c r="AR139" i="7"/>
  <c r="AC451" i="5"/>
  <c r="BQ268" i="12"/>
  <c r="BO269" i="12"/>
  <c r="BP269" i="12" s="1"/>
  <c r="BU269" i="12"/>
  <c r="BV269" i="12" s="1"/>
  <c r="BW269" i="12" s="1"/>
  <c r="BS269" i="12"/>
  <c r="BT269" i="12" s="1"/>
  <c r="BN270" i="12"/>
  <c r="BR268" i="12"/>
  <c r="AB33" i="13"/>
  <c r="BS268" i="18" l="1"/>
  <c r="BT268" i="18" s="1"/>
  <c r="BN269" i="18"/>
  <c r="BO268" i="18"/>
  <c r="BP268" i="18" s="1"/>
  <c r="BR268" i="18" s="1"/>
  <c r="BU268" i="18"/>
  <c r="BV268" i="18" s="1"/>
  <c r="BW268" i="18" s="1"/>
  <c r="BQ268" i="18"/>
  <c r="BQ267" i="19"/>
  <c r="BN269" i="19"/>
  <c r="BS268" i="19"/>
  <c r="BT268" i="19" s="1"/>
  <c r="BO268" i="19"/>
  <c r="BP268" i="19" s="1"/>
  <c r="BR268" i="19" s="1"/>
  <c r="BU268" i="19"/>
  <c r="BV268" i="19" s="1"/>
  <c r="BW268" i="19" s="1"/>
  <c r="AF140" i="7"/>
  <c r="AF452" i="5" s="1"/>
  <c r="AY452" i="5" s="1"/>
  <c r="AC141" i="7"/>
  <c r="AR140" i="7"/>
  <c r="AD140" i="7"/>
  <c r="AD452" i="5" s="1"/>
  <c r="AW452" i="5" s="1"/>
  <c r="AS140" i="7"/>
  <c r="AC452" i="5"/>
  <c r="BR269" i="12"/>
  <c r="BQ269" i="12"/>
  <c r="BU270" i="12"/>
  <c r="BV270" i="12" s="1"/>
  <c r="BW270" i="12" s="1"/>
  <c r="BO270" i="12"/>
  <c r="BS270" i="12"/>
  <c r="BT270" i="12" s="1"/>
  <c r="BN271" i="12"/>
  <c r="AB34" i="13"/>
  <c r="BO269" i="18" l="1"/>
  <c r="BP269" i="18" s="1"/>
  <c r="BR269" i="18" s="1"/>
  <c r="BU269" i="18"/>
  <c r="BV269" i="18" s="1"/>
  <c r="BW269" i="18" s="1"/>
  <c r="BS269" i="18"/>
  <c r="BT269" i="18" s="1"/>
  <c r="BN270" i="18"/>
  <c r="BQ269" i="18"/>
  <c r="BQ268" i="19"/>
  <c r="BO269" i="19"/>
  <c r="BP269" i="19" s="1"/>
  <c r="BR269" i="19" s="1"/>
  <c r="BU269" i="19"/>
  <c r="BV269" i="19" s="1"/>
  <c r="BW269" i="19" s="1"/>
  <c r="BN270" i="19"/>
  <c r="BS269" i="19"/>
  <c r="BT269" i="19" s="1"/>
  <c r="AF141" i="7"/>
  <c r="AF453" i="5" s="1"/>
  <c r="AY453" i="5" s="1"/>
  <c r="AD141" i="7"/>
  <c r="AD453" i="5" s="1"/>
  <c r="AW453" i="5" s="1"/>
  <c r="AS141" i="7"/>
  <c r="AC453" i="5"/>
  <c r="AR141" i="7"/>
  <c r="AC142" i="7"/>
  <c r="BP270" i="12"/>
  <c r="BQ270" i="12" s="1"/>
  <c r="BU271" i="12"/>
  <c r="BV271" i="12" s="1"/>
  <c r="BW271" i="12" s="1"/>
  <c r="BS271" i="12"/>
  <c r="BT271" i="12" s="1"/>
  <c r="BO271" i="12"/>
  <c r="BP271" i="12" s="1"/>
  <c r="BN272" i="12"/>
  <c r="AB35" i="13"/>
  <c r="BO270" i="18" l="1"/>
  <c r="BP270" i="18" s="1"/>
  <c r="BR270" i="18" s="1"/>
  <c r="BN271" i="18"/>
  <c r="BS270" i="18"/>
  <c r="BT270" i="18" s="1"/>
  <c r="BU270" i="18"/>
  <c r="BV270" i="18" s="1"/>
  <c r="BW270" i="18" s="1"/>
  <c r="BQ270" i="18"/>
  <c r="BQ269" i="19"/>
  <c r="BO270" i="19"/>
  <c r="BP270" i="19" s="1"/>
  <c r="BR270" i="19" s="1"/>
  <c r="BU270" i="19"/>
  <c r="BV270" i="19" s="1"/>
  <c r="BW270" i="19" s="1"/>
  <c r="BN271" i="19"/>
  <c r="BS270" i="19"/>
  <c r="BT270" i="19" s="1"/>
  <c r="AS142" i="7"/>
  <c r="AC454" i="5"/>
  <c r="AF142" i="7"/>
  <c r="AF454" i="5" s="1"/>
  <c r="AY454" i="5" s="1"/>
  <c r="AR142" i="7"/>
  <c r="AC143" i="7"/>
  <c r="AD142" i="7"/>
  <c r="AD454" i="5" s="1"/>
  <c r="AW454" i="5" s="1"/>
  <c r="BR270" i="12"/>
  <c r="BR271" i="12" s="1"/>
  <c r="BQ271" i="12"/>
  <c r="BS272" i="12"/>
  <c r="BT272" i="12" s="1"/>
  <c r="BU272" i="12"/>
  <c r="BV272" i="12" s="1"/>
  <c r="BW272" i="12" s="1"/>
  <c r="BO272" i="12"/>
  <c r="BP272" i="12" s="1"/>
  <c r="BN273" i="12"/>
  <c r="AB36" i="13"/>
  <c r="BU271" i="18" l="1"/>
  <c r="BV271" i="18" s="1"/>
  <c r="BW271" i="18" s="1"/>
  <c r="BS271" i="18"/>
  <c r="BT271" i="18" s="1"/>
  <c r="BN272" i="18"/>
  <c r="BO271" i="18"/>
  <c r="BP271" i="18" s="1"/>
  <c r="BR271" i="18" s="1"/>
  <c r="BQ271" i="18"/>
  <c r="BQ270" i="19"/>
  <c r="BN272" i="19"/>
  <c r="BS271" i="19"/>
  <c r="BT271" i="19" s="1"/>
  <c r="BO271" i="19"/>
  <c r="BP271" i="19" s="1"/>
  <c r="BR271" i="19" s="1"/>
  <c r="BU271" i="19"/>
  <c r="BV271" i="19" s="1"/>
  <c r="BW271" i="19" s="1"/>
  <c r="AF143" i="7"/>
  <c r="AF455" i="5" s="1"/>
  <c r="AY455" i="5" s="1"/>
  <c r="AY457" i="5" s="1"/>
  <c r="AY459" i="5" s="1"/>
  <c r="AY461" i="5" s="1"/>
  <c r="AD143" i="7"/>
  <c r="AD455" i="5" s="1"/>
  <c r="AW455" i="5" s="1"/>
  <c r="AW457" i="5" s="1"/>
  <c r="AW459" i="5" s="1"/>
  <c r="AW461" i="5" s="1"/>
  <c r="AC144" i="7"/>
  <c r="AC455" i="5"/>
  <c r="BR272" i="12"/>
  <c r="BO273" i="12"/>
  <c r="BP273" i="12" s="1"/>
  <c r="BU273" i="12"/>
  <c r="BV273" i="12" s="1"/>
  <c r="BW273" i="12" s="1"/>
  <c r="BS273" i="12"/>
  <c r="BT273" i="12" s="1"/>
  <c r="BN274" i="12"/>
  <c r="BQ272" i="12"/>
  <c r="AB37" i="13"/>
  <c r="BU272" i="18" l="1"/>
  <c r="BV272" i="18" s="1"/>
  <c r="BW272" i="18" s="1"/>
  <c r="BN273" i="18"/>
  <c r="BS272" i="18"/>
  <c r="BT272" i="18" s="1"/>
  <c r="BO272" i="18"/>
  <c r="BP272" i="18" s="1"/>
  <c r="BR272" i="18" s="1"/>
  <c r="BQ272" i="18"/>
  <c r="BQ271" i="19"/>
  <c r="BO272" i="19"/>
  <c r="BP272" i="19" s="1"/>
  <c r="BR272" i="19" s="1"/>
  <c r="BS272" i="19"/>
  <c r="BT272" i="19" s="1"/>
  <c r="BN273" i="19"/>
  <c r="BU272" i="19"/>
  <c r="BV272" i="19" s="1"/>
  <c r="BW272" i="19" s="1"/>
  <c r="AC150" i="7"/>
  <c r="AD144" i="7"/>
  <c r="AD456" i="5" s="1"/>
  <c r="AW456" i="5" s="1"/>
  <c r="AW458" i="5" s="1"/>
  <c r="AW460" i="5" s="1"/>
  <c r="AF144" i="7"/>
  <c r="AF456" i="5" s="1"/>
  <c r="AY456" i="5" s="1"/>
  <c r="AY458" i="5" s="1"/>
  <c r="AY460" i="5" s="1"/>
  <c r="AC456" i="5"/>
  <c r="BU274" i="12"/>
  <c r="BV274" i="12" s="1"/>
  <c r="BW274" i="12" s="1"/>
  <c r="BO274" i="12"/>
  <c r="BS274" i="12"/>
  <c r="BT274" i="12" s="1"/>
  <c r="BN275" i="12"/>
  <c r="BQ273" i="12"/>
  <c r="BR273" i="12"/>
  <c r="AB38" i="13"/>
  <c r="BU273" i="18" l="1"/>
  <c r="BV273" i="18" s="1"/>
  <c r="BW273" i="18" s="1"/>
  <c r="BS273" i="18"/>
  <c r="BT273" i="18" s="1"/>
  <c r="BN274" i="18"/>
  <c r="BO273" i="18"/>
  <c r="BP273" i="18" s="1"/>
  <c r="BR273" i="18" s="1"/>
  <c r="BQ273" i="18"/>
  <c r="BQ272" i="19"/>
  <c r="BS273" i="19"/>
  <c r="BT273" i="19" s="1"/>
  <c r="BO273" i="19"/>
  <c r="BP273" i="19" s="1"/>
  <c r="BR273" i="19" s="1"/>
  <c r="BN274" i="19"/>
  <c r="BU273" i="19"/>
  <c r="BV273" i="19" s="1"/>
  <c r="BW273" i="19" s="1"/>
  <c r="AD150" i="7"/>
  <c r="AD462" i="5" s="1"/>
  <c r="AW462" i="5" s="1"/>
  <c r="AC462" i="5"/>
  <c r="AS150" i="7"/>
  <c r="AC151" i="7"/>
  <c r="AR150" i="7"/>
  <c r="AF150" i="7"/>
  <c r="AF462" i="5" s="1"/>
  <c r="AY462" i="5" s="1"/>
  <c r="BP274" i="12"/>
  <c r="BQ274" i="12" s="1"/>
  <c r="BU275" i="12"/>
  <c r="BV275" i="12" s="1"/>
  <c r="BW275" i="12" s="1"/>
  <c r="BS275" i="12"/>
  <c r="BT275" i="12" s="1"/>
  <c r="BO275" i="12"/>
  <c r="BP275" i="12" s="1"/>
  <c r="BN276" i="12"/>
  <c r="AB39" i="13"/>
  <c r="BN275" i="18" l="1"/>
  <c r="BS274" i="18"/>
  <c r="BT274" i="18" s="1"/>
  <c r="BO274" i="18"/>
  <c r="BP274" i="18" s="1"/>
  <c r="BR274" i="18" s="1"/>
  <c r="BU274" i="18"/>
  <c r="BV274" i="18" s="1"/>
  <c r="BW274" i="18" s="1"/>
  <c r="BQ274" i="18"/>
  <c r="BQ273" i="19"/>
  <c r="BU274" i="19"/>
  <c r="BV274" i="19" s="1"/>
  <c r="BW274" i="19" s="1"/>
  <c r="BO274" i="19"/>
  <c r="BP274" i="19" s="1"/>
  <c r="BR274" i="19" s="1"/>
  <c r="BN275" i="19"/>
  <c r="BS274" i="19"/>
  <c r="BT274" i="19" s="1"/>
  <c r="AF151" i="7"/>
  <c r="AF463" i="5" s="1"/>
  <c r="AY463" i="5" s="1"/>
  <c r="AC152" i="7"/>
  <c r="AR151" i="7"/>
  <c r="AC463" i="5"/>
  <c r="AS151" i="7"/>
  <c r="AD151" i="7"/>
  <c r="AD463" i="5" s="1"/>
  <c r="AW463" i="5" s="1"/>
  <c r="BR274" i="12"/>
  <c r="BR275" i="12" s="1"/>
  <c r="BS276" i="12"/>
  <c r="BT276" i="12" s="1"/>
  <c r="BU276" i="12"/>
  <c r="BV276" i="12" s="1"/>
  <c r="BW276" i="12" s="1"/>
  <c r="BO276" i="12"/>
  <c r="BP276" i="12" s="1"/>
  <c r="BN277" i="12"/>
  <c r="BQ275" i="12"/>
  <c r="AB40" i="13"/>
  <c r="BN276" i="18" l="1"/>
  <c r="BO275" i="18"/>
  <c r="BP275" i="18" s="1"/>
  <c r="BR275" i="18" s="1"/>
  <c r="BU275" i="18"/>
  <c r="BV275" i="18" s="1"/>
  <c r="BW275" i="18" s="1"/>
  <c r="BS275" i="18"/>
  <c r="BT275" i="18" s="1"/>
  <c r="BQ275" i="18"/>
  <c r="BQ274" i="19"/>
  <c r="BO275" i="19"/>
  <c r="BP275" i="19" s="1"/>
  <c r="BR275" i="19" s="1"/>
  <c r="BS275" i="19"/>
  <c r="BT275" i="19" s="1"/>
  <c r="BN276" i="19"/>
  <c r="BU275" i="19"/>
  <c r="BV275" i="19" s="1"/>
  <c r="BW275" i="19" s="1"/>
  <c r="AC153" i="7"/>
  <c r="AF152" i="7"/>
  <c r="AF464" i="5" s="1"/>
  <c r="AY464" i="5" s="1"/>
  <c r="AS152" i="7"/>
  <c r="AD152" i="7"/>
  <c r="AD464" i="5" s="1"/>
  <c r="AW464" i="5" s="1"/>
  <c r="AR152" i="7"/>
  <c r="AC464" i="5"/>
  <c r="BR276" i="12"/>
  <c r="BO277" i="12"/>
  <c r="BP277" i="12" s="1"/>
  <c r="BU277" i="12"/>
  <c r="BV277" i="12" s="1"/>
  <c r="BW277" i="12" s="1"/>
  <c r="BS277" i="12"/>
  <c r="BT277" i="12" s="1"/>
  <c r="BN278" i="12"/>
  <c r="AB41" i="13"/>
  <c r="BS276" i="18" l="1"/>
  <c r="BT276" i="18" s="1"/>
  <c r="BN277" i="18"/>
  <c r="BO276" i="18"/>
  <c r="BP276" i="18" s="1"/>
  <c r="BR276" i="18" s="1"/>
  <c r="BU276" i="18"/>
  <c r="BV276" i="18" s="1"/>
  <c r="BW276" i="18" s="1"/>
  <c r="BQ276" i="18"/>
  <c r="BQ275" i="19"/>
  <c r="BU276" i="19"/>
  <c r="BV276" i="19" s="1"/>
  <c r="BW276" i="19" s="1"/>
  <c r="BO276" i="19"/>
  <c r="BP276" i="19" s="1"/>
  <c r="BR276" i="19" s="1"/>
  <c r="BN277" i="19"/>
  <c r="BS276" i="19"/>
  <c r="BT276" i="19" s="1"/>
  <c r="AD153" i="7"/>
  <c r="AD465" i="5" s="1"/>
  <c r="AW465" i="5" s="1"/>
  <c r="AR153" i="7"/>
  <c r="AC465" i="5"/>
  <c r="AF153" i="7"/>
  <c r="AF465" i="5" s="1"/>
  <c r="AY465" i="5" s="1"/>
  <c r="AS153" i="7"/>
  <c r="AC154" i="7"/>
  <c r="BU278" i="12"/>
  <c r="BV278" i="12" s="1"/>
  <c r="BW278" i="12" s="1"/>
  <c r="BO278" i="12"/>
  <c r="BS278" i="12"/>
  <c r="BT278" i="12" s="1"/>
  <c r="BN279" i="12"/>
  <c r="BQ277" i="12"/>
  <c r="BR277" i="12"/>
  <c r="BQ276" i="12"/>
  <c r="AB42" i="13"/>
  <c r="BO277" i="18" l="1"/>
  <c r="BP277" i="18" s="1"/>
  <c r="BR277" i="18" s="1"/>
  <c r="BU277" i="18"/>
  <c r="BV277" i="18" s="1"/>
  <c r="BW277" i="18" s="1"/>
  <c r="BS277" i="18"/>
  <c r="BT277" i="18" s="1"/>
  <c r="BN278" i="18"/>
  <c r="BQ277" i="18"/>
  <c r="BQ276" i="19"/>
  <c r="BO277" i="19"/>
  <c r="BP277" i="19" s="1"/>
  <c r="BR277" i="19" s="1"/>
  <c r="BS277" i="19"/>
  <c r="BT277" i="19" s="1"/>
  <c r="BU277" i="19"/>
  <c r="BV277" i="19" s="1"/>
  <c r="BW277" i="19" s="1"/>
  <c r="BN278" i="19"/>
  <c r="AS154" i="7"/>
  <c r="AR154" i="7"/>
  <c r="AC466" i="5"/>
  <c r="AF154" i="7"/>
  <c r="AF466" i="5" s="1"/>
  <c r="AY466" i="5" s="1"/>
  <c r="AD154" i="7"/>
  <c r="AD466" i="5" s="1"/>
  <c r="AW466" i="5" s="1"/>
  <c r="AC155" i="7"/>
  <c r="BP278" i="12"/>
  <c r="BQ278" i="12" s="1"/>
  <c r="BU279" i="12"/>
  <c r="BV279" i="12" s="1"/>
  <c r="BW279" i="12" s="1"/>
  <c r="BS279" i="12"/>
  <c r="BT279" i="12" s="1"/>
  <c r="BO279" i="12"/>
  <c r="BP279" i="12" s="1"/>
  <c r="BN280" i="12"/>
  <c r="AB43" i="13"/>
  <c r="BU278" i="18" l="1"/>
  <c r="BV278" i="18" s="1"/>
  <c r="BW278" i="18" s="1"/>
  <c r="BN279" i="18"/>
  <c r="BS278" i="18"/>
  <c r="BT278" i="18" s="1"/>
  <c r="BO278" i="18"/>
  <c r="BP278" i="18" s="1"/>
  <c r="BR278" i="18" s="1"/>
  <c r="BQ278" i="18"/>
  <c r="BQ277" i="19"/>
  <c r="BU278" i="19"/>
  <c r="BV278" i="19" s="1"/>
  <c r="BW278" i="19" s="1"/>
  <c r="BN279" i="19"/>
  <c r="BS278" i="19"/>
  <c r="BT278" i="19" s="1"/>
  <c r="BO278" i="19"/>
  <c r="BP278" i="19" s="1"/>
  <c r="BR278" i="19" s="1"/>
  <c r="AF155" i="7"/>
  <c r="AF467" i="5" s="1"/>
  <c r="AY467" i="5" s="1"/>
  <c r="AY469" i="5" s="1"/>
  <c r="AY471" i="5" s="1"/>
  <c r="AY473" i="5" s="1"/>
  <c r="AC156" i="7"/>
  <c r="AC467" i="5"/>
  <c r="AD155" i="7"/>
  <c r="AD467" i="5" s="1"/>
  <c r="AW467" i="5" s="1"/>
  <c r="AW469" i="5" s="1"/>
  <c r="AW471" i="5" s="1"/>
  <c r="AW473" i="5" s="1"/>
  <c r="BR278" i="12"/>
  <c r="BR279" i="12" s="1"/>
  <c r="BU280" i="12"/>
  <c r="BV280" i="12" s="1"/>
  <c r="BW280" i="12" s="1"/>
  <c r="BS280" i="12"/>
  <c r="BT280" i="12" s="1"/>
  <c r="BO280" i="12"/>
  <c r="BP280" i="12" s="1"/>
  <c r="BN281" i="12"/>
  <c r="BQ279" i="12"/>
  <c r="AB44" i="13"/>
  <c r="BU279" i="18" l="1"/>
  <c r="BV279" i="18" s="1"/>
  <c r="BW279" i="18" s="1"/>
  <c r="BS279" i="18"/>
  <c r="BT279" i="18" s="1"/>
  <c r="BN280" i="18"/>
  <c r="BO279" i="18"/>
  <c r="BP279" i="18" s="1"/>
  <c r="BR279" i="18" s="1"/>
  <c r="BQ279" i="18"/>
  <c r="BQ278" i="19"/>
  <c r="BN280" i="19"/>
  <c r="BU279" i="19"/>
  <c r="BV279" i="19" s="1"/>
  <c r="BW279" i="19" s="1"/>
  <c r="BO279" i="19"/>
  <c r="BP279" i="19" s="1"/>
  <c r="BR279" i="19" s="1"/>
  <c r="BS279" i="19"/>
  <c r="BT279" i="19" s="1"/>
  <c r="AD156" i="7"/>
  <c r="AD468" i="5" s="1"/>
  <c r="AW468" i="5" s="1"/>
  <c r="AW470" i="5" s="1"/>
  <c r="AW472" i="5" s="1"/>
  <c r="AC162" i="7"/>
  <c r="AC468" i="5"/>
  <c r="AF156" i="7"/>
  <c r="AF468" i="5" s="1"/>
  <c r="AY468" i="5" s="1"/>
  <c r="AY470" i="5" s="1"/>
  <c r="AY472" i="5" s="1"/>
  <c r="BR280" i="12"/>
  <c r="BQ280" i="12"/>
  <c r="BS281" i="12"/>
  <c r="BT281" i="12" s="1"/>
  <c r="BO281" i="12"/>
  <c r="BP281" i="12" s="1"/>
  <c r="BU281" i="12"/>
  <c r="BV281" i="12" s="1"/>
  <c r="BW281" i="12" s="1"/>
  <c r="BN282" i="12"/>
  <c r="AB45" i="13"/>
  <c r="BU280" i="18" l="1"/>
  <c r="BV280" i="18" s="1"/>
  <c r="BW280" i="18" s="1"/>
  <c r="BN281" i="18"/>
  <c r="BS280" i="18"/>
  <c r="BT280" i="18" s="1"/>
  <c r="BO280" i="18"/>
  <c r="BP280" i="18" s="1"/>
  <c r="BR280" i="18" s="1"/>
  <c r="BQ280" i="18"/>
  <c r="BQ279" i="19"/>
  <c r="BS280" i="19"/>
  <c r="BT280" i="19" s="1"/>
  <c r="BU280" i="19"/>
  <c r="BV280" i="19" s="1"/>
  <c r="BW280" i="19" s="1"/>
  <c r="BO280" i="19"/>
  <c r="BP280" i="19" s="1"/>
  <c r="BR280" i="19" s="1"/>
  <c r="BN281" i="19"/>
  <c r="AR162" i="7"/>
  <c r="AS162" i="7"/>
  <c r="AC474" i="5"/>
  <c r="AC163" i="7"/>
  <c r="AF162" i="7"/>
  <c r="AF474" i="5" s="1"/>
  <c r="AY474" i="5" s="1"/>
  <c r="AD162" i="7"/>
  <c r="AD474" i="5" s="1"/>
  <c r="AW474" i="5" s="1"/>
  <c r="BQ281" i="12"/>
  <c r="BU282" i="12"/>
  <c r="BV282" i="12" s="1"/>
  <c r="BW282" i="12" s="1"/>
  <c r="BO282" i="12"/>
  <c r="BP282" i="12" s="1"/>
  <c r="BS282" i="12"/>
  <c r="BT282" i="12" s="1"/>
  <c r="BN283" i="12"/>
  <c r="BR281" i="12"/>
  <c r="AB46" i="13"/>
  <c r="BU281" i="18" l="1"/>
  <c r="BV281" i="18" s="1"/>
  <c r="BW281" i="18" s="1"/>
  <c r="BS281" i="18"/>
  <c r="BT281" i="18" s="1"/>
  <c r="BN282" i="18"/>
  <c r="BO281" i="18"/>
  <c r="BP281" i="18" s="1"/>
  <c r="BR281" i="18" s="1"/>
  <c r="BQ281" i="18"/>
  <c r="BQ280" i="19"/>
  <c r="BU281" i="19"/>
  <c r="BV281" i="19" s="1"/>
  <c r="BW281" i="19" s="1"/>
  <c r="BS281" i="19"/>
  <c r="BT281" i="19" s="1"/>
  <c r="BO281" i="19"/>
  <c r="BP281" i="19" s="1"/>
  <c r="BR281" i="19" s="1"/>
  <c r="BN282" i="19"/>
  <c r="AS163" i="7"/>
  <c r="AR163" i="7"/>
  <c r="AF163" i="7"/>
  <c r="AF475" i="5" s="1"/>
  <c r="AY475" i="5" s="1"/>
  <c r="AC475" i="5"/>
  <c r="AD163" i="7"/>
  <c r="AD475" i="5" s="1"/>
  <c r="AW475" i="5" s="1"/>
  <c r="AC164" i="7"/>
  <c r="BR282" i="12"/>
  <c r="BQ282" i="12"/>
  <c r="BS283" i="12"/>
  <c r="BT283" i="12" s="1"/>
  <c r="BU283" i="12"/>
  <c r="BV283" i="12" s="1"/>
  <c r="BW283" i="12" s="1"/>
  <c r="BO283" i="12"/>
  <c r="BN284" i="12"/>
  <c r="AB47" i="13"/>
  <c r="BU282" i="18" l="1"/>
  <c r="BV282" i="18" s="1"/>
  <c r="BW282" i="18" s="1"/>
  <c r="BS282" i="18"/>
  <c r="BT282" i="18" s="1"/>
  <c r="BO282" i="18"/>
  <c r="BP282" i="18" s="1"/>
  <c r="BR282" i="18" s="1"/>
  <c r="BN283" i="18"/>
  <c r="BQ282" i="18"/>
  <c r="BQ281" i="19"/>
  <c r="BS282" i="19"/>
  <c r="BT282" i="19" s="1"/>
  <c r="BU282" i="19"/>
  <c r="BV282" i="19" s="1"/>
  <c r="BW282" i="19" s="1"/>
  <c r="BO282" i="19"/>
  <c r="BP282" i="19" s="1"/>
  <c r="BR282" i="19" s="1"/>
  <c r="BN283" i="19"/>
  <c r="AR164" i="7"/>
  <c r="AS164" i="7"/>
  <c r="AF164" i="7"/>
  <c r="AF476" i="5" s="1"/>
  <c r="AY476" i="5" s="1"/>
  <c r="AD164" i="7"/>
  <c r="AD476" i="5" s="1"/>
  <c r="AW476" i="5" s="1"/>
  <c r="AC476" i="5"/>
  <c r="AC165" i="7"/>
  <c r="BP283" i="12"/>
  <c r="BR283" i="12" s="1"/>
  <c r="BU284" i="12"/>
  <c r="BV284" i="12" s="1"/>
  <c r="BW284" i="12" s="1"/>
  <c r="BO284" i="12"/>
  <c r="BS284" i="12"/>
  <c r="BT284" i="12" s="1"/>
  <c r="BN285" i="12"/>
  <c r="AB48" i="13"/>
  <c r="BO283" i="18" l="1"/>
  <c r="BP283" i="18" s="1"/>
  <c r="BR283" i="18" s="1"/>
  <c r="BN284" i="18"/>
  <c r="BU283" i="18"/>
  <c r="BV283" i="18" s="1"/>
  <c r="BW283" i="18" s="1"/>
  <c r="BS283" i="18"/>
  <c r="BT283" i="18" s="1"/>
  <c r="BQ283" i="18"/>
  <c r="BO283" i="19"/>
  <c r="BP283" i="19" s="1"/>
  <c r="BR283" i="19" s="1"/>
  <c r="BN284" i="19"/>
  <c r="BU283" i="19"/>
  <c r="BV283" i="19" s="1"/>
  <c r="BW283" i="19" s="1"/>
  <c r="BS283" i="19"/>
  <c r="BT283" i="19" s="1"/>
  <c r="BQ282" i="19"/>
  <c r="AS165" i="7"/>
  <c r="AR165" i="7"/>
  <c r="AC166" i="7"/>
  <c r="AF165" i="7"/>
  <c r="AF477" i="5" s="1"/>
  <c r="AY477" i="5" s="1"/>
  <c r="AD165" i="7"/>
  <c r="AD477" i="5" s="1"/>
  <c r="AW477" i="5" s="1"/>
  <c r="AC477" i="5"/>
  <c r="BQ283" i="12"/>
  <c r="BP284" i="12"/>
  <c r="BR284" i="12" s="1"/>
  <c r="BU285" i="12"/>
  <c r="BV285" i="12" s="1"/>
  <c r="BW285" i="12" s="1"/>
  <c r="BS285" i="12"/>
  <c r="BT285" i="12" s="1"/>
  <c r="BO285" i="12"/>
  <c r="BN286" i="12"/>
  <c r="AB49" i="13"/>
  <c r="BU284" i="18" l="1"/>
  <c r="BV284" i="18" s="1"/>
  <c r="BW284" i="18" s="1"/>
  <c r="BS284" i="18"/>
  <c r="BT284" i="18" s="1"/>
  <c r="BO284" i="18"/>
  <c r="BP284" i="18" s="1"/>
  <c r="BR284" i="18" s="1"/>
  <c r="BN285" i="18"/>
  <c r="BQ284" i="18"/>
  <c r="BQ283" i="19"/>
  <c r="BN285" i="19"/>
  <c r="BS284" i="19"/>
  <c r="BT284" i="19" s="1"/>
  <c r="BU284" i="19"/>
  <c r="BV284" i="19" s="1"/>
  <c r="BW284" i="19" s="1"/>
  <c r="BO284" i="19"/>
  <c r="BP284" i="19" s="1"/>
  <c r="BR284" i="19" s="1"/>
  <c r="AR166" i="7"/>
  <c r="AS166" i="7"/>
  <c r="AF166" i="7"/>
  <c r="AF478" i="5" s="1"/>
  <c r="AY478" i="5" s="1"/>
  <c r="AD166" i="7"/>
  <c r="AD478" i="5" s="1"/>
  <c r="AW478" i="5" s="1"/>
  <c r="AC167" i="7"/>
  <c r="AC478" i="5"/>
  <c r="BQ284" i="12"/>
  <c r="BP285" i="12"/>
  <c r="BR285" i="12" s="1"/>
  <c r="BS286" i="12"/>
  <c r="BT286" i="12" s="1"/>
  <c r="BU286" i="12"/>
  <c r="BV286" i="12" s="1"/>
  <c r="BW286" i="12" s="1"/>
  <c r="BO286" i="12"/>
  <c r="BN287" i="12"/>
  <c r="AB50" i="13"/>
  <c r="BN286" i="18" l="1"/>
  <c r="BU285" i="18"/>
  <c r="BV285" i="18" s="1"/>
  <c r="BW285" i="18" s="1"/>
  <c r="BO285" i="18"/>
  <c r="BP285" i="18" s="1"/>
  <c r="BR285" i="18" s="1"/>
  <c r="BS285" i="18"/>
  <c r="BT285" i="18" s="1"/>
  <c r="BQ285" i="18"/>
  <c r="BQ284" i="19"/>
  <c r="BU285" i="19"/>
  <c r="BV285" i="19" s="1"/>
  <c r="BW285" i="19" s="1"/>
  <c r="BS285" i="19"/>
  <c r="BT285" i="19" s="1"/>
  <c r="BO285" i="19"/>
  <c r="BP285" i="19" s="1"/>
  <c r="BR285" i="19" s="1"/>
  <c r="BN286" i="19"/>
  <c r="AC479" i="5"/>
  <c r="AD167" i="7"/>
  <c r="AD479" i="5" s="1"/>
  <c r="AW479" i="5" s="1"/>
  <c r="AW481" i="5" s="1"/>
  <c r="AW483" i="5" s="1"/>
  <c r="AW485" i="5" s="1"/>
  <c r="AC168" i="7"/>
  <c r="AF167" i="7"/>
  <c r="AF479" i="5" s="1"/>
  <c r="AY479" i="5" s="1"/>
  <c r="AY481" i="5" s="1"/>
  <c r="AY483" i="5" s="1"/>
  <c r="AY485" i="5" s="1"/>
  <c r="BQ285" i="12"/>
  <c r="BP286" i="12"/>
  <c r="BR286" i="12" s="1"/>
  <c r="BS287" i="12"/>
  <c r="BT287" i="12" s="1"/>
  <c r="BO287" i="12"/>
  <c r="BU287" i="12"/>
  <c r="BV287" i="12" s="1"/>
  <c r="BW287" i="12" s="1"/>
  <c r="BN288" i="12"/>
  <c r="AE21" i="13"/>
  <c r="BU286" i="18" l="1"/>
  <c r="BV286" i="18" s="1"/>
  <c r="BW286" i="18" s="1"/>
  <c r="BO286" i="18"/>
  <c r="BP286" i="18" s="1"/>
  <c r="BR286" i="18" s="1"/>
  <c r="BQ286" i="18"/>
  <c r="BN287" i="18"/>
  <c r="BS286" i="18"/>
  <c r="BT286" i="18" s="1"/>
  <c r="U22" i="13"/>
  <c r="U21" i="13"/>
  <c r="BU286" i="19"/>
  <c r="BV286" i="19" s="1"/>
  <c r="BW286" i="19" s="1"/>
  <c r="BN287" i="19"/>
  <c r="BO286" i="19"/>
  <c r="BP286" i="19" s="1"/>
  <c r="BR286" i="19" s="1"/>
  <c r="BS286" i="19"/>
  <c r="BT286" i="19" s="1"/>
  <c r="BQ285" i="19"/>
  <c r="U25" i="13"/>
  <c r="U41" i="13"/>
  <c r="U26" i="13"/>
  <c r="U42" i="13"/>
  <c r="U40" i="13"/>
  <c r="U35" i="13"/>
  <c r="U28" i="13"/>
  <c r="X21" i="13"/>
  <c r="X25" i="13"/>
  <c r="X29" i="13"/>
  <c r="X33" i="13"/>
  <c r="X37" i="13"/>
  <c r="X41" i="13"/>
  <c r="X45" i="13"/>
  <c r="X49" i="13"/>
  <c r="AA23" i="13"/>
  <c r="AA27" i="13"/>
  <c r="AA35" i="13"/>
  <c r="AA43" i="13"/>
  <c r="U29" i="13"/>
  <c r="U45" i="13"/>
  <c r="U30" i="13"/>
  <c r="U46" i="13"/>
  <c r="U23" i="13"/>
  <c r="U39" i="13"/>
  <c r="U36" i="13"/>
  <c r="X22" i="13"/>
  <c r="X26" i="13"/>
  <c r="X30" i="13"/>
  <c r="X34" i="13"/>
  <c r="X38" i="13"/>
  <c r="X42" i="13"/>
  <c r="X46" i="13"/>
  <c r="X50" i="13"/>
  <c r="AA24" i="13"/>
  <c r="AA28" i="13"/>
  <c r="AA32" i="13"/>
  <c r="AA36" i="13"/>
  <c r="AA40" i="13"/>
  <c r="AA44" i="13"/>
  <c r="AA48" i="13"/>
  <c r="AA29" i="13"/>
  <c r="AA41" i="13"/>
  <c r="AA49" i="13"/>
  <c r="AA47" i="13"/>
  <c r="U33" i="13"/>
  <c r="U49" i="13"/>
  <c r="U34" i="13"/>
  <c r="U47" i="13"/>
  <c r="U27" i="13"/>
  <c r="U43" i="13"/>
  <c r="U50" i="13"/>
  <c r="X23" i="13"/>
  <c r="X27" i="13"/>
  <c r="X31" i="13"/>
  <c r="X35" i="13"/>
  <c r="X39" i="13"/>
  <c r="X43" i="13"/>
  <c r="X47" i="13"/>
  <c r="AA21" i="13"/>
  <c r="AA25" i="13"/>
  <c r="AA33" i="13"/>
  <c r="AA37" i="13"/>
  <c r="AA45" i="13"/>
  <c r="U48" i="13"/>
  <c r="U37" i="13"/>
  <c r="U44" i="13"/>
  <c r="U38" i="13"/>
  <c r="U32" i="13"/>
  <c r="U31" i="13"/>
  <c r="U24" i="13"/>
  <c r="U51" i="13"/>
  <c r="X24" i="13"/>
  <c r="X28" i="13"/>
  <c r="X32" i="13"/>
  <c r="X36" i="13"/>
  <c r="X40" i="13"/>
  <c r="X44" i="13"/>
  <c r="X48" i="13"/>
  <c r="AA22" i="13"/>
  <c r="AA26" i="13"/>
  <c r="AA30" i="13"/>
  <c r="AA34" i="13"/>
  <c r="AA38" i="13"/>
  <c r="AA42" i="13"/>
  <c r="AA46" i="13"/>
  <c r="AA50" i="13"/>
  <c r="AA31" i="13"/>
  <c r="AA39" i="13"/>
  <c r="AA51" i="13"/>
  <c r="AD168" i="7"/>
  <c r="AC480" i="5"/>
  <c r="AD21" i="13" s="1"/>
  <c r="AC6" i="8"/>
  <c r="AF168" i="7"/>
  <c r="BQ286" i="12"/>
  <c r="BP287" i="12"/>
  <c r="BR287" i="12" s="1"/>
  <c r="BU288" i="12"/>
  <c r="BV288" i="12" s="1"/>
  <c r="BW288" i="12" s="1"/>
  <c r="BO288" i="12"/>
  <c r="BS288" i="12"/>
  <c r="BT288" i="12" s="1"/>
  <c r="BN289" i="12"/>
  <c r="AE22" i="13"/>
  <c r="BN288" i="18" l="1"/>
  <c r="BU287" i="18"/>
  <c r="BV287" i="18" s="1"/>
  <c r="BW287" i="18" s="1"/>
  <c r="BO287" i="18"/>
  <c r="BP287" i="18" s="1"/>
  <c r="BR287" i="18" s="1"/>
  <c r="BS287" i="18"/>
  <c r="BT287" i="18" s="1"/>
  <c r="BQ287" i="18"/>
  <c r="AF480" i="5"/>
  <c r="AY480" i="5" s="1"/>
  <c r="AY482" i="5" s="1"/>
  <c r="AY484" i="5" s="1"/>
  <c r="BO287" i="19"/>
  <c r="BP287" i="19" s="1"/>
  <c r="BR287" i="19" s="1"/>
  <c r="BU287" i="19"/>
  <c r="BV287" i="19" s="1"/>
  <c r="BW287" i="19" s="1"/>
  <c r="BN288" i="19"/>
  <c r="BS287" i="19"/>
  <c r="BT287" i="19" s="1"/>
  <c r="BQ286" i="19"/>
  <c r="AD480" i="5"/>
  <c r="AW480" i="5" s="1"/>
  <c r="AW482" i="5" s="1"/>
  <c r="AW484" i="5" s="1"/>
  <c r="S52" i="13"/>
  <c r="V52" i="13"/>
  <c r="AC7" i="8"/>
  <c r="AS6" i="8"/>
  <c r="AC486" i="5"/>
  <c r="AR6" i="8"/>
  <c r="AF6" i="8"/>
  <c r="AF486" i="5" s="1"/>
  <c r="AD6" i="8"/>
  <c r="AD486" i="5" s="1"/>
  <c r="Y52" i="13"/>
  <c r="BQ287" i="12"/>
  <c r="BP288" i="12"/>
  <c r="BR288" i="12" s="1"/>
  <c r="BU289" i="12"/>
  <c r="BV289" i="12" s="1"/>
  <c r="BW289" i="12" s="1"/>
  <c r="BS289" i="12"/>
  <c r="BT289" i="12" s="1"/>
  <c r="BO289" i="12"/>
  <c r="BN290" i="12"/>
  <c r="AE23" i="13"/>
  <c r="BO288" i="18" l="1"/>
  <c r="BP288" i="18" s="1"/>
  <c r="BR288" i="18" s="1"/>
  <c r="BU288" i="18"/>
  <c r="BV288" i="18" s="1"/>
  <c r="BW288" i="18" s="1"/>
  <c r="BS288" i="18"/>
  <c r="BT288" i="18"/>
  <c r="BN289" i="18"/>
  <c r="BQ288" i="18"/>
  <c r="AW486" i="5"/>
  <c r="AY486" i="5"/>
  <c r="BQ287" i="19"/>
  <c r="BS288" i="19"/>
  <c r="BT288" i="19" s="1"/>
  <c r="BU288" i="19"/>
  <c r="BV288" i="19" s="1"/>
  <c r="BW288" i="19" s="1"/>
  <c r="BO288" i="19"/>
  <c r="BP288" i="19" s="1"/>
  <c r="BR288" i="19" s="1"/>
  <c r="BN289" i="19"/>
  <c r="AF7" i="8"/>
  <c r="AC8" i="8"/>
  <c r="AS7" i="8"/>
  <c r="AD7" i="8"/>
  <c r="AR7" i="8"/>
  <c r="AC487" i="5"/>
  <c r="BQ288" i="12"/>
  <c r="BP289" i="12"/>
  <c r="BR289" i="12" s="1"/>
  <c r="BS290" i="12"/>
  <c r="BT290" i="12" s="1"/>
  <c r="BU290" i="12"/>
  <c r="BV290" i="12" s="1"/>
  <c r="BW290" i="12" s="1"/>
  <c r="BO290" i="12"/>
  <c r="BN291" i="12"/>
  <c r="AE24" i="13"/>
  <c r="BN290" i="18" l="1"/>
  <c r="BO289" i="18"/>
  <c r="BP289" i="18" s="1"/>
  <c r="BR289" i="18" s="1"/>
  <c r="BU289" i="18"/>
  <c r="BV289" i="18" s="1"/>
  <c r="BW289" i="18" s="1"/>
  <c r="BS289" i="18"/>
  <c r="BT289" i="18" s="1"/>
  <c r="BQ289" i="18"/>
  <c r="BQ288" i="19"/>
  <c r="AD487" i="5"/>
  <c r="AW487" i="5" s="1"/>
  <c r="BS289" i="19"/>
  <c r="BT289" i="19" s="1"/>
  <c r="BN290" i="19"/>
  <c r="BO289" i="19"/>
  <c r="BP289" i="19" s="1"/>
  <c r="BR289" i="19" s="1"/>
  <c r="BU289" i="19"/>
  <c r="BV289" i="19" s="1"/>
  <c r="BW289" i="19" s="1"/>
  <c r="AF487" i="5"/>
  <c r="AY487" i="5" s="1"/>
  <c r="AF8" i="8"/>
  <c r="AF488" i="5" s="1"/>
  <c r="AY488" i="5" s="1"/>
  <c r="AC9" i="8"/>
  <c r="AS8" i="8"/>
  <c r="AC488" i="5"/>
  <c r="AR8" i="8"/>
  <c r="AD8" i="8"/>
  <c r="BQ289" i="12"/>
  <c r="BP290" i="12"/>
  <c r="BS291" i="12"/>
  <c r="BT291" i="12" s="1"/>
  <c r="BO291" i="12"/>
  <c r="BU291" i="12"/>
  <c r="BV291" i="12" s="1"/>
  <c r="BW291" i="12" s="1"/>
  <c r="BN292" i="12"/>
  <c r="AE25" i="13"/>
  <c r="BO290" i="18" l="1"/>
  <c r="BP290" i="18" s="1"/>
  <c r="BR290" i="18" s="1"/>
  <c r="BS290" i="18"/>
  <c r="BT290" i="18" s="1"/>
  <c r="BN291" i="18"/>
  <c r="BU290" i="18"/>
  <c r="BV290" i="18" s="1"/>
  <c r="BW290" i="18" s="1"/>
  <c r="BQ290" i="18"/>
  <c r="AD488" i="5"/>
  <c r="AW488" i="5" s="1"/>
  <c r="BQ289" i="19"/>
  <c r="BS290" i="19"/>
  <c r="BT290" i="19" s="1"/>
  <c r="BU290" i="19"/>
  <c r="BV290" i="19" s="1"/>
  <c r="BW290" i="19" s="1"/>
  <c r="BO290" i="19"/>
  <c r="BP290" i="19" s="1"/>
  <c r="BR290" i="19" s="1"/>
  <c r="BN291" i="19"/>
  <c r="AF9" i="8"/>
  <c r="AD9" i="8"/>
  <c r="AR9" i="8"/>
  <c r="AC489" i="5"/>
  <c r="AS9" i="8"/>
  <c r="AC10" i="8"/>
  <c r="BR290" i="12"/>
  <c r="BQ290" i="12"/>
  <c r="BP291" i="12"/>
  <c r="BQ291" i="12" s="1"/>
  <c r="BU292" i="12"/>
  <c r="BV292" i="12" s="1"/>
  <c r="BW292" i="12" s="1"/>
  <c r="BO292" i="12"/>
  <c r="BS292" i="12"/>
  <c r="BT292" i="12" s="1"/>
  <c r="BN293" i="12"/>
  <c r="AE26" i="13"/>
  <c r="BN292" i="18" l="1"/>
  <c r="BU291" i="18"/>
  <c r="BV291" i="18" s="1"/>
  <c r="BW291" i="18" s="1"/>
  <c r="BO291" i="18"/>
  <c r="BP291" i="18" s="1"/>
  <c r="BR291" i="18" s="1"/>
  <c r="BS291" i="18"/>
  <c r="BT291" i="18" s="1"/>
  <c r="BQ291" i="18"/>
  <c r="BQ290" i="19"/>
  <c r="AD489" i="5"/>
  <c r="AW489" i="5" s="1"/>
  <c r="BU291" i="19"/>
  <c r="BV291" i="19" s="1"/>
  <c r="BW291" i="19" s="1"/>
  <c r="BO291" i="19"/>
  <c r="BP291" i="19" s="1"/>
  <c r="BR291" i="19" s="1"/>
  <c r="BN292" i="19"/>
  <c r="BS291" i="19"/>
  <c r="BT291" i="19" s="1"/>
  <c r="AF489" i="5"/>
  <c r="AY489" i="5" s="1"/>
  <c r="AC490" i="5"/>
  <c r="AC11" i="8"/>
  <c r="AS10" i="8"/>
  <c r="AF10" i="8"/>
  <c r="AF490" i="5" s="1"/>
  <c r="AY490" i="5" s="1"/>
  <c r="AR10" i="8"/>
  <c r="AD10" i="8"/>
  <c r="BR291" i="12"/>
  <c r="BP292" i="12"/>
  <c r="BU293" i="12"/>
  <c r="BV293" i="12" s="1"/>
  <c r="BW293" i="12" s="1"/>
  <c r="BS293" i="12"/>
  <c r="BT293" i="12" s="1"/>
  <c r="BO293" i="12"/>
  <c r="BN294" i="12"/>
  <c r="AE27" i="13"/>
  <c r="BO292" i="18" l="1"/>
  <c r="BP292" i="18" s="1"/>
  <c r="BR292" i="18" s="1"/>
  <c r="BQ292" i="18"/>
  <c r="BS292" i="18"/>
  <c r="BT292" i="18" s="1"/>
  <c r="BN293" i="18"/>
  <c r="BU292" i="18"/>
  <c r="BV292" i="18" s="1"/>
  <c r="BW292" i="18" s="1"/>
  <c r="AD490" i="5"/>
  <c r="AW490" i="5" s="1"/>
  <c r="BQ291" i="19"/>
  <c r="BU292" i="19"/>
  <c r="BV292" i="19" s="1"/>
  <c r="BW292" i="19" s="1"/>
  <c r="BO292" i="19"/>
  <c r="BP292" i="19" s="1"/>
  <c r="BR292" i="19" s="1"/>
  <c r="BN293" i="19"/>
  <c r="BS292" i="19"/>
  <c r="BT292" i="19" s="1"/>
  <c r="AC491" i="5"/>
  <c r="AF11" i="8"/>
  <c r="AC12" i="8"/>
  <c r="AD11" i="8"/>
  <c r="AD491" i="5" s="1"/>
  <c r="AW491" i="5" s="1"/>
  <c r="AW493" i="5" s="1"/>
  <c r="AW495" i="5" s="1"/>
  <c r="AW497" i="5" s="1"/>
  <c r="BR292" i="12"/>
  <c r="BQ292" i="12"/>
  <c r="BP293" i="12"/>
  <c r="BS294" i="12"/>
  <c r="BT294" i="12" s="1"/>
  <c r="BU294" i="12"/>
  <c r="BV294" i="12" s="1"/>
  <c r="BW294" i="12" s="1"/>
  <c r="BO294" i="12"/>
  <c r="BN295" i="12"/>
  <c r="AE28" i="13"/>
  <c r="BN294" i="18" l="1"/>
  <c r="BO293" i="18"/>
  <c r="BP293" i="18" s="1"/>
  <c r="BR293" i="18" s="1"/>
  <c r="BU293" i="18"/>
  <c r="BV293" i="18" s="1"/>
  <c r="BW293" i="18" s="1"/>
  <c r="BS293" i="18"/>
  <c r="BT293" i="18" s="1"/>
  <c r="BQ293" i="18"/>
  <c r="BQ292" i="19"/>
  <c r="BS293" i="19"/>
  <c r="BT293" i="19" s="1"/>
  <c r="BU293" i="19"/>
  <c r="BV293" i="19" s="1"/>
  <c r="BW293" i="19" s="1"/>
  <c r="BO293" i="19"/>
  <c r="BP293" i="19" s="1"/>
  <c r="BR293" i="19" s="1"/>
  <c r="BN294" i="19"/>
  <c r="AF491" i="5"/>
  <c r="AY491" i="5" s="1"/>
  <c r="AY493" i="5" s="1"/>
  <c r="AY495" i="5" s="1"/>
  <c r="AY497" i="5" s="1"/>
  <c r="AC18" i="8"/>
  <c r="AC492" i="5"/>
  <c r="AF12" i="8"/>
  <c r="AF492" i="5" s="1"/>
  <c r="AY492" i="5" s="1"/>
  <c r="AY494" i="5" s="1"/>
  <c r="AY496" i="5" s="1"/>
  <c r="AD12" i="8"/>
  <c r="AD492" i="5" s="1"/>
  <c r="AW492" i="5" s="1"/>
  <c r="AW494" i="5" s="1"/>
  <c r="AW496" i="5" s="1"/>
  <c r="BR293" i="12"/>
  <c r="BQ293" i="12"/>
  <c r="BP294" i="12"/>
  <c r="BS295" i="12"/>
  <c r="BT295" i="12" s="1"/>
  <c r="BO295" i="12"/>
  <c r="BU295" i="12"/>
  <c r="BV295" i="12" s="1"/>
  <c r="BW295" i="12" s="1"/>
  <c r="BN296" i="12"/>
  <c r="AE29" i="13"/>
  <c r="BU294" i="18" l="1"/>
  <c r="BV294" i="18" s="1"/>
  <c r="BW294" i="18" s="1"/>
  <c r="BS294" i="18"/>
  <c r="BT294" i="18" s="1"/>
  <c r="BO294" i="18"/>
  <c r="BP294" i="18" s="1"/>
  <c r="BR294" i="18" s="1"/>
  <c r="BN295" i="18"/>
  <c r="BQ294" i="18"/>
  <c r="BQ293" i="19"/>
  <c r="BU294" i="19"/>
  <c r="BV294" i="19" s="1"/>
  <c r="BW294" i="19" s="1"/>
  <c r="BS294" i="19"/>
  <c r="BT294" i="19" s="1"/>
  <c r="BO294" i="19"/>
  <c r="BP294" i="19" s="1"/>
  <c r="BR294" i="19" s="1"/>
  <c r="BN295" i="19"/>
  <c r="AS18" i="8"/>
  <c r="AR18" i="8"/>
  <c r="AF18" i="8"/>
  <c r="AF498" i="5" s="1"/>
  <c r="AY498" i="5" s="1"/>
  <c r="AD18" i="8"/>
  <c r="AD498" i="5" s="1"/>
  <c r="AW498" i="5" s="1"/>
  <c r="AC19" i="8"/>
  <c r="AC498" i="5"/>
  <c r="BR294" i="12"/>
  <c r="BQ294" i="12"/>
  <c r="BP295" i="12"/>
  <c r="BU296" i="12"/>
  <c r="BV296" i="12" s="1"/>
  <c r="BW296" i="12" s="1"/>
  <c r="BO296" i="12"/>
  <c r="BS296" i="12"/>
  <c r="BT296" i="12" s="1"/>
  <c r="BN297" i="12"/>
  <c r="AE30" i="13"/>
  <c r="BN296" i="18" l="1"/>
  <c r="BU295" i="18"/>
  <c r="BV295" i="18" s="1"/>
  <c r="BW295" i="18" s="1"/>
  <c r="BS295" i="18"/>
  <c r="BT295" i="18" s="1"/>
  <c r="BO295" i="18"/>
  <c r="BP295" i="18" s="1"/>
  <c r="BR295" i="18" s="1"/>
  <c r="BQ295" i="18"/>
  <c r="BQ294" i="19"/>
  <c r="BS295" i="19"/>
  <c r="BT295" i="19" s="1"/>
  <c r="BU295" i="19"/>
  <c r="BV295" i="19" s="1"/>
  <c r="BW295" i="19" s="1"/>
  <c r="BO295" i="19"/>
  <c r="BP295" i="19" s="1"/>
  <c r="BR295" i="19" s="1"/>
  <c r="BN296" i="19"/>
  <c r="BR295" i="12"/>
  <c r="AD19" i="8"/>
  <c r="AD499" i="5" s="1"/>
  <c r="AW499" i="5" s="1"/>
  <c r="AS19" i="8"/>
  <c r="AC499" i="5"/>
  <c r="AR19" i="8"/>
  <c r="AC20" i="8"/>
  <c r="AF19" i="8"/>
  <c r="AF499" i="5" s="1"/>
  <c r="AY499" i="5" s="1"/>
  <c r="BQ295" i="12"/>
  <c r="BP296" i="12"/>
  <c r="BQ296" i="12" s="1"/>
  <c r="BU297" i="12"/>
  <c r="BV297" i="12" s="1"/>
  <c r="BW297" i="12" s="1"/>
  <c r="BS297" i="12"/>
  <c r="BT297" i="12" s="1"/>
  <c r="BO297" i="12"/>
  <c r="BN298" i="12"/>
  <c r="AE31" i="13"/>
  <c r="BU296" i="18" l="1"/>
  <c r="BV296" i="18" s="1"/>
  <c r="BW296" i="18" s="1"/>
  <c r="BO296" i="18"/>
  <c r="BP296" i="18" s="1"/>
  <c r="BR296" i="18" s="1"/>
  <c r="BS296" i="18"/>
  <c r="BT296" i="18" s="1"/>
  <c r="BN297" i="18"/>
  <c r="BQ296" i="18"/>
  <c r="BO296" i="19"/>
  <c r="BP296" i="19" s="1"/>
  <c r="BR296" i="19" s="1"/>
  <c r="BN297" i="19"/>
  <c r="BS296" i="19"/>
  <c r="BT296" i="19" s="1"/>
  <c r="BU296" i="19"/>
  <c r="BV296" i="19" s="1"/>
  <c r="BW296" i="19" s="1"/>
  <c r="BQ295" i="19"/>
  <c r="AS20" i="8"/>
  <c r="AC21" i="8"/>
  <c r="AF20" i="8"/>
  <c r="AF500" i="5" s="1"/>
  <c r="AY500" i="5" s="1"/>
  <c r="AC500" i="5"/>
  <c r="AD20" i="8"/>
  <c r="AD500" i="5" s="1"/>
  <c r="AW500" i="5" s="1"/>
  <c r="AR20" i="8"/>
  <c r="BR296" i="12"/>
  <c r="BP297" i="12"/>
  <c r="BQ297" i="12" s="1"/>
  <c r="BS298" i="12"/>
  <c r="BT298" i="12" s="1"/>
  <c r="BU298" i="12"/>
  <c r="BV298" i="12" s="1"/>
  <c r="BW298" i="12" s="1"/>
  <c r="BO298" i="12"/>
  <c r="BN299" i="12"/>
  <c r="AE32" i="13"/>
  <c r="BN298" i="18" l="1"/>
  <c r="BU297" i="18"/>
  <c r="BV297" i="18" s="1"/>
  <c r="BW297" i="18" s="1"/>
  <c r="BS297" i="18"/>
  <c r="BT297" i="18" s="1"/>
  <c r="BO297" i="18"/>
  <c r="BP297" i="18" s="1"/>
  <c r="BR297" i="18" s="1"/>
  <c r="BQ297" i="18"/>
  <c r="BQ296" i="19"/>
  <c r="BU297" i="19"/>
  <c r="BV297" i="19" s="1"/>
  <c r="BW297" i="19" s="1"/>
  <c r="BS297" i="19"/>
  <c r="BT297" i="19" s="1"/>
  <c r="BN298" i="19"/>
  <c r="BO297" i="19"/>
  <c r="BP297" i="19" s="1"/>
  <c r="BR297" i="19" s="1"/>
  <c r="AC501" i="5"/>
  <c r="AS21" i="8"/>
  <c r="AC22" i="8"/>
  <c r="AR21" i="8"/>
  <c r="AF21" i="8"/>
  <c r="AF501" i="5" s="1"/>
  <c r="AY501" i="5" s="1"/>
  <c r="AD21" i="8"/>
  <c r="AD501" i="5" s="1"/>
  <c r="AW501" i="5" s="1"/>
  <c r="BR297" i="12"/>
  <c r="BP298" i="12"/>
  <c r="BS299" i="12"/>
  <c r="BT299" i="12" s="1"/>
  <c r="BO299" i="12"/>
  <c r="BU299" i="12"/>
  <c r="BV299" i="12" s="1"/>
  <c r="BW299" i="12" s="1"/>
  <c r="BN300" i="12"/>
  <c r="AE33" i="13"/>
  <c r="BU298" i="18" l="1"/>
  <c r="BV298" i="18" s="1"/>
  <c r="BW298" i="18" s="1"/>
  <c r="BO298" i="18"/>
  <c r="BP298" i="18" s="1"/>
  <c r="BR298" i="18" s="1"/>
  <c r="BN299" i="18"/>
  <c r="BS298" i="18"/>
  <c r="BT298" i="18" s="1"/>
  <c r="BQ298" i="18"/>
  <c r="BQ297" i="19"/>
  <c r="BN299" i="19"/>
  <c r="BU298" i="19"/>
  <c r="BV298" i="19" s="1"/>
  <c r="BW298" i="19" s="1"/>
  <c r="BO298" i="19"/>
  <c r="BP298" i="19" s="1"/>
  <c r="BR298" i="19" s="1"/>
  <c r="BS298" i="19"/>
  <c r="BT298" i="19" s="1"/>
  <c r="AS22" i="8"/>
  <c r="AD22" i="8"/>
  <c r="AD502" i="5" s="1"/>
  <c r="AW502" i="5" s="1"/>
  <c r="AR22" i="8"/>
  <c r="AC23" i="8"/>
  <c r="AC502" i="5"/>
  <c r="AF22" i="8"/>
  <c r="AF502" i="5" s="1"/>
  <c r="AY502" i="5" s="1"/>
  <c r="BR298" i="12"/>
  <c r="BQ298" i="12"/>
  <c r="BP299" i="12"/>
  <c r="BU300" i="12"/>
  <c r="BV300" i="12" s="1"/>
  <c r="BW300" i="12" s="1"/>
  <c r="BO300" i="12"/>
  <c r="BS300" i="12"/>
  <c r="BT300" i="12" s="1"/>
  <c r="BN301" i="12"/>
  <c r="AE34" i="13"/>
  <c r="BN300" i="18" l="1"/>
  <c r="BU299" i="18"/>
  <c r="BV299" i="18" s="1"/>
  <c r="BW299" i="18" s="1"/>
  <c r="BO299" i="18"/>
  <c r="BP299" i="18" s="1"/>
  <c r="BR299" i="18" s="1"/>
  <c r="BS299" i="18"/>
  <c r="BT299" i="18" s="1"/>
  <c r="BQ299" i="18"/>
  <c r="BQ298" i="19"/>
  <c r="BU299" i="19"/>
  <c r="BV299" i="19" s="1"/>
  <c r="BW299" i="19" s="1"/>
  <c r="BS299" i="19"/>
  <c r="BT299" i="19" s="1"/>
  <c r="BO299" i="19"/>
  <c r="BP299" i="19" s="1"/>
  <c r="BR299" i="19" s="1"/>
  <c r="BN300" i="19"/>
  <c r="AF23" i="8"/>
  <c r="AF503" i="5" s="1"/>
  <c r="AY503" i="5" s="1"/>
  <c r="AY505" i="5" s="1"/>
  <c r="AY507" i="5" s="1"/>
  <c r="AY509" i="5" s="1"/>
  <c r="AD23" i="8"/>
  <c r="AD503" i="5" s="1"/>
  <c r="AW503" i="5" s="1"/>
  <c r="AW505" i="5" s="1"/>
  <c r="AW507" i="5" s="1"/>
  <c r="AW509" i="5" s="1"/>
  <c r="AC503" i="5"/>
  <c r="AC24" i="8"/>
  <c r="BR299" i="12"/>
  <c r="BQ299" i="12"/>
  <c r="BP300" i="12"/>
  <c r="BU301" i="12"/>
  <c r="BV301" i="12" s="1"/>
  <c r="BW301" i="12" s="1"/>
  <c r="BS301" i="12"/>
  <c r="BT301" i="12" s="1"/>
  <c r="BO301" i="12"/>
  <c r="BN302" i="12"/>
  <c r="AE35" i="13"/>
  <c r="BO300" i="18" l="1"/>
  <c r="BP300" i="18" s="1"/>
  <c r="BR300" i="18" s="1"/>
  <c r="BQ300" i="18"/>
  <c r="BS300" i="18"/>
  <c r="BT300" i="18" s="1"/>
  <c r="BN301" i="18"/>
  <c r="BU300" i="18"/>
  <c r="BV300" i="18" s="1"/>
  <c r="BW300" i="18" s="1"/>
  <c r="BQ299" i="19"/>
  <c r="BU300" i="19"/>
  <c r="BV300" i="19" s="1"/>
  <c r="BW300" i="19" s="1"/>
  <c r="BO300" i="19"/>
  <c r="BP300" i="19" s="1"/>
  <c r="BR300" i="19" s="1"/>
  <c r="BN301" i="19"/>
  <c r="BS300" i="19"/>
  <c r="BT300" i="19" s="1"/>
  <c r="AF24" i="8"/>
  <c r="AF504" i="5" s="1"/>
  <c r="AY504" i="5" s="1"/>
  <c r="AY506" i="5" s="1"/>
  <c r="AY508" i="5" s="1"/>
  <c r="AD24" i="8"/>
  <c r="AD504" i="5" s="1"/>
  <c r="AW504" i="5" s="1"/>
  <c r="AW506" i="5" s="1"/>
  <c r="AW508" i="5" s="1"/>
  <c r="AC504" i="5"/>
  <c r="AC30" i="8"/>
  <c r="BR300" i="12"/>
  <c r="BQ300" i="12"/>
  <c r="BP301" i="12"/>
  <c r="BS302" i="12"/>
  <c r="BT302" i="12" s="1"/>
  <c r="BU302" i="12"/>
  <c r="BV302" i="12" s="1"/>
  <c r="BW302" i="12" s="1"/>
  <c r="BO302" i="12"/>
  <c r="BN303" i="12"/>
  <c r="AE36" i="13"/>
  <c r="BU301" i="18" l="1"/>
  <c r="BV301" i="18" s="1"/>
  <c r="BW301" i="18" s="1"/>
  <c r="BO301" i="18"/>
  <c r="BP301" i="18" s="1"/>
  <c r="BR301" i="18" s="1"/>
  <c r="BN302" i="18"/>
  <c r="BS301" i="18"/>
  <c r="BT301" i="18" s="1"/>
  <c r="BQ301" i="18"/>
  <c r="BO301" i="19"/>
  <c r="BP301" i="19" s="1"/>
  <c r="BR301" i="19" s="1"/>
  <c r="BN302" i="19"/>
  <c r="BU301" i="19"/>
  <c r="BV301" i="19" s="1"/>
  <c r="BW301" i="19" s="1"/>
  <c r="BS301" i="19"/>
  <c r="BT301" i="19" s="1"/>
  <c r="BQ300" i="19"/>
  <c r="AD30" i="8"/>
  <c r="AD510" i="5" s="1"/>
  <c r="AW510" i="5" s="1"/>
  <c r="AS30" i="8"/>
  <c r="AC510" i="5"/>
  <c r="AR30" i="8"/>
  <c r="AC31" i="8"/>
  <c r="AF30" i="8"/>
  <c r="AF510" i="5" s="1"/>
  <c r="AY510" i="5" s="1"/>
  <c r="BR301" i="12"/>
  <c r="BQ301" i="12"/>
  <c r="BP302" i="12"/>
  <c r="BQ302" i="12" s="1"/>
  <c r="BS303" i="12"/>
  <c r="BT303" i="12" s="1"/>
  <c r="BO303" i="12"/>
  <c r="BP303" i="12" s="1"/>
  <c r="BU303" i="12"/>
  <c r="BV303" i="12" s="1"/>
  <c r="BW303" i="12" s="1"/>
  <c r="BN304" i="12"/>
  <c r="AE37" i="13"/>
  <c r="BO302" i="18" l="1"/>
  <c r="BP302" i="18" s="1"/>
  <c r="BR302" i="18" s="1"/>
  <c r="BQ302" i="18"/>
  <c r="BS302" i="18"/>
  <c r="BT302" i="18" s="1"/>
  <c r="BN303" i="18"/>
  <c r="BU302" i="18"/>
  <c r="BV302" i="18" s="1"/>
  <c r="BW302" i="18" s="1"/>
  <c r="BQ301" i="19"/>
  <c r="BN303" i="19"/>
  <c r="BU302" i="19"/>
  <c r="BV302" i="19" s="1"/>
  <c r="BW302" i="19" s="1"/>
  <c r="BS302" i="19"/>
  <c r="BT302" i="19" s="1"/>
  <c r="BO302" i="19"/>
  <c r="BP302" i="19" s="1"/>
  <c r="BR302" i="19" s="1"/>
  <c r="AC511" i="5"/>
  <c r="AF31" i="8"/>
  <c r="AF511" i="5" s="1"/>
  <c r="AY511" i="5" s="1"/>
  <c r="AR31" i="8"/>
  <c r="AD31" i="8"/>
  <c r="AD511" i="5" s="1"/>
  <c r="AW511" i="5" s="1"/>
  <c r="AS31" i="8"/>
  <c r="AC32" i="8"/>
  <c r="BR302" i="12"/>
  <c r="BR303" i="12" s="1"/>
  <c r="BQ303" i="12"/>
  <c r="BU304" i="12"/>
  <c r="BV304" i="12" s="1"/>
  <c r="BW304" i="12" s="1"/>
  <c r="BO304" i="12"/>
  <c r="BS304" i="12"/>
  <c r="BT304" i="12" s="1"/>
  <c r="BN305" i="12"/>
  <c r="AE38" i="13"/>
  <c r="BU303" i="18" l="1"/>
  <c r="BV303" i="18" s="1"/>
  <c r="BW303" i="18" s="1"/>
  <c r="BO303" i="18"/>
  <c r="BP303" i="18" s="1"/>
  <c r="BR303" i="18" s="1"/>
  <c r="BS303" i="18"/>
  <c r="BT303" i="18" s="1"/>
  <c r="BN304" i="18"/>
  <c r="BQ303" i="18"/>
  <c r="BQ302" i="19"/>
  <c r="BS303" i="19"/>
  <c r="BT303" i="19" s="1"/>
  <c r="BN304" i="19"/>
  <c r="BO303" i="19"/>
  <c r="BP303" i="19" s="1"/>
  <c r="BR303" i="19" s="1"/>
  <c r="BU303" i="19"/>
  <c r="BV303" i="19" s="1"/>
  <c r="BW303" i="19" s="1"/>
  <c r="AD32" i="8"/>
  <c r="AD512" i="5" s="1"/>
  <c r="AW512" i="5" s="1"/>
  <c r="AF32" i="8"/>
  <c r="AF512" i="5" s="1"/>
  <c r="AY512" i="5" s="1"/>
  <c r="AS32" i="8"/>
  <c r="AC512" i="5"/>
  <c r="AR32" i="8"/>
  <c r="AC33" i="8"/>
  <c r="BP304" i="12"/>
  <c r="BR304" i="12" s="1"/>
  <c r="BU305" i="12"/>
  <c r="BV305" i="12" s="1"/>
  <c r="BW305" i="12" s="1"/>
  <c r="BS305" i="12"/>
  <c r="BT305" i="12" s="1"/>
  <c r="BO305" i="12"/>
  <c r="BN306" i="12"/>
  <c r="AE39" i="13"/>
  <c r="BN305" i="18" l="1"/>
  <c r="BO304" i="18"/>
  <c r="BP304" i="18" s="1"/>
  <c r="BR304" i="18" s="1"/>
  <c r="BS304" i="18"/>
  <c r="BU304" i="18"/>
  <c r="BV304" i="18" s="1"/>
  <c r="BW304" i="18" s="1"/>
  <c r="BT304" i="18"/>
  <c r="BQ304" i="18"/>
  <c r="BO304" i="19"/>
  <c r="BP304" i="19" s="1"/>
  <c r="BR304" i="19" s="1"/>
  <c r="BN305" i="19"/>
  <c r="BU304" i="19"/>
  <c r="BV304" i="19" s="1"/>
  <c r="BW304" i="19" s="1"/>
  <c r="BS304" i="19"/>
  <c r="BT304" i="19" s="1"/>
  <c r="BQ303" i="19"/>
  <c r="AF33" i="8"/>
  <c r="AF513" i="5" s="1"/>
  <c r="AY513" i="5" s="1"/>
  <c r="AD33" i="8"/>
  <c r="AD513" i="5" s="1"/>
  <c r="AW513" i="5" s="1"/>
  <c r="AS33" i="8"/>
  <c r="AC34" i="8"/>
  <c r="AR33" i="8"/>
  <c r="AC513" i="5"/>
  <c r="BQ304" i="12"/>
  <c r="BP305" i="12"/>
  <c r="BR305" i="12" s="1"/>
  <c r="BU306" i="12"/>
  <c r="BV306" i="12" s="1"/>
  <c r="BW306" i="12" s="1"/>
  <c r="BO306" i="12"/>
  <c r="BS306" i="12"/>
  <c r="BT306" i="12" s="1"/>
  <c r="BN307" i="12"/>
  <c r="AE40" i="13"/>
  <c r="BO305" i="18" l="1"/>
  <c r="BP305" i="18" s="1"/>
  <c r="BR305" i="18" s="1"/>
  <c r="BN306" i="18"/>
  <c r="BU305" i="18"/>
  <c r="BV305" i="18" s="1"/>
  <c r="BW305" i="18" s="1"/>
  <c r="BS305" i="18"/>
  <c r="BT305" i="18" s="1"/>
  <c r="BQ305" i="18"/>
  <c r="BQ304" i="19"/>
  <c r="BS305" i="19"/>
  <c r="BT305" i="19" s="1"/>
  <c r="BN306" i="19"/>
  <c r="BO305" i="19"/>
  <c r="BP305" i="19" s="1"/>
  <c r="BR305" i="19" s="1"/>
  <c r="BU305" i="19"/>
  <c r="BV305" i="19" s="1"/>
  <c r="BW305" i="19" s="1"/>
  <c r="AS34" i="8"/>
  <c r="AC514" i="5"/>
  <c r="AR34" i="8"/>
  <c r="AD34" i="8"/>
  <c r="AD514" i="5" s="1"/>
  <c r="AW514" i="5" s="1"/>
  <c r="AC35" i="8"/>
  <c r="AF34" i="8"/>
  <c r="AF514" i="5" s="1"/>
  <c r="AY514" i="5" s="1"/>
  <c r="BQ305" i="12"/>
  <c r="BP306" i="12"/>
  <c r="BQ306" i="12" s="1"/>
  <c r="BU307" i="12"/>
  <c r="BV307" i="12" s="1"/>
  <c r="BW307" i="12" s="1"/>
  <c r="BS307" i="12"/>
  <c r="BT307" i="12" s="1"/>
  <c r="BO307" i="12"/>
  <c r="BN308" i="12"/>
  <c r="AE41" i="13"/>
  <c r="BU306" i="18" l="1"/>
  <c r="BV306" i="18" s="1"/>
  <c r="BW306" i="18" s="1"/>
  <c r="BO306" i="18"/>
  <c r="BP306" i="18" s="1"/>
  <c r="BR306" i="18" s="1"/>
  <c r="BS306" i="18"/>
  <c r="BT306" i="18" s="1"/>
  <c r="BN307" i="18"/>
  <c r="BQ306" i="18"/>
  <c r="BN307" i="19"/>
  <c r="BS306" i="19"/>
  <c r="BT306" i="19" s="1"/>
  <c r="BU306" i="19"/>
  <c r="BV306" i="19" s="1"/>
  <c r="BW306" i="19" s="1"/>
  <c r="BO306" i="19"/>
  <c r="BP306" i="19" s="1"/>
  <c r="BR306" i="19" s="1"/>
  <c r="BQ305" i="19"/>
  <c r="AD35" i="8"/>
  <c r="AD515" i="5" s="1"/>
  <c r="AW515" i="5" s="1"/>
  <c r="AW517" i="5" s="1"/>
  <c r="AW519" i="5" s="1"/>
  <c r="AW521" i="5" s="1"/>
  <c r="AC515" i="5"/>
  <c r="AC36" i="8"/>
  <c r="AF35" i="8"/>
  <c r="AF515" i="5" s="1"/>
  <c r="AY515" i="5" s="1"/>
  <c r="AY517" i="5" s="1"/>
  <c r="AY519" i="5" s="1"/>
  <c r="AY521" i="5" s="1"/>
  <c r="BR306" i="12"/>
  <c r="BP307" i="12"/>
  <c r="BS308" i="12"/>
  <c r="BT308" i="12" s="1"/>
  <c r="BU308" i="12"/>
  <c r="BV308" i="12" s="1"/>
  <c r="BW308" i="12" s="1"/>
  <c r="BO308" i="12"/>
  <c r="BN309" i="12"/>
  <c r="AE42" i="13"/>
  <c r="BO307" i="18" l="1"/>
  <c r="BP307" i="18" s="1"/>
  <c r="BR307" i="18" s="1"/>
  <c r="BU307" i="18"/>
  <c r="BV307" i="18" s="1"/>
  <c r="BW307" i="18" s="1"/>
  <c r="BS307" i="18"/>
  <c r="BT307" i="18" s="1"/>
  <c r="BN308" i="18"/>
  <c r="BQ307" i="18"/>
  <c r="BQ306" i="19"/>
  <c r="BS307" i="19"/>
  <c r="BT307" i="19" s="1"/>
  <c r="BO307" i="19"/>
  <c r="BP307" i="19" s="1"/>
  <c r="BR307" i="19" s="1"/>
  <c r="BN308" i="19"/>
  <c r="BU307" i="19"/>
  <c r="BV307" i="19" s="1"/>
  <c r="BW307" i="19" s="1"/>
  <c r="AF36" i="8"/>
  <c r="AF516" i="5" s="1"/>
  <c r="AY516" i="5" s="1"/>
  <c r="AY518" i="5" s="1"/>
  <c r="AY520" i="5" s="1"/>
  <c r="AD36" i="8"/>
  <c r="AD516" i="5" s="1"/>
  <c r="AW516" i="5" s="1"/>
  <c r="AW518" i="5" s="1"/>
  <c r="AW520" i="5" s="1"/>
  <c r="AC516" i="5"/>
  <c r="AC42" i="8"/>
  <c r="BR307" i="12"/>
  <c r="BQ307" i="12"/>
  <c r="BP308" i="12"/>
  <c r="BO309" i="12"/>
  <c r="BU309" i="12"/>
  <c r="BV309" i="12" s="1"/>
  <c r="BW309" i="12" s="1"/>
  <c r="BS309" i="12"/>
  <c r="BT309" i="12" s="1"/>
  <c r="BN310" i="12"/>
  <c r="AE43" i="13"/>
  <c r="BU308" i="18" l="1"/>
  <c r="BV308" i="18" s="1"/>
  <c r="BW308" i="18" s="1"/>
  <c r="BO308" i="18"/>
  <c r="BP308" i="18" s="1"/>
  <c r="BR308" i="18" s="1"/>
  <c r="BQ308" i="18"/>
  <c r="BS308" i="18"/>
  <c r="BT308" i="18" s="1"/>
  <c r="BN309" i="18"/>
  <c r="BU308" i="19"/>
  <c r="BV308" i="19" s="1"/>
  <c r="BW308" i="19" s="1"/>
  <c r="BO308" i="19"/>
  <c r="BP308" i="19" s="1"/>
  <c r="BR308" i="19" s="1"/>
  <c r="BN309" i="19"/>
  <c r="BS308" i="19"/>
  <c r="BT308" i="19" s="1"/>
  <c r="BQ307" i="19"/>
  <c r="AD42" i="8"/>
  <c r="AD522" i="5" s="1"/>
  <c r="AW522" i="5" s="1"/>
  <c r="AR42" i="8"/>
  <c r="AC522" i="5"/>
  <c r="AS42" i="8"/>
  <c r="AC43" i="8"/>
  <c r="AF42" i="8"/>
  <c r="AF522" i="5" s="1"/>
  <c r="AY522" i="5" s="1"/>
  <c r="BR308" i="12"/>
  <c r="BQ308" i="12"/>
  <c r="BP309" i="12"/>
  <c r="BQ309" i="12" s="1"/>
  <c r="BU310" i="12"/>
  <c r="BV310" i="12" s="1"/>
  <c r="BW310" i="12" s="1"/>
  <c r="BO310" i="12"/>
  <c r="BS310" i="12"/>
  <c r="BT310" i="12" s="1"/>
  <c r="BN311" i="12"/>
  <c r="AE44" i="13"/>
  <c r="BU309" i="18" l="1"/>
  <c r="BV309" i="18" s="1"/>
  <c r="BW309" i="18" s="1"/>
  <c r="BO309" i="18"/>
  <c r="BP309" i="18" s="1"/>
  <c r="BR309" i="18" s="1"/>
  <c r="BN310" i="18"/>
  <c r="BS309" i="18"/>
  <c r="BT309" i="18" s="1"/>
  <c r="BQ309" i="18"/>
  <c r="BQ308" i="19"/>
  <c r="BN310" i="19"/>
  <c r="BO309" i="19"/>
  <c r="BP309" i="19" s="1"/>
  <c r="BR309" i="19" s="1"/>
  <c r="BS309" i="19"/>
  <c r="BT309" i="19" s="1"/>
  <c r="BU309" i="19"/>
  <c r="BV309" i="19" s="1"/>
  <c r="BW309" i="19" s="1"/>
  <c r="AD43" i="8"/>
  <c r="AD523" i="5" s="1"/>
  <c r="AW523" i="5" s="1"/>
  <c r="AC523" i="5"/>
  <c r="AS43" i="8"/>
  <c r="AC44" i="8"/>
  <c r="AR43" i="8"/>
  <c r="AF43" i="8"/>
  <c r="AF523" i="5" s="1"/>
  <c r="AY523" i="5" s="1"/>
  <c r="BR309" i="12"/>
  <c r="BP310" i="12"/>
  <c r="BQ310" i="12" s="1"/>
  <c r="BU311" i="12"/>
  <c r="BV311" i="12" s="1"/>
  <c r="BW311" i="12" s="1"/>
  <c r="BS311" i="12"/>
  <c r="BT311" i="12" s="1"/>
  <c r="BO311" i="12"/>
  <c r="BP311" i="12" s="1"/>
  <c r="BN312" i="12"/>
  <c r="AE45" i="13"/>
  <c r="BO310" i="18" l="1"/>
  <c r="BP310" i="18" s="1"/>
  <c r="BR310" i="18" s="1"/>
  <c r="BS310" i="18"/>
  <c r="BT310" i="18" s="1"/>
  <c r="BN311" i="18"/>
  <c r="BU310" i="18"/>
  <c r="BV310" i="18" s="1"/>
  <c r="BW310" i="18" s="1"/>
  <c r="BQ310" i="18"/>
  <c r="BQ309" i="19"/>
  <c r="BU310" i="19"/>
  <c r="BV310" i="19" s="1"/>
  <c r="BW310" i="19" s="1"/>
  <c r="BS310" i="19"/>
  <c r="BT310" i="19" s="1"/>
  <c r="BO310" i="19"/>
  <c r="BP310" i="19" s="1"/>
  <c r="BR310" i="19" s="1"/>
  <c r="BN311" i="19"/>
  <c r="AF44" i="8"/>
  <c r="AF524" i="5" s="1"/>
  <c r="AY524" i="5" s="1"/>
  <c r="AC524" i="5"/>
  <c r="AS44" i="8"/>
  <c r="AC45" i="8"/>
  <c r="AR44" i="8"/>
  <c r="AD44" i="8"/>
  <c r="AD524" i="5" s="1"/>
  <c r="AW524" i="5" s="1"/>
  <c r="BR310" i="12"/>
  <c r="BR311" i="12" s="1"/>
  <c r="BS312" i="12"/>
  <c r="BT312" i="12" s="1"/>
  <c r="BU312" i="12"/>
  <c r="BV312" i="12" s="1"/>
  <c r="BW312" i="12" s="1"/>
  <c r="BO312" i="12"/>
  <c r="BN313" i="12"/>
  <c r="BQ311" i="12"/>
  <c r="AE46" i="13"/>
  <c r="BN312" i="18" l="1"/>
  <c r="BU311" i="18"/>
  <c r="BV311" i="18" s="1"/>
  <c r="BW311" i="18" s="1"/>
  <c r="BO311" i="18"/>
  <c r="BP311" i="18" s="1"/>
  <c r="BR311" i="18" s="1"/>
  <c r="BS311" i="18"/>
  <c r="BT311" i="18" s="1"/>
  <c r="BQ311" i="18"/>
  <c r="BS311" i="19"/>
  <c r="BT311" i="19" s="1"/>
  <c r="BO311" i="19"/>
  <c r="BP311" i="19" s="1"/>
  <c r="BR311" i="19" s="1"/>
  <c r="BU311" i="19"/>
  <c r="BV311" i="19" s="1"/>
  <c r="BW311" i="19" s="1"/>
  <c r="BN312" i="19"/>
  <c r="BQ310" i="19"/>
  <c r="AD45" i="8"/>
  <c r="AD525" i="5" s="1"/>
  <c r="AW525" i="5" s="1"/>
  <c r="AC46" i="8"/>
  <c r="AS45" i="8"/>
  <c r="AR45" i="8"/>
  <c r="AC525" i="5"/>
  <c r="AF45" i="8"/>
  <c r="AF525" i="5" s="1"/>
  <c r="AY525" i="5" s="1"/>
  <c r="BP312" i="12"/>
  <c r="BR312" i="12" s="1"/>
  <c r="BO313" i="12"/>
  <c r="BU313" i="12"/>
  <c r="BV313" i="12" s="1"/>
  <c r="BW313" i="12" s="1"/>
  <c r="BS313" i="12"/>
  <c r="BT313" i="12" s="1"/>
  <c r="BN314" i="12"/>
  <c r="AE47" i="13"/>
  <c r="BO312" i="18" l="1"/>
  <c r="BP312" i="18" s="1"/>
  <c r="BR312" i="18" s="1"/>
  <c r="BU312" i="18"/>
  <c r="BV312" i="18" s="1"/>
  <c r="BW312" i="18" s="1"/>
  <c r="BS312" i="18"/>
  <c r="BT312" i="18"/>
  <c r="BN313" i="18"/>
  <c r="BQ312" i="18"/>
  <c r="BQ311" i="19"/>
  <c r="BU312" i="19"/>
  <c r="BV312" i="19" s="1"/>
  <c r="BW312" i="19" s="1"/>
  <c r="BS312" i="19"/>
  <c r="BT312" i="19" s="1"/>
  <c r="BO312" i="19"/>
  <c r="BP312" i="19" s="1"/>
  <c r="BR312" i="19" s="1"/>
  <c r="BN313" i="19"/>
  <c r="AR46" i="8"/>
  <c r="AF46" i="8"/>
  <c r="AF526" i="5" s="1"/>
  <c r="AY526" i="5" s="1"/>
  <c r="AS46" i="8"/>
  <c r="AD46" i="8"/>
  <c r="AD526" i="5" s="1"/>
  <c r="AW526" i="5" s="1"/>
  <c r="AC47" i="8"/>
  <c r="AC526" i="5"/>
  <c r="BQ312" i="12"/>
  <c r="BP313" i="12"/>
  <c r="BR313" i="12" s="1"/>
  <c r="BU314" i="12"/>
  <c r="BV314" i="12" s="1"/>
  <c r="BW314" i="12" s="1"/>
  <c r="BO314" i="12"/>
  <c r="BS314" i="12"/>
  <c r="BT314" i="12" s="1"/>
  <c r="BN315" i="12"/>
  <c r="AE48" i="13"/>
  <c r="BO313" i="18" l="1"/>
  <c r="BP313" i="18" s="1"/>
  <c r="BR313" i="18" s="1"/>
  <c r="BN314" i="18"/>
  <c r="BU313" i="18"/>
  <c r="BV313" i="18" s="1"/>
  <c r="BW313" i="18" s="1"/>
  <c r="BS313" i="18"/>
  <c r="BT313" i="18" s="1"/>
  <c r="BQ313" i="18"/>
  <c r="BQ312" i="19"/>
  <c r="BU313" i="19"/>
  <c r="BV313" i="19" s="1"/>
  <c r="BW313" i="19" s="1"/>
  <c r="BO313" i="19"/>
  <c r="BP313" i="19" s="1"/>
  <c r="BR313" i="19" s="1"/>
  <c r="BS313" i="19"/>
  <c r="BT313" i="19" s="1"/>
  <c r="BN314" i="19"/>
  <c r="AD47" i="8"/>
  <c r="AD527" i="5" s="1"/>
  <c r="AW527" i="5" s="1"/>
  <c r="AW529" i="5" s="1"/>
  <c r="AW531" i="5" s="1"/>
  <c r="AW533" i="5" s="1"/>
  <c r="AC527" i="5"/>
  <c r="AC48" i="8"/>
  <c r="AF47" i="8"/>
  <c r="AF527" i="5" s="1"/>
  <c r="AY527" i="5" s="1"/>
  <c r="AY529" i="5" s="1"/>
  <c r="AY531" i="5" s="1"/>
  <c r="AY533" i="5" s="1"/>
  <c r="BQ313" i="12"/>
  <c r="BP314" i="12"/>
  <c r="BR314" i="12" s="1"/>
  <c r="BU315" i="12"/>
  <c r="BV315" i="12" s="1"/>
  <c r="BW315" i="12" s="1"/>
  <c r="BS315" i="12"/>
  <c r="BT315" i="12" s="1"/>
  <c r="BO315" i="12"/>
  <c r="BN316" i="12"/>
  <c r="AE49" i="13"/>
  <c r="BO314" i="18" l="1"/>
  <c r="BP314" i="18" s="1"/>
  <c r="BR314" i="18" s="1"/>
  <c r="BU314" i="18"/>
  <c r="BV314" i="18" s="1"/>
  <c r="BS314" i="18"/>
  <c r="BT314" i="18" s="1"/>
  <c r="BW314" i="18"/>
  <c r="BN315" i="18"/>
  <c r="BQ314" i="18"/>
  <c r="BU314" i="19"/>
  <c r="BV314" i="19" s="1"/>
  <c r="BW314" i="19" s="1"/>
  <c r="BO314" i="19"/>
  <c r="BP314" i="19" s="1"/>
  <c r="BR314" i="19" s="1"/>
  <c r="BN315" i="19"/>
  <c r="BS314" i="19"/>
  <c r="BT314" i="19" s="1"/>
  <c r="BQ313" i="19"/>
  <c r="AF48" i="8"/>
  <c r="AF528" i="5" s="1"/>
  <c r="AY528" i="5" s="1"/>
  <c r="AY530" i="5" s="1"/>
  <c r="AY532" i="5" s="1"/>
  <c r="AC54" i="8"/>
  <c r="AD48" i="8"/>
  <c r="AD528" i="5" s="1"/>
  <c r="AW528" i="5" s="1"/>
  <c r="AW530" i="5" s="1"/>
  <c r="AW532" i="5" s="1"/>
  <c r="AC528" i="5"/>
  <c r="BQ314" i="12"/>
  <c r="BP315" i="12"/>
  <c r="BR315" i="12" s="1"/>
  <c r="BU316" i="12"/>
  <c r="BV316" i="12" s="1"/>
  <c r="BW316" i="12" s="1"/>
  <c r="BS316" i="12"/>
  <c r="BT316" i="12" s="1"/>
  <c r="BO316" i="12"/>
  <c r="BP316" i="12" s="1"/>
  <c r="BN317" i="12"/>
  <c r="AE50" i="13"/>
  <c r="BN316" i="18" l="1"/>
  <c r="BU315" i="18"/>
  <c r="BV315" i="18" s="1"/>
  <c r="BW315" i="18" s="1"/>
  <c r="BS315" i="18"/>
  <c r="BT315" i="18" s="1"/>
  <c r="BO315" i="18"/>
  <c r="BP315" i="18" s="1"/>
  <c r="BR315" i="18" s="1"/>
  <c r="BQ315" i="18"/>
  <c r="BQ314" i="19"/>
  <c r="BO315" i="19"/>
  <c r="BP315" i="19" s="1"/>
  <c r="BR315" i="19" s="1"/>
  <c r="BN316" i="19"/>
  <c r="BU315" i="19"/>
  <c r="BV315" i="19" s="1"/>
  <c r="BW315" i="19" s="1"/>
  <c r="BS315" i="19"/>
  <c r="BT315" i="19" s="1"/>
  <c r="AF54" i="8"/>
  <c r="AF534" i="5" s="1"/>
  <c r="AY534" i="5" s="1"/>
  <c r="AD54" i="8"/>
  <c r="AD534" i="5" s="1"/>
  <c r="AW534" i="5" s="1"/>
  <c r="AS54" i="8"/>
  <c r="AC534" i="5"/>
  <c r="AR54" i="8"/>
  <c r="AC55" i="8"/>
  <c r="BQ315" i="12"/>
  <c r="BS317" i="12"/>
  <c r="BT317" i="12" s="1"/>
  <c r="BU317" i="12"/>
  <c r="BV317" i="12" s="1"/>
  <c r="BW317" i="12" s="1"/>
  <c r="BO317" i="12"/>
  <c r="BN318" i="12"/>
  <c r="BQ316" i="12"/>
  <c r="BR316" i="12"/>
  <c r="AE51" i="13"/>
  <c r="BU316" i="18" l="1"/>
  <c r="BV316" i="18" s="1"/>
  <c r="BW316" i="18" s="1"/>
  <c r="BO316" i="18"/>
  <c r="BP316" i="18" s="1"/>
  <c r="BR316" i="18" s="1"/>
  <c r="BS316" i="18"/>
  <c r="BT316" i="18" s="1"/>
  <c r="BN317" i="18"/>
  <c r="BQ316" i="18"/>
  <c r="BQ315" i="19"/>
  <c r="BU316" i="19"/>
  <c r="BV316" i="19" s="1"/>
  <c r="BW316" i="19" s="1"/>
  <c r="BN317" i="19"/>
  <c r="BO316" i="19"/>
  <c r="BP316" i="19" s="1"/>
  <c r="BR316" i="19" s="1"/>
  <c r="BS316" i="19"/>
  <c r="BT316" i="19" s="1"/>
  <c r="AC56" i="8"/>
  <c r="AS55" i="8"/>
  <c r="AF55" i="8"/>
  <c r="AF535" i="5" s="1"/>
  <c r="AY535" i="5" s="1"/>
  <c r="AR55" i="8"/>
  <c r="AD55" i="8"/>
  <c r="AD535" i="5" s="1"/>
  <c r="AW535" i="5" s="1"/>
  <c r="AC535" i="5"/>
  <c r="BP317" i="12"/>
  <c r="BQ317" i="12" s="1"/>
  <c r="BO318" i="12"/>
  <c r="BU318" i="12"/>
  <c r="BV318" i="12" s="1"/>
  <c r="BW318" i="12" s="1"/>
  <c r="BS318" i="12"/>
  <c r="BT318" i="12" s="1"/>
  <c r="BN319" i="12"/>
  <c r="AH21" i="13"/>
  <c r="BN318" i="18" l="1"/>
  <c r="BU317" i="18"/>
  <c r="BV317" i="18" s="1"/>
  <c r="BW317" i="18" s="1"/>
  <c r="BS317" i="18"/>
  <c r="BT317" i="18" s="1"/>
  <c r="BO317" i="18"/>
  <c r="BP317" i="18" s="1"/>
  <c r="BR317" i="18" s="1"/>
  <c r="BQ317" i="18"/>
  <c r="BQ316" i="19"/>
  <c r="BN318" i="19"/>
  <c r="BS317" i="19"/>
  <c r="BT317" i="19" s="1"/>
  <c r="BU317" i="19"/>
  <c r="BV317" i="19" s="1"/>
  <c r="BW317" i="19" s="1"/>
  <c r="BO317" i="19"/>
  <c r="BP317" i="19" s="1"/>
  <c r="BR317" i="19" s="1"/>
  <c r="AF56" i="8"/>
  <c r="AF536" i="5" s="1"/>
  <c r="AY536" i="5" s="1"/>
  <c r="AC536" i="5"/>
  <c r="AS56" i="8"/>
  <c r="AD56" i="8"/>
  <c r="AD536" i="5" s="1"/>
  <c r="AW536" i="5" s="1"/>
  <c r="AR56" i="8"/>
  <c r="AC57" i="8"/>
  <c r="BR317" i="12"/>
  <c r="BP318" i="12"/>
  <c r="BQ318" i="12" s="1"/>
  <c r="BS319" i="12"/>
  <c r="BT319" i="12" s="1"/>
  <c r="BO319" i="12"/>
  <c r="BU319" i="12"/>
  <c r="BV319" i="12" s="1"/>
  <c r="BW319" i="12" s="1"/>
  <c r="BN320" i="12"/>
  <c r="AH22" i="13"/>
  <c r="BU318" i="18" l="1"/>
  <c r="BV318" i="18" s="1"/>
  <c r="BW318" i="18" s="1"/>
  <c r="BO318" i="18"/>
  <c r="BP318" i="18" s="1"/>
  <c r="BR318" i="18" s="1"/>
  <c r="BS318" i="18"/>
  <c r="BT318" i="18" s="1"/>
  <c r="BN319" i="18"/>
  <c r="BQ318" i="18"/>
  <c r="BQ317" i="19"/>
  <c r="BU318" i="19"/>
  <c r="BV318" i="19" s="1"/>
  <c r="BW318" i="19" s="1"/>
  <c r="BS318" i="19"/>
  <c r="BT318" i="19" s="1"/>
  <c r="BN319" i="19"/>
  <c r="BO318" i="19"/>
  <c r="BP318" i="19" s="1"/>
  <c r="BR318" i="19" s="1"/>
  <c r="AD57" i="8"/>
  <c r="AD537" i="5" s="1"/>
  <c r="AW537" i="5" s="1"/>
  <c r="AC537" i="5"/>
  <c r="AR57" i="8"/>
  <c r="AC58" i="8"/>
  <c r="AS57" i="8"/>
  <c r="AF57" i="8"/>
  <c r="AF537" i="5" s="1"/>
  <c r="AY537" i="5" s="1"/>
  <c r="BR318" i="12"/>
  <c r="BP319" i="12"/>
  <c r="BO320" i="12"/>
  <c r="BU320" i="12"/>
  <c r="BV320" i="12" s="1"/>
  <c r="BW320" i="12" s="1"/>
  <c r="BS320" i="12"/>
  <c r="BT320" i="12" s="1"/>
  <c r="BN321" i="12"/>
  <c r="AH23" i="13"/>
  <c r="BS319" i="18" l="1"/>
  <c r="BT319" i="18" s="1"/>
  <c r="BN320" i="18"/>
  <c r="BU319" i="18"/>
  <c r="BV319" i="18" s="1"/>
  <c r="BW319" i="18" s="1"/>
  <c r="BO319" i="18"/>
  <c r="BP319" i="18" s="1"/>
  <c r="BR319" i="18" s="1"/>
  <c r="BQ319" i="18"/>
  <c r="BQ318" i="19"/>
  <c r="BO319" i="19"/>
  <c r="BP319" i="19" s="1"/>
  <c r="BR319" i="19" s="1"/>
  <c r="BN320" i="19"/>
  <c r="BU319" i="19"/>
  <c r="BV319" i="19" s="1"/>
  <c r="BW319" i="19" s="1"/>
  <c r="BS319" i="19"/>
  <c r="BT319" i="19" s="1"/>
  <c r="AS58" i="8"/>
  <c r="AC538" i="5"/>
  <c r="AR58" i="8"/>
  <c r="AF58" i="8"/>
  <c r="AF538" i="5" s="1"/>
  <c r="AY538" i="5" s="1"/>
  <c r="AD58" i="8"/>
  <c r="AD538" i="5" s="1"/>
  <c r="AW538" i="5" s="1"/>
  <c r="AC59" i="8"/>
  <c r="BR319" i="12"/>
  <c r="BQ319" i="12"/>
  <c r="BP320" i="12"/>
  <c r="BU321" i="12"/>
  <c r="BV321" i="12" s="1"/>
  <c r="BW321" i="12" s="1"/>
  <c r="BO321" i="12"/>
  <c r="BS321" i="12"/>
  <c r="BT321" i="12" s="1"/>
  <c r="BN322" i="12"/>
  <c r="AH24" i="13"/>
  <c r="BO320" i="18" l="1"/>
  <c r="BP320" i="18" s="1"/>
  <c r="BR320" i="18" s="1"/>
  <c r="BS320" i="18"/>
  <c r="BT320" i="18" s="1"/>
  <c r="BU320" i="18"/>
  <c r="BV320" i="18" s="1"/>
  <c r="BW320" i="18" s="1"/>
  <c r="BN321" i="18"/>
  <c r="BQ320" i="18"/>
  <c r="BQ319" i="19"/>
  <c r="BN321" i="19"/>
  <c r="BS320" i="19"/>
  <c r="BT320" i="19" s="1"/>
  <c r="BO320" i="19"/>
  <c r="BP320" i="19" s="1"/>
  <c r="BR320" i="19" s="1"/>
  <c r="BU320" i="19"/>
  <c r="BV320" i="19" s="1"/>
  <c r="BW320" i="19" s="1"/>
  <c r="AC539" i="5"/>
  <c r="AC60" i="8"/>
  <c r="AF59" i="8"/>
  <c r="AF539" i="5" s="1"/>
  <c r="AY539" i="5" s="1"/>
  <c r="AY541" i="5" s="1"/>
  <c r="AY543" i="5" s="1"/>
  <c r="AY545" i="5" s="1"/>
  <c r="AD59" i="8"/>
  <c r="AD539" i="5" s="1"/>
  <c r="AW539" i="5" s="1"/>
  <c r="AW541" i="5" s="1"/>
  <c r="AW543" i="5" s="1"/>
  <c r="AW545" i="5" s="1"/>
  <c r="BR320" i="12"/>
  <c r="BQ320" i="12"/>
  <c r="BP321" i="12"/>
  <c r="BQ321" i="12" s="1"/>
  <c r="BU322" i="12"/>
  <c r="BV322" i="12" s="1"/>
  <c r="BW322" i="12" s="1"/>
  <c r="BS322" i="12"/>
  <c r="BT322" i="12" s="1"/>
  <c r="BO322" i="12"/>
  <c r="BP322" i="12" s="1"/>
  <c r="BN323" i="12"/>
  <c r="AH25" i="13"/>
  <c r="BN322" i="18" l="1"/>
  <c r="BU321" i="18"/>
  <c r="BV321" i="18" s="1"/>
  <c r="BW321" i="18" s="1"/>
  <c r="BO321" i="18"/>
  <c r="BP321" i="18" s="1"/>
  <c r="BR321" i="18" s="1"/>
  <c r="BS321" i="18"/>
  <c r="BT321" i="18" s="1"/>
  <c r="BQ321" i="18"/>
  <c r="BQ320" i="19"/>
  <c r="BO321" i="19"/>
  <c r="BP321" i="19" s="1"/>
  <c r="BR321" i="19" s="1"/>
  <c r="BN322" i="19"/>
  <c r="BU321" i="19"/>
  <c r="BV321" i="19" s="1"/>
  <c r="BW321" i="19" s="1"/>
  <c r="BS321" i="19"/>
  <c r="BT321" i="19" s="1"/>
  <c r="AC540" i="5"/>
  <c r="AC66" i="8"/>
  <c r="AF60" i="8"/>
  <c r="AF540" i="5" s="1"/>
  <c r="AY540" i="5" s="1"/>
  <c r="AY542" i="5" s="1"/>
  <c r="AY544" i="5" s="1"/>
  <c r="AD60" i="8"/>
  <c r="AD540" i="5" s="1"/>
  <c r="AW540" i="5" s="1"/>
  <c r="AW542" i="5" s="1"/>
  <c r="AW544" i="5" s="1"/>
  <c r="BR321" i="12"/>
  <c r="BR322" i="12" s="1"/>
  <c r="BU323" i="12"/>
  <c r="BV323" i="12" s="1"/>
  <c r="BW323" i="12" s="1"/>
  <c r="BS323" i="12"/>
  <c r="BT323" i="12" s="1"/>
  <c r="BO323" i="12"/>
  <c r="BN324" i="12"/>
  <c r="BQ322" i="12"/>
  <c r="AH26" i="13"/>
  <c r="BO322" i="18" l="1"/>
  <c r="BP322" i="18" s="1"/>
  <c r="BR322" i="18" s="1"/>
  <c r="BS322" i="18"/>
  <c r="BT322" i="18" s="1"/>
  <c r="BU322" i="18"/>
  <c r="BV322" i="18" s="1"/>
  <c r="BW322" i="18" s="1"/>
  <c r="BN323" i="18"/>
  <c r="BQ322" i="18"/>
  <c r="BU322" i="19"/>
  <c r="BV322" i="19" s="1"/>
  <c r="BW322" i="19" s="1"/>
  <c r="BN323" i="19"/>
  <c r="BO322" i="19"/>
  <c r="BP322" i="19" s="1"/>
  <c r="BR322" i="19" s="1"/>
  <c r="BS322" i="19"/>
  <c r="BT322" i="19" s="1"/>
  <c r="BQ321" i="19"/>
  <c r="AC546" i="5"/>
  <c r="AF66" i="8"/>
  <c r="AF546" i="5" s="1"/>
  <c r="AY546" i="5" s="1"/>
  <c r="AS66" i="8"/>
  <c r="AD66" i="8"/>
  <c r="AD546" i="5" s="1"/>
  <c r="AW546" i="5" s="1"/>
  <c r="AR66" i="8"/>
  <c r="AC67" i="8"/>
  <c r="BP323" i="12"/>
  <c r="BR323" i="12" s="1"/>
  <c r="BU324" i="12"/>
  <c r="BV324" i="12" s="1"/>
  <c r="BW324" i="12" s="1"/>
  <c r="BS324" i="12"/>
  <c r="BT324" i="12" s="1"/>
  <c r="BO324" i="12"/>
  <c r="BP324" i="12" s="1"/>
  <c r="BN325" i="12"/>
  <c r="AH27" i="13"/>
  <c r="BO323" i="18" l="1"/>
  <c r="BP323" i="18" s="1"/>
  <c r="BR323" i="18" s="1"/>
  <c r="BS323" i="18"/>
  <c r="BT323" i="18" s="1"/>
  <c r="BN324" i="18"/>
  <c r="BU323" i="18"/>
  <c r="BV323" i="18" s="1"/>
  <c r="BW323" i="18" s="1"/>
  <c r="BQ323" i="18"/>
  <c r="BN324" i="19"/>
  <c r="BU323" i="19"/>
  <c r="BV323" i="19" s="1"/>
  <c r="BW323" i="19" s="1"/>
  <c r="BS323" i="19"/>
  <c r="BT323" i="19" s="1"/>
  <c r="BO323" i="19"/>
  <c r="BP323" i="19" s="1"/>
  <c r="BR323" i="19" s="1"/>
  <c r="BQ322" i="19"/>
  <c r="AC547" i="5"/>
  <c r="AF67" i="8"/>
  <c r="AF547" i="5" s="1"/>
  <c r="AY547" i="5" s="1"/>
  <c r="AS67" i="8"/>
  <c r="AD67" i="8"/>
  <c r="AD547" i="5" s="1"/>
  <c r="AW547" i="5" s="1"/>
  <c r="AR67" i="8"/>
  <c r="AC68" i="8"/>
  <c r="BQ323" i="12"/>
  <c r="BS325" i="12"/>
  <c r="BT325" i="12" s="1"/>
  <c r="BU325" i="12"/>
  <c r="BV325" i="12" s="1"/>
  <c r="BW325" i="12" s="1"/>
  <c r="BO325" i="12"/>
  <c r="BN326" i="12"/>
  <c r="BQ324" i="12"/>
  <c r="BR324" i="12"/>
  <c r="AH28" i="13"/>
  <c r="BO324" i="18" l="1"/>
  <c r="BP324" i="18" s="1"/>
  <c r="BR324" i="18" s="1"/>
  <c r="BS324" i="18"/>
  <c r="BT324" i="18" s="1"/>
  <c r="BN325" i="18"/>
  <c r="BU324" i="18"/>
  <c r="BV324" i="18" s="1"/>
  <c r="BW324" i="18" s="1"/>
  <c r="BQ324" i="18"/>
  <c r="BQ323" i="19"/>
  <c r="BU324" i="19"/>
  <c r="BV324" i="19" s="1"/>
  <c r="BW324" i="19" s="1"/>
  <c r="BN325" i="19"/>
  <c r="BS324" i="19"/>
  <c r="BT324" i="19" s="1"/>
  <c r="BO324" i="19"/>
  <c r="BP324" i="19" s="1"/>
  <c r="BR324" i="19" s="1"/>
  <c r="AF68" i="8"/>
  <c r="AF548" i="5" s="1"/>
  <c r="AY548" i="5" s="1"/>
  <c r="AD68" i="8"/>
  <c r="AD548" i="5" s="1"/>
  <c r="AW548" i="5" s="1"/>
  <c r="AR68" i="8"/>
  <c r="AC69" i="8"/>
  <c r="AS68" i="8"/>
  <c r="AC548" i="5"/>
  <c r="BP325" i="12"/>
  <c r="BR325" i="12" s="1"/>
  <c r="BO326" i="12"/>
  <c r="BU326" i="12"/>
  <c r="BV326" i="12" s="1"/>
  <c r="BW326" i="12" s="1"/>
  <c r="BS326" i="12"/>
  <c r="BT326" i="12" s="1"/>
  <c r="BN327" i="12"/>
  <c r="AH29" i="13"/>
  <c r="BN326" i="18" l="1"/>
  <c r="BU325" i="18"/>
  <c r="BV325" i="18" s="1"/>
  <c r="BW325" i="18" s="1"/>
  <c r="BO325" i="18"/>
  <c r="BP325" i="18" s="1"/>
  <c r="BR325" i="18" s="1"/>
  <c r="BS325" i="18"/>
  <c r="BT325" i="18" s="1"/>
  <c r="BQ325" i="18"/>
  <c r="BQ324" i="19"/>
  <c r="BS325" i="19"/>
  <c r="BT325" i="19" s="1"/>
  <c r="BO325" i="19"/>
  <c r="BP325" i="19" s="1"/>
  <c r="BR325" i="19" s="1"/>
  <c r="BN326" i="19"/>
  <c r="BU325" i="19"/>
  <c r="BV325" i="19" s="1"/>
  <c r="BW325" i="19" s="1"/>
  <c r="AC549" i="5"/>
  <c r="AF69" i="8"/>
  <c r="AF549" i="5" s="1"/>
  <c r="AY549" i="5" s="1"/>
  <c r="AS69" i="8"/>
  <c r="AD69" i="8"/>
  <c r="AD549" i="5" s="1"/>
  <c r="AW549" i="5" s="1"/>
  <c r="AR69" i="8"/>
  <c r="AC70" i="8"/>
  <c r="BQ325" i="12"/>
  <c r="BP326" i="12"/>
  <c r="BR326" i="12" s="1"/>
  <c r="BS327" i="12"/>
  <c r="BT327" i="12" s="1"/>
  <c r="BO327" i="12"/>
  <c r="BU327" i="12"/>
  <c r="BV327" i="12" s="1"/>
  <c r="BW327" i="12" s="1"/>
  <c r="BN328" i="12"/>
  <c r="AH30" i="13"/>
  <c r="BO326" i="18" l="1"/>
  <c r="BP326" i="18" s="1"/>
  <c r="BR326" i="18" s="1"/>
  <c r="BS326" i="18"/>
  <c r="BT326" i="18" s="1"/>
  <c r="BN327" i="18"/>
  <c r="BU326" i="18"/>
  <c r="BV326" i="18" s="1"/>
  <c r="BW326" i="18" s="1"/>
  <c r="BQ326" i="18"/>
  <c r="BQ325" i="19"/>
  <c r="BU326" i="19"/>
  <c r="BV326" i="19" s="1"/>
  <c r="BW326" i="19" s="1"/>
  <c r="BS326" i="19"/>
  <c r="BT326" i="19" s="1"/>
  <c r="BO326" i="19"/>
  <c r="BP326" i="19" s="1"/>
  <c r="BR326" i="19" s="1"/>
  <c r="BN327" i="19"/>
  <c r="AS70" i="8"/>
  <c r="AF70" i="8"/>
  <c r="AF550" i="5" s="1"/>
  <c r="AY550" i="5" s="1"/>
  <c r="AR70" i="8"/>
  <c r="AD70" i="8"/>
  <c r="AD550" i="5" s="1"/>
  <c r="AW550" i="5" s="1"/>
  <c r="AC71" i="8"/>
  <c r="AC550" i="5"/>
  <c r="BQ326" i="12"/>
  <c r="BP327" i="12"/>
  <c r="BR327" i="12" s="1"/>
  <c r="BO328" i="12"/>
  <c r="BU328" i="12"/>
  <c r="BV328" i="12" s="1"/>
  <c r="BW328" i="12" s="1"/>
  <c r="BS328" i="12"/>
  <c r="BT328" i="12" s="1"/>
  <c r="BN329" i="12"/>
  <c r="AH31" i="13"/>
  <c r="BN328" i="18" l="1"/>
  <c r="BU327" i="18"/>
  <c r="BV327" i="18" s="1"/>
  <c r="BW327" i="18" s="1"/>
  <c r="BS327" i="18"/>
  <c r="BT327" i="18" s="1"/>
  <c r="BO327" i="18"/>
  <c r="BP327" i="18" s="1"/>
  <c r="BR327" i="18" s="1"/>
  <c r="BQ327" i="18"/>
  <c r="BS327" i="19"/>
  <c r="BT327" i="19" s="1"/>
  <c r="BO327" i="19"/>
  <c r="BP327" i="19" s="1"/>
  <c r="BR327" i="19" s="1"/>
  <c r="BN328" i="19"/>
  <c r="BU327" i="19"/>
  <c r="BV327" i="19" s="1"/>
  <c r="BW327" i="19" s="1"/>
  <c r="BQ326" i="19"/>
  <c r="AC72" i="8"/>
  <c r="AC551" i="5"/>
  <c r="AF71" i="8"/>
  <c r="AF551" i="5" s="1"/>
  <c r="AY551" i="5" s="1"/>
  <c r="AY553" i="5" s="1"/>
  <c r="AY555" i="5" s="1"/>
  <c r="AY557" i="5" s="1"/>
  <c r="AD71" i="8"/>
  <c r="AD551" i="5" s="1"/>
  <c r="AW551" i="5" s="1"/>
  <c r="AW553" i="5" s="1"/>
  <c r="AW555" i="5" s="1"/>
  <c r="AW557" i="5" s="1"/>
  <c r="BQ327" i="12"/>
  <c r="BP328" i="12"/>
  <c r="BR328" i="12" s="1"/>
  <c r="BU329" i="12"/>
  <c r="BV329" i="12" s="1"/>
  <c r="BW329" i="12" s="1"/>
  <c r="BO329" i="12"/>
  <c r="BS329" i="12"/>
  <c r="BT329" i="12" s="1"/>
  <c r="BN330" i="12"/>
  <c r="AH32" i="13"/>
  <c r="BO328" i="18" l="1"/>
  <c r="BP328" i="18" s="1"/>
  <c r="BR328" i="18" s="1"/>
  <c r="BS328" i="18"/>
  <c r="BT328" i="18" s="1"/>
  <c r="BN329" i="18"/>
  <c r="BU328" i="18"/>
  <c r="BV328" i="18" s="1"/>
  <c r="BW328" i="18" s="1"/>
  <c r="BQ328" i="18"/>
  <c r="BO328" i="19"/>
  <c r="BP328" i="19" s="1"/>
  <c r="BR328" i="19" s="1"/>
  <c r="BU328" i="19"/>
  <c r="BV328" i="19" s="1"/>
  <c r="BW328" i="19" s="1"/>
  <c r="BN329" i="19"/>
  <c r="BS328" i="19"/>
  <c r="BT328" i="19" s="1"/>
  <c r="BQ327" i="19"/>
  <c r="AC552" i="5"/>
  <c r="AF72" i="8"/>
  <c r="AF552" i="5" s="1"/>
  <c r="AY552" i="5" s="1"/>
  <c r="AY554" i="5" s="1"/>
  <c r="AY556" i="5" s="1"/>
  <c r="AD72" i="8"/>
  <c r="AD552" i="5" s="1"/>
  <c r="AW552" i="5" s="1"/>
  <c r="AW554" i="5" s="1"/>
  <c r="AW556" i="5" s="1"/>
  <c r="AC78" i="8"/>
  <c r="BQ328" i="12"/>
  <c r="BP329" i="12"/>
  <c r="BQ329" i="12" s="1"/>
  <c r="BS330" i="12"/>
  <c r="BT330" i="12" s="1"/>
  <c r="BO330" i="12"/>
  <c r="BP330" i="12" s="1"/>
  <c r="BU330" i="12"/>
  <c r="BV330" i="12" s="1"/>
  <c r="BW330" i="12" s="1"/>
  <c r="BN331" i="12"/>
  <c r="AH33" i="13"/>
  <c r="BN330" i="18" l="1"/>
  <c r="BU329" i="18"/>
  <c r="BV329" i="18" s="1"/>
  <c r="BW329" i="18" s="1"/>
  <c r="BS329" i="18"/>
  <c r="BT329" i="18" s="1"/>
  <c r="BO329" i="18"/>
  <c r="BP329" i="18" s="1"/>
  <c r="BR329" i="18" s="1"/>
  <c r="BQ329" i="18"/>
  <c r="BQ328" i="19"/>
  <c r="BU329" i="19"/>
  <c r="BV329" i="19" s="1"/>
  <c r="BW329" i="19" s="1"/>
  <c r="BS329" i="19"/>
  <c r="BT329" i="19" s="1"/>
  <c r="BO329" i="19"/>
  <c r="BP329" i="19" s="1"/>
  <c r="BR329" i="19" s="1"/>
  <c r="BN330" i="19"/>
  <c r="AC79" i="8"/>
  <c r="AR78" i="8"/>
  <c r="AD78" i="8"/>
  <c r="AD558" i="5" s="1"/>
  <c r="AW558" i="5" s="1"/>
  <c r="AC558" i="5"/>
  <c r="AS78" i="8"/>
  <c r="AF78" i="8"/>
  <c r="AF558" i="5" s="1"/>
  <c r="AY558" i="5" s="1"/>
  <c r="BR329" i="12"/>
  <c r="BR330" i="12" s="1"/>
  <c r="BS331" i="12"/>
  <c r="BT331" i="12" s="1"/>
  <c r="BO331" i="12"/>
  <c r="BP331" i="12" s="1"/>
  <c r="BU331" i="12"/>
  <c r="BV331" i="12" s="1"/>
  <c r="BW331" i="12" s="1"/>
  <c r="BN332" i="12"/>
  <c r="AH34" i="13"/>
  <c r="BO330" i="18" l="1"/>
  <c r="BP330" i="18" s="1"/>
  <c r="BR330" i="18" s="1"/>
  <c r="BS330" i="18"/>
  <c r="BT330" i="18" s="1"/>
  <c r="BN331" i="18"/>
  <c r="BU330" i="18"/>
  <c r="BV330" i="18" s="1"/>
  <c r="BW330" i="18" s="1"/>
  <c r="BQ330" i="18"/>
  <c r="AD23" i="13"/>
  <c r="AD22" i="13"/>
  <c r="BN331" i="19"/>
  <c r="BO330" i="19"/>
  <c r="BP330" i="19" s="1"/>
  <c r="BR330" i="19" s="1"/>
  <c r="BS330" i="19"/>
  <c r="BT330" i="19" s="1"/>
  <c r="BU330" i="19"/>
  <c r="BV330" i="19" s="1"/>
  <c r="BW330" i="19" s="1"/>
  <c r="BQ329" i="19"/>
  <c r="AC559" i="5"/>
  <c r="AF79" i="8"/>
  <c r="AF559" i="5" s="1"/>
  <c r="AY559" i="5" s="1"/>
  <c r="AR79" i="8"/>
  <c r="AD79" i="8"/>
  <c r="AD559" i="5" s="1"/>
  <c r="AW559" i="5" s="1"/>
  <c r="AS79" i="8"/>
  <c r="AC80" i="8"/>
  <c r="AD35" i="13"/>
  <c r="AD28" i="13"/>
  <c r="AD25" i="13"/>
  <c r="AD41" i="13"/>
  <c r="AD38" i="13"/>
  <c r="AD47" i="13"/>
  <c r="AG21" i="13"/>
  <c r="AG25" i="13"/>
  <c r="AG29" i="13"/>
  <c r="AG33" i="13"/>
  <c r="AD44" i="13"/>
  <c r="AD39" i="13"/>
  <c r="AD32" i="13"/>
  <c r="AD29" i="13"/>
  <c r="AD26" i="13"/>
  <c r="AD42" i="13"/>
  <c r="AD48" i="13"/>
  <c r="AG22" i="13"/>
  <c r="AG26" i="13"/>
  <c r="AG30" i="13"/>
  <c r="AG34" i="13"/>
  <c r="AD27" i="13"/>
  <c r="AD43" i="13"/>
  <c r="AD36" i="13"/>
  <c r="AD33" i="13"/>
  <c r="AD30" i="13"/>
  <c r="AD45" i="13"/>
  <c r="AD49" i="13"/>
  <c r="AG23" i="13"/>
  <c r="AG27" i="13"/>
  <c r="AG31" i="13"/>
  <c r="AG35" i="13"/>
  <c r="AD31" i="13"/>
  <c r="AD24" i="13"/>
  <c r="AD40" i="13"/>
  <c r="AD37" i="13"/>
  <c r="AD34" i="13"/>
  <c r="AD46" i="13"/>
  <c r="AD50" i="13"/>
  <c r="AG24" i="13"/>
  <c r="AG28" i="13"/>
  <c r="AG32" i="13"/>
  <c r="BR331" i="12"/>
  <c r="BQ330" i="12"/>
  <c r="BS332" i="12"/>
  <c r="BT332" i="12" s="1"/>
  <c r="BO332" i="12"/>
  <c r="BU332" i="12"/>
  <c r="BV332" i="12" s="1"/>
  <c r="BW332" i="12" s="1"/>
  <c r="BN333" i="12"/>
  <c r="BQ331" i="12"/>
  <c r="AH35" i="13"/>
  <c r="BN332" i="18" l="1"/>
  <c r="BU331" i="18"/>
  <c r="BV331" i="18" s="1"/>
  <c r="BW331" i="18" s="1"/>
  <c r="BS331" i="18"/>
  <c r="BT331" i="18" s="1"/>
  <c r="BO331" i="18"/>
  <c r="BP331" i="18" s="1"/>
  <c r="BR331" i="18" s="1"/>
  <c r="BQ331" i="18"/>
  <c r="BQ330" i="19"/>
  <c r="BO331" i="19"/>
  <c r="BP331" i="19" s="1"/>
  <c r="BR331" i="19" s="1"/>
  <c r="BN332" i="19"/>
  <c r="BU331" i="19"/>
  <c r="BV331" i="19" s="1"/>
  <c r="BW331" i="19" s="1"/>
  <c r="BS331" i="19"/>
  <c r="BT331" i="19" s="1"/>
  <c r="AB52" i="13"/>
  <c r="AD80" i="8"/>
  <c r="AD560" i="5" s="1"/>
  <c r="AW560" i="5" s="1"/>
  <c r="AS80" i="8"/>
  <c r="AC560" i="5"/>
  <c r="AR80" i="8"/>
  <c r="AF80" i="8"/>
  <c r="AF560" i="5" s="1"/>
  <c r="AY560" i="5" s="1"/>
  <c r="AC81" i="8"/>
  <c r="BP332" i="12"/>
  <c r="BR332" i="12" s="1"/>
  <c r="BS333" i="12"/>
  <c r="BT333" i="12" s="1"/>
  <c r="BU333" i="12"/>
  <c r="BV333" i="12" s="1"/>
  <c r="BW333" i="12" s="1"/>
  <c r="BO333" i="12"/>
  <c r="BN334" i="12"/>
  <c r="AH36" i="13"/>
  <c r="BU332" i="18" l="1"/>
  <c r="BV332" i="18" s="1"/>
  <c r="BW332" i="18" s="1"/>
  <c r="BS332" i="18"/>
  <c r="BT332" i="18" s="1"/>
  <c r="BO332" i="18"/>
  <c r="BP332" i="18" s="1"/>
  <c r="BR332" i="18" s="1"/>
  <c r="BN333" i="18"/>
  <c r="BQ332" i="18"/>
  <c r="BQ331" i="19"/>
  <c r="BO332" i="19"/>
  <c r="BP332" i="19" s="1"/>
  <c r="BR332" i="19" s="1"/>
  <c r="BS332" i="19"/>
  <c r="BT332" i="19" s="1"/>
  <c r="BU332" i="19"/>
  <c r="BV332" i="19" s="1"/>
  <c r="BW332" i="19" s="1"/>
  <c r="BN333" i="19"/>
  <c r="AC82" i="8"/>
  <c r="AD81" i="8"/>
  <c r="AD561" i="5" s="1"/>
  <c r="AW561" i="5" s="1"/>
  <c r="AS81" i="8"/>
  <c r="AC561" i="5"/>
  <c r="AR81" i="8"/>
  <c r="AF81" i="8"/>
  <c r="AF561" i="5" s="1"/>
  <c r="AY561" i="5" s="1"/>
  <c r="BQ332" i="12"/>
  <c r="BP333" i="12"/>
  <c r="BR333" i="12" s="1"/>
  <c r="BO334" i="12"/>
  <c r="BU334" i="12"/>
  <c r="BV334" i="12" s="1"/>
  <c r="BW334" i="12" s="1"/>
  <c r="BS334" i="12"/>
  <c r="BT334" i="12" s="1"/>
  <c r="BN335" i="12"/>
  <c r="AH37" i="13"/>
  <c r="BS333" i="18" l="1"/>
  <c r="BT333" i="18" s="1"/>
  <c r="BO333" i="18"/>
  <c r="BP333" i="18" s="1"/>
  <c r="BR333" i="18" s="1"/>
  <c r="BN334" i="18"/>
  <c r="BU333" i="18"/>
  <c r="BV333" i="18" s="1"/>
  <c r="BW333" i="18" s="1"/>
  <c r="BQ333" i="18"/>
  <c r="BQ332" i="19"/>
  <c r="BO333" i="19"/>
  <c r="BP333" i="19" s="1"/>
  <c r="BR333" i="19" s="1"/>
  <c r="BN334" i="19"/>
  <c r="BS333" i="19"/>
  <c r="BT333" i="19" s="1"/>
  <c r="BU333" i="19"/>
  <c r="BV333" i="19" s="1"/>
  <c r="BW333" i="19" s="1"/>
  <c r="AR82" i="8"/>
  <c r="AC83" i="8"/>
  <c r="AF82" i="8"/>
  <c r="AF562" i="5" s="1"/>
  <c r="AY562" i="5" s="1"/>
  <c r="AC562" i="5"/>
  <c r="AS82" i="8"/>
  <c r="AD82" i="8"/>
  <c r="AD562" i="5" s="1"/>
  <c r="AW562" i="5" s="1"/>
  <c r="BQ333" i="12"/>
  <c r="BP334" i="12"/>
  <c r="BR334" i="12" s="1"/>
  <c r="BO335" i="12"/>
  <c r="BU335" i="12"/>
  <c r="BV335" i="12" s="1"/>
  <c r="BW335" i="12" s="1"/>
  <c r="BS335" i="12"/>
  <c r="BT335" i="12" s="1"/>
  <c r="BN336" i="12"/>
  <c r="AH38" i="13"/>
  <c r="BU334" i="18" l="1"/>
  <c r="BV334" i="18" s="1"/>
  <c r="BW334" i="18" s="1"/>
  <c r="BS334" i="18"/>
  <c r="BT334" i="18" s="1"/>
  <c r="BO334" i="18"/>
  <c r="BP334" i="18" s="1"/>
  <c r="BR334" i="18" s="1"/>
  <c r="BQ334" i="18"/>
  <c r="BN335" i="18"/>
  <c r="BQ333" i="19"/>
  <c r="BU334" i="19"/>
  <c r="BV334" i="19" s="1"/>
  <c r="BW334" i="19" s="1"/>
  <c r="BN335" i="19"/>
  <c r="BS334" i="19"/>
  <c r="BT334" i="19" s="1"/>
  <c r="BO334" i="19"/>
  <c r="BP334" i="19" s="1"/>
  <c r="BR334" i="19" s="1"/>
  <c r="AD83" i="8"/>
  <c r="AD563" i="5" s="1"/>
  <c r="AW563" i="5" s="1"/>
  <c r="AW565" i="5" s="1"/>
  <c r="AW567" i="5" s="1"/>
  <c r="AW569" i="5" s="1"/>
  <c r="AC563" i="5"/>
  <c r="AF83" i="8"/>
  <c r="AF563" i="5" s="1"/>
  <c r="AY563" i="5" s="1"/>
  <c r="AY565" i="5" s="1"/>
  <c r="AY567" i="5" s="1"/>
  <c r="AY569" i="5" s="1"/>
  <c r="AC84" i="8"/>
  <c r="BQ334" i="12"/>
  <c r="BP335" i="12"/>
  <c r="BR335" i="12" s="1"/>
  <c r="BU336" i="12"/>
  <c r="BV336" i="12" s="1"/>
  <c r="BW336" i="12" s="1"/>
  <c r="BS336" i="12"/>
  <c r="BT336" i="12" s="1"/>
  <c r="BO336" i="12"/>
  <c r="BN337" i="12"/>
  <c r="AH39" i="13"/>
  <c r="BU335" i="18" l="1"/>
  <c r="BV335" i="18" s="1"/>
  <c r="BW335" i="18" s="1"/>
  <c r="BO335" i="18"/>
  <c r="BP335" i="18" s="1"/>
  <c r="BR335" i="18" s="1"/>
  <c r="BS335" i="18"/>
  <c r="BT335" i="18" s="1"/>
  <c r="BN336" i="18"/>
  <c r="BQ335" i="18"/>
  <c r="BQ334" i="19"/>
  <c r="BU335" i="19"/>
  <c r="BV335" i="19" s="1"/>
  <c r="BW335" i="19" s="1"/>
  <c r="BS335" i="19"/>
  <c r="BT335" i="19" s="1"/>
  <c r="BO335" i="19"/>
  <c r="BP335" i="19" s="1"/>
  <c r="BR335" i="19" s="1"/>
  <c r="BN336" i="19"/>
  <c r="AF84" i="8"/>
  <c r="AF564" i="5" s="1"/>
  <c r="AY564" i="5" s="1"/>
  <c r="AY566" i="5" s="1"/>
  <c r="AY568" i="5" s="1"/>
  <c r="AD84" i="8"/>
  <c r="AD564" i="5" s="1"/>
  <c r="AW564" i="5" s="1"/>
  <c r="AW566" i="5" s="1"/>
  <c r="AW568" i="5" s="1"/>
  <c r="AC564" i="5"/>
  <c r="AC90" i="8"/>
  <c r="BQ335" i="12"/>
  <c r="BP336" i="12"/>
  <c r="BR336" i="12" s="1"/>
  <c r="BU337" i="12"/>
  <c r="BV337" i="12" s="1"/>
  <c r="BW337" i="12" s="1"/>
  <c r="BO337" i="12"/>
  <c r="BS337" i="12"/>
  <c r="BT337" i="12" s="1"/>
  <c r="BN338" i="12"/>
  <c r="AH40" i="13"/>
  <c r="BO336" i="18" l="1"/>
  <c r="BP336" i="18" s="1"/>
  <c r="BR336" i="18" s="1"/>
  <c r="BS336" i="18"/>
  <c r="BT336" i="18" s="1"/>
  <c r="BU336" i="18"/>
  <c r="BV336" i="18" s="1"/>
  <c r="BW336" i="18" s="1"/>
  <c r="BN337" i="18"/>
  <c r="BQ336" i="18"/>
  <c r="BQ335" i="19"/>
  <c r="BO336" i="19"/>
  <c r="BP336" i="19" s="1"/>
  <c r="BR336" i="19" s="1"/>
  <c r="BS336" i="19"/>
  <c r="BT336" i="19" s="1"/>
  <c r="BU336" i="19"/>
  <c r="BV336" i="19" s="1"/>
  <c r="BW336" i="19" s="1"/>
  <c r="BN337" i="19"/>
  <c r="AR90" i="8"/>
  <c r="AC570" i="5"/>
  <c r="AS90" i="8"/>
  <c r="AC91" i="8"/>
  <c r="AF90" i="8"/>
  <c r="AF570" i="5" s="1"/>
  <c r="AY570" i="5" s="1"/>
  <c r="AD90" i="8"/>
  <c r="AD570" i="5" s="1"/>
  <c r="AW570" i="5" s="1"/>
  <c r="BQ336" i="12"/>
  <c r="BP337" i="12"/>
  <c r="BQ337" i="12" s="1"/>
  <c r="BU338" i="12"/>
  <c r="BV338" i="12" s="1"/>
  <c r="BW338" i="12" s="1"/>
  <c r="BS338" i="12"/>
  <c r="BT338" i="12" s="1"/>
  <c r="BO338" i="12"/>
  <c r="BP338" i="12" s="1"/>
  <c r="BN339" i="12"/>
  <c r="AH41" i="13"/>
  <c r="BS337" i="18" l="1"/>
  <c r="BT337" i="18" s="1"/>
  <c r="BN338" i="18"/>
  <c r="BU337" i="18"/>
  <c r="BV337" i="18" s="1"/>
  <c r="BW337" i="18" s="1"/>
  <c r="BO337" i="18"/>
  <c r="BP337" i="18" s="1"/>
  <c r="BR337" i="18" s="1"/>
  <c r="BQ337" i="18"/>
  <c r="BQ336" i="19"/>
  <c r="BO337" i="19"/>
  <c r="BP337" i="19" s="1"/>
  <c r="BR337" i="19" s="1"/>
  <c r="BS337" i="19"/>
  <c r="BT337" i="19" s="1"/>
  <c r="BN338" i="19"/>
  <c r="BU337" i="19"/>
  <c r="BV337" i="19" s="1"/>
  <c r="BW337" i="19" s="1"/>
  <c r="AR91" i="8"/>
  <c r="AC92" i="8"/>
  <c r="AF91" i="8"/>
  <c r="AF571" i="5" s="1"/>
  <c r="AY571" i="5" s="1"/>
  <c r="AS91" i="8"/>
  <c r="AD91" i="8"/>
  <c r="AD571" i="5" s="1"/>
  <c r="AW571" i="5" s="1"/>
  <c r="AC571" i="5"/>
  <c r="BR337" i="12"/>
  <c r="BR338" i="12" s="1"/>
  <c r="BU339" i="12"/>
  <c r="BV339" i="12" s="1"/>
  <c r="BW339" i="12" s="1"/>
  <c r="BS339" i="12"/>
  <c r="BT339" i="12" s="1"/>
  <c r="BO339" i="12"/>
  <c r="BP339" i="12" s="1"/>
  <c r="BN340" i="12"/>
  <c r="BQ338" i="12"/>
  <c r="AH42" i="13"/>
  <c r="BU338" i="18" l="1"/>
  <c r="BV338" i="18" s="1"/>
  <c r="BW338" i="18" s="1"/>
  <c r="BS338" i="18"/>
  <c r="BT338" i="18" s="1"/>
  <c r="BO338" i="18"/>
  <c r="BP338" i="18" s="1"/>
  <c r="BR338" i="18" s="1"/>
  <c r="BN339" i="18"/>
  <c r="BQ338" i="18"/>
  <c r="BQ337" i="19"/>
  <c r="BU338" i="19"/>
  <c r="BV338" i="19" s="1"/>
  <c r="BW338" i="19" s="1"/>
  <c r="BO338" i="19"/>
  <c r="BP338" i="19" s="1"/>
  <c r="BR338" i="19" s="1"/>
  <c r="BN339" i="19"/>
  <c r="BS338" i="19"/>
  <c r="BT338" i="19" s="1"/>
  <c r="AD92" i="8"/>
  <c r="AD572" i="5" s="1"/>
  <c r="AW572" i="5" s="1"/>
  <c r="AC572" i="5"/>
  <c r="AS92" i="8"/>
  <c r="AC93" i="8"/>
  <c r="AR92" i="8"/>
  <c r="AF92" i="8"/>
  <c r="AF572" i="5" s="1"/>
  <c r="AY572" i="5" s="1"/>
  <c r="BQ339" i="12"/>
  <c r="BR339" i="12"/>
  <c r="BU340" i="12"/>
  <c r="BV340" i="12" s="1"/>
  <c r="BW340" i="12" s="1"/>
  <c r="BS340" i="12"/>
  <c r="BT340" i="12" s="1"/>
  <c r="BO340" i="12"/>
  <c r="BP340" i="12" s="1"/>
  <c r="BN341" i="12"/>
  <c r="AH43" i="13"/>
  <c r="BO339" i="18" l="1"/>
  <c r="BP339" i="18" s="1"/>
  <c r="BR339" i="18" s="1"/>
  <c r="BN340" i="18"/>
  <c r="BU339" i="18"/>
  <c r="BV339" i="18" s="1"/>
  <c r="BW339" i="18" s="1"/>
  <c r="BS339" i="18"/>
  <c r="BT339" i="18" s="1"/>
  <c r="BQ339" i="18"/>
  <c r="BO339" i="19"/>
  <c r="BP339" i="19" s="1"/>
  <c r="BR339" i="19" s="1"/>
  <c r="BN340" i="19"/>
  <c r="BS339" i="19"/>
  <c r="BT339" i="19" s="1"/>
  <c r="BU339" i="19"/>
  <c r="BV339" i="19" s="1"/>
  <c r="BW339" i="19" s="1"/>
  <c r="BQ338" i="19"/>
  <c r="AC94" i="8"/>
  <c r="AF93" i="8"/>
  <c r="AF573" i="5" s="1"/>
  <c r="AY573" i="5" s="1"/>
  <c r="AS93" i="8"/>
  <c r="AC573" i="5"/>
  <c r="AR93" i="8"/>
  <c r="AD93" i="8"/>
  <c r="AD573" i="5" s="1"/>
  <c r="AW573" i="5" s="1"/>
  <c r="BR340" i="12"/>
  <c r="BS341" i="12"/>
  <c r="BT341" i="12" s="1"/>
  <c r="BU341" i="12"/>
  <c r="BV341" i="12" s="1"/>
  <c r="BW341" i="12" s="1"/>
  <c r="BO341" i="12"/>
  <c r="BN342" i="12"/>
  <c r="BQ340" i="12"/>
  <c r="AH44" i="13"/>
  <c r="BU340" i="18" l="1"/>
  <c r="BV340" i="18" s="1"/>
  <c r="BW340" i="18" s="1"/>
  <c r="BN341" i="18"/>
  <c r="BO340" i="18"/>
  <c r="BP340" i="18" s="1"/>
  <c r="BR340" i="18" s="1"/>
  <c r="BS340" i="18"/>
  <c r="BT340" i="18" s="1"/>
  <c r="BQ340" i="18"/>
  <c r="BQ339" i="19"/>
  <c r="BS340" i="19"/>
  <c r="BT340" i="19" s="1"/>
  <c r="BU340" i="19"/>
  <c r="BV340" i="19" s="1"/>
  <c r="BW340" i="19" s="1"/>
  <c r="BO340" i="19"/>
  <c r="BP340" i="19" s="1"/>
  <c r="BR340" i="19" s="1"/>
  <c r="BN341" i="19"/>
  <c r="AS94" i="8"/>
  <c r="AF94" i="8"/>
  <c r="AF574" i="5" s="1"/>
  <c r="AY574" i="5" s="1"/>
  <c r="AD94" i="8"/>
  <c r="AD574" i="5" s="1"/>
  <c r="AW574" i="5" s="1"/>
  <c r="AC95" i="8"/>
  <c r="AR94" i="8"/>
  <c r="AC574" i="5"/>
  <c r="BP341" i="12"/>
  <c r="BR341" i="12" s="1"/>
  <c r="BS342" i="12"/>
  <c r="BT342" i="12" s="1"/>
  <c r="BO342" i="12"/>
  <c r="BU342" i="12"/>
  <c r="BV342" i="12" s="1"/>
  <c r="BW342" i="12" s="1"/>
  <c r="BN343" i="12"/>
  <c r="AH45" i="13"/>
  <c r="BS341" i="18" l="1"/>
  <c r="BT341" i="18" s="1"/>
  <c r="BN342" i="18"/>
  <c r="BU341" i="18"/>
  <c r="BV341" i="18" s="1"/>
  <c r="BW341" i="18" s="1"/>
  <c r="BO341" i="18"/>
  <c r="BP341" i="18" s="1"/>
  <c r="BR341" i="18" s="1"/>
  <c r="BQ341" i="18"/>
  <c r="BQ340" i="19"/>
  <c r="BN342" i="19"/>
  <c r="BS341" i="19"/>
  <c r="BT341" i="19" s="1"/>
  <c r="BO341" i="19"/>
  <c r="BP341" i="19" s="1"/>
  <c r="BR341" i="19" s="1"/>
  <c r="BU341" i="19"/>
  <c r="BV341" i="19" s="1"/>
  <c r="BW341" i="19" s="1"/>
  <c r="AC575" i="5"/>
  <c r="AD95" i="8"/>
  <c r="AD575" i="5" s="1"/>
  <c r="AW575" i="5" s="1"/>
  <c r="AW577" i="5" s="1"/>
  <c r="AW579" i="5" s="1"/>
  <c r="AW581" i="5" s="1"/>
  <c r="AC96" i="8"/>
  <c r="AF95" i="8"/>
  <c r="AF575" i="5" s="1"/>
  <c r="AY575" i="5" s="1"/>
  <c r="AY577" i="5" s="1"/>
  <c r="AY579" i="5" s="1"/>
  <c r="AY581" i="5" s="1"/>
  <c r="BQ341" i="12"/>
  <c r="BP342" i="12"/>
  <c r="BR342" i="12" s="1"/>
  <c r="BU343" i="12"/>
  <c r="BV343" i="12" s="1"/>
  <c r="BW343" i="12" s="1"/>
  <c r="BS343" i="12"/>
  <c r="BT343" i="12" s="1"/>
  <c r="BO343" i="12"/>
  <c r="BN344" i="12"/>
  <c r="AH46" i="13"/>
  <c r="BU342" i="18" l="1"/>
  <c r="BV342" i="18" s="1"/>
  <c r="BW342" i="18" s="1"/>
  <c r="BS342" i="18"/>
  <c r="BT342" i="18" s="1"/>
  <c r="BO342" i="18"/>
  <c r="BP342" i="18" s="1"/>
  <c r="BR342" i="18" s="1"/>
  <c r="BQ342" i="18"/>
  <c r="BN343" i="18"/>
  <c r="BQ341" i="19"/>
  <c r="BO342" i="19"/>
  <c r="BP342" i="19" s="1"/>
  <c r="BR342" i="19" s="1"/>
  <c r="BN343" i="19"/>
  <c r="BU342" i="19"/>
  <c r="BV342" i="19" s="1"/>
  <c r="BW342" i="19" s="1"/>
  <c r="BS342" i="19"/>
  <c r="BT342" i="19" s="1"/>
  <c r="AF96" i="8"/>
  <c r="AF576" i="5" s="1"/>
  <c r="AY576" i="5" s="1"/>
  <c r="AY578" i="5" s="1"/>
  <c r="AY580" i="5" s="1"/>
  <c r="AC102" i="8"/>
  <c r="AD96" i="8"/>
  <c r="AD576" i="5" s="1"/>
  <c r="AW576" i="5" s="1"/>
  <c r="AW578" i="5" s="1"/>
  <c r="AW580" i="5" s="1"/>
  <c r="AC576" i="5"/>
  <c r="BQ342" i="12"/>
  <c r="BP343" i="12"/>
  <c r="BR343" i="12" s="1"/>
  <c r="BU344" i="12"/>
  <c r="BV344" i="12" s="1"/>
  <c r="BW344" i="12" s="1"/>
  <c r="BS344" i="12"/>
  <c r="BT344" i="12" s="1"/>
  <c r="BO344" i="12"/>
  <c r="BN345" i="12"/>
  <c r="AH47" i="13"/>
  <c r="BN344" i="18" l="1"/>
  <c r="BU343" i="18"/>
  <c r="BV343" i="18" s="1"/>
  <c r="BW343" i="18" s="1"/>
  <c r="BS343" i="18"/>
  <c r="BT343" i="18" s="1"/>
  <c r="BO343" i="18"/>
  <c r="BP343" i="18" s="1"/>
  <c r="BR343" i="18" s="1"/>
  <c r="BQ343" i="18"/>
  <c r="BQ342" i="19"/>
  <c r="BU343" i="19"/>
  <c r="BV343" i="19" s="1"/>
  <c r="BW343" i="19" s="1"/>
  <c r="BO343" i="19"/>
  <c r="BP343" i="19" s="1"/>
  <c r="BR343" i="19" s="1"/>
  <c r="BN344" i="19"/>
  <c r="BS343" i="19"/>
  <c r="BT343" i="19" s="1"/>
  <c r="AC103" i="8"/>
  <c r="AD102" i="8"/>
  <c r="AD582" i="5" s="1"/>
  <c r="AW582" i="5" s="1"/>
  <c r="AS102" i="8"/>
  <c r="AC582" i="5"/>
  <c r="AR102" i="8"/>
  <c r="AF102" i="8"/>
  <c r="AF582" i="5" s="1"/>
  <c r="AY582" i="5" s="1"/>
  <c r="BQ343" i="12"/>
  <c r="BP344" i="12"/>
  <c r="BQ344" i="12" s="1"/>
  <c r="BU345" i="12"/>
  <c r="BV345" i="12" s="1"/>
  <c r="BW345" i="12" s="1"/>
  <c r="BO345" i="12"/>
  <c r="BP345" i="12" s="1"/>
  <c r="BS345" i="12"/>
  <c r="BT345" i="12" s="1"/>
  <c r="BN346" i="12"/>
  <c r="AH48" i="13"/>
  <c r="BO344" i="18" l="1"/>
  <c r="BP344" i="18" s="1"/>
  <c r="BR344" i="18" s="1"/>
  <c r="BS344" i="18"/>
  <c r="BT344" i="18" s="1"/>
  <c r="BU344" i="18"/>
  <c r="BV344" i="18" s="1"/>
  <c r="BW344" i="18" s="1"/>
  <c r="BN345" i="18"/>
  <c r="BQ344" i="18"/>
  <c r="BQ343" i="19"/>
  <c r="BO344" i="19"/>
  <c r="BP344" i="19" s="1"/>
  <c r="BR344" i="19" s="1"/>
  <c r="BN345" i="19"/>
  <c r="BU344" i="19"/>
  <c r="BV344" i="19" s="1"/>
  <c r="BW344" i="19" s="1"/>
  <c r="BS344" i="19"/>
  <c r="BT344" i="19" s="1"/>
  <c r="AF103" i="8"/>
  <c r="AF583" i="5" s="1"/>
  <c r="AY583" i="5" s="1"/>
  <c r="AD103" i="8"/>
  <c r="AD583" i="5" s="1"/>
  <c r="AW583" i="5" s="1"/>
  <c r="AS103" i="8"/>
  <c r="AC104" i="8"/>
  <c r="AR103" i="8"/>
  <c r="AC583" i="5"/>
  <c r="BR344" i="12"/>
  <c r="BR345" i="12" s="1"/>
  <c r="BU346" i="12"/>
  <c r="BV346" i="12" s="1"/>
  <c r="BW346" i="12" s="1"/>
  <c r="BS346" i="12"/>
  <c r="BT346" i="12" s="1"/>
  <c r="BO346" i="12"/>
  <c r="BP346" i="12" s="1"/>
  <c r="BN347" i="12"/>
  <c r="BQ345" i="12"/>
  <c r="AH49" i="13"/>
  <c r="BO345" i="18" l="1"/>
  <c r="BP345" i="18" s="1"/>
  <c r="BR345" i="18" s="1"/>
  <c r="BN346" i="18"/>
  <c r="BU345" i="18"/>
  <c r="BV345" i="18" s="1"/>
  <c r="BW345" i="18" s="1"/>
  <c r="BS345" i="18"/>
  <c r="BT345" i="18" s="1"/>
  <c r="BQ345" i="18"/>
  <c r="BQ344" i="19"/>
  <c r="BN346" i="19"/>
  <c r="BO345" i="19"/>
  <c r="BP345" i="19" s="1"/>
  <c r="BR345" i="19" s="1"/>
  <c r="BU345" i="19"/>
  <c r="BV345" i="19" s="1"/>
  <c r="BW345" i="19" s="1"/>
  <c r="BS345" i="19"/>
  <c r="BT345" i="19" s="1"/>
  <c r="AC584" i="5"/>
  <c r="AR104" i="8"/>
  <c r="AD104" i="8"/>
  <c r="AD584" i="5" s="1"/>
  <c r="AW584" i="5" s="1"/>
  <c r="AC105" i="8"/>
  <c r="AS104" i="8"/>
  <c r="AF104" i="8"/>
  <c r="AF584" i="5" s="1"/>
  <c r="AY584" i="5" s="1"/>
  <c r="BR346" i="12"/>
  <c r="BU347" i="12"/>
  <c r="BV347" i="12" s="1"/>
  <c r="BW347" i="12" s="1"/>
  <c r="BS347" i="12"/>
  <c r="BT347" i="12" s="1"/>
  <c r="BO347" i="12"/>
  <c r="BN348" i="12"/>
  <c r="BQ346" i="12"/>
  <c r="AH50" i="13"/>
  <c r="BU346" i="18" l="1"/>
  <c r="BV346" i="18" s="1"/>
  <c r="BW346" i="18" s="1"/>
  <c r="BS346" i="18"/>
  <c r="BT346" i="18" s="1"/>
  <c r="BO346" i="18"/>
  <c r="BP346" i="18" s="1"/>
  <c r="BR346" i="18" s="1"/>
  <c r="BN347" i="18"/>
  <c r="BQ346" i="18"/>
  <c r="BQ345" i="19"/>
  <c r="BO346" i="19"/>
  <c r="BP346" i="19" s="1"/>
  <c r="BR346" i="19" s="1"/>
  <c r="BU346" i="19"/>
  <c r="BV346" i="19" s="1"/>
  <c r="BW346" i="19" s="1"/>
  <c r="BS346" i="19"/>
  <c r="BT346" i="19" s="1"/>
  <c r="BN347" i="19"/>
  <c r="AF105" i="8"/>
  <c r="AF585" i="5" s="1"/>
  <c r="AY585" i="5" s="1"/>
  <c r="AC585" i="5"/>
  <c r="AR105" i="8"/>
  <c r="AD105" i="8"/>
  <c r="AD585" i="5" s="1"/>
  <c r="AW585" i="5" s="1"/>
  <c r="AS105" i="8"/>
  <c r="AC106" i="8"/>
  <c r="BP347" i="12"/>
  <c r="BR347" i="12" s="1"/>
  <c r="BS348" i="12"/>
  <c r="BT348" i="12" s="1"/>
  <c r="BO348" i="12"/>
  <c r="BU348" i="12"/>
  <c r="BV348" i="12" s="1"/>
  <c r="BW348" i="12" s="1"/>
  <c r="BN349" i="12"/>
  <c r="AH51" i="13"/>
  <c r="BO347" i="18" l="1"/>
  <c r="BP347" i="18" s="1"/>
  <c r="BR347" i="18" s="1"/>
  <c r="BN348" i="18"/>
  <c r="BU347" i="18"/>
  <c r="BV347" i="18" s="1"/>
  <c r="BW347" i="18" s="1"/>
  <c r="BS347" i="18"/>
  <c r="BT347" i="18" s="1"/>
  <c r="BQ347" i="18"/>
  <c r="BQ346" i="19"/>
  <c r="BO347" i="19"/>
  <c r="BN348" i="19"/>
  <c r="BU347" i="19"/>
  <c r="BV347" i="19" s="1"/>
  <c r="BW347" i="19" s="1"/>
  <c r="BS347" i="19"/>
  <c r="BT347" i="19" s="1"/>
  <c r="AR106" i="8"/>
  <c r="AF106" i="8"/>
  <c r="AF586" i="5" s="1"/>
  <c r="AY586" i="5" s="1"/>
  <c r="AC586" i="5"/>
  <c r="AC107" i="8"/>
  <c r="AS106" i="8"/>
  <c r="AD106" i="8"/>
  <c r="AD586" i="5" s="1"/>
  <c r="AW586" i="5" s="1"/>
  <c r="BQ347" i="12"/>
  <c r="BP348" i="12"/>
  <c r="BR348" i="12" s="1"/>
  <c r="BU349" i="12"/>
  <c r="BV349" i="12" s="1"/>
  <c r="BW349" i="12" s="1"/>
  <c r="BO349" i="12"/>
  <c r="BS349" i="12"/>
  <c r="BT349" i="12" s="1"/>
  <c r="BN350" i="12"/>
  <c r="BU348" i="18" l="1"/>
  <c r="BV348" i="18" s="1"/>
  <c r="BW348" i="18" s="1"/>
  <c r="BS348" i="18"/>
  <c r="BT348" i="18" s="1"/>
  <c r="BO348" i="18"/>
  <c r="BP348" i="18" s="1"/>
  <c r="BR348" i="18" s="1"/>
  <c r="BN349" i="18"/>
  <c r="BQ348" i="18"/>
  <c r="BU348" i="19"/>
  <c r="BV348" i="19" s="1"/>
  <c r="BW348" i="19" s="1"/>
  <c r="BS348" i="19"/>
  <c r="BT348" i="19" s="1"/>
  <c r="BO348" i="19"/>
  <c r="BP348" i="19" s="1"/>
  <c r="BN349" i="19"/>
  <c r="BP347" i="19"/>
  <c r="BQ347" i="19" s="1"/>
  <c r="AD107" i="8"/>
  <c r="AD587" i="5" s="1"/>
  <c r="AW587" i="5" s="1"/>
  <c r="AW589" i="5" s="1"/>
  <c r="AW591" i="5" s="1"/>
  <c r="AW593" i="5" s="1"/>
  <c r="AC587" i="5"/>
  <c r="AC108" i="8"/>
  <c r="AF107" i="8"/>
  <c r="AF587" i="5" s="1"/>
  <c r="AY587" i="5" s="1"/>
  <c r="AY589" i="5" s="1"/>
  <c r="AY591" i="5" s="1"/>
  <c r="AY593" i="5" s="1"/>
  <c r="BQ348" i="12"/>
  <c r="BP349" i="12"/>
  <c r="BR349" i="12" s="1"/>
  <c r="BS350" i="12"/>
  <c r="BT350" i="12" s="1"/>
  <c r="BU350" i="12"/>
  <c r="BV350" i="12" s="1"/>
  <c r="BW350" i="12" s="1"/>
  <c r="BO350" i="12"/>
  <c r="BN351" i="12"/>
  <c r="BN350" i="18" l="1"/>
  <c r="BU349" i="18"/>
  <c r="BV349" i="18" s="1"/>
  <c r="BW349" i="18" s="1"/>
  <c r="BO349" i="18"/>
  <c r="BP349" i="18" s="1"/>
  <c r="BR349" i="18" s="1"/>
  <c r="BS349" i="18"/>
  <c r="BT349" i="18" s="1"/>
  <c r="BQ349" i="18"/>
  <c r="BQ348" i="19"/>
  <c r="BU349" i="19"/>
  <c r="BV349" i="19" s="1"/>
  <c r="BW349" i="19" s="1"/>
  <c r="BN350" i="19"/>
  <c r="BO349" i="19"/>
  <c r="BS349" i="19"/>
  <c r="BT349" i="19" s="1"/>
  <c r="BR347" i="19"/>
  <c r="BR348" i="19" s="1"/>
  <c r="AF108" i="8"/>
  <c r="AF588" i="5" s="1"/>
  <c r="AY588" i="5" s="1"/>
  <c r="AY590" i="5" s="1"/>
  <c r="AY592" i="5" s="1"/>
  <c r="AD108" i="8"/>
  <c r="AD588" i="5" s="1"/>
  <c r="AW588" i="5" s="1"/>
  <c r="AW590" i="5" s="1"/>
  <c r="AW592" i="5" s="1"/>
  <c r="AC588" i="5"/>
  <c r="AC114" i="8"/>
  <c r="BQ349" i="12"/>
  <c r="BP350" i="12"/>
  <c r="BR350" i="12" s="1"/>
  <c r="BU351" i="12"/>
  <c r="BV351" i="12" s="1"/>
  <c r="BW351" i="12" s="1"/>
  <c r="BS351" i="12"/>
  <c r="BT351" i="12" s="1"/>
  <c r="BO351" i="12"/>
  <c r="BN352" i="12"/>
  <c r="BO350" i="18" l="1"/>
  <c r="BP350" i="18" s="1"/>
  <c r="BR350" i="18" s="1"/>
  <c r="BS350" i="18"/>
  <c r="BT350" i="18" s="1"/>
  <c r="BN351" i="18"/>
  <c r="BU350" i="18"/>
  <c r="BV350" i="18" s="1"/>
  <c r="BW350" i="18" s="1"/>
  <c r="BQ350" i="18"/>
  <c r="BP349" i="19"/>
  <c r="BS350" i="19"/>
  <c r="BT350" i="19" s="1"/>
  <c r="BO350" i="19"/>
  <c r="BP350" i="19" s="1"/>
  <c r="BU350" i="19"/>
  <c r="BV350" i="19" s="1"/>
  <c r="BW350" i="19" s="1"/>
  <c r="BN351" i="19"/>
  <c r="AC115" i="8"/>
  <c r="AC594" i="5"/>
  <c r="AS114" i="8"/>
  <c r="AF114" i="8"/>
  <c r="AF594" i="5" s="1"/>
  <c r="AY594" i="5" s="1"/>
  <c r="AR114" i="8"/>
  <c r="AD114" i="8"/>
  <c r="AD594" i="5" s="1"/>
  <c r="AW594" i="5" s="1"/>
  <c r="BQ350" i="12"/>
  <c r="BP351" i="12"/>
  <c r="BR351" i="12" s="1"/>
  <c r="BS352" i="12"/>
  <c r="BT352" i="12" s="1"/>
  <c r="BO352" i="12"/>
  <c r="BU352" i="12"/>
  <c r="BV352" i="12" s="1"/>
  <c r="BW352" i="12" s="1"/>
  <c r="BN353" i="12"/>
  <c r="BN352" i="18" l="1"/>
  <c r="BU351" i="18"/>
  <c r="BV351" i="18" s="1"/>
  <c r="BW351" i="18" s="1"/>
  <c r="BO351" i="18"/>
  <c r="BP351" i="18" s="1"/>
  <c r="BR351" i="18" s="1"/>
  <c r="BS351" i="18"/>
  <c r="BT351" i="18" s="1"/>
  <c r="BQ351" i="18"/>
  <c r="BQ350" i="19"/>
  <c r="BS351" i="19"/>
  <c r="BT351" i="19" s="1"/>
  <c r="BO351" i="19"/>
  <c r="BP351" i="19" s="1"/>
  <c r="BU351" i="19"/>
  <c r="BV351" i="19" s="1"/>
  <c r="BW351" i="19" s="1"/>
  <c r="BN352" i="19"/>
  <c r="BR349" i="19"/>
  <c r="BR350" i="19" s="1"/>
  <c r="BQ349" i="19"/>
  <c r="AD115" i="8"/>
  <c r="AD595" i="5" s="1"/>
  <c r="AW595" i="5" s="1"/>
  <c r="AS115" i="8"/>
  <c r="AR115" i="8"/>
  <c r="AC116" i="8"/>
  <c r="AF115" i="8"/>
  <c r="AF595" i="5" s="1"/>
  <c r="AY595" i="5" s="1"/>
  <c r="AC595" i="5"/>
  <c r="BQ351" i="12"/>
  <c r="BP352" i="12"/>
  <c r="BR352" i="12" s="1"/>
  <c r="BU353" i="12"/>
  <c r="BV353" i="12" s="1"/>
  <c r="BW353" i="12" s="1"/>
  <c r="BO353" i="12"/>
  <c r="BS353" i="12"/>
  <c r="BT353" i="12" s="1"/>
  <c r="BN354" i="12"/>
  <c r="BO352" i="18" l="1"/>
  <c r="BP352" i="18" s="1"/>
  <c r="BR352" i="18" s="1"/>
  <c r="BS352" i="18"/>
  <c r="BT352" i="18" s="1"/>
  <c r="BU352" i="18"/>
  <c r="BV352" i="18" s="1"/>
  <c r="BW352" i="18" s="1"/>
  <c r="BN353" i="18"/>
  <c r="BQ352" i="18"/>
  <c r="BQ351" i="19"/>
  <c r="BR351" i="19"/>
  <c r="BS352" i="19"/>
  <c r="BT352" i="19" s="1"/>
  <c r="BO352" i="19"/>
  <c r="BU352" i="19"/>
  <c r="BV352" i="19" s="1"/>
  <c r="BW352" i="19" s="1"/>
  <c r="BN353" i="19"/>
  <c r="AF116" i="8"/>
  <c r="AF596" i="5" s="1"/>
  <c r="AY596" i="5" s="1"/>
  <c r="AC596" i="5"/>
  <c r="AR116" i="8"/>
  <c r="AD116" i="8"/>
  <c r="AD596" i="5" s="1"/>
  <c r="AW596" i="5" s="1"/>
  <c r="AS116" i="8"/>
  <c r="AC117" i="8"/>
  <c r="BQ352" i="12"/>
  <c r="BP353" i="12"/>
  <c r="BR353" i="12" s="1"/>
  <c r="BS354" i="12"/>
  <c r="BT354" i="12" s="1"/>
  <c r="BU354" i="12"/>
  <c r="BV354" i="12" s="1"/>
  <c r="BW354" i="12" s="1"/>
  <c r="BO354" i="12"/>
  <c r="BN355" i="12"/>
  <c r="BS353" i="18" l="1"/>
  <c r="BT353" i="18" s="1"/>
  <c r="BN354" i="18"/>
  <c r="BU353" i="18"/>
  <c r="BV353" i="18" s="1"/>
  <c r="BW353" i="18" s="1"/>
  <c r="BO353" i="18"/>
  <c r="BP353" i="18" s="1"/>
  <c r="BR353" i="18" s="1"/>
  <c r="BQ353" i="18"/>
  <c r="BO353" i="19"/>
  <c r="BP353" i="19" s="1"/>
  <c r="BQ353" i="19" s="1"/>
  <c r="BS353" i="19"/>
  <c r="BT353" i="19" s="1"/>
  <c r="BU353" i="19"/>
  <c r="BV353" i="19" s="1"/>
  <c r="BW353" i="19" s="1"/>
  <c r="BN354" i="19"/>
  <c r="BP352" i="19"/>
  <c r="BQ352" i="19" s="1"/>
  <c r="AC597" i="5"/>
  <c r="AS117" i="8"/>
  <c r="AF117" i="8"/>
  <c r="AF597" i="5" s="1"/>
  <c r="AY597" i="5" s="1"/>
  <c r="AR117" i="8"/>
  <c r="AC118" i="8"/>
  <c r="AD117" i="8"/>
  <c r="AD597" i="5" s="1"/>
  <c r="AW597" i="5" s="1"/>
  <c r="BQ353" i="12"/>
  <c r="BP354" i="12"/>
  <c r="BR354" i="12" s="1"/>
  <c r="BU355" i="12"/>
  <c r="BV355" i="12" s="1"/>
  <c r="BW355" i="12" s="1"/>
  <c r="BS355" i="12"/>
  <c r="BT355" i="12" s="1"/>
  <c r="BO355" i="12"/>
  <c r="BN356" i="12"/>
  <c r="BU354" i="18" l="1"/>
  <c r="BV354" i="18" s="1"/>
  <c r="BW354" i="18" s="1"/>
  <c r="BN355" i="18"/>
  <c r="BO354" i="18"/>
  <c r="BP354" i="18" s="1"/>
  <c r="BR354" i="18" s="1"/>
  <c r="BS354" i="18"/>
  <c r="BT354" i="18" s="1"/>
  <c r="BQ354" i="18"/>
  <c r="AG37" i="13"/>
  <c r="AG36" i="13"/>
  <c r="BR352" i="19"/>
  <c r="BR353" i="19" s="1"/>
  <c r="BO354" i="19"/>
  <c r="BU354" i="19"/>
  <c r="BV354" i="19" s="1"/>
  <c r="BW354" i="19" s="1"/>
  <c r="BN355" i="19"/>
  <c r="BS354" i="19"/>
  <c r="BT354" i="19" s="1"/>
  <c r="AS118" i="8"/>
  <c r="AC598" i="5"/>
  <c r="AR118" i="8"/>
  <c r="AD118" i="8"/>
  <c r="AD598" i="5" s="1"/>
  <c r="AW598" i="5" s="1"/>
  <c r="AC119" i="8"/>
  <c r="AF118" i="8"/>
  <c r="AF598" i="5" s="1"/>
  <c r="AY598" i="5" s="1"/>
  <c r="AG38" i="13"/>
  <c r="AG44" i="13"/>
  <c r="AJ26" i="13"/>
  <c r="AG42" i="13"/>
  <c r="AJ28" i="13"/>
  <c r="AG51" i="13"/>
  <c r="AG48" i="13"/>
  <c r="AG45" i="13"/>
  <c r="AG39" i="13"/>
  <c r="AJ21" i="13"/>
  <c r="AG46" i="13"/>
  <c r="AJ24" i="13"/>
  <c r="AG49" i="13"/>
  <c r="AJ27" i="13"/>
  <c r="AG50" i="13"/>
  <c r="AG43" i="13"/>
  <c r="AG40" i="13"/>
  <c r="AJ25" i="13"/>
  <c r="AJ22" i="13"/>
  <c r="AJ23" i="13"/>
  <c r="AG47" i="13"/>
  <c r="AG41" i="13"/>
  <c r="BQ354" i="12"/>
  <c r="BP355" i="12"/>
  <c r="BR355" i="12" s="1"/>
  <c r="BS356" i="12"/>
  <c r="BT356" i="12" s="1"/>
  <c r="BO356" i="12"/>
  <c r="BU356" i="12"/>
  <c r="BV356" i="12" s="1"/>
  <c r="BW356" i="12" s="1"/>
  <c r="BN357" i="12"/>
  <c r="BO355" i="18" l="1"/>
  <c r="BP355" i="18" s="1"/>
  <c r="BR355" i="18" s="1"/>
  <c r="BU355" i="18"/>
  <c r="BV355" i="18" s="1"/>
  <c r="BW355" i="18" s="1"/>
  <c r="BS355" i="18"/>
  <c r="BT355" i="18" s="1"/>
  <c r="BN356" i="18"/>
  <c r="BQ355" i="18"/>
  <c r="BP354" i="19"/>
  <c r="BS355" i="19"/>
  <c r="BT355" i="19" s="1"/>
  <c r="BU355" i="19"/>
  <c r="BV355" i="19" s="1"/>
  <c r="BW355" i="19" s="1"/>
  <c r="BO355" i="19"/>
  <c r="BP355" i="19" s="1"/>
  <c r="BN356" i="19"/>
  <c r="AE52" i="13"/>
  <c r="AD119" i="8"/>
  <c r="AD599" i="5" s="1"/>
  <c r="AW599" i="5" s="1"/>
  <c r="AW601" i="5" s="1"/>
  <c r="AW603" i="5" s="1"/>
  <c r="AW605" i="5" s="1"/>
  <c r="AC599" i="5"/>
  <c r="AC120" i="8"/>
  <c r="AF119" i="8"/>
  <c r="AF599" i="5" s="1"/>
  <c r="AY599" i="5" s="1"/>
  <c r="AY601" i="5" s="1"/>
  <c r="AY603" i="5" s="1"/>
  <c r="AY605" i="5" s="1"/>
  <c r="BQ355" i="12"/>
  <c r="BP356" i="12"/>
  <c r="BR356" i="12" s="1"/>
  <c r="BU357" i="12"/>
  <c r="BV357" i="12" s="1"/>
  <c r="BW357" i="12" s="1"/>
  <c r="BO357" i="12"/>
  <c r="BS357" i="12"/>
  <c r="BT357" i="12" s="1"/>
  <c r="BN358" i="12"/>
  <c r="BO356" i="18" l="1"/>
  <c r="BP356" i="18" s="1"/>
  <c r="BR356" i="18" s="1"/>
  <c r="BS356" i="18"/>
  <c r="BT356" i="18" s="1"/>
  <c r="BU356" i="18"/>
  <c r="BV356" i="18" s="1"/>
  <c r="BW356" i="18" s="1"/>
  <c r="BN357" i="18"/>
  <c r="BQ356" i="18"/>
  <c r="BU356" i="19"/>
  <c r="BV356" i="19" s="1"/>
  <c r="BW356" i="19" s="1"/>
  <c r="BS356" i="19"/>
  <c r="BT356" i="19" s="1"/>
  <c r="BO356" i="19"/>
  <c r="BP356" i="19" s="1"/>
  <c r="BQ356" i="19" s="1"/>
  <c r="BN357" i="19"/>
  <c r="BQ355" i="19"/>
  <c r="BR354" i="19"/>
  <c r="BR355" i="19" s="1"/>
  <c r="BQ354" i="19"/>
  <c r="AF120" i="8"/>
  <c r="AF600" i="5" s="1"/>
  <c r="AY600" i="5" s="1"/>
  <c r="AY602" i="5" s="1"/>
  <c r="AY604" i="5" s="1"/>
  <c r="AD120" i="8"/>
  <c r="AD600" i="5" s="1"/>
  <c r="AW600" i="5" s="1"/>
  <c r="AW602" i="5" s="1"/>
  <c r="AW604" i="5" s="1"/>
  <c r="AC126" i="8"/>
  <c r="AC600" i="5"/>
  <c r="BQ356" i="12"/>
  <c r="BP357" i="12"/>
  <c r="BR357" i="12" s="1"/>
  <c r="BS358" i="12"/>
  <c r="BT358" i="12" s="1"/>
  <c r="BU358" i="12"/>
  <c r="BV358" i="12" s="1"/>
  <c r="BW358" i="12" s="1"/>
  <c r="BO358" i="12"/>
  <c r="BN359" i="12"/>
  <c r="BN358" i="18" l="1"/>
  <c r="BU357" i="18"/>
  <c r="BV357" i="18" s="1"/>
  <c r="BW357" i="18" s="1"/>
  <c r="BO357" i="18"/>
  <c r="BP357" i="18" s="1"/>
  <c r="BR357" i="18" s="1"/>
  <c r="BS357" i="18"/>
  <c r="BT357" i="18" s="1"/>
  <c r="BQ357" i="18"/>
  <c r="BN358" i="19"/>
  <c r="BO357" i="19"/>
  <c r="BP357" i="19" s="1"/>
  <c r="BS357" i="19"/>
  <c r="BT357" i="19" s="1"/>
  <c r="BU357" i="19"/>
  <c r="BV357" i="19" s="1"/>
  <c r="BW357" i="19" s="1"/>
  <c r="BR356" i="19"/>
  <c r="AC606" i="5"/>
  <c r="AC127" i="8"/>
  <c r="AS126" i="8"/>
  <c r="AF126" i="8"/>
  <c r="AF606" i="5" s="1"/>
  <c r="AY606" i="5" s="1"/>
  <c r="AR126" i="8"/>
  <c r="AD126" i="8"/>
  <c r="AD606" i="5" s="1"/>
  <c r="AW606" i="5" s="1"/>
  <c r="BQ357" i="12"/>
  <c r="BP358" i="12"/>
  <c r="BR358" i="12" s="1"/>
  <c r="BS359" i="12"/>
  <c r="BT359" i="12" s="1"/>
  <c r="BU359" i="12"/>
  <c r="BV359" i="12" s="1"/>
  <c r="BW359" i="12" s="1"/>
  <c r="BO359" i="12"/>
  <c r="BP359" i="12" s="1"/>
  <c r="BN360" i="12"/>
  <c r="BO358" i="18" l="1"/>
  <c r="BP358" i="18" s="1"/>
  <c r="BR358" i="18" s="1"/>
  <c r="BQ358" i="18"/>
  <c r="BS358" i="18"/>
  <c r="BT358" i="18" s="1"/>
  <c r="BN359" i="18"/>
  <c r="BU358" i="18"/>
  <c r="BV358" i="18" s="1"/>
  <c r="BW358" i="18" s="1"/>
  <c r="BQ357" i="19"/>
  <c r="BR357" i="19"/>
  <c r="BS358" i="19"/>
  <c r="BT358" i="19" s="1"/>
  <c r="BN359" i="19"/>
  <c r="BO358" i="19"/>
  <c r="BP358" i="19" s="1"/>
  <c r="BU358" i="19"/>
  <c r="BV358" i="19" s="1"/>
  <c r="BW358" i="19" s="1"/>
  <c r="AF127" i="8"/>
  <c r="AF607" i="5" s="1"/>
  <c r="AY607" i="5" s="1"/>
  <c r="AD127" i="8"/>
  <c r="AD607" i="5" s="1"/>
  <c r="AW607" i="5" s="1"/>
  <c r="AR127" i="8"/>
  <c r="AC128" i="8"/>
  <c r="AS127" i="8"/>
  <c r="AC607" i="5"/>
  <c r="BQ358" i="12"/>
  <c r="BU360" i="12"/>
  <c r="BV360" i="12" s="1"/>
  <c r="BW360" i="12" s="1"/>
  <c r="BS360" i="12"/>
  <c r="BT360" i="12" s="1"/>
  <c r="BO360" i="12"/>
  <c r="BP360" i="12" s="1"/>
  <c r="BN361" i="12"/>
  <c r="BQ359" i="12"/>
  <c r="BR359" i="12"/>
  <c r="BN360" i="18" l="1"/>
  <c r="BU359" i="18"/>
  <c r="BV359" i="18" s="1"/>
  <c r="BW359" i="18" s="1"/>
  <c r="BS359" i="18"/>
  <c r="BT359" i="18" s="1"/>
  <c r="BO359" i="18"/>
  <c r="BP359" i="18" s="1"/>
  <c r="BR359" i="18" s="1"/>
  <c r="BQ359" i="18"/>
  <c r="BR358" i="19"/>
  <c r="BU359" i="19"/>
  <c r="BV359" i="19" s="1"/>
  <c r="BW359" i="19" s="1"/>
  <c r="BS359" i="19"/>
  <c r="BT359" i="19" s="1"/>
  <c r="BO359" i="19"/>
  <c r="BP359" i="19" s="1"/>
  <c r="BN360" i="19"/>
  <c r="BQ358" i="19"/>
  <c r="AC608" i="5"/>
  <c r="AF128" i="8"/>
  <c r="AF608" i="5" s="1"/>
  <c r="AY608" i="5" s="1"/>
  <c r="AS128" i="8"/>
  <c r="AR128" i="8"/>
  <c r="AD128" i="8"/>
  <c r="AD608" i="5" s="1"/>
  <c r="AW608" i="5" s="1"/>
  <c r="AC129" i="8"/>
  <c r="BR360" i="12"/>
  <c r="BQ360" i="12"/>
  <c r="BS361" i="12"/>
  <c r="BT361" i="12" s="1"/>
  <c r="BU361" i="12"/>
  <c r="BV361" i="12" s="1"/>
  <c r="BW361" i="12" s="1"/>
  <c r="BO361" i="12"/>
  <c r="BP361" i="12" s="1"/>
  <c r="BN362" i="12"/>
  <c r="BO360" i="18" l="1"/>
  <c r="BP360" i="18" s="1"/>
  <c r="BR360" i="18" s="1"/>
  <c r="BS360" i="18"/>
  <c r="BT360" i="18" s="1"/>
  <c r="BN361" i="18"/>
  <c r="BU360" i="18"/>
  <c r="BV360" i="18" s="1"/>
  <c r="BW360" i="18" s="1"/>
  <c r="BQ360" i="18"/>
  <c r="BR359" i="19"/>
  <c r="BQ359" i="19"/>
  <c r="BO360" i="19"/>
  <c r="BP360" i="19" s="1"/>
  <c r="BN361" i="19"/>
  <c r="BU360" i="19"/>
  <c r="BV360" i="19" s="1"/>
  <c r="BW360" i="19" s="1"/>
  <c r="BS360" i="19"/>
  <c r="BT360" i="19" s="1"/>
  <c r="AF129" i="8"/>
  <c r="AF609" i="5" s="1"/>
  <c r="AY609" i="5" s="1"/>
  <c r="AS129" i="8"/>
  <c r="AD129" i="8"/>
  <c r="AD609" i="5" s="1"/>
  <c r="AW609" i="5" s="1"/>
  <c r="AR129" i="8"/>
  <c r="AC609" i="5"/>
  <c r="AC130" i="8"/>
  <c r="BO362" i="12"/>
  <c r="BP362" i="12" s="1"/>
  <c r="BS362" i="12"/>
  <c r="BT362" i="12" s="1"/>
  <c r="BU362" i="12"/>
  <c r="BV362" i="12" s="1"/>
  <c r="BW362" i="12" s="1"/>
  <c r="BN363" i="12"/>
  <c r="BQ361" i="12"/>
  <c r="BR361" i="12"/>
  <c r="BS361" i="18" l="1"/>
  <c r="BT361" i="18" s="1"/>
  <c r="BN362" i="18"/>
  <c r="BU361" i="18"/>
  <c r="BV361" i="18" s="1"/>
  <c r="BW361" i="18" s="1"/>
  <c r="BO361" i="18"/>
  <c r="BP361" i="18" s="1"/>
  <c r="BR361" i="18" s="1"/>
  <c r="BQ361" i="18"/>
  <c r="BR360" i="19"/>
  <c r="BQ360" i="19"/>
  <c r="BS361" i="19"/>
  <c r="BT361" i="19" s="1"/>
  <c r="BU361" i="19"/>
  <c r="BV361" i="19" s="1"/>
  <c r="BW361" i="19" s="1"/>
  <c r="BN362" i="19"/>
  <c r="BO361" i="19"/>
  <c r="BP361" i="19" s="1"/>
  <c r="AC610" i="5"/>
  <c r="AS130" i="8"/>
  <c r="AC131" i="8"/>
  <c r="AR130" i="8"/>
  <c r="AD130" i="8"/>
  <c r="AD610" i="5" s="1"/>
  <c r="AW610" i="5" s="1"/>
  <c r="AF130" i="8"/>
  <c r="AF610" i="5" s="1"/>
  <c r="AY610" i="5" s="1"/>
  <c r="BS363" i="12"/>
  <c r="BT363" i="12" s="1"/>
  <c r="BU363" i="12"/>
  <c r="BV363" i="12" s="1"/>
  <c r="BW363" i="12" s="1"/>
  <c r="BO363" i="12"/>
  <c r="BP363" i="12" s="1"/>
  <c r="BN364" i="12"/>
  <c r="BR362" i="12"/>
  <c r="BQ362" i="12"/>
  <c r="BU362" i="18" l="1"/>
  <c r="BV362" i="18" s="1"/>
  <c r="BW362" i="18" s="1"/>
  <c r="BS362" i="18"/>
  <c r="BT362" i="18" s="1"/>
  <c r="BO362" i="18"/>
  <c r="BP362" i="18" s="1"/>
  <c r="BR362" i="18" s="1"/>
  <c r="BN363" i="18"/>
  <c r="BQ362" i="18"/>
  <c r="BR361" i="19"/>
  <c r="BN363" i="19"/>
  <c r="BO362" i="19"/>
  <c r="BP362" i="19" s="1"/>
  <c r="BU362" i="19"/>
  <c r="BV362" i="19" s="1"/>
  <c r="BW362" i="19" s="1"/>
  <c r="BS362" i="19"/>
  <c r="BT362" i="19" s="1"/>
  <c r="BQ361" i="19"/>
  <c r="AD131" i="8"/>
  <c r="AD611" i="5" s="1"/>
  <c r="AW611" i="5" s="1"/>
  <c r="AW613" i="5" s="1"/>
  <c r="AW615" i="5" s="1"/>
  <c r="AW617" i="5" s="1"/>
  <c r="AC611" i="5"/>
  <c r="AC132" i="8"/>
  <c r="AF131" i="8"/>
  <c r="AF611" i="5" s="1"/>
  <c r="AY611" i="5" s="1"/>
  <c r="AY613" i="5" s="1"/>
  <c r="AY615" i="5" s="1"/>
  <c r="AY617" i="5" s="1"/>
  <c r="BQ363" i="12"/>
  <c r="BU364" i="12"/>
  <c r="BV364" i="12" s="1"/>
  <c r="BW364" i="12" s="1"/>
  <c r="BS364" i="12"/>
  <c r="BT364" i="12" s="1"/>
  <c r="BO364" i="12"/>
  <c r="BN365" i="12"/>
  <c r="BO363" i="18" l="1"/>
  <c r="BP363" i="18" s="1"/>
  <c r="BR363" i="18" s="1"/>
  <c r="BN364" i="18"/>
  <c r="BU363" i="18"/>
  <c r="BV363" i="18" s="1"/>
  <c r="BW363" i="18" s="1"/>
  <c r="BS363" i="18"/>
  <c r="BT363" i="18" s="1"/>
  <c r="BQ363" i="18"/>
  <c r="BR362" i="19"/>
  <c r="BQ362" i="19"/>
  <c r="BO363" i="19"/>
  <c r="BP363" i="19" s="1"/>
  <c r="BR363" i="19" s="1"/>
  <c r="BU363" i="19"/>
  <c r="BV363" i="19" s="1"/>
  <c r="BW363" i="19" s="1"/>
  <c r="BN364" i="19"/>
  <c r="BS363" i="19"/>
  <c r="BT363" i="19" s="1"/>
  <c r="AC612" i="5"/>
  <c r="AD132" i="8"/>
  <c r="AD612" i="5" s="1"/>
  <c r="AW612" i="5" s="1"/>
  <c r="AW614" i="5" s="1"/>
  <c r="AW616" i="5" s="1"/>
  <c r="AC138" i="8"/>
  <c r="AF132" i="8"/>
  <c r="AF612" i="5" s="1"/>
  <c r="AY612" i="5" s="1"/>
  <c r="AY614" i="5" s="1"/>
  <c r="AY616" i="5" s="1"/>
  <c r="BP364" i="12"/>
  <c r="BQ364" i="12" s="1"/>
  <c r="BR363" i="12"/>
  <c r="BU365" i="12"/>
  <c r="BV365" i="12" s="1"/>
  <c r="BO365" i="12"/>
  <c r="BP365" i="12" s="1"/>
  <c r="BS365" i="12"/>
  <c r="BT365" i="12" s="1"/>
  <c r="BN366" i="12"/>
  <c r="BN365" i="18" l="1"/>
  <c r="BU364" i="18"/>
  <c r="BV364" i="18" s="1"/>
  <c r="BW364" i="18" s="1"/>
  <c r="BO364" i="18"/>
  <c r="BP364" i="18" s="1"/>
  <c r="BR364" i="18" s="1"/>
  <c r="BS364" i="18"/>
  <c r="BT364" i="18" s="1"/>
  <c r="BQ364" i="18"/>
  <c r="BQ363" i="19"/>
  <c r="BO364" i="19"/>
  <c r="BP364" i="19" s="1"/>
  <c r="BR364" i="19" s="1"/>
  <c r="BN365" i="19"/>
  <c r="BU364" i="19"/>
  <c r="BV364" i="19" s="1"/>
  <c r="BW364" i="19" s="1"/>
  <c r="BS364" i="19"/>
  <c r="BT364" i="19" s="1"/>
  <c r="AD138" i="8"/>
  <c r="AD618" i="5" s="1"/>
  <c r="AW618" i="5" s="1"/>
  <c r="AC139" i="8"/>
  <c r="AR138" i="8"/>
  <c r="AF138" i="8"/>
  <c r="AF618" i="5" s="1"/>
  <c r="AY618" i="5" s="1"/>
  <c r="AS138" i="8"/>
  <c r="AC618" i="5"/>
  <c r="BR364" i="12"/>
  <c r="BR365" i="12" s="1"/>
  <c r="BS366" i="12"/>
  <c r="BT366" i="12" s="1"/>
  <c r="BU366" i="12"/>
  <c r="BV366" i="12" s="1"/>
  <c r="BW366" i="12" s="1"/>
  <c r="BO366" i="12"/>
  <c r="BP366" i="12" s="1"/>
  <c r="BN367" i="12"/>
  <c r="BW365" i="12"/>
  <c r="BQ365" i="12"/>
  <c r="BN366" i="18" l="1"/>
  <c r="BU365" i="18"/>
  <c r="BV365" i="18" s="1"/>
  <c r="BW365" i="18" s="1"/>
  <c r="BO365" i="18"/>
  <c r="BP365" i="18" s="1"/>
  <c r="BR365" i="18" s="1"/>
  <c r="BS365" i="18"/>
  <c r="BT365" i="18" s="1"/>
  <c r="BQ365" i="18"/>
  <c r="BQ364" i="19"/>
  <c r="AJ30" i="13"/>
  <c r="AJ29" i="13"/>
  <c r="BS365" i="19"/>
  <c r="BT365" i="19" s="1"/>
  <c r="BU365" i="19"/>
  <c r="BV365" i="19" s="1"/>
  <c r="BW365" i="19" s="1"/>
  <c r="BO365" i="19"/>
  <c r="BP365" i="19" s="1"/>
  <c r="BR365" i="19" s="1"/>
  <c r="BN366" i="19"/>
  <c r="AJ31" i="13"/>
  <c r="AJ36" i="13"/>
  <c r="AJ38" i="13"/>
  <c r="AJ35" i="13"/>
  <c r="AJ33" i="13"/>
  <c r="AJ37" i="13"/>
  <c r="AJ32" i="13"/>
  <c r="AJ34" i="13"/>
  <c r="AC619" i="5"/>
  <c r="AJ39" i="13" s="1"/>
  <c r="AF139" i="8"/>
  <c r="AF619" i="5" s="1"/>
  <c r="AY619" i="5" s="1"/>
  <c r="AS139" i="8"/>
  <c r="AR139" i="8"/>
  <c r="AD139" i="8"/>
  <c r="AD619" i="5" s="1"/>
  <c r="AW619" i="5" s="1"/>
  <c r="AC140" i="8"/>
  <c r="BU367" i="12"/>
  <c r="BV367" i="12" s="1"/>
  <c r="BW367" i="12" s="1"/>
  <c r="BO367" i="12"/>
  <c r="BP367" i="12" s="1"/>
  <c r="BS367" i="12"/>
  <c r="BN368" i="12"/>
  <c r="BO366" i="18" l="1"/>
  <c r="BP366" i="18" s="1"/>
  <c r="BR366" i="18" s="1"/>
  <c r="BS366" i="18"/>
  <c r="BT366" i="18" s="1"/>
  <c r="BN367" i="18"/>
  <c r="BU366" i="18"/>
  <c r="BV366" i="18" s="1"/>
  <c r="BW366" i="18" s="1"/>
  <c r="BQ366" i="18"/>
  <c r="BQ365" i="19"/>
  <c r="BS366" i="19"/>
  <c r="BT366" i="19" s="1"/>
  <c r="BN367" i="19"/>
  <c r="BO366" i="19"/>
  <c r="BP366" i="19" s="1"/>
  <c r="BR366" i="19" s="1"/>
  <c r="BU366" i="19"/>
  <c r="BV366" i="19" s="1"/>
  <c r="BW366" i="19" s="1"/>
  <c r="AC620" i="5"/>
  <c r="AC141" i="8"/>
  <c r="AS140" i="8"/>
  <c r="AF140" i="8"/>
  <c r="AF620" i="5" s="1"/>
  <c r="AY620" i="5" s="1"/>
  <c r="AR140" i="8"/>
  <c r="AD140" i="8"/>
  <c r="AD620" i="5" s="1"/>
  <c r="AW620" i="5" s="1"/>
  <c r="BT367" i="12"/>
  <c r="BR366" i="12"/>
  <c r="BU368" i="12"/>
  <c r="BV368" i="12" s="1"/>
  <c r="BW368" i="12" s="1"/>
  <c r="BS368" i="12"/>
  <c r="BT368" i="12" s="1"/>
  <c r="BO368" i="12"/>
  <c r="BP368" i="12" s="1"/>
  <c r="BN369" i="12"/>
  <c r="BQ367" i="12"/>
  <c r="BQ366" i="12"/>
  <c r="BN368" i="18" l="1"/>
  <c r="BU367" i="18"/>
  <c r="BV367" i="18" s="1"/>
  <c r="BW367" i="18" s="1"/>
  <c r="BS367" i="18"/>
  <c r="BT367" i="18" s="1"/>
  <c r="BO367" i="18"/>
  <c r="BP367" i="18" s="1"/>
  <c r="BR367" i="18" s="1"/>
  <c r="BQ367" i="18"/>
  <c r="BO367" i="19"/>
  <c r="BP367" i="19" s="1"/>
  <c r="BR367" i="19" s="1"/>
  <c r="BU367" i="19"/>
  <c r="BV367" i="19" s="1"/>
  <c r="BW367" i="19" s="1"/>
  <c r="BN368" i="19"/>
  <c r="BS367" i="19"/>
  <c r="BT367" i="19" s="1"/>
  <c r="BQ366" i="19"/>
  <c r="AF141" i="8"/>
  <c r="AF621" i="5" s="1"/>
  <c r="AY621" i="5" s="1"/>
  <c r="AD141" i="8"/>
  <c r="AD621" i="5" s="1"/>
  <c r="AW621" i="5" s="1"/>
  <c r="AR141" i="8"/>
  <c r="AC621" i="5"/>
  <c r="AC142" i="8"/>
  <c r="AS141" i="8"/>
  <c r="BS369" i="12"/>
  <c r="BT369" i="12" s="1"/>
  <c r="BO369" i="12"/>
  <c r="BU369" i="12"/>
  <c r="BV369" i="12" s="1"/>
  <c r="BN370" i="12"/>
  <c r="BQ368" i="12"/>
  <c r="BR367" i="12"/>
  <c r="BU368" i="18" l="1"/>
  <c r="BV368" i="18" s="1"/>
  <c r="BW368" i="18" s="1"/>
  <c r="BN369" i="18"/>
  <c r="BO368" i="18"/>
  <c r="BP368" i="18" s="1"/>
  <c r="BR368" i="18" s="1"/>
  <c r="BS368" i="18"/>
  <c r="BT368" i="18" s="1"/>
  <c r="BQ368" i="18"/>
  <c r="BO368" i="19"/>
  <c r="BP368" i="19" s="1"/>
  <c r="BR368" i="19" s="1"/>
  <c r="BN369" i="19"/>
  <c r="BU368" i="19"/>
  <c r="BV368" i="19" s="1"/>
  <c r="BW368" i="19" s="1"/>
  <c r="BS368" i="19"/>
  <c r="BT368" i="19" s="1"/>
  <c r="BQ367" i="19"/>
  <c r="AR142" i="8"/>
  <c r="AF142" i="8"/>
  <c r="AF622" i="5" s="1"/>
  <c r="AY622" i="5" s="1"/>
  <c r="AS142" i="8"/>
  <c r="AD142" i="8"/>
  <c r="AD622" i="5" s="1"/>
  <c r="AW622" i="5" s="1"/>
  <c r="AC622" i="5"/>
  <c r="AC143" i="8"/>
  <c r="BP369" i="12"/>
  <c r="BQ369" i="12" s="1"/>
  <c r="BW369" i="12"/>
  <c r="BO370" i="12"/>
  <c r="BP370" i="12" s="1"/>
  <c r="BS370" i="12"/>
  <c r="BT370" i="12" s="1"/>
  <c r="BU370" i="12"/>
  <c r="BV370" i="12" s="1"/>
  <c r="BW370" i="12" s="1"/>
  <c r="BN371" i="12"/>
  <c r="BN372" i="12" s="1"/>
  <c r="BN3" i="12"/>
  <c r="BR368" i="12"/>
  <c r="BN370" i="18" l="1"/>
  <c r="BU369" i="18"/>
  <c r="BV369" i="18" s="1"/>
  <c r="BW369" i="18" s="1"/>
  <c r="BO369" i="18"/>
  <c r="BP369" i="18" s="1"/>
  <c r="BR369" i="18" s="1"/>
  <c r="BS369" i="18"/>
  <c r="BT369" i="18" s="1"/>
  <c r="BQ369" i="18"/>
  <c r="BO372" i="12"/>
  <c r="BP372" i="12" s="1"/>
  <c r="BU372" i="12"/>
  <c r="BV372" i="12" s="1"/>
  <c r="BW372" i="12" s="1"/>
  <c r="X9" i="12"/>
  <c r="BS372" i="12"/>
  <c r="BT372" i="12" s="1"/>
  <c r="X11" i="12"/>
  <c r="X12" i="12"/>
  <c r="BQ368" i="19"/>
  <c r="BU369" i="19"/>
  <c r="BV369" i="19" s="1"/>
  <c r="BW369" i="19" s="1"/>
  <c r="BS369" i="19"/>
  <c r="BT369" i="19" s="1"/>
  <c r="BN370" i="19"/>
  <c r="BO369" i="19"/>
  <c r="BP369" i="19" s="1"/>
  <c r="BR369" i="19" s="1"/>
  <c r="AC623" i="5"/>
  <c r="AC144" i="8"/>
  <c r="AD143" i="8"/>
  <c r="AD623" i="5" s="1"/>
  <c r="AW623" i="5" s="1"/>
  <c r="AW625" i="5" s="1"/>
  <c r="AW627" i="5" s="1"/>
  <c r="AW629" i="5" s="1"/>
  <c r="AF143" i="8"/>
  <c r="AF623" i="5" s="1"/>
  <c r="AY623" i="5" s="1"/>
  <c r="AY625" i="5" s="1"/>
  <c r="AY627" i="5" s="1"/>
  <c r="AY629" i="5" s="1"/>
  <c r="BR369" i="12"/>
  <c r="BS371" i="12"/>
  <c r="BS3" i="12" s="1"/>
  <c r="BU371" i="12"/>
  <c r="BV371" i="12" s="1"/>
  <c r="BO371" i="12"/>
  <c r="BP371" i="12" s="1"/>
  <c r="BN3" i="19" l="1"/>
  <c r="BN371" i="19"/>
  <c r="BN371" i="18"/>
  <c r="BN3" i="18" s="1"/>
  <c r="BO370" i="18"/>
  <c r="BS370" i="18"/>
  <c r="BU370" i="18"/>
  <c r="BV370" i="18" s="1"/>
  <c r="BT370" i="18"/>
  <c r="BW370" i="18"/>
  <c r="BQ370" i="18"/>
  <c r="BQ372" i="12"/>
  <c r="BQ369" i="19"/>
  <c r="BU370" i="19"/>
  <c r="BV370" i="19" s="1"/>
  <c r="BO370" i="19"/>
  <c r="BS370" i="19"/>
  <c r="AF144" i="8"/>
  <c r="AF624" i="5" s="1"/>
  <c r="AY624" i="5" s="1"/>
  <c r="AY626" i="5" s="1"/>
  <c r="AY628" i="5" s="1"/>
  <c r="AC624" i="5"/>
  <c r="AD144" i="8"/>
  <c r="AD624" i="5" s="1"/>
  <c r="AW624" i="5" s="1"/>
  <c r="AW626" i="5" s="1"/>
  <c r="AW628" i="5" s="1"/>
  <c r="AC150" i="8"/>
  <c r="BO3" i="12"/>
  <c r="BQ371" i="12"/>
  <c r="CC22" i="19" s="1"/>
  <c r="BW371" i="12"/>
  <c r="BV3" i="12"/>
  <c r="BQ370" i="12"/>
  <c r="BT371" i="12"/>
  <c r="BT3" i="12" s="1"/>
  <c r="BR370" i="12"/>
  <c r="BP370" i="18" l="1"/>
  <c r="X8" i="19"/>
  <c r="BU371" i="19"/>
  <c r="BV371" i="19" s="1"/>
  <c r="BW371" i="19" s="1"/>
  <c r="BO371" i="19"/>
  <c r="BP371" i="19" s="1"/>
  <c r="BS371" i="19"/>
  <c r="BS3" i="19" s="1"/>
  <c r="X11" i="19"/>
  <c r="O101" i="12" s="1"/>
  <c r="X10" i="19"/>
  <c r="O100" i="12" s="1"/>
  <c r="BU371" i="18"/>
  <c r="BV371" i="18" s="1"/>
  <c r="BV3" i="18" s="1"/>
  <c r="BQ371" i="18"/>
  <c r="BQ3" i="18" s="1"/>
  <c r="X8" i="18"/>
  <c r="BS371" i="18"/>
  <c r="BS3" i="18" s="1"/>
  <c r="BW371" i="18"/>
  <c r="BW3" i="18" s="1"/>
  <c r="BO371" i="18"/>
  <c r="BP371" i="18" s="1"/>
  <c r="BT371" i="18"/>
  <c r="BT3" i="18" s="1"/>
  <c r="X11" i="18"/>
  <c r="O90" i="12" s="1"/>
  <c r="X10" i="18"/>
  <c r="O89" i="12" s="1"/>
  <c r="BW370" i="19"/>
  <c r="BT370" i="19"/>
  <c r="BP370" i="19"/>
  <c r="CC23" i="19"/>
  <c r="AS150" i="8"/>
  <c r="AC151" i="8"/>
  <c r="AR150" i="8"/>
  <c r="AD150" i="8"/>
  <c r="AD630" i="5" s="1"/>
  <c r="AW630" i="5" s="1"/>
  <c r="AC630" i="5"/>
  <c r="AF150" i="8"/>
  <c r="AF630" i="5" s="1"/>
  <c r="AY630" i="5" s="1"/>
  <c r="CC23" i="12"/>
  <c r="BQ3" i="12"/>
  <c r="BJ38" i="12"/>
  <c r="BR371" i="12"/>
  <c r="BR372" i="12" s="1"/>
  <c r="CC24" i="12"/>
  <c r="BW3" i="12"/>
  <c r="BP3" i="12"/>
  <c r="BR3" i="12" s="1"/>
  <c r="BT3" i="19" l="1"/>
  <c r="AD10" i="19" s="1"/>
  <c r="BT371" i="19"/>
  <c r="BP3" i="19"/>
  <c r="BV3" i="19"/>
  <c r="BW3" i="19"/>
  <c r="BJ38" i="19" s="1"/>
  <c r="AD11" i="18"/>
  <c r="BJ38" i="18"/>
  <c r="BJ33" i="18"/>
  <c r="BJ34" i="18"/>
  <c r="BP3" i="18"/>
  <c r="BR370" i="18"/>
  <c r="BR371" i="18" s="1"/>
  <c r="AD10" i="18"/>
  <c r="BJ37" i="18"/>
  <c r="BO3" i="18"/>
  <c r="BO3" i="19"/>
  <c r="BQ371" i="19"/>
  <c r="BJ36" i="12"/>
  <c r="BR370" i="19"/>
  <c r="BR371" i="19" s="1"/>
  <c r="BQ370" i="19"/>
  <c r="CC24" i="19"/>
  <c r="CD24" i="19"/>
  <c r="AC631" i="5"/>
  <c r="AC152" i="8"/>
  <c r="AS151" i="8"/>
  <c r="AF151" i="8"/>
  <c r="AF631" i="5" s="1"/>
  <c r="AY631" i="5" s="1"/>
  <c r="AR151" i="8"/>
  <c r="AD151" i="8"/>
  <c r="AD631" i="5" s="1"/>
  <c r="AW631" i="5" s="1"/>
  <c r="BJ34" i="12"/>
  <c r="BJ35" i="12"/>
  <c r="BJ39" i="12"/>
  <c r="CC25" i="12"/>
  <c r="CD25" i="12"/>
  <c r="BR3" i="19" l="1"/>
  <c r="AD11" i="19"/>
  <c r="AL11" i="19" s="1"/>
  <c r="AH11" i="19" s="1"/>
  <c r="BQ3" i="19"/>
  <c r="BJ34" i="19" s="1"/>
  <c r="AF10" i="18"/>
  <c r="AK10" i="18" s="1"/>
  <c r="BR3" i="18"/>
  <c r="BJ35" i="18" s="1"/>
  <c r="AF11" i="18"/>
  <c r="AK11" i="18" s="1"/>
  <c r="AL14" i="18" s="1"/>
  <c r="I12" i="18" s="1"/>
  <c r="U101" i="12"/>
  <c r="AK102" i="12" s="1"/>
  <c r="AL105" i="12" s="1"/>
  <c r="U100" i="12"/>
  <c r="AL10" i="19"/>
  <c r="AH10" i="19" s="1"/>
  <c r="AK10" i="19"/>
  <c r="BJ37" i="19"/>
  <c r="AK11" i="19"/>
  <c r="AL14" i="19" s="1"/>
  <c r="U89" i="12"/>
  <c r="U90" i="12"/>
  <c r="AD152" i="8"/>
  <c r="AC153" i="8"/>
  <c r="AC632" i="5"/>
  <c r="AS152" i="8"/>
  <c r="AR152" i="8"/>
  <c r="AF152" i="8"/>
  <c r="I14" i="12"/>
  <c r="BJ33" i="19" l="1"/>
  <c r="BJ35" i="19"/>
  <c r="I10" i="19" s="1"/>
  <c r="I100" i="12" s="1"/>
  <c r="AD11" i="12"/>
  <c r="J175" i="7" s="1"/>
  <c r="AD12" i="12"/>
  <c r="F84" i="1" s="1"/>
  <c r="AL102" i="12"/>
  <c r="AL11" i="18"/>
  <c r="AH11" i="18" s="1"/>
  <c r="I13" i="18"/>
  <c r="AL10" i="18"/>
  <c r="AH10" i="18" s="1"/>
  <c r="I12" i="19"/>
  <c r="I102" i="12" s="1"/>
  <c r="AK101" i="12"/>
  <c r="AL101" i="12"/>
  <c r="AL90" i="12"/>
  <c r="AK90" i="12"/>
  <c r="AK91" i="12"/>
  <c r="AL94" i="12" s="1"/>
  <c r="AL91" i="12"/>
  <c r="I91" i="12"/>
  <c r="AF632" i="5"/>
  <c r="AY632" i="5" s="1"/>
  <c r="AC154" i="8"/>
  <c r="AR153" i="8"/>
  <c r="AC633" i="5"/>
  <c r="AS153" i="8"/>
  <c r="AD153" i="8"/>
  <c r="AD633" i="5" s="1"/>
  <c r="AW633" i="5" s="1"/>
  <c r="AF153" i="8"/>
  <c r="AF633" i="5" s="1"/>
  <c r="AY633" i="5" s="1"/>
  <c r="AD632" i="5"/>
  <c r="AW632" i="5" s="1"/>
  <c r="I13" i="19" l="1"/>
  <c r="I103" i="12" s="1"/>
  <c r="I104" i="12" s="1"/>
  <c r="F81" i="1"/>
  <c r="AK11" i="12"/>
  <c r="F82" i="1"/>
  <c r="J163" i="5"/>
  <c r="AL11" i="12"/>
  <c r="J163" i="6"/>
  <c r="J163" i="8"/>
  <c r="F83" i="1"/>
  <c r="AL12" i="12"/>
  <c r="AH12" i="12" s="1"/>
  <c r="AK12" i="12"/>
  <c r="AL15" i="12" s="1"/>
  <c r="I13" i="12" s="1"/>
  <c r="AE11" i="13"/>
  <c r="I10" i="18"/>
  <c r="I14" i="18" s="1"/>
  <c r="AH11" i="12"/>
  <c r="I92" i="12"/>
  <c r="AS154" i="8"/>
  <c r="AI29" i="18" s="1"/>
  <c r="AB31" i="18" s="1"/>
  <c r="AC634" i="5"/>
  <c r="AR154" i="8"/>
  <c r="AI28" i="18" s="1"/>
  <c r="AB30" i="18" s="1"/>
  <c r="AC155" i="8"/>
  <c r="AF154" i="8"/>
  <c r="AD154" i="8"/>
  <c r="AE9" i="6"/>
  <c r="AG165" i="5"/>
  <c r="AZ165" i="5" s="1"/>
  <c r="AZ167" i="5" s="1"/>
  <c r="AZ169" i="5" s="1"/>
  <c r="AZ171" i="5" s="1"/>
  <c r="AZ173" i="5" s="1"/>
  <c r="AZ175" i="5" s="1"/>
  <c r="AZ177" i="5" s="1"/>
  <c r="AZ179" i="5" s="1"/>
  <c r="AZ181" i="5" s="1"/>
  <c r="AZ183" i="5" s="1"/>
  <c r="AZ185" i="5" s="1"/>
  <c r="AZ187" i="5" s="1"/>
  <c r="AZ189" i="5" s="1"/>
  <c r="AZ191" i="5" s="1"/>
  <c r="AZ193" i="5" s="1"/>
  <c r="AZ195" i="5" s="1"/>
  <c r="AZ197" i="5" s="1"/>
  <c r="AZ199" i="5" s="1"/>
  <c r="AZ201" i="5" s="1"/>
  <c r="AZ203" i="5" s="1"/>
  <c r="AZ205" i="5" s="1"/>
  <c r="AZ207" i="5" s="1"/>
  <c r="AZ209" i="5" s="1"/>
  <c r="AZ211" i="5" s="1"/>
  <c r="AZ213" i="5" s="1"/>
  <c r="AZ215" i="5" s="1"/>
  <c r="AZ217" i="5" s="1"/>
  <c r="AZ219" i="5" s="1"/>
  <c r="AZ221" i="5" s="1"/>
  <c r="AZ223" i="5" s="1"/>
  <c r="AZ225" i="5" s="1"/>
  <c r="AZ227" i="5" s="1"/>
  <c r="AZ229" i="5" s="1"/>
  <c r="AZ231" i="5" s="1"/>
  <c r="AZ233" i="5" s="1"/>
  <c r="AZ235" i="5" s="1"/>
  <c r="AZ237" i="5" s="1"/>
  <c r="AZ239" i="5" s="1"/>
  <c r="AZ241" i="5" s="1"/>
  <c r="AZ243" i="5" s="1"/>
  <c r="AZ245" i="5" s="1"/>
  <c r="AZ247" i="5" s="1"/>
  <c r="AZ249" i="5" s="1"/>
  <c r="AZ251" i="5" s="1"/>
  <c r="AZ253" i="5" s="1"/>
  <c r="AZ255" i="5" s="1"/>
  <c r="AZ257" i="5" s="1"/>
  <c r="AZ259" i="5" s="1"/>
  <c r="AZ261" i="5" s="1"/>
  <c r="AZ263" i="5" s="1"/>
  <c r="AZ265" i="5" s="1"/>
  <c r="AZ267" i="5" s="1"/>
  <c r="AZ269" i="5" s="1"/>
  <c r="AZ271" i="5" s="1"/>
  <c r="AZ273" i="5" s="1"/>
  <c r="AZ275" i="5" s="1"/>
  <c r="AZ277" i="5" s="1"/>
  <c r="AZ279" i="5" s="1"/>
  <c r="AZ281" i="5" s="1"/>
  <c r="AZ283" i="5" s="1"/>
  <c r="AZ285" i="5" s="1"/>
  <c r="AZ287" i="5" s="1"/>
  <c r="AZ289" i="5" s="1"/>
  <c r="AZ291" i="5" s="1"/>
  <c r="AZ293" i="5" s="1"/>
  <c r="AZ295" i="5" s="1"/>
  <c r="AZ297" i="5" s="1"/>
  <c r="AZ299" i="5" s="1"/>
  <c r="AZ301" i="5" s="1"/>
  <c r="AZ303" i="5" s="1"/>
  <c r="AZ305" i="5" s="1"/>
  <c r="AZ307" i="5" s="1"/>
  <c r="AZ309" i="5" s="1"/>
  <c r="AZ311" i="5" s="1"/>
  <c r="AZ313" i="5" s="1"/>
  <c r="AZ315" i="5" s="1"/>
  <c r="AZ317" i="5" s="1"/>
  <c r="AZ319" i="5" s="1"/>
  <c r="AZ321" i="5" s="1"/>
  <c r="AZ323" i="5" s="1"/>
  <c r="AZ325" i="5" s="1"/>
  <c r="AZ327" i="5" s="1"/>
  <c r="AZ329" i="5" s="1"/>
  <c r="AZ331" i="5" s="1"/>
  <c r="AZ333" i="5" s="1"/>
  <c r="AZ335" i="5" s="1"/>
  <c r="AZ337" i="5" s="1"/>
  <c r="AZ339" i="5" s="1"/>
  <c r="AZ341" i="5" s="1"/>
  <c r="AZ343" i="5" s="1"/>
  <c r="AZ345" i="5" s="1"/>
  <c r="AZ347" i="5" s="1"/>
  <c r="AZ349" i="5" s="1"/>
  <c r="AZ351" i="5" s="1"/>
  <c r="AZ353" i="5" s="1"/>
  <c r="AZ355" i="5" s="1"/>
  <c r="AZ357" i="5" s="1"/>
  <c r="AZ359" i="5" s="1"/>
  <c r="AZ361" i="5" s="1"/>
  <c r="AZ363" i="5" s="1"/>
  <c r="AZ365" i="5" s="1"/>
  <c r="AZ367" i="5" s="1"/>
  <c r="AZ369" i="5" s="1"/>
  <c r="AZ371" i="5" s="1"/>
  <c r="AZ373" i="5" s="1"/>
  <c r="AZ375" i="5" s="1"/>
  <c r="AZ377" i="5" s="1"/>
  <c r="AZ379" i="5" s="1"/>
  <c r="AZ381" i="5" s="1"/>
  <c r="AZ383" i="5" s="1"/>
  <c r="AZ385" i="5" s="1"/>
  <c r="AZ387" i="5" s="1"/>
  <c r="AZ389" i="5" s="1"/>
  <c r="AZ391" i="5" s="1"/>
  <c r="AZ393" i="5" s="1"/>
  <c r="AZ395" i="5" s="1"/>
  <c r="AZ397" i="5" s="1"/>
  <c r="AZ399" i="5" s="1"/>
  <c r="AZ401" i="5" s="1"/>
  <c r="AZ403" i="5" s="1"/>
  <c r="AZ405" i="5" s="1"/>
  <c r="AZ407" i="5" s="1"/>
  <c r="AZ409" i="5" s="1"/>
  <c r="AZ411" i="5" s="1"/>
  <c r="AZ413" i="5" s="1"/>
  <c r="AZ415" i="5" s="1"/>
  <c r="AZ417" i="5" s="1"/>
  <c r="AZ419" i="5" s="1"/>
  <c r="AZ421" i="5" s="1"/>
  <c r="AZ423" i="5" s="1"/>
  <c r="AZ425" i="5" s="1"/>
  <c r="AZ427" i="5" s="1"/>
  <c r="AZ429" i="5" s="1"/>
  <c r="AZ431" i="5" s="1"/>
  <c r="AZ433" i="5" s="1"/>
  <c r="AZ435" i="5" s="1"/>
  <c r="AZ437" i="5" s="1"/>
  <c r="AZ439" i="5" s="1"/>
  <c r="AZ441" i="5" s="1"/>
  <c r="AZ443" i="5" s="1"/>
  <c r="AZ445" i="5" s="1"/>
  <c r="AZ447" i="5" s="1"/>
  <c r="AZ449" i="5" s="1"/>
  <c r="AZ451" i="5" s="1"/>
  <c r="AZ453" i="5" s="1"/>
  <c r="AZ455" i="5" s="1"/>
  <c r="AZ457" i="5" s="1"/>
  <c r="AZ459" i="5" s="1"/>
  <c r="AZ461" i="5" s="1"/>
  <c r="AZ463" i="5" s="1"/>
  <c r="AZ465" i="5" s="1"/>
  <c r="AZ467" i="5" s="1"/>
  <c r="AZ469" i="5" s="1"/>
  <c r="AZ471" i="5" s="1"/>
  <c r="AZ473" i="5" s="1"/>
  <c r="AZ475" i="5" s="1"/>
  <c r="AZ477" i="5" s="1"/>
  <c r="AZ479" i="5" s="1"/>
  <c r="AZ481" i="5" s="1"/>
  <c r="AZ483" i="5" s="1"/>
  <c r="AZ485" i="5" s="1"/>
  <c r="AZ487" i="5" s="1"/>
  <c r="AZ489" i="5" s="1"/>
  <c r="AZ491" i="5" s="1"/>
  <c r="AZ493" i="5" s="1"/>
  <c r="AZ495" i="5" s="1"/>
  <c r="AZ497" i="5" s="1"/>
  <c r="AZ499" i="5" s="1"/>
  <c r="AZ501" i="5" s="1"/>
  <c r="AZ503" i="5" s="1"/>
  <c r="AZ505" i="5" s="1"/>
  <c r="AZ507" i="5" s="1"/>
  <c r="AZ509" i="5" s="1"/>
  <c r="AZ511" i="5" s="1"/>
  <c r="AZ513" i="5" s="1"/>
  <c r="AZ515" i="5" s="1"/>
  <c r="AZ517" i="5" s="1"/>
  <c r="AZ519" i="5" s="1"/>
  <c r="AZ521" i="5" s="1"/>
  <c r="AZ523" i="5" s="1"/>
  <c r="AZ525" i="5" s="1"/>
  <c r="AZ527" i="5" s="1"/>
  <c r="AZ529" i="5" s="1"/>
  <c r="AZ531" i="5" s="1"/>
  <c r="AZ533" i="5" s="1"/>
  <c r="AZ535" i="5" s="1"/>
  <c r="AZ537" i="5" s="1"/>
  <c r="AZ539" i="5" s="1"/>
  <c r="AZ541" i="5" s="1"/>
  <c r="AZ543" i="5" s="1"/>
  <c r="AZ545" i="5" s="1"/>
  <c r="AZ547" i="5" s="1"/>
  <c r="AZ549" i="5" s="1"/>
  <c r="AZ551" i="5" s="1"/>
  <c r="AZ553" i="5" s="1"/>
  <c r="AZ555" i="5" s="1"/>
  <c r="AZ557" i="5" s="1"/>
  <c r="AZ559" i="5" s="1"/>
  <c r="AZ561" i="5" s="1"/>
  <c r="AZ563" i="5" s="1"/>
  <c r="AZ565" i="5" s="1"/>
  <c r="AZ567" i="5" s="1"/>
  <c r="AZ569" i="5" s="1"/>
  <c r="AZ571" i="5" s="1"/>
  <c r="AZ573" i="5" s="1"/>
  <c r="AZ575" i="5" s="1"/>
  <c r="AZ577" i="5" s="1"/>
  <c r="AZ579" i="5" s="1"/>
  <c r="AZ581" i="5" s="1"/>
  <c r="AZ583" i="5" s="1"/>
  <c r="AZ585" i="5" s="1"/>
  <c r="AZ587" i="5" s="1"/>
  <c r="AZ589" i="5" s="1"/>
  <c r="AZ591" i="5" s="1"/>
  <c r="AZ593" i="5" s="1"/>
  <c r="AZ595" i="5" s="1"/>
  <c r="AZ597" i="5" s="1"/>
  <c r="AZ599" i="5" s="1"/>
  <c r="AZ601" i="5" s="1"/>
  <c r="AZ603" i="5" s="1"/>
  <c r="AZ605" i="5" s="1"/>
  <c r="AZ607" i="5" s="1"/>
  <c r="AZ609" i="5" s="1"/>
  <c r="AZ611" i="5" s="1"/>
  <c r="AZ613" i="5" s="1"/>
  <c r="AZ615" i="5" s="1"/>
  <c r="AZ617" i="5" s="1"/>
  <c r="AZ619" i="5" s="1"/>
  <c r="AZ621" i="5" s="1"/>
  <c r="AZ623" i="5" s="1"/>
  <c r="AZ625" i="5" s="1"/>
  <c r="AZ627" i="5" s="1"/>
  <c r="AZ629" i="5" s="1"/>
  <c r="AZ631" i="5" s="1"/>
  <c r="AZ633" i="5" s="1"/>
  <c r="AZ635" i="5" s="1"/>
  <c r="AG162" i="5"/>
  <c r="AE6" i="6"/>
  <c r="AI6" i="6" s="1"/>
  <c r="AI7" i="6" s="1"/>
  <c r="AI8" i="6" s="1"/>
  <c r="O13" i="6"/>
  <c r="C38" i="1" s="1"/>
  <c r="AA39" i="1" s="1"/>
  <c r="B39" i="1" s="1"/>
  <c r="A45" i="1" s="1"/>
  <c r="AG22" i="5"/>
  <c r="AG630" i="5"/>
  <c r="AE150" i="8"/>
  <c r="AI150" i="8" s="1"/>
  <c r="AI151" i="8" s="1"/>
  <c r="AI152" i="8" s="1"/>
  <c r="AI153" i="8" s="1"/>
  <c r="AI154" i="8" s="1"/>
  <c r="AI155" i="8" s="1"/>
  <c r="AI156" i="8" s="1"/>
  <c r="AI162" i="8" s="1"/>
  <c r="AI163" i="8" s="1"/>
  <c r="AI164" i="8" s="1"/>
  <c r="AI165" i="8" s="1"/>
  <c r="AI166" i="8" s="1"/>
  <c r="AI167" i="8" s="1"/>
  <c r="AI168" i="8" s="1"/>
  <c r="AI174" i="8" s="1"/>
  <c r="AI175" i="8" s="1"/>
  <c r="AI176" i="8" s="1"/>
  <c r="AI177" i="8" s="1"/>
  <c r="AI178" i="8" s="1"/>
  <c r="AI179" i="8" s="1"/>
  <c r="AI180" i="8" s="1"/>
  <c r="AI186" i="8" s="1"/>
  <c r="AI187" i="8" s="1"/>
  <c r="AI188" i="8" s="1"/>
  <c r="AI189" i="8" s="1"/>
  <c r="AI190" i="8" s="1"/>
  <c r="AI191" i="8" s="1"/>
  <c r="AI192" i="8" s="1"/>
  <c r="AI198" i="8" s="1"/>
  <c r="AI199" i="8" s="1"/>
  <c r="AI200" i="8" s="1"/>
  <c r="AI201" i="8" s="1"/>
  <c r="AI202" i="8" s="1"/>
  <c r="AI203" i="8" s="1"/>
  <c r="AI204" i="8" s="1"/>
  <c r="AI210" i="8" s="1"/>
  <c r="AI211" i="8" s="1"/>
  <c r="AI212" i="8" s="1"/>
  <c r="AI213" i="8" s="1"/>
  <c r="AI214" i="8" s="1"/>
  <c r="AI215" i="8" s="1"/>
  <c r="AI216" i="8" s="1"/>
  <c r="AI222" i="8" s="1"/>
  <c r="AI223" i="8" s="1"/>
  <c r="AI224" i="8" s="1"/>
  <c r="AI225" i="8" s="1"/>
  <c r="AI226" i="8" s="1"/>
  <c r="AI227" i="8" s="1"/>
  <c r="AI228" i="8" s="1"/>
  <c r="AI234" i="8" s="1"/>
  <c r="AI235" i="8" s="1"/>
  <c r="AI236" i="8" s="1"/>
  <c r="AI237" i="8" s="1"/>
  <c r="AI238" i="8" s="1"/>
  <c r="AI239" i="8" s="1"/>
  <c r="AI240" i="8" s="1"/>
  <c r="AI246" i="8" s="1"/>
  <c r="AI247" i="8" s="1"/>
  <c r="AI248" i="8" s="1"/>
  <c r="AI249" i="8" s="1"/>
  <c r="AI250" i="8" s="1"/>
  <c r="AI251" i="8" s="1"/>
  <c r="AI252" i="8" s="1"/>
  <c r="AI258" i="8" s="1"/>
  <c r="AI259" i="8" s="1"/>
  <c r="AI260" i="8" s="1"/>
  <c r="AI261" i="8" s="1"/>
  <c r="AI262" i="8" s="1"/>
  <c r="AI263" i="8" s="1"/>
  <c r="AI264" i="8" s="1"/>
  <c r="AI270" i="8" s="1"/>
  <c r="AI271" i="8" s="1"/>
  <c r="AI272" i="8" s="1"/>
  <c r="AI273" i="8" s="1"/>
  <c r="AI274" i="8" s="1"/>
  <c r="AI275" i="8" s="1"/>
  <c r="AI276" i="8" s="1"/>
  <c r="AI282" i="8" s="1"/>
  <c r="AI283" i="8" s="1"/>
  <c r="AI284" i="8" s="1"/>
  <c r="AI285" i="8" s="1"/>
  <c r="AI286" i="8" s="1"/>
  <c r="AI287" i="8" s="1"/>
  <c r="AI288" i="8" s="1"/>
  <c r="AI294" i="8" s="1"/>
  <c r="AI295" i="8" s="1"/>
  <c r="AI296" i="8" s="1"/>
  <c r="AI297" i="8" s="1"/>
  <c r="AI298" i="8" s="1"/>
  <c r="AI299" i="8" s="1"/>
  <c r="AI300" i="8" s="1"/>
  <c r="AI306" i="8" s="1"/>
  <c r="AI307" i="8" s="1"/>
  <c r="AI308" i="8" s="1"/>
  <c r="AI309" i="8" s="1"/>
  <c r="AI310" i="8" s="1"/>
  <c r="AI311" i="8" s="1"/>
  <c r="AI312" i="8" s="1"/>
  <c r="AI318" i="8" s="1"/>
  <c r="AI319" i="8" s="1"/>
  <c r="AI320" i="8" s="1"/>
  <c r="AI321" i="8" s="1"/>
  <c r="AI322" i="8" s="1"/>
  <c r="AI323" i="8" s="1"/>
  <c r="AI324" i="8" s="1"/>
  <c r="AI330" i="8" s="1"/>
  <c r="AI331" i="8" s="1"/>
  <c r="AI332" i="8" s="1"/>
  <c r="AI333" i="8" s="1"/>
  <c r="AI334" i="8" s="1"/>
  <c r="AI335" i="8" s="1"/>
  <c r="AI336" i="8" s="1"/>
  <c r="AI342" i="8" s="1"/>
  <c r="AI343" i="8" s="1"/>
  <c r="AI344" i="8" s="1"/>
  <c r="AI345" i="8" s="1"/>
  <c r="AI346" i="8" s="1"/>
  <c r="AI347" i="8" s="1"/>
  <c r="AI348" i="8" s="1"/>
  <c r="AI354" i="8" s="1"/>
  <c r="AI355" i="8" s="1"/>
  <c r="AI356" i="8" s="1"/>
  <c r="AI357" i="8" s="1"/>
  <c r="AI358" i="8" s="1"/>
  <c r="AI359" i="8" s="1"/>
  <c r="AI360" i="8" s="1"/>
  <c r="AI366" i="8" s="1"/>
  <c r="AI367" i="8" s="1"/>
  <c r="AI368" i="8" s="1"/>
  <c r="AI369" i="8" s="1"/>
  <c r="AI370" i="8" s="1"/>
  <c r="AI371" i="8" s="1"/>
  <c r="AI372" i="8" s="1"/>
  <c r="AI378" i="8" s="1"/>
  <c r="AI379" i="8" s="1"/>
  <c r="AI380" i="8" s="1"/>
  <c r="AI381" i="8" s="1"/>
  <c r="AI382" i="8" s="1"/>
  <c r="AI383" i="8" s="1"/>
  <c r="AI384" i="8" s="1"/>
  <c r="AI390" i="8" s="1"/>
  <c r="AI391" i="8" s="1"/>
  <c r="AI392" i="8" s="1"/>
  <c r="AI393" i="8" s="1"/>
  <c r="AI394" i="8" s="1"/>
  <c r="AI395" i="8" s="1"/>
  <c r="AI396" i="8" s="1"/>
  <c r="AI402" i="8" s="1"/>
  <c r="AI403" i="8" s="1"/>
  <c r="AI404" i="8" s="1"/>
  <c r="AI405" i="8" s="1"/>
  <c r="AI406" i="8" s="1"/>
  <c r="AI407" i="8" s="1"/>
  <c r="AI408" i="8" s="1"/>
  <c r="AI414" i="8" s="1"/>
  <c r="AI415" i="8" s="1"/>
  <c r="AI416" i="8" s="1"/>
  <c r="AI417" i="8" s="1"/>
  <c r="AI418" i="8" s="1"/>
  <c r="AI419" i="8" s="1"/>
  <c r="AI420" i="8" s="1"/>
  <c r="AI426" i="8" s="1"/>
  <c r="AI427" i="8" s="1"/>
  <c r="AI428" i="8" s="1"/>
  <c r="AI429" i="8" s="1"/>
  <c r="AI430" i="8" s="1"/>
  <c r="AI431" i="8" s="1"/>
  <c r="AI432" i="8" s="1"/>
  <c r="AI438" i="8" s="1"/>
  <c r="AI439" i="8" s="1"/>
  <c r="AI440" i="8" s="1"/>
  <c r="AI441" i="8" s="1"/>
  <c r="AI442" i="8" s="1"/>
  <c r="AI443" i="8" s="1"/>
  <c r="AI444" i="8" s="1"/>
  <c r="AI450" i="8" s="1"/>
  <c r="AI451" i="8" s="1"/>
  <c r="AI452" i="8" s="1"/>
  <c r="AI453" i="8" s="1"/>
  <c r="AI454" i="8" s="1"/>
  <c r="AI455" i="8" s="1"/>
  <c r="AI456" i="8" s="1"/>
  <c r="AI462" i="8" s="1"/>
  <c r="AI463" i="8" s="1"/>
  <c r="AI464" i="8" s="1"/>
  <c r="AI465" i="8" s="1"/>
  <c r="AI466" i="8" s="1"/>
  <c r="AI467" i="8" s="1"/>
  <c r="AI468" i="8" s="1"/>
  <c r="AI474" i="8" s="1"/>
  <c r="AI475" i="8" s="1"/>
  <c r="AI476" i="8" s="1"/>
  <c r="AI477" i="8" s="1"/>
  <c r="AI478" i="8" s="1"/>
  <c r="AI479" i="8" s="1"/>
  <c r="AI480" i="8" s="1"/>
  <c r="AI486" i="8" s="1"/>
  <c r="AI487" i="8" s="1"/>
  <c r="AI488" i="8" s="1"/>
  <c r="AI489" i="8" s="1"/>
  <c r="AI490" i="8" s="1"/>
  <c r="AI491" i="8" s="1"/>
  <c r="AI492" i="8" s="1"/>
  <c r="AI498" i="8" s="1"/>
  <c r="AI499" i="8" s="1"/>
  <c r="AI500" i="8" s="1"/>
  <c r="AI501" i="8" s="1"/>
  <c r="AI502" i="8" s="1"/>
  <c r="AI503" i="8" s="1"/>
  <c r="AI504" i="8" s="1"/>
  <c r="AI510" i="8" s="1"/>
  <c r="AI511" i="8" s="1"/>
  <c r="AI512" i="8" s="1"/>
  <c r="AI513" i="8" s="1"/>
  <c r="AI514" i="8" s="1"/>
  <c r="AI515" i="8" s="1"/>
  <c r="AI516" i="8" s="1"/>
  <c r="AI522" i="8" s="1"/>
  <c r="AI523" i="8" s="1"/>
  <c r="AI524" i="8" s="1"/>
  <c r="AI525" i="8" s="1"/>
  <c r="AI526" i="8" s="1"/>
  <c r="AI527" i="8" s="1"/>
  <c r="AI528" i="8" s="1"/>
  <c r="AI534" i="8" s="1"/>
  <c r="AI535" i="8" s="1"/>
  <c r="AI536" i="8" s="1"/>
  <c r="AI537" i="8" s="1"/>
  <c r="AI538" i="8" s="1"/>
  <c r="AI539" i="8" s="1"/>
  <c r="AI540" i="8" s="1"/>
  <c r="AI546" i="8" s="1"/>
  <c r="AI547" i="8" s="1"/>
  <c r="AI548" i="8" s="1"/>
  <c r="AI549" i="8" s="1"/>
  <c r="AI550" i="8" s="1"/>
  <c r="AI551" i="8" s="1"/>
  <c r="AI552" i="8" s="1"/>
  <c r="AI558" i="8" s="1"/>
  <c r="AI559" i="8" s="1"/>
  <c r="AI560" i="8" s="1"/>
  <c r="AI561" i="8" s="1"/>
  <c r="AI562" i="8" s="1"/>
  <c r="AI563" i="8" s="1"/>
  <c r="AI564" i="8" s="1"/>
  <c r="AI570" i="8" s="1"/>
  <c r="AI571" i="8" s="1"/>
  <c r="AI572" i="8" s="1"/>
  <c r="AI573" i="8" s="1"/>
  <c r="AI574" i="8" s="1"/>
  <c r="AI575" i="8" s="1"/>
  <c r="AI576" i="8" s="1"/>
  <c r="AI582" i="8" s="1"/>
  <c r="AI583" i="8" s="1"/>
  <c r="AI584" i="8" s="1"/>
  <c r="AI585" i="8" s="1"/>
  <c r="AI586" i="8" s="1"/>
  <c r="AI587" i="8" s="1"/>
  <c r="AI588" i="8" s="1"/>
  <c r="AI594" i="8" s="1"/>
  <c r="AI595" i="8" s="1"/>
  <c r="AI596" i="8" s="1"/>
  <c r="AI597" i="8" s="1"/>
  <c r="AI598" i="8" s="1"/>
  <c r="AI599" i="8" s="1"/>
  <c r="AI600" i="8" s="1"/>
  <c r="AI606" i="8" s="1"/>
  <c r="AI607" i="8" s="1"/>
  <c r="AI608" i="8" s="1"/>
  <c r="AI609" i="8" s="1"/>
  <c r="AI610" i="8" s="1"/>
  <c r="AI611" i="8" s="1"/>
  <c r="AI612" i="8" s="1"/>
  <c r="AI618" i="8" s="1"/>
  <c r="AI619" i="8" s="1"/>
  <c r="AI620" i="8" s="1"/>
  <c r="AI621" i="8" s="1"/>
  <c r="AI622" i="8" s="1"/>
  <c r="AI623" i="8" s="1"/>
  <c r="AI624" i="8" s="1"/>
  <c r="AI630" i="8" s="1"/>
  <c r="AI631" i="8" s="1"/>
  <c r="AI632" i="8" s="1"/>
  <c r="AI633" i="8" s="1"/>
  <c r="AI634" i="8" s="1"/>
  <c r="AI635" i="8" s="1"/>
  <c r="AI636" i="8" s="1"/>
  <c r="O157" i="8"/>
  <c r="O25" i="5"/>
  <c r="AG18" i="5"/>
  <c r="I14" i="19" l="1"/>
  <c r="AJ18" i="5"/>
  <c r="AZ18" i="5"/>
  <c r="AZ20" i="5" s="1"/>
  <c r="AZ22" i="5" s="1"/>
  <c r="AZ24" i="5" s="1"/>
  <c r="AZ26" i="5" s="1"/>
  <c r="AZ28" i="5" s="1"/>
  <c r="AZ30" i="5" s="1"/>
  <c r="AZ32" i="5" s="1"/>
  <c r="AZ34" i="5" s="1"/>
  <c r="AZ36" i="5" s="1"/>
  <c r="AZ38" i="5" s="1"/>
  <c r="AZ40" i="5" s="1"/>
  <c r="AZ42" i="5" s="1"/>
  <c r="AZ44" i="5" s="1"/>
  <c r="AZ46" i="5" s="1"/>
  <c r="AZ48" i="5" s="1"/>
  <c r="AZ50" i="5" s="1"/>
  <c r="AZ52" i="5" s="1"/>
  <c r="AZ54" i="5" s="1"/>
  <c r="AZ56" i="5" s="1"/>
  <c r="AZ58" i="5" s="1"/>
  <c r="AZ60" i="5" s="1"/>
  <c r="AZ62" i="5" s="1"/>
  <c r="AZ64" i="5" s="1"/>
  <c r="AZ66" i="5" s="1"/>
  <c r="AZ68" i="5" s="1"/>
  <c r="AZ70" i="5" s="1"/>
  <c r="AZ72" i="5" s="1"/>
  <c r="AZ74" i="5" s="1"/>
  <c r="AZ76" i="5" s="1"/>
  <c r="AZ78" i="5" s="1"/>
  <c r="AZ80" i="5" s="1"/>
  <c r="AZ82" i="5" s="1"/>
  <c r="AZ84" i="5" s="1"/>
  <c r="AZ86" i="5" s="1"/>
  <c r="AZ88" i="5" s="1"/>
  <c r="AZ90" i="5" s="1"/>
  <c r="AZ92" i="5" s="1"/>
  <c r="AZ94" i="5" s="1"/>
  <c r="AZ96" i="5" s="1"/>
  <c r="AZ98" i="5" s="1"/>
  <c r="AZ100" i="5" s="1"/>
  <c r="AZ102" i="5" s="1"/>
  <c r="AZ104" i="5" s="1"/>
  <c r="AZ106" i="5" s="1"/>
  <c r="AZ108" i="5" s="1"/>
  <c r="AZ110" i="5" s="1"/>
  <c r="AZ112" i="5" s="1"/>
  <c r="AZ114" i="5" s="1"/>
  <c r="AZ116" i="5" s="1"/>
  <c r="AZ118" i="5" s="1"/>
  <c r="AZ120" i="5" s="1"/>
  <c r="AZ122" i="5" s="1"/>
  <c r="AZ124" i="5" s="1"/>
  <c r="AZ126" i="5" s="1"/>
  <c r="AZ128" i="5" s="1"/>
  <c r="AZ130" i="5" s="1"/>
  <c r="AZ132" i="5" s="1"/>
  <c r="AZ134" i="5" s="1"/>
  <c r="AZ136" i="5" s="1"/>
  <c r="AZ138" i="5" s="1"/>
  <c r="AZ140" i="5" s="1"/>
  <c r="AZ142" i="5" s="1"/>
  <c r="AZ144" i="5" s="1"/>
  <c r="AZ146" i="5" s="1"/>
  <c r="AZ148" i="5" s="1"/>
  <c r="AZ150" i="5" s="1"/>
  <c r="AZ152" i="5" s="1"/>
  <c r="AZ154" i="5" s="1"/>
  <c r="AZ156" i="5" s="1"/>
  <c r="AZ158" i="5" s="1"/>
  <c r="AZ160" i="5" s="1"/>
  <c r="AZ162" i="5" s="1"/>
  <c r="AZ164" i="5" s="1"/>
  <c r="AZ166" i="5" s="1"/>
  <c r="AZ168" i="5" s="1"/>
  <c r="AZ170" i="5" s="1"/>
  <c r="AZ172" i="5" s="1"/>
  <c r="AZ174" i="5" s="1"/>
  <c r="AZ176" i="5" s="1"/>
  <c r="AZ178" i="5" s="1"/>
  <c r="AZ180" i="5" s="1"/>
  <c r="AZ182" i="5" s="1"/>
  <c r="AZ184" i="5" s="1"/>
  <c r="AZ186" i="5" s="1"/>
  <c r="AZ188" i="5" s="1"/>
  <c r="AZ190" i="5" s="1"/>
  <c r="AZ192" i="5" s="1"/>
  <c r="AZ194" i="5" s="1"/>
  <c r="AZ196" i="5" s="1"/>
  <c r="AZ198" i="5" s="1"/>
  <c r="AZ200" i="5" s="1"/>
  <c r="AZ202" i="5" s="1"/>
  <c r="AZ204" i="5" s="1"/>
  <c r="AZ206" i="5" s="1"/>
  <c r="AZ208" i="5" s="1"/>
  <c r="AZ210" i="5" s="1"/>
  <c r="AZ212" i="5" s="1"/>
  <c r="AZ214" i="5" s="1"/>
  <c r="AZ216" i="5" s="1"/>
  <c r="AZ218" i="5" s="1"/>
  <c r="AZ220" i="5" s="1"/>
  <c r="AZ222" i="5" s="1"/>
  <c r="AZ224" i="5" s="1"/>
  <c r="AZ226" i="5" s="1"/>
  <c r="AZ228" i="5" s="1"/>
  <c r="AZ230" i="5" s="1"/>
  <c r="AZ232" i="5" s="1"/>
  <c r="AZ234" i="5" s="1"/>
  <c r="AZ236" i="5" s="1"/>
  <c r="AZ238" i="5" s="1"/>
  <c r="AZ240" i="5" s="1"/>
  <c r="AZ242" i="5" s="1"/>
  <c r="AZ244" i="5" s="1"/>
  <c r="AZ246" i="5" s="1"/>
  <c r="AZ248" i="5" s="1"/>
  <c r="AZ250" i="5" s="1"/>
  <c r="AZ252" i="5" s="1"/>
  <c r="AZ254" i="5" s="1"/>
  <c r="AZ256" i="5" s="1"/>
  <c r="AZ258" i="5" s="1"/>
  <c r="AZ260" i="5" s="1"/>
  <c r="AZ262" i="5" s="1"/>
  <c r="AZ264" i="5" s="1"/>
  <c r="AZ266" i="5" s="1"/>
  <c r="AZ268" i="5" s="1"/>
  <c r="AZ270" i="5" s="1"/>
  <c r="AZ272" i="5" s="1"/>
  <c r="AZ274" i="5" s="1"/>
  <c r="AZ276" i="5" s="1"/>
  <c r="AZ278" i="5" s="1"/>
  <c r="AZ280" i="5" s="1"/>
  <c r="AZ282" i="5" s="1"/>
  <c r="AZ284" i="5" s="1"/>
  <c r="AZ286" i="5" s="1"/>
  <c r="AZ288" i="5" s="1"/>
  <c r="AZ290" i="5" s="1"/>
  <c r="AZ292" i="5" s="1"/>
  <c r="AZ294" i="5" s="1"/>
  <c r="AZ296" i="5" s="1"/>
  <c r="AZ298" i="5" s="1"/>
  <c r="AZ300" i="5" s="1"/>
  <c r="AZ302" i="5" s="1"/>
  <c r="AZ304" i="5" s="1"/>
  <c r="AZ306" i="5" s="1"/>
  <c r="AZ308" i="5" s="1"/>
  <c r="AZ310" i="5" s="1"/>
  <c r="AZ312" i="5" s="1"/>
  <c r="AZ314" i="5" s="1"/>
  <c r="AZ316" i="5" s="1"/>
  <c r="AZ318" i="5" s="1"/>
  <c r="AZ320" i="5" s="1"/>
  <c r="AZ322" i="5" s="1"/>
  <c r="AZ324" i="5" s="1"/>
  <c r="AZ326" i="5" s="1"/>
  <c r="AZ328" i="5" s="1"/>
  <c r="AZ330" i="5" s="1"/>
  <c r="AZ332" i="5" s="1"/>
  <c r="AZ334" i="5" s="1"/>
  <c r="AZ336" i="5" s="1"/>
  <c r="AZ338" i="5" s="1"/>
  <c r="AZ340" i="5" s="1"/>
  <c r="AZ342" i="5" s="1"/>
  <c r="AZ344" i="5" s="1"/>
  <c r="AZ346" i="5" s="1"/>
  <c r="AZ348" i="5" s="1"/>
  <c r="AZ350" i="5" s="1"/>
  <c r="AZ352" i="5" s="1"/>
  <c r="AZ354" i="5" s="1"/>
  <c r="AZ356" i="5" s="1"/>
  <c r="AZ358" i="5" s="1"/>
  <c r="AZ360" i="5" s="1"/>
  <c r="AZ362" i="5" s="1"/>
  <c r="AZ364" i="5" s="1"/>
  <c r="AZ366" i="5" s="1"/>
  <c r="AZ368" i="5" s="1"/>
  <c r="AZ370" i="5" s="1"/>
  <c r="AZ372" i="5" s="1"/>
  <c r="AZ374" i="5" s="1"/>
  <c r="AZ376" i="5" s="1"/>
  <c r="AZ378" i="5" s="1"/>
  <c r="AZ380" i="5" s="1"/>
  <c r="AZ382" i="5" s="1"/>
  <c r="AZ384" i="5" s="1"/>
  <c r="AZ386" i="5" s="1"/>
  <c r="AZ388" i="5" s="1"/>
  <c r="AZ390" i="5" s="1"/>
  <c r="AZ392" i="5" s="1"/>
  <c r="AZ394" i="5" s="1"/>
  <c r="AZ396" i="5" s="1"/>
  <c r="AZ398" i="5" s="1"/>
  <c r="AZ400" i="5" s="1"/>
  <c r="AZ402" i="5" s="1"/>
  <c r="AZ404" i="5" s="1"/>
  <c r="AZ406" i="5" s="1"/>
  <c r="AZ408" i="5" s="1"/>
  <c r="AZ410" i="5" s="1"/>
  <c r="AZ412" i="5" s="1"/>
  <c r="AZ414" i="5" s="1"/>
  <c r="AZ416" i="5" s="1"/>
  <c r="AZ418" i="5" s="1"/>
  <c r="AZ420" i="5" s="1"/>
  <c r="AZ422" i="5" s="1"/>
  <c r="AZ424" i="5" s="1"/>
  <c r="AZ426" i="5" s="1"/>
  <c r="AZ428" i="5" s="1"/>
  <c r="AZ430" i="5" s="1"/>
  <c r="AZ432" i="5" s="1"/>
  <c r="AZ434" i="5" s="1"/>
  <c r="AZ436" i="5" s="1"/>
  <c r="AZ438" i="5" s="1"/>
  <c r="AZ440" i="5" s="1"/>
  <c r="AZ442" i="5" s="1"/>
  <c r="AZ444" i="5" s="1"/>
  <c r="AZ446" i="5" s="1"/>
  <c r="AZ448" i="5" s="1"/>
  <c r="AZ450" i="5" s="1"/>
  <c r="AZ452" i="5" s="1"/>
  <c r="AZ454" i="5" s="1"/>
  <c r="AZ456" i="5" s="1"/>
  <c r="AZ458" i="5" s="1"/>
  <c r="AZ460" i="5" s="1"/>
  <c r="AZ462" i="5" s="1"/>
  <c r="AZ464" i="5" s="1"/>
  <c r="AZ466" i="5" s="1"/>
  <c r="AZ468" i="5" s="1"/>
  <c r="AZ470" i="5" s="1"/>
  <c r="AZ472" i="5" s="1"/>
  <c r="AZ474" i="5" s="1"/>
  <c r="AZ476" i="5" s="1"/>
  <c r="AZ478" i="5" s="1"/>
  <c r="AZ480" i="5" s="1"/>
  <c r="AZ482" i="5" s="1"/>
  <c r="AZ484" i="5" s="1"/>
  <c r="AZ486" i="5" s="1"/>
  <c r="AZ488" i="5" s="1"/>
  <c r="AZ490" i="5" s="1"/>
  <c r="AZ492" i="5" s="1"/>
  <c r="AZ494" i="5" s="1"/>
  <c r="AZ496" i="5" s="1"/>
  <c r="AZ498" i="5" s="1"/>
  <c r="AZ500" i="5" s="1"/>
  <c r="AZ502" i="5" s="1"/>
  <c r="AZ504" i="5" s="1"/>
  <c r="AZ506" i="5" s="1"/>
  <c r="AZ508" i="5" s="1"/>
  <c r="AZ510" i="5" s="1"/>
  <c r="AZ512" i="5" s="1"/>
  <c r="AZ514" i="5" s="1"/>
  <c r="AZ516" i="5" s="1"/>
  <c r="AZ518" i="5" s="1"/>
  <c r="AZ520" i="5" s="1"/>
  <c r="AZ522" i="5" s="1"/>
  <c r="AZ524" i="5" s="1"/>
  <c r="AZ526" i="5" s="1"/>
  <c r="AZ528" i="5" s="1"/>
  <c r="AZ530" i="5" s="1"/>
  <c r="AZ532" i="5" s="1"/>
  <c r="AZ534" i="5" s="1"/>
  <c r="AZ536" i="5" s="1"/>
  <c r="AZ538" i="5" s="1"/>
  <c r="AZ540" i="5" s="1"/>
  <c r="AZ542" i="5" s="1"/>
  <c r="AZ544" i="5" s="1"/>
  <c r="AZ546" i="5" s="1"/>
  <c r="AZ548" i="5" s="1"/>
  <c r="AZ550" i="5" s="1"/>
  <c r="AZ552" i="5" s="1"/>
  <c r="AZ554" i="5" s="1"/>
  <c r="AZ556" i="5" s="1"/>
  <c r="AZ558" i="5" s="1"/>
  <c r="AZ560" i="5" s="1"/>
  <c r="AZ562" i="5" s="1"/>
  <c r="AZ564" i="5" s="1"/>
  <c r="AZ566" i="5" s="1"/>
  <c r="AZ568" i="5" s="1"/>
  <c r="AZ570" i="5" s="1"/>
  <c r="AZ572" i="5" s="1"/>
  <c r="AZ574" i="5" s="1"/>
  <c r="AZ576" i="5" s="1"/>
  <c r="AZ578" i="5" s="1"/>
  <c r="AZ580" i="5" s="1"/>
  <c r="AZ582" i="5" s="1"/>
  <c r="AZ584" i="5" s="1"/>
  <c r="AZ586" i="5" s="1"/>
  <c r="AZ588" i="5" s="1"/>
  <c r="AZ590" i="5" s="1"/>
  <c r="AZ592" i="5" s="1"/>
  <c r="AZ594" i="5" s="1"/>
  <c r="AZ596" i="5" s="1"/>
  <c r="AZ598" i="5" s="1"/>
  <c r="AZ600" i="5" s="1"/>
  <c r="AZ602" i="5" s="1"/>
  <c r="AZ604" i="5" s="1"/>
  <c r="AZ606" i="5" s="1"/>
  <c r="AZ608" i="5" s="1"/>
  <c r="AZ610" i="5" s="1"/>
  <c r="AZ612" i="5" s="1"/>
  <c r="AZ614" i="5" s="1"/>
  <c r="AZ616" i="5" s="1"/>
  <c r="AZ618" i="5" s="1"/>
  <c r="AZ620" i="5" s="1"/>
  <c r="AZ622" i="5" s="1"/>
  <c r="AZ624" i="5" s="1"/>
  <c r="AZ626" i="5" s="1"/>
  <c r="AZ628" i="5" s="1"/>
  <c r="AZ630" i="5" s="1"/>
  <c r="AZ632" i="5" s="1"/>
  <c r="AZ634" i="5" s="1"/>
  <c r="AZ636" i="5" s="1"/>
  <c r="AH30" i="12"/>
  <c r="AA32" i="12" s="1"/>
  <c r="AI28" i="19"/>
  <c r="AB30" i="19" s="1"/>
  <c r="AH31" i="12"/>
  <c r="AA33" i="12" s="1"/>
  <c r="AI29" i="19"/>
  <c r="AB31" i="19" s="1"/>
  <c r="AI9" i="6"/>
  <c r="AI10" i="6" s="1"/>
  <c r="AI11" i="6" s="1"/>
  <c r="AI12" i="6" s="1"/>
  <c r="AI18" i="6" s="1"/>
  <c r="AI19" i="6" s="1"/>
  <c r="AI20" i="6" s="1"/>
  <c r="AI21" i="6" s="1"/>
  <c r="AI22" i="6" s="1"/>
  <c r="AI23" i="6" s="1"/>
  <c r="AI24" i="6" s="1"/>
  <c r="AI30" i="6" s="1"/>
  <c r="AI31" i="6" s="1"/>
  <c r="AI32" i="6" s="1"/>
  <c r="AI33" i="6" s="1"/>
  <c r="AI34" i="6" s="1"/>
  <c r="AI35" i="6" s="1"/>
  <c r="AI36" i="6" s="1"/>
  <c r="AI42" i="6" s="1"/>
  <c r="AI43" i="6" s="1"/>
  <c r="AI44" i="6" s="1"/>
  <c r="AI45" i="6" s="1"/>
  <c r="AI46" i="6" s="1"/>
  <c r="AI47" i="6" s="1"/>
  <c r="AI48" i="6" s="1"/>
  <c r="AI54" i="6" s="1"/>
  <c r="AI55" i="6" s="1"/>
  <c r="AI56" i="6" s="1"/>
  <c r="AI57" i="6" s="1"/>
  <c r="AI58" i="6" s="1"/>
  <c r="AI59" i="6" s="1"/>
  <c r="AI60" i="6" s="1"/>
  <c r="AI66" i="6" s="1"/>
  <c r="AI67" i="6" s="1"/>
  <c r="AI68" i="6" s="1"/>
  <c r="AI69" i="6" s="1"/>
  <c r="AI70" i="6" s="1"/>
  <c r="AI71" i="6" s="1"/>
  <c r="AI72" i="6" s="1"/>
  <c r="AI78" i="6" s="1"/>
  <c r="AI79" i="6" s="1"/>
  <c r="AI80" i="6" s="1"/>
  <c r="AI81" i="6" s="1"/>
  <c r="AI82" i="6" s="1"/>
  <c r="AI83" i="6" s="1"/>
  <c r="AI84" i="6" s="1"/>
  <c r="AI90" i="6" s="1"/>
  <c r="AI91" i="6" s="1"/>
  <c r="AI92" i="6" s="1"/>
  <c r="AI93" i="6" s="1"/>
  <c r="AI94" i="6" s="1"/>
  <c r="AI95" i="6" s="1"/>
  <c r="AI96" i="6" s="1"/>
  <c r="AI102" i="6" s="1"/>
  <c r="AI103" i="6" s="1"/>
  <c r="AI104" i="6" s="1"/>
  <c r="AI105" i="6" s="1"/>
  <c r="AI106" i="6" s="1"/>
  <c r="AI107" i="6" s="1"/>
  <c r="AI108" i="6" s="1"/>
  <c r="AI114" i="6" s="1"/>
  <c r="AI115" i="6" s="1"/>
  <c r="AI116" i="6" s="1"/>
  <c r="AI117" i="6" s="1"/>
  <c r="AI118" i="6" s="1"/>
  <c r="AI119" i="6" s="1"/>
  <c r="AI120" i="6" s="1"/>
  <c r="AI126" i="6" s="1"/>
  <c r="AI127" i="6" s="1"/>
  <c r="AI128" i="6" s="1"/>
  <c r="AI129" i="6" s="1"/>
  <c r="AI130" i="6" s="1"/>
  <c r="AI131" i="6" s="1"/>
  <c r="AI132" i="6" s="1"/>
  <c r="AI138" i="6" s="1"/>
  <c r="AI139" i="6" s="1"/>
  <c r="AI140" i="6" s="1"/>
  <c r="AI141" i="6" s="1"/>
  <c r="AI142" i="6" s="1"/>
  <c r="AI143" i="6" s="1"/>
  <c r="AI144" i="6" s="1"/>
  <c r="AI150" i="6" s="1"/>
  <c r="AI151" i="6" s="1"/>
  <c r="AI152" i="6" s="1"/>
  <c r="AI153" i="6" s="1"/>
  <c r="AI154" i="6" s="1"/>
  <c r="AI155" i="6" s="1"/>
  <c r="AI156" i="6" s="1"/>
  <c r="AI162" i="6" s="1"/>
  <c r="AI163" i="6" s="1"/>
  <c r="AI164" i="6" s="1"/>
  <c r="AI165" i="6" s="1"/>
  <c r="AI166" i="6" s="1"/>
  <c r="AI167" i="6" s="1"/>
  <c r="AI168" i="6" s="1"/>
  <c r="AI174" i="6" s="1"/>
  <c r="AI175" i="6" s="1"/>
  <c r="AI176" i="6" s="1"/>
  <c r="AI177" i="6" s="1"/>
  <c r="AI178" i="6" s="1"/>
  <c r="AI179" i="6" s="1"/>
  <c r="AI180" i="6" s="1"/>
  <c r="AI186" i="6" s="1"/>
  <c r="AI187" i="6" s="1"/>
  <c r="AI188" i="6" s="1"/>
  <c r="AI189" i="6" s="1"/>
  <c r="AI190" i="6" s="1"/>
  <c r="AI191" i="6" s="1"/>
  <c r="AI192" i="6" s="1"/>
  <c r="AI198" i="6" s="1"/>
  <c r="AI199" i="6" s="1"/>
  <c r="AI200" i="6" s="1"/>
  <c r="AI201" i="6" s="1"/>
  <c r="AI202" i="6" s="1"/>
  <c r="AI203" i="6" s="1"/>
  <c r="AI204" i="6" s="1"/>
  <c r="AI210" i="6" s="1"/>
  <c r="AI211" i="6" s="1"/>
  <c r="AI212" i="6" s="1"/>
  <c r="AI213" i="6" s="1"/>
  <c r="AI214" i="6" s="1"/>
  <c r="AI215" i="6" s="1"/>
  <c r="AI216" i="6" s="1"/>
  <c r="AI222" i="6" s="1"/>
  <c r="AI223" i="6" s="1"/>
  <c r="AI224" i="6" s="1"/>
  <c r="AI225" i="6" s="1"/>
  <c r="AI226" i="6" s="1"/>
  <c r="AI227" i="6" s="1"/>
  <c r="AI228" i="6" s="1"/>
  <c r="AI234" i="6" s="1"/>
  <c r="AI235" i="6" s="1"/>
  <c r="AI236" i="6" s="1"/>
  <c r="AI237" i="6" s="1"/>
  <c r="AI238" i="6" s="1"/>
  <c r="AI239" i="6" s="1"/>
  <c r="AI240" i="6" s="1"/>
  <c r="AI246" i="6" s="1"/>
  <c r="AI247" i="6" s="1"/>
  <c r="AI248" i="6" s="1"/>
  <c r="AI249" i="6" s="1"/>
  <c r="AI250" i="6" s="1"/>
  <c r="AI251" i="6" s="1"/>
  <c r="AI252" i="6" s="1"/>
  <c r="AI258" i="6" s="1"/>
  <c r="AI259" i="6" s="1"/>
  <c r="AI260" i="6" s="1"/>
  <c r="AI261" i="6" s="1"/>
  <c r="AI262" i="6" s="1"/>
  <c r="AI263" i="6" s="1"/>
  <c r="AI264" i="6" s="1"/>
  <c r="AI270" i="6" s="1"/>
  <c r="AI271" i="6" s="1"/>
  <c r="AI272" i="6" s="1"/>
  <c r="AI273" i="6" s="1"/>
  <c r="AI274" i="6" s="1"/>
  <c r="AI275" i="6" s="1"/>
  <c r="AI276" i="6" s="1"/>
  <c r="AI282" i="6" s="1"/>
  <c r="AI283" i="6" s="1"/>
  <c r="AI284" i="6" s="1"/>
  <c r="AI285" i="6" s="1"/>
  <c r="AI286" i="6" s="1"/>
  <c r="AI287" i="6" s="1"/>
  <c r="AI288" i="6" s="1"/>
  <c r="AI294" i="6" s="1"/>
  <c r="AI295" i="6" s="1"/>
  <c r="AI296" i="6" s="1"/>
  <c r="AI297" i="6" s="1"/>
  <c r="AI298" i="6" s="1"/>
  <c r="AI299" i="6" s="1"/>
  <c r="AI300" i="6" s="1"/>
  <c r="AI306" i="6" s="1"/>
  <c r="AI307" i="6" s="1"/>
  <c r="AI308" i="6" s="1"/>
  <c r="AI309" i="6" s="1"/>
  <c r="AI310" i="6" s="1"/>
  <c r="AI311" i="6" s="1"/>
  <c r="AI312" i="6" s="1"/>
  <c r="AI318" i="6" s="1"/>
  <c r="AI319" i="6" s="1"/>
  <c r="AI320" i="6" s="1"/>
  <c r="AI321" i="6" s="1"/>
  <c r="AI322" i="6" s="1"/>
  <c r="AI323" i="6" s="1"/>
  <c r="AI324" i="6" s="1"/>
  <c r="AI330" i="6" s="1"/>
  <c r="AI331" i="6" s="1"/>
  <c r="AI332" i="6" s="1"/>
  <c r="AI333" i="6" s="1"/>
  <c r="AI334" i="6" s="1"/>
  <c r="AI335" i="6" s="1"/>
  <c r="AI336" i="6" s="1"/>
  <c r="AI342" i="6" s="1"/>
  <c r="AI343" i="6" s="1"/>
  <c r="AI344" i="6" s="1"/>
  <c r="AI345" i="6" s="1"/>
  <c r="AI346" i="6" s="1"/>
  <c r="AI347" i="6" s="1"/>
  <c r="AI348" i="6" s="1"/>
  <c r="AI354" i="6" s="1"/>
  <c r="AI355" i="6" s="1"/>
  <c r="AI356" i="6" s="1"/>
  <c r="AI357" i="6" s="1"/>
  <c r="AI358" i="6" s="1"/>
  <c r="AI359" i="6" s="1"/>
  <c r="AI360" i="6" s="1"/>
  <c r="AI366" i="6" s="1"/>
  <c r="AI367" i="6" s="1"/>
  <c r="AI368" i="6" s="1"/>
  <c r="AI369" i="6" s="1"/>
  <c r="AI370" i="6" s="1"/>
  <c r="AI371" i="6" s="1"/>
  <c r="AI372" i="6" s="1"/>
  <c r="AI378" i="6" s="1"/>
  <c r="AI379" i="6" s="1"/>
  <c r="AI380" i="6" s="1"/>
  <c r="AI381" i="6" s="1"/>
  <c r="AI382" i="6" s="1"/>
  <c r="AI383" i="6" s="1"/>
  <c r="AI384" i="6" s="1"/>
  <c r="AI390" i="6" s="1"/>
  <c r="AI391" i="6" s="1"/>
  <c r="AI392" i="6" s="1"/>
  <c r="AI393" i="6" s="1"/>
  <c r="AI394" i="6" s="1"/>
  <c r="AI395" i="6" s="1"/>
  <c r="AI396" i="6" s="1"/>
  <c r="AI402" i="6" s="1"/>
  <c r="AI403" i="6" s="1"/>
  <c r="AI404" i="6" s="1"/>
  <c r="AI405" i="6" s="1"/>
  <c r="AI406" i="6" s="1"/>
  <c r="AI407" i="6" s="1"/>
  <c r="AI408" i="6" s="1"/>
  <c r="AI414" i="6" s="1"/>
  <c r="AI415" i="6" s="1"/>
  <c r="AI416" i="6" s="1"/>
  <c r="AI417" i="6" s="1"/>
  <c r="AI418" i="6" s="1"/>
  <c r="AI419" i="6" s="1"/>
  <c r="AI420" i="6" s="1"/>
  <c r="AI426" i="6" s="1"/>
  <c r="AI427" i="6" s="1"/>
  <c r="AI428" i="6" s="1"/>
  <c r="AI429" i="6" s="1"/>
  <c r="AI430" i="6" s="1"/>
  <c r="AI431" i="6" s="1"/>
  <c r="AI432" i="6" s="1"/>
  <c r="AI438" i="6" s="1"/>
  <c r="AI439" i="6" s="1"/>
  <c r="AI440" i="6" s="1"/>
  <c r="AI441" i="6" s="1"/>
  <c r="AI442" i="6" s="1"/>
  <c r="AI443" i="6" s="1"/>
  <c r="AI444" i="6" s="1"/>
  <c r="AI450" i="6" s="1"/>
  <c r="AI451" i="6" s="1"/>
  <c r="AI452" i="6" s="1"/>
  <c r="AI453" i="6" s="1"/>
  <c r="AI454" i="6" s="1"/>
  <c r="AI455" i="6" s="1"/>
  <c r="AI456" i="6" s="1"/>
  <c r="AI462" i="6" s="1"/>
  <c r="AI463" i="6" s="1"/>
  <c r="AI464" i="6" s="1"/>
  <c r="AI465" i="6" s="1"/>
  <c r="AI466" i="6" s="1"/>
  <c r="AI467" i="6" s="1"/>
  <c r="AI468" i="6" s="1"/>
  <c r="AI474" i="6" s="1"/>
  <c r="AI475" i="6" s="1"/>
  <c r="AI476" i="6" s="1"/>
  <c r="AI477" i="6" s="1"/>
  <c r="AI478" i="6" s="1"/>
  <c r="AI479" i="6" s="1"/>
  <c r="AI480" i="6" s="1"/>
  <c r="AI486" i="6" s="1"/>
  <c r="AI487" i="6" s="1"/>
  <c r="AI488" i="6" s="1"/>
  <c r="AI489" i="6" s="1"/>
  <c r="AI490" i="6" s="1"/>
  <c r="AI491" i="6" s="1"/>
  <c r="AI492" i="6" s="1"/>
  <c r="AI498" i="6" s="1"/>
  <c r="AI499" i="6" s="1"/>
  <c r="AI500" i="6" s="1"/>
  <c r="AI501" i="6" s="1"/>
  <c r="AI502" i="6" s="1"/>
  <c r="AI503" i="6" s="1"/>
  <c r="AI504" i="6" s="1"/>
  <c r="AI510" i="6" s="1"/>
  <c r="AI511" i="6" s="1"/>
  <c r="AI512" i="6" s="1"/>
  <c r="AI513" i="6" s="1"/>
  <c r="AI514" i="6" s="1"/>
  <c r="AI515" i="6" s="1"/>
  <c r="AI516" i="6" s="1"/>
  <c r="AI522" i="6" s="1"/>
  <c r="AI523" i="6" s="1"/>
  <c r="AI524" i="6" s="1"/>
  <c r="AI525" i="6" s="1"/>
  <c r="AI526" i="6" s="1"/>
  <c r="AI527" i="6" s="1"/>
  <c r="AI528" i="6" s="1"/>
  <c r="AI534" i="6" s="1"/>
  <c r="AI535" i="6" s="1"/>
  <c r="AI536" i="6" s="1"/>
  <c r="AI537" i="6" s="1"/>
  <c r="AI538" i="6" s="1"/>
  <c r="AI539" i="6" s="1"/>
  <c r="AI540" i="6" s="1"/>
  <c r="AI546" i="6" s="1"/>
  <c r="AI547" i="6" s="1"/>
  <c r="AI548" i="6" s="1"/>
  <c r="AI549" i="6" s="1"/>
  <c r="AI550" i="6" s="1"/>
  <c r="AI551" i="6" s="1"/>
  <c r="AI552" i="6" s="1"/>
  <c r="AI558" i="6" s="1"/>
  <c r="AI559" i="6" s="1"/>
  <c r="AI560" i="6" s="1"/>
  <c r="AI561" i="6" s="1"/>
  <c r="AI562" i="6" s="1"/>
  <c r="AI563" i="6" s="1"/>
  <c r="AI564" i="6" s="1"/>
  <c r="AI570" i="6" s="1"/>
  <c r="AI571" i="6" s="1"/>
  <c r="AI572" i="6" s="1"/>
  <c r="AI573" i="6" s="1"/>
  <c r="AI574" i="6" s="1"/>
  <c r="AI575" i="6" s="1"/>
  <c r="AI576" i="6" s="1"/>
  <c r="AI582" i="6" s="1"/>
  <c r="AI583" i="6" s="1"/>
  <c r="AI584" i="6" s="1"/>
  <c r="AI585" i="6" s="1"/>
  <c r="AI586" i="6" s="1"/>
  <c r="AI587" i="6" s="1"/>
  <c r="AI588" i="6" s="1"/>
  <c r="AI594" i="6" s="1"/>
  <c r="AI595" i="6" s="1"/>
  <c r="AI596" i="6" s="1"/>
  <c r="AI597" i="6" s="1"/>
  <c r="AI598" i="6" s="1"/>
  <c r="AI599" i="6" s="1"/>
  <c r="AI600" i="6" s="1"/>
  <c r="AI606" i="6" s="1"/>
  <c r="AI607" i="6" s="1"/>
  <c r="AI608" i="6" s="1"/>
  <c r="AI609" i="6" s="1"/>
  <c r="AI610" i="6" s="1"/>
  <c r="AI611" i="6" s="1"/>
  <c r="AI612" i="6" s="1"/>
  <c r="AI618" i="6" s="1"/>
  <c r="AI619" i="6" s="1"/>
  <c r="AI620" i="6" s="1"/>
  <c r="AI621" i="6" s="1"/>
  <c r="AI622" i="6" s="1"/>
  <c r="AI623" i="6" s="1"/>
  <c r="AI624" i="6" s="1"/>
  <c r="AI630" i="6" s="1"/>
  <c r="AI631" i="6" s="1"/>
  <c r="AI632" i="6" s="1"/>
  <c r="AI633" i="6" s="1"/>
  <c r="AI634" i="6" s="1"/>
  <c r="AI635" i="6" s="1"/>
  <c r="AI636" i="6" s="1"/>
  <c r="AF634" i="5"/>
  <c r="AY634" i="5" s="1"/>
  <c r="AF155" i="8"/>
  <c r="AF635" i="5" s="1"/>
  <c r="AY635" i="5" s="1"/>
  <c r="AC635" i="5"/>
  <c r="AC156" i="8"/>
  <c r="AD155" i="8"/>
  <c r="AD635" i="5" s="1"/>
  <c r="AW635" i="5" s="1"/>
  <c r="AD634" i="5"/>
  <c r="AW634" i="5" s="1"/>
  <c r="V25" i="5"/>
  <c r="E20" i="1"/>
  <c r="AA21" i="1" s="1"/>
  <c r="B21" i="1" s="1"/>
  <c r="AA25" i="5"/>
  <c r="F160" i="5"/>
  <c r="V157" i="8"/>
  <c r="AA74" i="1"/>
  <c r="AA75" i="1" s="1"/>
  <c r="B75" i="1" s="1"/>
  <c r="F161" i="8" s="1"/>
  <c r="F160" i="8"/>
  <c r="AA157" i="8"/>
  <c r="AA13" i="6"/>
  <c r="F160" i="6"/>
  <c r="V13" i="6"/>
  <c r="AJ19" i="5" l="1"/>
  <c r="BC18" i="5"/>
  <c r="AF156" i="8"/>
  <c r="AY9" i="18" s="1"/>
  <c r="AD42" i="18" s="1"/>
  <c r="AD156" i="8"/>
  <c r="AV9" i="18" s="1"/>
  <c r="AD40" i="18" s="1"/>
  <c r="AV17" i="18" s="1"/>
  <c r="AW17" i="18" s="1"/>
  <c r="AC636" i="5"/>
  <c r="AJ51" i="13" s="1"/>
  <c r="D78" i="1"/>
  <c r="F161" i="6"/>
  <c r="F161" i="5"/>
  <c r="A27" i="1"/>
  <c r="AX18" i="18" l="1"/>
  <c r="AX20" i="18"/>
  <c r="AX19" i="18"/>
  <c r="AJ20" i="5"/>
  <c r="AJ21" i="5" s="1"/>
  <c r="AJ22" i="5" s="1"/>
  <c r="AJ23" i="5" s="1"/>
  <c r="AJ24" i="5" s="1"/>
  <c r="AJ30" i="5" s="1"/>
  <c r="AJ31" i="5" s="1"/>
  <c r="AJ32" i="5" s="1"/>
  <c r="AJ33" i="5" s="1"/>
  <c r="AJ34" i="5" s="1"/>
  <c r="AJ35" i="5" s="1"/>
  <c r="AJ36" i="5" s="1"/>
  <c r="AJ42" i="5" s="1"/>
  <c r="AJ43" i="5" s="1"/>
  <c r="AJ44" i="5" s="1"/>
  <c r="AJ45" i="5" s="1"/>
  <c r="AJ46" i="5" s="1"/>
  <c r="AJ47" i="5" s="1"/>
  <c r="AJ48" i="5" s="1"/>
  <c r="AJ54" i="5" s="1"/>
  <c r="AJ55" i="5" s="1"/>
  <c r="AJ56" i="5" s="1"/>
  <c r="AJ57" i="5" s="1"/>
  <c r="AJ58" i="5" s="1"/>
  <c r="AJ59" i="5" s="1"/>
  <c r="AJ60" i="5" s="1"/>
  <c r="AJ66" i="5" s="1"/>
  <c r="AJ67" i="5" s="1"/>
  <c r="AJ68" i="5" s="1"/>
  <c r="AJ69" i="5" s="1"/>
  <c r="AJ70" i="5" s="1"/>
  <c r="AJ71" i="5" s="1"/>
  <c r="AJ72" i="5" s="1"/>
  <c r="AJ78" i="5" s="1"/>
  <c r="AJ79" i="5" s="1"/>
  <c r="AJ80" i="5" s="1"/>
  <c r="AJ81" i="5" s="1"/>
  <c r="AJ82" i="5" s="1"/>
  <c r="AJ83" i="5" s="1"/>
  <c r="AJ84" i="5" s="1"/>
  <c r="AJ90" i="5" s="1"/>
  <c r="AJ91" i="5" s="1"/>
  <c r="AJ92" i="5" s="1"/>
  <c r="AJ93" i="5" s="1"/>
  <c r="AJ94" i="5" s="1"/>
  <c r="AJ95" i="5" s="1"/>
  <c r="AJ96" i="5" s="1"/>
  <c r="AJ102" i="5" s="1"/>
  <c r="AJ103" i="5" s="1"/>
  <c r="AJ104" i="5" s="1"/>
  <c r="AJ105" i="5" s="1"/>
  <c r="AJ106" i="5" s="1"/>
  <c r="AJ107" i="5" s="1"/>
  <c r="AJ108" i="5" s="1"/>
  <c r="AJ114" i="5" s="1"/>
  <c r="AJ115" i="5" s="1"/>
  <c r="AJ116" i="5" s="1"/>
  <c r="AJ117" i="5" s="1"/>
  <c r="AJ118" i="5" s="1"/>
  <c r="AJ119" i="5" s="1"/>
  <c r="AJ120" i="5" s="1"/>
  <c r="AJ126" i="5" s="1"/>
  <c r="AJ127" i="5" s="1"/>
  <c r="AJ128" i="5" s="1"/>
  <c r="AJ129" i="5" s="1"/>
  <c r="AJ130" i="5" s="1"/>
  <c r="AJ131" i="5" s="1"/>
  <c r="AJ132" i="5" s="1"/>
  <c r="AJ138" i="5" s="1"/>
  <c r="AJ139" i="5" s="1"/>
  <c r="AJ140" i="5" s="1"/>
  <c r="AJ141" i="5" s="1"/>
  <c r="AJ142" i="5" s="1"/>
  <c r="AJ143" i="5" s="1"/>
  <c r="AJ144" i="5" s="1"/>
  <c r="AJ150" i="5" s="1"/>
  <c r="AJ151" i="5" s="1"/>
  <c r="AJ152" i="5" s="1"/>
  <c r="AJ153" i="5" s="1"/>
  <c r="AJ154" i="5" s="1"/>
  <c r="AJ155" i="5" s="1"/>
  <c r="AJ156" i="5" s="1"/>
  <c r="AJ162" i="5" s="1"/>
  <c r="AJ163" i="5" s="1"/>
  <c r="AJ164" i="5" s="1"/>
  <c r="AJ165" i="5" s="1"/>
  <c r="AJ166" i="5" s="1"/>
  <c r="AJ167" i="5" s="1"/>
  <c r="AJ168" i="5" s="1"/>
  <c r="AJ174" i="5" s="1"/>
  <c r="AJ175" i="5" s="1"/>
  <c r="AJ176" i="5" s="1"/>
  <c r="AJ177" i="5" s="1"/>
  <c r="AJ178" i="5" s="1"/>
  <c r="AJ179" i="5" s="1"/>
  <c r="AJ180" i="5" s="1"/>
  <c r="AJ186" i="5" s="1"/>
  <c r="AJ187" i="5" s="1"/>
  <c r="AJ188" i="5" s="1"/>
  <c r="AJ189" i="5" s="1"/>
  <c r="AJ190" i="5" s="1"/>
  <c r="AJ191" i="5" s="1"/>
  <c r="AJ192" i="5" s="1"/>
  <c r="AJ198" i="5" s="1"/>
  <c r="AJ199" i="5" s="1"/>
  <c r="AJ200" i="5" s="1"/>
  <c r="AJ201" i="5" s="1"/>
  <c r="AJ202" i="5" s="1"/>
  <c r="AJ203" i="5" s="1"/>
  <c r="AJ204" i="5" s="1"/>
  <c r="AJ210" i="5" s="1"/>
  <c r="AJ211" i="5" s="1"/>
  <c r="AJ212" i="5" s="1"/>
  <c r="AJ213" i="5" s="1"/>
  <c r="AJ214" i="5" s="1"/>
  <c r="AJ215" i="5" s="1"/>
  <c r="AJ216" i="5" s="1"/>
  <c r="AJ222" i="5" s="1"/>
  <c r="AJ223" i="5" s="1"/>
  <c r="AJ224" i="5" s="1"/>
  <c r="AJ225" i="5" s="1"/>
  <c r="AJ226" i="5" s="1"/>
  <c r="AJ227" i="5" s="1"/>
  <c r="AJ228" i="5" s="1"/>
  <c r="AJ234" i="5" s="1"/>
  <c r="AJ235" i="5" s="1"/>
  <c r="AJ236" i="5" s="1"/>
  <c r="AJ237" i="5" s="1"/>
  <c r="AJ238" i="5" s="1"/>
  <c r="AJ239" i="5" s="1"/>
  <c r="AJ240" i="5" s="1"/>
  <c r="AJ246" i="5" s="1"/>
  <c r="AJ247" i="5" s="1"/>
  <c r="AJ248" i="5" s="1"/>
  <c r="AJ249" i="5" s="1"/>
  <c r="AJ250" i="5" s="1"/>
  <c r="AJ251" i="5" s="1"/>
  <c r="AJ252" i="5" s="1"/>
  <c r="AJ258" i="5" s="1"/>
  <c r="AJ259" i="5" s="1"/>
  <c r="AJ260" i="5" s="1"/>
  <c r="AJ261" i="5" s="1"/>
  <c r="AJ262" i="5" s="1"/>
  <c r="AJ263" i="5" s="1"/>
  <c r="AJ264" i="5" s="1"/>
  <c r="AJ270" i="5" s="1"/>
  <c r="AJ271" i="5" s="1"/>
  <c r="AJ272" i="5" s="1"/>
  <c r="AJ273" i="5" s="1"/>
  <c r="AJ274" i="5" s="1"/>
  <c r="AJ275" i="5" s="1"/>
  <c r="AJ276" i="5" s="1"/>
  <c r="AJ282" i="5" s="1"/>
  <c r="AJ283" i="5" s="1"/>
  <c r="AJ284" i="5" s="1"/>
  <c r="AJ285" i="5" s="1"/>
  <c r="AJ286" i="5" s="1"/>
  <c r="AJ287" i="5" s="1"/>
  <c r="AJ288" i="5" s="1"/>
  <c r="AJ294" i="5" s="1"/>
  <c r="AJ295" i="5" s="1"/>
  <c r="AJ296" i="5" s="1"/>
  <c r="AJ297" i="5" s="1"/>
  <c r="AJ298" i="5" s="1"/>
  <c r="AJ299" i="5" s="1"/>
  <c r="AJ300" i="5" s="1"/>
  <c r="AJ306" i="5" s="1"/>
  <c r="AJ307" i="5" s="1"/>
  <c r="AJ308" i="5" s="1"/>
  <c r="AJ309" i="5" s="1"/>
  <c r="AJ310" i="5" s="1"/>
  <c r="AJ311" i="5" s="1"/>
  <c r="AJ312" i="5" s="1"/>
  <c r="AJ318" i="5" s="1"/>
  <c r="AJ319" i="5" s="1"/>
  <c r="AJ320" i="5" s="1"/>
  <c r="AJ321" i="5" s="1"/>
  <c r="AJ322" i="5" s="1"/>
  <c r="AJ323" i="5" s="1"/>
  <c r="AJ324" i="5" s="1"/>
  <c r="AJ330" i="5" s="1"/>
  <c r="AJ331" i="5" s="1"/>
  <c r="AJ332" i="5" s="1"/>
  <c r="AJ333" i="5" s="1"/>
  <c r="AJ334" i="5" s="1"/>
  <c r="AJ335" i="5" s="1"/>
  <c r="AJ336" i="5" s="1"/>
  <c r="AJ342" i="5" s="1"/>
  <c r="AJ343" i="5" s="1"/>
  <c r="AJ344" i="5" s="1"/>
  <c r="AJ345" i="5" s="1"/>
  <c r="AJ346" i="5" s="1"/>
  <c r="AJ347" i="5" s="1"/>
  <c r="AJ348" i="5" s="1"/>
  <c r="AJ354" i="5" s="1"/>
  <c r="AJ355" i="5" s="1"/>
  <c r="AJ356" i="5" s="1"/>
  <c r="AJ357" i="5" s="1"/>
  <c r="AJ358" i="5" s="1"/>
  <c r="AJ359" i="5" s="1"/>
  <c r="AJ360" i="5" s="1"/>
  <c r="AJ366" i="5" s="1"/>
  <c r="AJ367" i="5" s="1"/>
  <c r="AJ368" i="5" s="1"/>
  <c r="AJ369" i="5" s="1"/>
  <c r="AJ370" i="5" s="1"/>
  <c r="AJ371" i="5" s="1"/>
  <c r="AJ372" i="5" s="1"/>
  <c r="AJ378" i="5" s="1"/>
  <c r="AJ379" i="5" s="1"/>
  <c r="AJ380" i="5" s="1"/>
  <c r="AJ381" i="5" s="1"/>
  <c r="AJ382" i="5" s="1"/>
  <c r="AJ383" i="5" s="1"/>
  <c r="AJ384" i="5" s="1"/>
  <c r="AJ390" i="5" s="1"/>
  <c r="AJ391" i="5" s="1"/>
  <c r="AJ392" i="5" s="1"/>
  <c r="AJ393" i="5" s="1"/>
  <c r="AJ394" i="5" s="1"/>
  <c r="AJ395" i="5" s="1"/>
  <c r="AJ396" i="5" s="1"/>
  <c r="AJ402" i="5" s="1"/>
  <c r="AJ403" i="5" s="1"/>
  <c r="AJ404" i="5" s="1"/>
  <c r="AJ405" i="5" s="1"/>
  <c r="AJ406" i="5" s="1"/>
  <c r="AJ407" i="5" s="1"/>
  <c r="AJ408" i="5" s="1"/>
  <c r="AJ414" i="5" s="1"/>
  <c r="AJ415" i="5" s="1"/>
  <c r="AJ416" i="5" s="1"/>
  <c r="AJ417" i="5" s="1"/>
  <c r="AJ418" i="5" s="1"/>
  <c r="AJ419" i="5" s="1"/>
  <c r="AJ420" i="5" s="1"/>
  <c r="AJ426" i="5" s="1"/>
  <c r="AJ427" i="5" s="1"/>
  <c r="AJ428" i="5" s="1"/>
  <c r="AJ429" i="5" s="1"/>
  <c r="AJ430" i="5" s="1"/>
  <c r="AJ431" i="5" s="1"/>
  <c r="AJ432" i="5" s="1"/>
  <c r="AJ438" i="5" s="1"/>
  <c r="AJ439" i="5" s="1"/>
  <c r="AJ440" i="5" s="1"/>
  <c r="AJ441" i="5" s="1"/>
  <c r="AJ442" i="5" s="1"/>
  <c r="AJ443" i="5" s="1"/>
  <c r="AJ444" i="5" s="1"/>
  <c r="AJ450" i="5" s="1"/>
  <c r="AJ451" i="5" s="1"/>
  <c r="AJ452" i="5" s="1"/>
  <c r="AJ453" i="5" s="1"/>
  <c r="AJ454" i="5" s="1"/>
  <c r="AJ455" i="5" s="1"/>
  <c r="AJ456" i="5" s="1"/>
  <c r="AJ462" i="5" s="1"/>
  <c r="AJ463" i="5" s="1"/>
  <c r="AJ464" i="5" s="1"/>
  <c r="AJ465" i="5" s="1"/>
  <c r="AJ466" i="5" s="1"/>
  <c r="AJ467" i="5" s="1"/>
  <c r="AJ468" i="5" s="1"/>
  <c r="AJ474" i="5" s="1"/>
  <c r="AJ475" i="5" s="1"/>
  <c r="AJ476" i="5" s="1"/>
  <c r="AJ477" i="5" s="1"/>
  <c r="AJ478" i="5" s="1"/>
  <c r="AJ479" i="5" s="1"/>
  <c r="AJ480" i="5" s="1"/>
  <c r="AJ486" i="5" s="1"/>
  <c r="AJ487" i="5" s="1"/>
  <c r="AJ488" i="5" s="1"/>
  <c r="AJ489" i="5" s="1"/>
  <c r="AJ490" i="5" s="1"/>
  <c r="AJ491" i="5" s="1"/>
  <c r="AJ492" i="5" s="1"/>
  <c r="AJ498" i="5" s="1"/>
  <c r="AJ499" i="5" s="1"/>
  <c r="AJ500" i="5" s="1"/>
  <c r="AJ501" i="5" s="1"/>
  <c r="AJ502" i="5" s="1"/>
  <c r="AJ503" i="5" s="1"/>
  <c r="AJ504" i="5" s="1"/>
  <c r="AJ510" i="5" s="1"/>
  <c r="AJ511" i="5" s="1"/>
  <c r="AJ512" i="5" s="1"/>
  <c r="AJ513" i="5" s="1"/>
  <c r="AJ514" i="5" s="1"/>
  <c r="AJ515" i="5" s="1"/>
  <c r="AJ516" i="5" s="1"/>
  <c r="AJ522" i="5" s="1"/>
  <c r="AJ523" i="5" s="1"/>
  <c r="AJ524" i="5" s="1"/>
  <c r="AJ525" i="5" s="1"/>
  <c r="AJ526" i="5" s="1"/>
  <c r="AJ527" i="5" s="1"/>
  <c r="AJ528" i="5" s="1"/>
  <c r="AJ534" i="5" s="1"/>
  <c r="AJ535" i="5" s="1"/>
  <c r="AJ536" i="5" s="1"/>
  <c r="AJ537" i="5" s="1"/>
  <c r="AJ538" i="5" s="1"/>
  <c r="AJ539" i="5" s="1"/>
  <c r="AJ540" i="5" s="1"/>
  <c r="AJ546" i="5" s="1"/>
  <c r="AJ547" i="5" s="1"/>
  <c r="AJ548" i="5" s="1"/>
  <c r="AJ549" i="5" s="1"/>
  <c r="AJ550" i="5" s="1"/>
  <c r="AJ551" i="5" s="1"/>
  <c r="AJ552" i="5" s="1"/>
  <c r="AJ558" i="5" s="1"/>
  <c r="AJ559" i="5" s="1"/>
  <c r="AJ560" i="5" s="1"/>
  <c r="AJ561" i="5" s="1"/>
  <c r="AJ562" i="5" s="1"/>
  <c r="AJ563" i="5" s="1"/>
  <c r="AJ564" i="5" s="1"/>
  <c r="AJ570" i="5" s="1"/>
  <c r="AJ571" i="5" s="1"/>
  <c r="AJ572" i="5" s="1"/>
  <c r="AJ573" i="5" s="1"/>
  <c r="AJ574" i="5" s="1"/>
  <c r="AJ575" i="5" s="1"/>
  <c r="AJ576" i="5" s="1"/>
  <c r="AJ582" i="5" s="1"/>
  <c r="AJ583" i="5" s="1"/>
  <c r="AJ584" i="5" s="1"/>
  <c r="AJ585" i="5" s="1"/>
  <c r="AJ586" i="5" s="1"/>
  <c r="AJ587" i="5" s="1"/>
  <c r="AJ588" i="5" s="1"/>
  <c r="AJ594" i="5" s="1"/>
  <c r="AJ595" i="5" s="1"/>
  <c r="AJ596" i="5" s="1"/>
  <c r="AJ597" i="5" s="1"/>
  <c r="AJ598" i="5" s="1"/>
  <c r="AJ599" i="5" s="1"/>
  <c r="AJ600" i="5" s="1"/>
  <c r="AJ606" i="5" s="1"/>
  <c r="AJ607" i="5" s="1"/>
  <c r="AJ608" i="5" s="1"/>
  <c r="AJ609" i="5" s="1"/>
  <c r="AJ610" i="5" s="1"/>
  <c r="AJ611" i="5" s="1"/>
  <c r="AJ612" i="5" s="1"/>
  <c r="AJ618" i="5" s="1"/>
  <c r="AJ619" i="5" s="1"/>
  <c r="AJ620" i="5" s="1"/>
  <c r="AJ621" i="5" s="1"/>
  <c r="AJ622" i="5" s="1"/>
  <c r="AJ623" i="5" s="1"/>
  <c r="AJ624" i="5" s="1"/>
  <c r="AJ630" i="5" s="1"/>
  <c r="AJ631" i="5" s="1"/>
  <c r="AJ632" i="5" s="1"/>
  <c r="AJ633" i="5" s="1"/>
  <c r="AJ634" i="5" s="1"/>
  <c r="AJ635" i="5" s="1"/>
  <c r="AJ636" i="5" s="1"/>
  <c r="F87" i="1" s="1"/>
  <c r="BC19" i="5"/>
  <c r="AJ49" i="13"/>
  <c r="AJ41" i="13"/>
  <c r="AJ50" i="13"/>
  <c r="AJ48" i="13"/>
  <c r="AJ43" i="13"/>
  <c r="AJ47" i="13"/>
  <c r="AJ42" i="13"/>
  <c r="AJ45" i="13"/>
  <c r="AV9" i="19"/>
  <c r="AD40" i="19" s="1"/>
  <c r="AV17" i="19" s="1"/>
  <c r="AW17" i="19" s="1"/>
  <c r="AY9" i="19"/>
  <c r="AD42" i="19" s="1"/>
  <c r="AD636" i="5"/>
  <c r="AW636" i="5" s="1"/>
  <c r="AV10" i="12"/>
  <c r="W33" i="12" s="1"/>
  <c r="AV18" i="12" s="1"/>
  <c r="AW18" i="12" s="1"/>
  <c r="AF636" i="5"/>
  <c r="AY636" i="5" s="1"/>
  <c r="AY10" i="12"/>
  <c r="W35" i="12" s="1"/>
  <c r="V55" i="13"/>
  <c r="B14" i="15" l="1"/>
  <c r="I11" i="15"/>
  <c r="BC21" i="5"/>
  <c r="BC23" i="5" s="1"/>
  <c r="BC25" i="5" s="1"/>
  <c r="BC27" i="5" s="1"/>
  <c r="BC29" i="5" s="1"/>
  <c r="BC31" i="5" s="1"/>
  <c r="BC33" i="5" s="1"/>
  <c r="BC35" i="5" s="1"/>
  <c r="BC37" i="5" s="1"/>
  <c r="BC39" i="5" s="1"/>
  <c r="BC41" i="5" s="1"/>
  <c r="BC43" i="5" s="1"/>
  <c r="BC45" i="5" s="1"/>
  <c r="BC47" i="5" s="1"/>
  <c r="BC49" i="5" s="1"/>
  <c r="BC51" i="5" s="1"/>
  <c r="BC53" i="5" s="1"/>
  <c r="BC55" i="5" s="1"/>
  <c r="BC57" i="5" s="1"/>
  <c r="BC59" i="5" s="1"/>
  <c r="BC61" i="5" s="1"/>
  <c r="BC63" i="5" s="1"/>
  <c r="BC65" i="5" s="1"/>
  <c r="BC67" i="5" s="1"/>
  <c r="BC69" i="5" s="1"/>
  <c r="BC71" i="5" s="1"/>
  <c r="BC73" i="5" s="1"/>
  <c r="BC75" i="5" s="1"/>
  <c r="BC77" i="5" s="1"/>
  <c r="BC79" i="5" s="1"/>
  <c r="BC81" i="5" s="1"/>
  <c r="BC83" i="5" s="1"/>
  <c r="BC85" i="5" s="1"/>
  <c r="BC87" i="5" s="1"/>
  <c r="BC89" i="5" s="1"/>
  <c r="BC91" i="5" s="1"/>
  <c r="BC93" i="5" s="1"/>
  <c r="BC95" i="5" s="1"/>
  <c r="BC97" i="5" s="1"/>
  <c r="BC99" i="5" s="1"/>
  <c r="BC101" i="5" s="1"/>
  <c r="BC103" i="5" s="1"/>
  <c r="BC105" i="5" s="1"/>
  <c r="BC107" i="5" s="1"/>
  <c r="BC109" i="5" s="1"/>
  <c r="BC111" i="5" s="1"/>
  <c r="BC113" i="5" s="1"/>
  <c r="BC115" i="5" s="1"/>
  <c r="BC117" i="5" s="1"/>
  <c r="BC119" i="5" s="1"/>
  <c r="BC121" i="5" s="1"/>
  <c r="BC123" i="5" s="1"/>
  <c r="BC125" i="5" s="1"/>
  <c r="BC127" i="5" s="1"/>
  <c r="BC129" i="5" s="1"/>
  <c r="BC131" i="5" s="1"/>
  <c r="BC133" i="5" s="1"/>
  <c r="BC135" i="5" s="1"/>
  <c r="BC137" i="5" s="1"/>
  <c r="BC139" i="5" s="1"/>
  <c r="BC141" i="5" s="1"/>
  <c r="BC143" i="5" s="1"/>
  <c r="BC145" i="5" s="1"/>
  <c r="BC147" i="5" s="1"/>
  <c r="BC149" i="5" s="1"/>
  <c r="BC151" i="5" s="1"/>
  <c r="BC153" i="5" s="1"/>
  <c r="BC155" i="5" s="1"/>
  <c r="BC157" i="5" s="1"/>
  <c r="BC159" i="5" s="1"/>
  <c r="BC161" i="5" s="1"/>
  <c r="BC163" i="5" s="1"/>
  <c r="BC165" i="5" s="1"/>
  <c r="BC167" i="5" s="1"/>
  <c r="BC169" i="5" s="1"/>
  <c r="BC171" i="5" s="1"/>
  <c r="BC173" i="5" s="1"/>
  <c r="BC175" i="5" s="1"/>
  <c r="BC177" i="5" s="1"/>
  <c r="BC179" i="5" s="1"/>
  <c r="BC181" i="5" s="1"/>
  <c r="BC183" i="5" s="1"/>
  <c r="BC185" i="5" s="1"/>
  <c r="BC187" i="5" s="1"/>
  <c r="BC189" i="5" s="1"/>
  <c r="BC191" i="5" s="1"/>
  <c r="BC193" i="5" s="1"/>
  <c r="BC195" i="5" s="1"/>
  <c r="BC197" i="5" s="1"/>
  <c r="BC199" i="5" s="1"/>
  <c r="BC201" i="5" s="1"/>
  <c r="BC203" i="5" s="1"/>
  <c r="BC205" i="5" s="1"/>
  <c r="BC207" i="5" s="1"/>
  <c r="BC209" i="5" s="1"/>
  <c r="BC211" i="5" s="1"/>
  <c r="BC213" i="5" s="1"/>
  <c r="BC215" i="5" s="1"/>
  <c r="BC217" i="5" s="1"/>
  <c r="BC219" i="5" s="1"/>
  <c r="BC221" i="5" s="1"/>
  <c r="BC223" i="5" s="1"/>
  <c r="BC225" i="5" s="1"/>
  <c r="BC227" i="5" s="1"/>
  <c r="BC229" i="5" s="1"/>
  <c r="BC231" i="5" s="1"/>
  <c r="BC233" i="5" s="1"/>
  <c r="BC235" i="5" s="1"/>
  <c r="BC237" i="5" s="1"/>
  <c r="BC239" i="5" s="1"/>
  <c r="BC241" i="5" s="1"/>
  <c r="BC243" i="5" s="1"/>
  <c r="BC245" i="5" s="1"/>
  <c r="BC247" i="5" s="1"/>
  <c r="BC249" i="5" s="1"/>
  <c r="BC251" i="5" s="1"/>
  <c r="BC253" i="5" s="1"/>
  <c r="BC255" i="5" s="1"/>
  <c r="BC257" i="5" s="1"/>
  <c r="BC259" i="5" s="1"/>
  <c r="BC261" i="5" s="1"/>
  <c r="BC263" i="5" s="1"/>
  <c r="BC265" i="5" s="1"/>
  <c r="BC267" i="5" s="1"/>
  <c r="BC269" i="5" s="1"/>
  <c r="BC271" i="5" s="1"/>
  <c r="BC273" i="5" s="1"/>
  <c r="BC275" i="5" s="1"/>
  <c r="BC277" i="5" s="1"/>
  <c r="BC279" i="5" s="1"/>
  <c r="BC281" i="5" s="1"/>
  <c r="BC283" i="5" s="1"/>
  <c r="BC285" i="5" s="1"/>
  <c r="BC287" i="5" s="1"/>
  <c r="BC289" i="5" s="1"/>
  <c r="BC291" i="5" s="1"/>
  <c r="BC293" i="5" s="1"/>
  <c r="BC295" i="5" s="1"/>
  <c r="BC297" i="5" s="1"/>
  <c r="BC299" i="5" s="1"/>
  <c r="BC301" i="5" s="1"/>
  <c r="BC303" i="5" s="1"/>
  <c r="BC305" i="5" s="1"/>
  <c r="BC307" i="5" s="1"/>
  <c r="BC309" i="5" s="1"/>
  <c r="BC311" i="5" s="1"/>
  <c r="BC313" i="5" s="1"/>
  <c r="BC315" i="5" s="1"/>
  <c r="BC317" i="5" s="1"/>
  <c r="BC319" i="5" s="1"/>
  <c r="BC321" i="5" s="1"/>
  <c r="BC323" i="5" s="1"/>
  <c r="BC325" i="5" s="1"/>
  <c r="BC327" i="5" s="1"/>
  <c r="BC329" i="5" s="1"/>
  <c r="BC331" i="5" s="1"/>
  <c r="BC333" i="5" s="1"/>
  <c r="BC335" i="5" s="1"/>
  <c r="BC337" i="5" s="1"/>
  <c r="BC339" i="5" s="1"/>
  <c r="BC341" i="5" s="1"/>
  <c r="BC343" i="5" s="1"/>
  <c r="BC345" i="5" s="1"/>
  <c r="BC347" i="5" s="1"/>
  <c r="BC349" i="5" s="1"/>
  <c r="BC351" i="5" s="1"/>
  <c r="BC353" i="5" s="1"/>
  <c r="BC355" i="5" s="1"/>
  <c r="BC357" i="5" s="1"/>
  <c r="BC359" i="5" s="1"/>
  <c r="BC361" i="5" s="1"/>
  <c r="BC363" i="5" s="1"/>
  <c r="BC365" i="5" s="1"/>
  <c r="BC367" i="5" s="1"/>
  <c r="BC369" i="5" s="1"/>
  <c r="BC371" i="5" s="1"/>
  <c r="BC373" i="5" s="1"/>
  <c r="BC375" i="5" s="1"/>
  <c r="BC377" i="5" s="1"/>
  <c r="BC379" i="5" s="1"/>
  <c r="BC381" i="5" s="1"/>
  <c r="BC383" i="5" s="1"/>
  <c r="BC385" i="5" s="1"/>
  <c r="BC387" i="5" s="1"/>
  <c r="BC389" i="5" s="1"/>
  <c r="BC391" i="5" s="1"/>
  <c r="BC393" i="5" s="1"/>
  <c r="BC395" i="5" s="1"/>
  <c r="BC397" i="5" s="1"/>
  <c r="BC399" i="5" s="1"/>
  <c r="BC401" i="5" s="1"/>
  <c r="BC403" i="5" s="1"/>
  <c r="BC405" i="5" s="1"/>
  <c r="BC407" i="5" s="1"/>
  <c r="BC409" i="5" s="1"/>
  <c r="BC411" i="5" s="1"/>
  <c r="BC413" i="5" s="1"/>
  <c r="BC415" i="5" s="1"/>
  <c r="BC417" i="5" s="1"/>
  <c r="BC419" i="5" s="1"/>
  <c r="BC421" i="5" s="1"/>
  <c r="BC423" i="5" s="1"/>
  <c r="BC425" i="5" s="1"/>
  <c r="BC427" i="5" s="1"/>
  <c r="BC429" i="5" s="1"/>
  <c r="BC431" i="5" s="1"/>
  <c r="BC433" i="5" s="1"/>
  <c r="BC435" i="5" s="1"/>
  <c r="BC437" i="5" s="1"/>
  <c r="BC439" i="5" s="1"/>
  <c r="BC441" i="5" s="1"/>
  <c r="BC443" i="5" s="1"/>
  <c r="BC445" i="5" s="1"/>
  <c r="BC447" i="5" s="1"/>
  <c r="BC449" i="5" s="1"/>
  <c r="BC451" i="5" s="1"/>
  <c r="BC453" i="5" s="1"/>
  <c r="BC455" i="5" s="1"/>
  <c r="BC457" i="5" s="1"/>
  <c r="BC459" i="5" s="1"/>
  <c r="BC461" i="5" s="1"/>
  <c r="BC463" i="5" s="1"/>
  <c r="BC465" i="5" s="1"/>
  <c r="BC467" i="5" s="1"/>
  <c r="BC469" i="5" s="1"/>
  <c r="BC471" i="5" s="1"/>
  <c r="BC473" i="5" s="1"/>
  <c r="BC475" i="5" s="1"/>
  <c r="BC477" i="5" s="1"/>
  <c r="BC479" i="5" s="1"/>
  <c r="BC481" i="5" s="1"/>
  <c r="BC483" i="5" s="1"/>
  <c r="BC485" i="5" s="1"/>
  <c r="BC487" i="5" s="1"/>
  <c r="BC489" i="5" s="1"/>
  <c r="BC491" i="5" s="1"/>
  <c r="BC493" i="5" s="1"/>
  <c r="BC495" i="5" s="1"/>
  <c r="BC497" i="5" s="1"/>
  <c r="BC499" i="5" s="1"/>
  <c r="BC501" i="5" s="1"/>
  <c r="BC503" i="5" s="1"/>
  <c r="BC505" i="5" s="1"/>
  <c r="BC507" i="5" s="1"/>
  <c r="BC509" i="5" s="1"/>
  <c r="BC511" i="5" s="1"/>
  <c r="BC513" i="5" s="1"/>
  <c r="BC515" i="5" s="1"/>
  <c r="BC517" i="5" s="1"/>
  <c r="BC519" i="5" s="1"/>
  <c r="BC521" i="5" s="1"/>
  <c r="BC523" i="5" s="1"/>
  <c r="BC525" i="5" s="1"/>
  <c r="BC527" i="5" s="1"/>
  <c r="BC529" i="5" s="1"/>
  <c r="BC531" i="5" s="1"/>
  <c r="BC533" i="5" s="1"/>
  <c r="BC535" i="5" s="1"/>
  <c r="BC537" i="5" s="1"/>
  <c r="BC539" i="5" s="1"/>
  <c r="BC541" i="5" s="1"/>
  <c r="BC543" i="5" s="1"/>
  <c r="BC545" i="5" s="1"/>
  <c r="BC547" i="5" s="1"/>
  <c r="BC549" i="5" s="1"/>
  <c r="BC551" i="5" s="1"/>
  <c r="BC553" i="5" s="1"/>
  <c r="BC555" i="5" s="1"/>
  <c r="BC557" i="5" s="1"/>
  <c r="BC559" i="5" s="1"/>
  <c r="BC561" i="5" s="1"/>
  <c r="BC563" i="5" s="1"/>
  <c r="BC565" i="5" s="1"/>
  <c r="BC567" i="5" s="1"/>
  <c r="BC569" i="5" s="1"/>
  <c r="BC571" i="5" s="1"/>
  <c r="BC573" i="5" s="1"/>
  <c r="BC575" i="5" s="1"/>
  <c r="BC577" i="5" s="1"/>
  <c r="BC579" i="5" s="1"/>
  <c r="BC581" i="5" s="1"/>
  <c r="BC583" i="5" s="1"/>
  <c r="BC585" i="5" s="1"/>
  <c r="BC587" i="5" s="1"/>
  <c r="BC589" i="5" s="1"/>
  <c r="BC591" i="5" s="1"/>
  <c r="BC593" i="5" s="1"/>
  <c r="BC595" i="5" s="1"/>
  <c r="BC597" i="5" s="1"/>
  <c r="BC599" i="5" s="1"/>
  <c r="BC601" i="5" s="1"/>
  <c r="BC603" i="5" s="1"/>
  <c r="BC605" i="5" s="1"/>
  <c r="BC607" i="5" s="1"/>
  <c r="BC609" i="5" s="1"/>
  <c r="BC611" i="5" s="1"/>
  <c r="BC613" i="5" s="1"/>
  <c r="BC615" i="5" s="1"/>
  <c r="BC617" i="5" s="1"/>
  <c r="BC619" i="5" s="1"/>
  <c r="BC621" i="5" s="1"/>
  <c r="BC623" i="5" s="1"/>
  <c r="BC625" i="5" s="1"/>
  <c r="BC627" i="5" s="1"/>
  <c r="BC629" i="5" s="1"/>
  <c r="BC631" i="5" s="1"/>
  <c r="BC633" i="5" s="1"/>
  <c r="BC635" i="5" s="1"/>
  <c r="BC20" i="5"/>
  <c r="BC22" i="5" s="1"/>
  <c r="BC24" i="5" s="1"/>
  <c r="BC26" i="5" s="1"/>
  <c r="BC28" i="5" s="1"/>
  <c r="BC30" i="5" s="1"/>
  <c r="BC32" i="5" s="1"/>
  <c r="BC34" i="5" s="1"/>
  <c r="BC36" i="5" s="1"/>
  <c r="BC38" i="5" s="1"/>
  <c r="BC40" i="5" s="1"/>
  <c r="BC42" i="5" s="1"/>
  <c r="BC44" i="5" s="1"/>
  <c r="BC46" i="5" s="1"/>
  <c r="BC48" i="5" s="1"/>
  <c r="BC50" i="5" s="1"/>
  <c r="BC52" i="5" s="1"/>
  <c r="BC54" i="5" s="1"/>
  <c r="BC56" i="5" s="1"/>
  <c r="BC58" i="5" s="1"/>
  <c r="BC60" i="5" s="1"/>
  <c r="BC62" i="5" s="1"/>
  <c r="BC64" i="5" s="1"/>
  <c r="BC66" i="5" s="1"/>
  <c r="BC68" i="5" s="1"/>
  <c r="BC70" i="5" s="1"/>
  <c r="BC72" i="5" s="1"/>
  <c r="BC74" i="5" s="1"/>
  <c r="BC76" i="5" s="1"/>
  <c r="BC78" i="5" s="1"/>
  <c r="BC80" i="5" s="1"/>
  <c r="BC82" i="5" s="1"/>
  <c r="BC84" i="5" s="1"/>
  <c r="BC86" i="5" s="1"/>
  <c r="BC88" i="5" s="1"/>
  <c r="BC90" i="5" s="1"/>
  <c r="BC92" i="5" s="1"/>
  <c r="BC94" i="5" s="1"/>
  <c r="BC96" i="5" s="1"/>
  <c r="BC98" i="5" s="1"/>
  <c r="BC100" i="5" s="1"/>
  <c r="BC102" i="5" s="1"/>
  <c r="BC104" i="5" s="1"/>
  <c r="BC106" i="5" s="1"/>
  <c r="BC108" i="5" s="1"/>
  <c r="BC110" i="5" s="1"/>
  <c r="BC112" i="5" s="1"/>
  <c r="BC114" i="5" s="1"/>
  <c r="BC116" i="5" s="1"/>
  <c r="BC118" i="5" s="1"/>
  <c r="BC120" i="5" s="1"/>
  <c r="BC122" i="5" s="1"/>
  <c r="BC124" i="5" s="1"/>
  <c r="BC126" i="5" s="1"/>
  <c r="BC128" i="5" s="1"/>
  <c r="BC130" i="5" s="1"/>
  <c r="BC132" i="5" s="1"/>
  <c r="BC134" i="5" s="1"/>
  <c r="BC136" i="5" s="1"/>
  <c r="BC138" i="5" s="1"/>
  <c r="BC140" i="5" s="1"/>
  <c r="BC142" i="5" s="1"/>
  <c r="BC144" i="5" s="1"/>
  <c r="BC146" i="5" s="1"/>
  <c r="BC148" i="5" s="1"/>
  <c r="BC150" i="5" s="1"/>
  <c r="BC152" i="5" s="1"/>
  <c r="BC154" i="5" s="1"/>
  <c r="BC156" i="5" s="1"/>
  <c r="BC158" i="5" s="1"/>
  <c r="BC160" i="5" s="1"/>
  <c r="BC162" i="5" s="1"/>
  <c r="BC164" i="5" s="1"/>
  <c r="BC166" i="5" s="1"/>
  <c r="BC168" i="5" s="1"/>
  <c r="BC170" i="5" s="1"/>
  <c r="BC172" i="5" s="1"/>
  <c r="BC174" i="5" s="1"/>
  <c r="BC176" i="5" s="1"/>
  <c r="BC178" i="5" s="1"/>
  <c r="BC180" i="5" s="1"/>
  <c r="BC182" i="5" s="1"/>
  <c r="BC184" i="5" s="1"/>
  <c r="BC186" i="5" s="1"/>
  <c r="BC188" i="5" s="1"/>
  <c r="BC190" i="5" s="1"/>
  <c r="BC192" i="5" s="1"/>
  <c r="BC194" i="5" s="1"/>
  <c r="BC196" i="5" s="1"/>
  <c r="BC198" i="5" s="1"/>
  <c r="BC200" i="5" s="1"/>
  <c r="BC202" i="5" s="1"/>
  <c r="BC204" i="5" s="1"/>
  <c r="BC206" i="5" s="1"/>
  <c r="BC208" i="5" s="1"/>
  <c r="BC210" i="5" s="1"/>
  <c r="BC212" i="5" s="1"/>
  <c r="BC214" i="5" s="1"/>
  <c r="BC216" i="5" s="1"/>
  <c r="BC218" i="5" s="1"/>
  <c r="BC220" i="5" s="1"/>
  <c r="BC222" i="5" s="1"/>
  <c r="BC224" i="5" s="1"/>
  <c r="BC226" i="5" s="1"/>
  <c r="BC228" i="5" s="1"/>
  <c r="BC230" i="5" s="1"/>
  <c r="BC232" i="5" s="1"/>
  <c r="BC234" i="5" s="1"/>
  <c r="BC236" i="5" s="1"/>
  <c r="BC238" i="5" s="1"/>
  <c r="BC240" i="5" s="1"/>
  <c r="BC242" i="5" s="1"/>
  <c r="BC244" i="5" s="1"/>
  <c r="BC246" i="5" s="1"/>
  <c r="BC248" i="5" s="1"/>
  <c r="BC250" i="5" s="1"/>
  <c r="BC252" i="5" s="1"/>
  <c r="BC254" i="5" s="1"/>
  <c r="BC256" i="5" s="1"/>
  <c r="BC258" i="5" s="1"/>
  <c r="BC260" i="5" s="1"/>
  <c r="BC262" i="5" s="1"/>
  <c r="BC264" i="5" s="1"/>
  <c r="BC266" i="5" s="1"/>
  <c r="BC268" i="5" s="1"/>
  <c r="BC270" i="5" s="1"/>
  <c r="BC272" i="5" s="1"/>
  <c r="BC274" i="5" s="1"/>
  <c r="BC276" i="5" s="1"/>
  <c r="BC278" i="5" s="1"/>
  <c r="BC280" i="5" s="1"/>
  <c r="BC282" i="5" s="1"/>
  <c r="BC284" i="5" s="1"/>
  <c r="BC286" i="5" s="1"/>
  <c r="BC288" i="5" s="1"/>
  <c r="BC290" i="5" s="1"/>
  <c r="BC292" i="5" s="1"/>
  <c r="BC294" i="5" s="1"/>
  <c r="BC296" i="5" s="1"/>
  <c r="BC298" i="5" s="1"/>
  <c r="BC300" i="5" s="1"/>
  <c r="BC302" i="5" s="1"/>
  <c r="BC304" i="5" s="1"/>
  <c r="BC306" i="5" s="1"/>
  <c r="BC308" i="5" s="1"/>
  <c r="BC310" i="5" s="1"/>
  <c r="BC312" i="5" s="1"/>
  <c r="BC314" i="5" s="1"/>
  <c r="BC316" i="5" s="1"/>
  <c r="BC318" i="5" s="1"/>
  <c r="BC320" i="5" s="1"/>
  <c r="BC322" i="5" s="1"/>
  <c r="BC324" i="5" s="1"/>
  <c r="BC326" i="5" s="1"/>
  <c r="BC328" i="5" s="1"/>
  <c r="BC330" i="5" s="1"/>
  <c r="BC332" i="5" s="1"/>
  <c r="BC334" i="5" s="1"/>
  <c r="BC336" i="5" s="1"/>
  <c r="BC338" i="5" s="1"/>
  <c r="BC340" i="5" s="1"/>
  <c r="BC342" i="5" s="1"/>
  <c r="BC344" i="5" s="1"/>
  <c r="BC346" i="5" s="1"/>
  <c r="BC348" i="5" s="1"/>
  <c r="BC350" i="5" s="1"/>
  <c r="BC352" i="5" s="1"/>
  <c r="BC354" i="5" s="1"/>
  <c r="BC356" i="5" s="1"/>
  <c r="BC358" i="5" s="1"/>
  <c r="BC360" i="5" s="1"/>
  <c r="BC362" i="5" s="1"/>
  <c r="BC364" i="5" s="1"/>
  <c r="BC366" i="5" s="1"/>
  <c r="BC368" i="5" s="1"/>
  <c r="BC370" i="5" s="1"/>
  <c r="BC372" i="5" s="1"/>
  <c r="BC374" i="5" s="1"/>
  <c r="BC376" i="5" s="1"/>
  <c r="BC378" i="5" s="1"/>
  <c r="BC380" i="5" s="1"/>
  <c r="BC382" i="5" s="1"/>
  <c r="BC384" i="5" s="1"/>
  <c r="BC386" i="5" s="1"/>
  <c r="BC388" i="5" s="1"/>
  <c r="BC390" i="5" s="1"/>
  <c r="BC392" i="5" s="1"/>
  <c r="BC394" i="5" s="1"/>
  <c r="BC396" i="5" s="1"/>
  <c r="BC398" i="5" s="1"/>
  <c r="BC400" i="5" s="1"/>
  <c r="BC402" i="5" s="1"/>
  <c r="BC404" i="5" s="1"/>
  <c r="BC406" i="5" s="1"/>
  <c r="BC408" i="5" s="1"/>
  <c r="BC410" i="5" s="1"/>
  <c r="BC412" i="5" s="1"/>
  <c r="BC414" i="5" s="1"/>
  <c r="BC416" i="5" s="1"/>
  <c r="BC418" i="5" s="1"/>
  <c r="BC420" i="5" s="1"/>
  <c r="BC422" i="5" s="1"/>
  <c r="BC424" i="5" s="1"/>
  <c r="BC426" i="5" s="1"/>
  <c r="BC428" i="5" s="1"/>
  <c r="BC430" i="5" s="1"/>
  <c r="BC432" i="5" s="1"/>
  <c r="BC434" i="5" s="1"/>
  <c r="BC436" i="5" s="1"/>
  <c r="BC438" i="5" s="1"/>
  <c r="BC440" i="5" s="1"/>
  <c r="BC442" i="5" s="1"/>
  <c r="BC444" i="5" s="1"/>
  <c r="BC446" i="5" s="1"/>
  <c r="BC448" i="5" s="1"/>
  <c r="BC450" i="5" s="1"/>
  <c r="BC452" i="5" s="1"/>
  <c r="BC454" i="5" s="1"/>
  <c r="BC456" i="5" s="1"/>
  <c r="BC458" i="5" s="1"/>
  <c r="BC460" i="5" s="1"/>
  <c r="BC462" i="5" s="1"/>
  <c r="BC464" i="5" s="1"/>
  <c r="BC466" i="5" s="1"/>
  <c r="BC468" i="5" s="1"/>
  <c r="BC470" i="5" s="1"/>
  <c r="BC472" i="5" s="1"/>
  <c r="BC474" i="5" s="1"/>
  <c r="BC476" i="5" s="1"/>
  <c r="BC478" i="5" s="1"/>
  <c r="BC480" i="5" s="1"/>
  <c r="BC482" i="5" s="1"/>
  <c r="BC484" i="5" s="1"/>
  <c r="BC486" i="5" s="1"/>
  <c r="BC488" i="5" s="1"/>
  <c r="BC490" i="5" s="1"/>
  <c r="BC492" i="5" s="1"/>
  <c r="BC494" i="5" s="1"/>
  <c r="BC496" i="5" s="1"/>
  <c r="BC498" i="5" s="1"/>
  <c r="BC500" i="5" s="1"/>
  <c r="BC502" i="5" s="1"/>
  <c r="BC504" i="5" s="1"/>
  <c r="BC506" i="5" s="1"/>
  <c r="BC508" i="5" s="1"/>
  <c r="BC510" i="5" s="1"/>
  <c r="BC512" i="5" s="1"/>
  <c r="BC514" i="5" s="1"/>
  <c r="BC516" i="5" s="1"/>
  <c r="BC518" i="5" s="1"/>
  <c r="BC520" i="5" s="1"/>
  <c r="BC522" i="5" s="1"/>
  <c r="BC524" i="5" s="1"/>
  <c r="BC526" i="5" s="1"/>
  <c r="BC528" i="5" s="1"/>
  <c r="BC530" i="5" s="1"/>
  <c r="BC532" i="5" s="1"/>
  <c r="BC534" i="5" s="1"/>
  <c r="BC536" i="5" s="1"/>
  <c r="BC538" i="5" s="1"/>
  <c r="BC540" i="5" s="1"/>
  <c r="BC542" i="5" s="1"/>
  <c r="BC544" i="5" s="1"/>
  <c r="BC546" i="5" s="1"/>
  <c r="BC548" i="5" s="1"/>
  <c r="BC550" i="5" s="1"/>
  <c r="BC552" i="5" s="1"/>
  <c r="BC554" i="5" s="1"/>
  <c r="BC556" i="5" s="1"/>
  <c r="BC558" i="5" s="1"/>
  <c r="BC560" i="5" s="1"/>
  <c r="BC562" i="5" s="1"/>
  <c r="BC564" i="5" s="1"/>
  <c r="BC566" i="5" s="1"/>
  <c r="BC568" i="5" s="1"/>
  <c r="BC570" i="5" s="1"/>
  <c r="BC572" i="5" s="1"/>
  <c r="BC574" i="5" s="1"/>
  <c r="BC576" i="5" s="1"/>
  <c r="BC578" i="5" s="1"/>
  <c r="BC580" i="5" s="1"/>
  <c r="BC582" i="5" s="1"/>
  <c r="BC584" i="5" s="1"/>
  <c r="BC586" i="5" s="1"/>
  <c r="BC588" i="5" s="1"/>
  <c r="BC590" i="5" s="1"/>
  <c r="BC592" i="5" s="1"/>
  <c r="BC594" i="5" s="1"/>
  <c r="BC596" i="5" s="1"/>
  <c r="BC598" i="5" s="1"/>
  <c r="BC600" i="5" s="1"/>
  <c r="BC602" i="5" s="1"/>
  <c r="BC604" i="5" s="1"/>
  <c r="BC606" i="5" s="1"/>
  <c r="BC608" i="5" s="1"/>
  <c r="BC610" i="5" s="1"/>
  <c r="BC612" i="5" s="1"/>
  <c r="BC614" i="5" s="1"/>
  <c r="BC616" i="5" s="1"/>
  <c r="BC618" i="5" s="1"/>
  <c r="BC620" i="5" s="1"/>
  <c r="BC622" i="5" s="1"/>
  <c r="BC624" i="5" s="1"/>
  <c r="BC626" i="5" s="1"/>
  <c r="BC628" i="5" s="1"/>
  <c r="BC630" i="5" s="1"/>
  <c r="BC632" i="5" s="1"/>
  <c r="BC634" i="5" s="1"/>
  <c r="BC636" i="5" s="1"/>
  <c r="AJ40" i="13"/>
  <c r="AJ46" i="13"/>
  <c r="AJ44" i="13"/>
  <c r="AX20" i="19"/>
  <c r="AX19" i="19"/>
  <c r="AX18" i="19"/>
  <c r="AX19" i="12"/>
  <c r="AX21" i="12"/>
  <c r="AX20" i="12"/>
  <c r="AH52" i="13" l="1"/>
  <c r="J56" i="13" s="1"/>
  <c r="AX22" i="12"/>
  <c r="AD13" i="12" s="1"/>
  <c r="I12" i="12" s="1"/>
  <c r="I89" i="12" l="1"/>
  <c r="I11" i="12" l="1"/>
  <c r="I15" i="12" s="1"/>
  <c r="B16" i="15" s="1"/>
  <c r="I93" i="12"/>
  <c r="J54" i="13" l="1"/>
  <c r="AH55" i="13" s="1"/>
  <c r="N2" i="1"/>
  <c r="G8" i="15" s="1"/>
  <c r="G87" i="1"/>
  <c r="G11" i="13"/>
  <c r="AA55" i="13" l="1"/>
  <c r="F80" i="1"/>
  <c r="F78" i="1"/>
  <c r="F162" i="8" s="1"/>
  <c r="F79" i="1" l="1"/>
  <c r="F174" i="7"/>
  <c r="F162" i="5"/>
  <c r="F16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Florent</author>
  </authors>
  <commentList>
    <comment ref="I12" authorId="0" shapeId="0" xr:uid="{00000000-0006-0000-0100-000001000000}">
      <text>
        <r>
          <rPr>
            <b/>
            <sz val="9"/>
            <color indexed="81"/>
            <rFont val="Tahoma"/>
            <family val="2"/>
          </rPr>
          <t>Si cellule en rouge :</t>
        </r>
        <r>
          <rPr>
            <sz val="9"/>
            <color indexed="81"/>
            <rFont val="Tahoma"/>
            <family val="2"/>
          </rPr>
          <t xml:space="preserve">
Informations manquantes pour le calcul du droit au fractionnement</t>
        </r>
      </text>
    </comment>
    <comment ref="AD15" authorId="0" shapeId="0" xr:uid="{00000000-0006-0000-0100-000002000000}">
      <text>
        <r>
          <rPr>
            <b/>
            <sz val="9"/>
            <color indexed="81"/>
            <rFont val="Tahoma"/>
            <family val="2"/>
          </rPr>
          <t>Uniquement si validé par le responsable de pôle :</t>
        </r>
        <r>
          <rPr>
            <sz val="9"/>
            <color indexed="81"/>
            <rFont val="Tahoma"/>
            <family val="2"/>
          </rPr>
          <t xml:space="preserve">
Si réel CP pris &gt; prév. : -
Si réel CP pris &lt; prév. : +</t>
        </r>
      </text>
    </comment>
    <comment ref="W28" authorId="0" shapeId="0" xr:uid="{00000000-0006-0000-0100-000005000000}">
      <text>
        <r>
          <rPr>
            <b/>
            <sz val="9"/>
            <color indexed="81"/>
            <rFont val="Tahoma"/>
            <family val="2"/>
          </rPr>
          <t>Florent:</t>
        </r>
        <r>
          <rPr>
            <sz val="9"/>
            <color indexed="81"/>
            <rFont val="Tahoma"/>
            <family val="2"/>
          </rPr>
          <t xml:space="preserve">
Attention : ne pas prendre en compte les congés Alisfa !</t>
        </r>
      </text>
    </comment>
    <comment ref="AH28" authorId="0" shapeId="0" xr:uid="{00000000-0006-0000-0100-000003000000}">
      <text>
        <r>
          <rPr>
            <b/>
            <sz val="9"/>
            <color indexed="81"/>
            <rFont val="Tahoma"/>
            <family val="2"/>
          </rPr>
          <t>Florent:</t>
        </r>
        <r>
          <rPr>
            <sz val="9"/>
            <color indexed="81"/>
            <rFont val="Tahoma"/>
            <family val="2"/>
          </rPr>
          <t xml:space="preserve">
Attention : ne pas prendre en compte les congés Alisfa !</t>
        </r>
      </text>
    </comment>
    <comment ref="AH29" authorId="0" shapeId="0" xr:uid="{00000000-0006-0000-0100-000004000000}">
      <text>
        <r>
          <rPr>
            <b/>
            <sz val="9"/>
            <color indexed="81"/>
            <rFont val="Tahoma"/>
            <family val="2"/>
          </rPr>
          <t>Florent:</t>
        </r>
        <r>
          <rPr>
            <sz val="9"/>
            <color indexed="81"/>
            <rFont val="Tahoma"/>
            <family val="2"/>
          </rPr>
          <t xml:space="preserve">
Attention : ne pas prendre en compte les congés Alisfa !</t>
        </r>
      </text>
    </comment>
    <comment ref="W30" authorId="0" shapeId="0" xr:uid="{00000000-0006-0000-0100-000006000000}">
      <text>
        <r>
          <rPr>
            <b/>
            <sz val="9"/>
            <color indexed="81"/>
            <rFont val="Tahoma"/>
            <family val="2"/>
          </rPr>
          <t>Florent:</t>
        </r>
        <r>
          <rPr>
            <sz val="9"/>
            <color indexed="81"/>
            <rFont val="Tahoma"/>
            <family val="2"/>
          </rPr>
          <t xml:space="preserve">
Attention : ne pas prendre en compte les congés Alisfa !</t>
        </r>
      </text>
    </comment>
    <comment ref="I90" authorId="0" shapeId="0" xr:uid="{3064B8A7-3A12-4C03-8A3C-9FD52760F5CC}">
      <text>
        <r>
          <rPr>
            <b/>
            <sz val="9"/>
            <color indexed="81"/>
            <rFont val="Tahoma"/>
            <family val="2"/>
          </rPr>
          <t>Si cellule en rouge :</t>
        </r>
        <r>
          <rPr>
            <sz val="9"/>
            <color indexed="81"/>
            <rFont val="Tahoma"/>
            <family val="2"/>
          </rPr>
          <t xml:space="preserve">
Informations manquantes pour le calcul du droit au fractionnement</t>
        </r>
      </text>
    </comment>
    <comment ref="I101" authorId="0" shapeId="0" xr:uid="{5BDC0CE6-37A4-4CE2-82FA-376CD7CC7B13}">
      <text>
        <r>
          <rPr>
            <b/>
            <sz val="9"/>
            <color indexed="81"/>
            <rFont val="Tahoma"/>
            <family val="2"/>
          </rPr>
          <t>Si cellule en rouge :</t>
        </r>
        <r>
          <rPr>
            <sz val="9"/>
            <color indexed="81"/>
            <rFont val="Tahoma"/>
            <family val="2"/>
          </rPr>
          <t xml:space="preserve">
Informations manquantes pour le calcul du droit au fractionnement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Florent</author>
  </authors>
  <commentList>
    <comment ref="I11" authorId="0" shapeId="0" xr:uid="{EB3D18FD-030C-464E-BE93-AE67E397C9BA}">
      <text>
        <r>
          <rPr>
            <b/>
            <sz val="9"/>
            <color indexed="81"/>
            <rFont val="Tahoma"/>
            <family val="2"/>
          </rPr>
          <t>Si cellule en rouge :</t>
        </r>
        <r>
          <rPr>
            <sz val="9"/>
            <color indexed="81"/>
            <rFont val="Tahoma"/>
            <family val="2"/>
          </rPr>
          <t xml:space="preserve">
Informations manquantes pour le calcul du droit au fractionnement</t>
        </r>
      </text>
    </comment>
    <comment ref="AD14" authorId="0" shapeId="0" xr:uid="{9C6E77B4-E570-4FB0-B72C-F2D8DC43DF70}">
      <text>
        <r>
          <rPr>
            <b/>
            <sz val="9"/>
            <color indexed="81"/>
            <rFont val="Tahoma"/>
            <family val="2"/>
          </rPr>
          <t>Uniquement si validé par le responsable de pôle :</t>
        </r>
        <r>
          <rPr>
            <sz val="9"/>
            <color indexed="81"/>
            <rFont val="Tahoma"/>
            <family val="2"/>
          </rPr>
          <t xml:space="preserve">
Si réel CP pris &gt; prév. : -
Si réel CP pris &lt; prév. : +</t>
        </r>
      </text>
    </comment>
    <comment ref="AI26" authorId="0" shapeId="0" xr:uid="{CAF72CD4-96DC-470F-BAD9-ADDE2909036E}">
      <text>
        <r>
          <rPr>
            <b/>
            <sz val="9"/>
            <color indexed="81"/>
            <rFont val="Tahoma"/>
            <family val="2"/>
          </rPr>
          <t>Florent:</t>
        </r>
        <r>
          <rPr>
            <sz val="9"/>
            <color indexed="81"/>
            <rFont val="Tahoma"/>
            <family val="2"/>
          </rPr>
          <t xml:space="preserve">
Attention : ne pas prendre en compte les congés Alisfa !</t>
        </r>
      </text>
    </comment>
    <comment ref="AI27" authorId="0" shapeId="0" xr:uid="{36368B67-F276-4FC2-89F8-D3E1F16837A9}">
      <text>
        <r>
          <rPr>
            <b/>
            <sz val="9"/>
            <color indexed="81"/>
            <rFont val="Tahoma"/>
            <family val="2"/>
          </rPr>
          <t>Florent:</t>
        </r>
        <r>
          <rPr>
            <sz val="9"/>
            <color indexed="81"/>
            <rFont val="Tahoma"/>
            <family val="2"/>
          </rPr>
          <t xml:space="preserve">
Attention : ne pas prendre en compte les congés Alisfa !</t>
        </r>
      </text>
    </comment>
    <comment ref="AD35" authorId="0" shapeId="0" xr:uid="{9656003B-F13B-4CF5-AE9E-C4E131D34385}">
      <text>
        <r>
          <rPr>
            <b/>
            <sz val="9"/>
            <color indexed="81"/>
            <rFont val="Tahoma"/>
            <family val="2"/>
          </rPr>
          <t>Florent:</t>
        </r>
        <r>
          <rPr>
            <sz val="9"/>
            <color indexed="81"/>
            <rFont val="Tahoma"/>
            <family val="2"/>
          </rPr>
          <t xml:space="preserve">
Attention : ne pas prendre en compte les congés Alisfa !</t>
        </r>
      </text>
    </comment>
    <comment ref="AD37" authorId="0" shapeId="0" xr:uid="{371D68AF-4C3D-42A2-9C36-3B1FF8D040C7}">
      <text>
        <r>
          <rPr>
            <b/>
            <sz val="9"/>
            <color indexed="81"/>
            <rFont val="Tahoma"/>
            <family val="2"/>
          </rPr>
          <t>Florent:</t>
        </r>
        <r>
          <rPr>
            <sz val="9"/>
            <color indexed="81"/>
            <rFont val="Tahoma"/>
            <family val="2"/>
          </rPr>
          <t xml:space="preserve">
Attention : ne pas prendre en compte les congés Alisfa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Florent</author>
  </authors>
  <commentList>
    <comment ref="I11" authorId="0" shapeId="0" xr:uid="{455AA0FC-3530-4311-8AFC-ACB2B1940287}">
      <text>
        <r>
          <rPr>
            <b/>
            <sz val="9"/>
            <color indexed="81"/>
            <rFont val="Tahoma"/>
            <family val="2"/>
          </rPr>
          <t>Si cellule en rouge :</t>
        </r>
        <r>
          <rPr>
            <sz val="9"/>
            <color indexed="81"/>
            <rFont val="Tahoma"/>
            <family val="2"/>
          </rPr>
          <t xml:space="preserve">
Informations manquantes pour le calcul du droit au fractionnement</t>
        </r>
      </text>
    </comment>
    <comment ref="AD14" authorId="0" shapeId="0" xr:uid="{41339B74-5D37-49F8-AFDA-E53BB6CBA1D9}">
      <text>
        <r>
          <rPr>
            <b/>
            <sz val="9"/>
            <color indexed="81"/>
            <rFont val="Tahoma"/>
            <family val="2"/>
          </rPr>
          <t>Uniquement si validé par le responsable de pôle :</t>
        </r>
        <r>
          <rPr>
            <sz val="9"/>
            <color indexed="81"/>
            <rFont val="Tahoma"/>
            <family val="2"/>
          </rPr>
          <t xml:space="preserve">
Si réel CP pris &gt; prév. : -
Si réel CP pris &lt; prév. : +</t>
        </r>
      </text>
    </comment>
    <comment ref="AI26" authorId="0" shapeId="0" xr:uid="{14BC9DCC-00D6-46CB-8E62-B7D6B121D607}">
      <text>
        <r>
          <rPr>
            <b/>
            <sz val="9"/>
            <color indexed="81"/>
            <rFont val="Tahoma"/>
            <family val="2"/>
          </rPr>
          <t>Florent:</t>
        </r>
        <r>
          <rPr>
            <sz val="9"/>
            <color indexed="81"/>
            <rFont val="Tahoma"/>
            <family val="2"/>
          </rPr>
          <t xml:space="preserve">
Attention : ne pas prendre en compte les congés Alisfa !</t>
        </r>
      </text>
    </comment>
    <comment ref="AI27" authorId="0" shapeId="0" xr:uid="{00CC0A29-C617-4066-AC51-FEACA41EFB74}">
      <text>
        <r>
          <rPr>
            <b/>
            <sz val="9"/>
            <color indexed="81"/>
            <rFont val="Tahoma"/>
            <family val="2"/>
          </rPr>
          <t>Florent:</t>
        </r>
        <r>
          <rPr>
            <sz val="9"/>
            <color indexed="81"/>
            <rFont val="Tahoma"/>
            <family val="2"/>
          </rPr>
          <t xml:space="preserve">
Attention : ne pas prendre en compte les congés Alisfa !</t>
        </r>
      </text>
    </comment>
    <comment ref="AD35" authorId="0" shapeId="0" xr:uid="{E834B1FD-19C6-4BE4-A017-114EA86FEE37}">
      <text>
        <r>
          <rPr>
            <b/>
            <sz val="9"/>
            <color indexed="81"/>
            <rFont val="Tahoma"/>
            <family val="2"/>
          </rPr>
          <t>Florent:</t>
        </r>
        <r>
          <rPr>
            <sz val="9"/>
            <color indexed="81"/>
            <rFont val="Tahoma"/>
            <family val="2"/>
          </rPr>
          <t xml:space="preserve">
Attention : ne pas prendre en compte les congés Alisfa !</t>
        </r>
      </text>
    </comment>
    <comment ref="AD37" authorId="0" shapeId="0" xr:uid="{7F420315-EF81-461D-85B4-F351327AA7F8}">
      <text>
        <r>
          <rPr>
            <b/>
            <sz val="9"/>
            <color indexed="81"/>
            <rFont val="Tahoma"/>
            <family val="2"/>
          </rPr>
          <t>Florent:</t>
        </r>
        <r>
          <rPr>
            <sz val="9"/>
            <color indexed="81"/>
            <rFont val="Tahoma"/>
            <family val="2"/>
          </rPr>
          <t xml:space="preserve">
Attention : ne pas prendre en compte les congés Alisfa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JAP</author>
    <author>Compta2</author>
    <author>Florent</author>
  </authors>
  <commentList>
    <comment ref="S4" authorId="0" shapeId="0" xr:uid="{00000000-0006-0000-0300-000001000000}">
      <text>
        <r>
          <rPr>
            <b/>
            <sz val="9"/>
            <color indexed="81"/>
            <rFont val="Tahoma"/>
            <family val="2"/>
          </rPr>
          <t>SPL:</t>
        </r>
        <r>
          <rPr>
            <sz val="9"/>
            <color indexed="81"/>
            <rFont val="Tahoma"/>
            <family val="2"/>
          </rPr>
          <t xml:space="preserve">
Si délai de prévenance &lt;72h, saisir : O
</t>
        </r>
      </text>
    </comment>
    <comment ref="U5" authorId="1" shapeId="0" xr:uid="{00000000-0006-0000-0300-000002000000}">
      <text>
        <r>
          <rPr>
            <b/>
            <sz val="9"/>
            <color indexed="81"/>
            <rFont val="Tahoma"/>
            <family val="2"/>
          </rPr>
          <t>SPL:</t>
        </r>
        <r>
          <rPr>
            <sz val="9"/>
            <color indexed="81"/>
            <rFont val="Tahoma"/>
            <family val="2"/>
          </rPr>
          <t xml:space="preserve">
Pause</t>
        </r>
      </text>
    </comment>
    <comment ref="V5" authorId="1" shapeId="0" xr:uid="{00000000-0006-0000-0300-000003000000}">
      <text>
        <r>
          <rPr>
            <b/>
            <sz val="9"/>
            <color indexed="81"/>
            <rFont val="Tahoma"/>
            <family val="2"/>
          </rPr>
          <t>SPL:</t>
        </r>
        <r>
          <rPr>
            <sz val="9"/>
            <color indexed="81"/>
            <rFont val="Tahoma"/>
            <family val="2"/>
          </rPr>
          <t xml:space="preserve">
Réel Jour
</t>
        </r>
      </text>
    </comment>
    <comment ref="W5" authorId="1" shapeId="0" xr:uid="{00000000-0006-0000-0300-000004000000}">
      <text>
        <r>
          <rPr>
            <b/>
            <sz val="9"/>
            <color indexed="81"/>
            <rFont val="Tahoma"/>
            <family val="2"/>
          </rPr>
          <t>SPL:</t>
        </r>
        <r>
          <rPr>
            <sz val="9"/>
            <color indexed="81"/>
            <rFont val="Tahoma"/>
            <family val="2"/>
          </rPr>
          <t xml:space="preserve">
Amplitude</t>
        </r>
      </text>
    </comment>
    <comment ref="X5" authorId="2" shapeId="0" xr:uid="{00000000-0006-0000-0300-000005000000}">
      <text>
        <r>
          <rPr>
            <b/>
            <sz val="9"/>
            <color indexed="81"/>
            <rFont val="Tahoma"/>
            <family val="2"/>
          </rPr>
          <t>SPL:</t>
        </r>
        <r>
          <rPr>
            <sz val="9"/>
            <color indexed="81"/>
            <rFont val="Tahoma"/>
            <family val="2"/>
          </rPr>
          <t xml:space="preserve">
Pause si + 6 heures</t>
        </r>
      </text>
    </comment>
    <comment ref="Y5" authorId="1" shapeId="0" xr:uid="{00000000-0006-0000-0300-000006000000}">
      <text>
        <r>
          <rPr>
            <b/>
            <sz val="9"/>
            <color indexed="81"/>
            <rFont val="Tahoma"/>
            <family val="2"/>
          </rPr>
          <t>SPL:</t>
        </r>
        <r>
          <rPr>
            <sz val="9"/>
            <color indexed="81"/>
            <rFont val="Tahoma"/>
            <family val="2"/>
          </rPr>
          <t xml:space="preserve">
Repos journalier
</t>
        </r>
      </text>
    </comment>
    <comment ref="S16" authorId="0" shapeId="0" xr:uid="{00000000-0006-0000-0300-000007000000}">
      <text>
        <r>
          <rPr>
            <b/>
            <sz val="9"/>
            <color indexed="81"/>
            <rFont val="Tahoma"/>
            <family val="2"/>
          </rPr>
          <t>SPL:</t>
        </r>
        <r>
          <rPr>
            <sz val="9"/>
            <color indexed="81"/>
            <rFont val="Tahoma"/>
            <family val="2"/>
          </rPr>
          <t xml:space="preserve">
Si délai de prévenance &lt;72h, saisir : O
</t>
        </r>
      </text>
    </comment>
    <comment ref="U17" authorId="1" shapeId="0" xr:uid="{00000000-0006-0000-0300-000008000000}">
      <text>
        <r>
          <rPr>
            <b/>
            <sz val="9"/>
            <color indexed="81"/>
            <rFont val="Tahoma"/>
            <family val="2"/>
          </rPr>
          <t>SPL:</t>
        </r>
        <r>
          <rPr>
            <sz val="9"/>
            <color indexed="81"/>
            <rFont val="Tahoma"/>
            <family val="2"/>
          </rPr>
          <t xml:space="preserve">
Pause</t>
        </r>
      </text>
    </comment>
    <comment ref="V17" authorId="1" shapeId="0" xr:uid="{00000000-0006-0000-0300-000009000000}">
      <text>
        <r>
          <rPr>
            <b/>
            <sz val="9"/>
            <color indexed="81"/>
            <rFont val="Tahoma"/>
            <family val="2"/>
          </rPr>
          <t>SPL:</t>
        </r>
        <r>
          <rPr>
            <sz val="9"/>
            <color indexed="81"/>
            <rFont val="Tahoma"/>
            <family val="2"/>
          </rPr>
          <t xml:space="preserve">
Réel Jour
</t>
        </r>
      </text>
    </comment>
    <comment ref="W17" authorId="1" shapeId="0" xr:uid="{00000000-0006-0000-0300-00000A000000}">
      <text>
        <r>
          <rPr>
            <b/>
            <sz val="9"/>
            <color indexed="81"/>
            <rFont val="Tahoma"/>
            <family val="2"/>
          </rPr>
          <t>SPL:</t>
        </r>
        <r>
          <rPr>
            <sz val="9"/>
            <color indexed="81"/>
            <rFont val="Tahoma"/>
            <family val="2"/>
          </rPr>
          <t xml:space="preserve">
Amplitude</t>
        </r>
      </text>
    </comment>
    <comment ref="X17" authorId="2" shapeId="0" xr:uid="{00000000-0006-0000-0300-00000B000000}">
      <text>
        <r>
          <rPr>
            <b/>
            <sz val="9"/>
            <color indexed="81"/>
            <rFont val="Tahoma"/>
            <family val="2"/>
          </rPr>
          <t>SPL:</t>
        </r>
        <r>
          <rPr>
            <sz val="9"/>
            <color indexed="81"/>
            <rFont val="Tahoma"/>
            <family val="2"/>
          </rPr>
          <t xml:space="preserve">
Pause si + 6 heures</t>
        </r>
      </text>
    </comment>
    <comment ref="Y17" authorId="1" shapeId="0" xr:uid="{00000000-0006-0000-0300-00000C000000}">
      <text>
        <r>
          <rPr>
            <b/>
            <sz val="9"/>
            <color indexed="81"/>
            <rFont val="Tahoma"/>
            <family val="2"/>
          </rPr>
          <t>SPL:</t>
        </r>
        <r>
          <rPr>
            <sz val="9"/>
            <color indexed="81"/>
            <rFont val="Tahoma"/>
            <family val="2"/>
          </rPr>
          <t xml:space="preserve">
Repos journalier
</t>
        </r>
      </text>
    </comment>
    <comment ref="S28" authorId="0" shapeId="0" xr:uid="{00000000-0006-0000-0300-00000D000000}">
      <text>
        <r>
          <rPr>
            <b/>
            <sz val="9"/>
            <color indexed="81"/>
            <rFont val="Tahoma"/>
            <family val="2"/>
          </rPr>
          <t>SPL:</t>
        </r>
        <r>
          <rPr>
            <sz val="9"/>
            <color indexed="81"/>
            <rFont val="Tahoma"/>
            <family val="2"/>
          </rPr>
          <t xml:space="preserve">
Si délai de prévenance &lt;72h, saisir : O
</t>
        </r>
      </text>
    </comment>
    <comment ref="U29" authorId="1" shapeId="0" xr:uid="{00000000-0006-0000-0300-00000E000000}">
      <text>
        <r>
          <rPr>
            <b/>
            <sz val="9"/>
            <color indexed="81"/>
            <rFont val="Tahoma"/>
            <family val="2"/>
          </rPr>
          <t>SPL:</t>
        </r>
        <r>
          <rPr>
            <sz val="9"/>
            <color indexed="81"/>
            <rFont val="Tahoma"/>
            <family val="2"/>
          </rPr>
          <t xml:space="preserve">
Pause</t>
        </r>
      </text>
    </comment>
    <comment ref="V29" authorId="1" shapeId="0" xr:uid="{00000000-0006-0000-0300-00000F000000}">
      <text>
        <r>
          <rPr>
            <b/>
            <sz val="9"/>
            <color indexed="81"/>
            <rFont val="Tahoma"/>
            <family val="2"/>
          </rPr>
          <t>SPL:</t>
        </r>
        <r>
          <rPr>
            <sz val="9"/>
            <color indexed="81"/>
            <rFont val="Tahoma"/>
            <family val="2"/>
          </rPr>
          <t xml:space="preserve">
Réel Jour
</t>
        </r>
      </text>
    </comment>
    <comment ref="W29" authorId="1" shapeId="0" xr:uid="{00000000-0006-0000-0300-000010000000}">
      <text>
        <r>
          <rPr>
            <b/>
            <sz val="9"/>
            <color indexed="81"/>
            <rFont val="Tahoma"/>
            <family val="2"/>
          </rPr>
          <t>SPL:</t>
        </r>
        <r>
          <rPr>
            <sz val="9"/>
            <color indexed="81"/>
            <rFont val="Tahoma"/>
            <family val="2"/>
          </rPr>
          <t xml:space="preserve">
Amplitude</t>
        </r>
      </text>
    </comment>
    <comment ref="X29" authorId="2" shapeId="0" xr:uid="{00000000-0006-0000-0300-000011000000}">
      <text>
        <r>
          <rPr>
            <b/>
            <sz val="9"/>
            <color indexed="81"/>
            <rFont val="Tahoma"/>
            <family val="2"/>
          </rPr>
          <t>SPL:</t>
        </r>
        <r>
          <rPr>
            <sz val="9"/>
            <color indexed="81"/>
            <rFont val="Tahoma"/>
            <family val="2"/>
          </rPr>
          <t xml:space="preserve">
Pause si + 6 heures</t>
        </r>
      </text>
    </comment>
    <comment ref="Y29" authorId="1" shapeId="0" xr:uid="{00000000-0006-0000-0300-000012000000}">
      <text>
        <r>
          <rPr>
            <b/>
            <sz val="9"/>
            <color indexed="81"/>
            <rFont val="Tahoma"/>
            <family val="2"/>
          </rPr>
          <t>SPL:</t>
        </r>
        <r>
          <rPr>
            <sz val="9"/>
            <color indexed="81"/>
            <rFont val="Tahoma"/>
            <family val="2"/>
          </rPr>
          <t xml:space="preserve">
Repos journalier
</t>
        </r>
      </text>
    </comment>
    <comment ref="S40" authorId="0" shapeId="0" xr:uid="{00000000-0006-0000-0300-000013000000}">
      <text>
        <r>
          <rPr>
            <b/>
            <sz val="9"/>
            <color indexed="81"/>
            <rFont val="Tahoma"/>
            <family val="2"/>
          </rPr>
          <t>SPL:</t>
        </r>
        <r>
          <rPr>
            <sz val="9"/>
            <color indexed="81"/>
            <rFont val="Tahoma"/>
            <family val="2"/>
          </rPr>
          <t xml:space="preserve">
Si délai de prévenance &lt;72h, saisir : O
</t>
        </r>
      </text>
    </comment>
    <comment ref="U41" authorId="1" shapeId="0" xr:uid="{00000000-0006-0000-0300-000014000000}">
      <text>
        <r>
          <rPr>
            <b/>
            <sz val="9"/>
            <color indexed="81"/>
            <rFont val="Tahoma"/>
            <family val="2"/>
          </rPr>
          <t>SPL:</t>
        </r>
        <r>
          <rPr>
            <sz val="9"/>
            <color indexed="81"/>
            <rFont val="Tahoma"/>
            <family val="2"/>
          </rPr>
          <t xml:space="preserve">
Pause</t>
        </r>
      </text>
    </comment>
    <comment ref="V41" authorId="1" shapeId="0" xr:uid="{00000000-0006-0000-0300-000015000000}">
      <text>
        <r>
          <rPr>
            <b/>
            <sz val="9"/>
            <color indexed="81"/>
            <rFont val="Tahoma"/>
            <family val="2"/>
          </rPr>
          <t>SPL:</t>
        </r>
        <r>
          <rPr>
            <sz val="9"/>
            <color indexed="81"/>
            <rFont val="Tahoma"/>
            <family val="2"/>
          </rPr>
          <t xml:space="preserve">
Réel Jour
</t>
        </r>
      </text>
    </comment>
    <comment ref="W41" authorId="1" shapeId="0" xr:uid="{00000000-0006-0000-0300-000016000000}">
      <text>
        <r>
          <rPr>
            <b/>
            <sz val="9"/>
            <color indexed="81"/>
            <rFont val="Tahoma"/>
            <family val="2"/>
          </rPr>
          <t>SPL:</t>
        </r>
        <r>
          <rPr>
            <sz val="9"/>
            <color indexed="81"/>
            <rFont val="Tahoma"/>
            <family val="2"/>
          </rPr>
          <t xml:space="preserve">
Amplitude</t>
        </r>
      </text>
    </comment>
    <comment ref="X41" authorId="2" shapeId="0" xr:uid="{00000000-0006-0000-0300-000017000000}">
      <text>
        <r>
          <rPr>
            <b/>
            <sz val="9"/>
            <color indexed="81"/>
            <rFont val="Tahoma"/>
            <family val="2"/>
          </rPr>
          <t>SPL:</t>
        </r>
        <r>
          <rPr>
            <sz val="9"/>
            <color indexed="81"/>
            <rFont val="Tahoma"/>
            <family val="2"/>
          </rPr>
          <t xml:space="preserve">
Pause si + 6 heures</t>
        </r>
      </text>
    </comment>
    <comment ref="Y41" authorId="1" shapeId="0" xr:uid="{00000000-0006-0000-0300-000018000000}">
      <text>
        <r>
          <rPr>
            <b/>
            <sz val="9"/>
            <color indexed="81"/>
            <rFont val="Tahoma"/>
            <family val="2"/>
          </rPr>
          <t>SPL:</t>
        </r>
        <r>
          <rPr>
            <sz val="9"/>
            <color indexed="81"/>
            <rFont val="Tahoma"/>
            <family val="2"/>
          </rPr>
          <t xml:space="preserve">
Repos journalier
</t>
        </r>
      </text>
    </comment>
    <comment ref="S52" authorId="0" shapeId="0" xr:uid="{00000000-0006-0000-0300-000019000000}">
      <text>
        <r>
          <rPr>
            <b/>
            <sz val="9"/>
            <color indexed="81"/>
            <rFont val="Tahoma"/>
            <family val="2"/>
          </rPr>
          <t>SPL:</t>
        </r>
        <r>
          <rPr>
            <sz val="9"/>
            <color indexed="81"/>
            <rFont val="Tahoma"/>
            <family val="2"/>
          </rPr>
          <t xml:space="preserve">
Si délai de prévenance &lt;72h, saisir : O
</t>
        </r>
      </text>
    </comment>
    <comment ref="U53" authorId="1" shapeId="0" xr:uid="{00000000-0006-0000-0300-00001A000000}">
      <text>
        <r>
          <rPr>
            <b/>
            <sz val="9"/>
            <color indexed="81"/>
            <rFont val="Tahoma"/>
            <family val="2"/>
          </rPr>
          <t>SPL:</t>
        </r>
        <r>
          <rPr>
            <sz val="9"/>
            <color indexed="81"/>
            <rFont val="Tahoma"/>
            <family val="2"/>
          </rPr>
          <t xml:space="preserve">
Pause</t>
        </r>
      </text>
    </comment>
    <comment ref="V53" authorId="1" shapeId="0" xr:uid="{00000000-0006-0000-0300-00001B000000}">
      <text>
        <r>
          <rPr>
            <b/>
            <sz val="9"/>
            <color indexed="81"/>
            <rFont val="Tahoma"/>
            <family val="2"/>
          </rPr>
          <t>SPL:</t>
        </r>
        <r>
          <rPr>
            <sz val="9"/>
            <color indexed="81"/>
            <rFont val="Tahoma"/>
            <family val="2"/>
          </rPr>
          <t xml:space="preserve">
Réel Jour
</t>
        </r>
      </text>
    </comment>
    <comment ref="W53" authorId="1" shapeId="0" xr:uid="{00000000-0006-0000-0300-00001C000000}">
      <text>
        <r>
          <rPr>
            <b/>
            <sz val="9"/>
            <color indexed="81"/>
            <rFont val="Tahoma"/>
            <family val="2"/>
          </rPr>
          <t>SPL:</t>
        </r>
        <r>
          <rPr>
            <sz val="9"/>
            <color indexed="81"/>
            <rFont val="Tahoma"/>
            <family val="2"/>
          </rPr>
          <t xml:space="preserve">
Amplitude</t>
        </r>
      </text>
    </comment>
    <comment ref="X53" authorId="2" shapeId="0" xr:uid="{00000000-0006-0000-0300-00001D000000}">
      <text>
        <r>
          <rPr>
            <b/>
            <sz val="9"/>
            <color indexed="81"/>
            <rFont val="Tahoma"/>
            <family val="2"/>
          </rPr>
          <t>SPL:</t>
        </r>
        <r>
          <rPr>
            <sz val="9"/>
            <color indexed="81"/>
            <rFont val="Tahoma"/>
            <family val="2"/>
          </rPr>
          <t xml:space="preserve">
Pause si + 6 heures</t>
        </r>
      </text>
    </comment>
    <comment ref="Y53" authorId="1" shapeId="0" xr:uid="{00000000-0006-0000-0300-00001E000000}">
      <text>
        <r>
          <rPr>
            <b/>
            <sz val="9"/>
            <color indexed="81"/>
            <rFont val="Tahoma"/>
            <family val="2"/>
          </rPr>
          <t>SPL:</t>
        </r>
        <r>
          <rPr>
            <sz val="9"/>
            <color indexed="81"/>
            <rFont val="Tahoma"/>
            <family val="2"/>
          </rPr>
          <t xml:space="preserve">
Repos journalier
</t>
        </r>
      </text>
    </comment>
    <comment ref="S64" authorId="0" shapeId="0" xr:uid="{00000000-0006-0000-0300-00001F000000}">
      <text>
        <r>
          <rPr>
            <b/>
            <sz val="9"/>
            <color indexed="81"/>
            <rFont val="Tahoma"/>
            <family val="2"/>
          </rPr>
          <t>SPL:</t>
        </r>
        <r>
          <rPr>
            <sz val="9"/>
            <color indexed="81"/>
            <rFont val="Tahoma"/>
            <family val="2"/>
          </rPr>
          <t xml:space="preserve">
Si délai de prévenance &lt;72h, saisir : O
</t>
        </r>
      </text>
    </comment>
    <comment ref="U65" authorId="1" shapeId="0" xr:uid="{00000000-0006-0000-0300-000020000000}">
      <text>
        <r>
          <rPr>
            <b/>
            <sz val="9"/>
            <color indexed="81"/>
            <rFont val="Tahoma"/>
            <family val="2"/>
          </rPr>
          <t>SPL:</t>
        </r>
        <r>
          <rPr>
            <sz val="9"/>
            <color indexed="81"/>
            <rFont val="Tahoma"/>
            <family val="2"/>
          </rPr>
          <t xml:space="preserve">
Pause</t>
        </r>
      </text>
    </comment>
    <comment ref="V65" authorId="1" shapeId="0" xr:uid="{00000000-0006-0000-0300-000021000000}">
      <text>
        <r>
          <rPr>
            <b/>
            <sz val="9"/>
            <color indexed="81"/>
            <rFont val="Tahoma"/>
            <family val="2"/>
          </rPr>
          <t>SPL:</t>
        </r>
        <r>
          <rPr>
            <sz val="9"/>
            <color indexed="81"/>
            <rFont val="Tahoma"/>
            <family val="2"/>
          </rPr>
          <t xml:space="preserve">
Réel Jour
</t>
        </r>
      </text>
    </comment>
    <comment ref="W65" authorId="1" shapeId="0" xr:uid="{00000000-0006-0000-0300-000022000000}">
      <text>
        <r>
          <rPr>
            <b/>
            <sz val="9"/>
            <color indexed="81"/>
            <rFont val="Tahoma"/>
            <family val="2"/>
          </rPr>
          <t>SPL:</t>
        </r>
        <r>
          <rPr>
            <sz val="9"/>
            <color indexed="81"/>
            <rFont val="Tahoma"/>
            <family val="2"/>
          </rPr>
          <t xml:space="preserve">
Amplitude</t>
        </r>
      </text>
    </comment>
    <comment ref="X65" authorId="2" shapeId="0" xr:uid="{00000000-0006-0000-0300-000023000000}">
      <text>
        <r>
          <rPr>
            <b/>
            <sz val="9"/>
            <color indexed="81"/>
            <rFont val="Tahoma"/>
            <family val="2"/>
          </rPr>
          <t>SPL:</t>
        </r>
        <r>
          <rPr>
            <sz val="9"/>
            <color indexed="81"/>
            <rFont val="Tahoma"/>
            <family val="2"/>
          </rPr>
          <t xml:space="preserve">
Pause si + 6 heures</t>
        </r>
      </text>
    </comment>
    <comment ref="Y65" authorId="1" shapeId="0" xr:uid="{00000000-0006-0000-0300-000024000000}">
      <text>
        <r>
          <rPr>
            <b/>
            <sz val="9"/>
            <color indexed="81"/>
            <rFont val="Tahoma"/>
            <family val="2"/>
          </rPr>
          <t>SPL:</t>
        </r>
        <r>
          <rPr>
            <sz val="9"/>
            <color indexed="81"/>
            <rFont val="Tahoma"/>
            <family val="2"/>
          </rPr>
          <t xml:space="preserve">
Repos journalier
</t>
        </r>
      </text>
    </comment>
    <comment ref="S76" authorId="0" shapeId="0" xr:uid="{00000000-0006-0000-0300-000025000000}">
      <text>
        <r>
          <rPr>
            <b/>
            <sz val="9"/>
            <color indexed="81"/>
            <rFont val="Tahoma"/>
            <family val="2"/>
          </rPr>
          <t>SPL:</t>
        </r>
        <r>
          <rPr>
            <sz val="9"/>
            <color indexed="81"/>
            <rFont val="Tahoma"/>
            <family val="2"/>
          </rPr>
          <t xml:space="preserve">
Si délai de prévenance &lt;72h, saisir : O
</t>
        </r>
      </text>
    </comment>
    <comment ref="U77" authorId="1" shapeId="0" xr:uid="{00000000-0006-0000-0300-000026000000}">
      <text>
        <r>
          <rPr>
            <b/>
            <sz val="9"/>
            <color indexed="81"/>
            <rFont val="Tahoma"/>
            <family val="2"/>
          </rPr>
          <t>SPL:</t>
        </r>
        <r>
          <rPr>
            <sz val="9"/>
            <color indexed="81"/>
            <rFont val="Tahoma"/>
            <family val="2"/>
          </rPr>
          <t xml:space="preserve">
Pause</t>
        </r>
      </text>
    </comment>
    <comment ref="V77" authorId="1" shapeId="0" xr:uid="{00000000-0006-0000-0300-000027000000}">
      <text>
        <r>
          <rPr>
            <b/>
            <sz val="9"/>
            <color indexed="81"/>
            <rFont val="Tahoma"/>
            <family val="2"/>
          </rPr>
          <t>SPL:</t>
        </r>
        <r>
          <rPr>
            <sz val="9"/>
            <color indexed="81"/>
            <rFont val="Tahoma"/>
            <family val="2"/>
          </rPr>
          <t xml:space="preserve">
Réel Jour
</t>
        </r>
      </text>
    </comment>
    <comment ref="W77" authorId="1" shapeId="0" xr:uid="{00000000-0006-0000-0300-000028000000}">
      <text>
        <r>
          <rPr>
            <b/>
            <sz val="9"/>
            <color indexed="81"/>
            <rFont val="Tahoma"/>
            <family val="2"/>
          </rPr>
          <t>SPL:</t>
        </r>
        <r>
          <rPr>
            <sz val="9"/>
            <color indexed="81"/>
            <rFont val="Tahoma"/>
            <family val="2"/>
          </rPr>
          <t xml:space="preserve">
Amplitude</t>
        </r>
      </text>
    </comment>
    <comment ref="X77" authorId="2" shapeId="0" xr:uid="{00000000-0006-0000-0300-000029000000}">
      <text>
        <r>
          <rPr>
            <b/>
            <sz val="9"/>
            <color indexed="81"/>
            <rFont val="Tahoma"/>
            <family val="2"/>
          </rPr>
          <t>SPL:</t>
        </r>
        <r>
          <rPr>
            <sz val="9"/>
            <color indexed="81"/>
            <rFont val="Tahoma"/>
            <family val="2"/>
          </rPr>
          <t xml:space="preserve">
Pause si + 6 heures</t>
        </r>
      </text>
    </comment>
    <comment ref="Y77" authorId="1" shapeId="0" xr:uid="{00000000-0006-0000-0300-00002A000000}">
      <text>
        <r>
          <rPr>
            <b/>
            <sz val="9"/>
            <color indexed="81"/>
            <rFont val="Tahoma"/>
            <family val="2"/>
          </rPr>
          <t>SPL:</t>
        </r>
        <r>
          <rPr>
            <sz val="9"/>
            <color indexed="81"/>
            <rFont val="Tahoma"/>
            <family val="2"/>
          </rPr>
          <t xml:space="preserve">
Repos journalier
</t>
        </r>
      </text>
    </comment>
    <comment ref="S88" authorId="0" shapeId="0" xr:uid="{00000000-0006-0000-0300-00002B000000}">
      <text>
        <r>
          <rPr>
            <b/>
            <sz val="9"/>
            <color indexed="81"/>
            <rFont val="Tahoma"/>
            <family val="2"/>
          </rPr>
          <t>SPL:</t>
        </r>
        <r>
          <rPr>
            <sz val="9"/>
            <color indexed="81"/>
            <rFont val="Tahoma"/>
            <family val="2"/>
          </rPr>
          <t xml:space="preserve">
Si délai de prévenance &lt;72h, saisir : O
</t>
        </r>
      </text>
    </comment>
    <comment ref="U89" authorId="1" shapeId="0" xr:uid="{00000000-0006-0000-0300-00002C000000}">
      <text>
        <r>
          <rPr>
            <b/>
            <sz val="9"/>
            <color indexed="81"/>
            <rFont val="Tahoma"/>
            <family val="2"/>
          </rPr>
          <t>SPL:</t>
        </r>
        <r>
          <rPr>
            <sz val="9"/>
            <color indexed="81"/>
            <rFont val="Tahoma"/>
            <family val="2"/>
          </rPr>
          <t xml:space="preserve">
Pause</t>
        </r>
      </text>
    </comment>
    <comment ref="V89" authorId="1" shapeId="0" xr:uid="{00000000-0006-0000-0300-00002D000000}">
      <text>
        <r>
          <rPr>
            <b/>
            <sz val="9"/>
            <color indexed="81"/>
            <rFont val="Tahoma"/>
            <family val="2"/>
          </rPr>
          <t>SPL:</t>
        </r>
        <r>
          <rPr>
            <sz val="9"/>
            <color indexed="81"/>
            <rFont val="Tahoma"/>
            <family val="2"/>
          </rPr>
          <t xml:space="preserve">
Réel Jour
</t>
        </r>
      </text>
    </comment>
    <comment ref="W89" authorId="1" shapeId="0" xr:uid="{00000000-0006-0000-0300-00002E000000}">
      <text>
        <r>
          <rPr>
            <b/>
            <sz val="9"/>
            <color indexed="81"/>
            <rFont val="Tahoma"/>
            <family val="2"/>
          </rPr>
          <t>SPL:</t>
        </r>
        <r>
          <rPr>
            <sz val="9"/>
            <color indexed="81"/>
            <rFont val="Tahoma"/>
            <family val="2"/>
          </rPr>
          <t xml:space="preserve">
Amplitude</t>
        </r>
      </text>
    </comment>
    <comment ref="X89" authorId="2" shapeId="0" xr:uid="{00000000-0006-0000-0300-00002F000000}">
      <text>
        <r>
          <rPr>
            <b/>
            <sz val="9"/>
            <color indexed="81"/>
            <rFont val="Tahoma"/>
            <family val="2"/>
          </rPr>
          <t>SPL:</t>
        </r>
        <r>
          <rPr>
            <sz val="9"/>
            <color indexed="81"/>
            <rFont val="Tahoma"/>
            <family val="2"/>
          </rPr>
          <t xml:space="preserve">
Pause si + 6 heures</t>
        </r>
      </text>
    </comment>
    <comment ref="Y89" authorId="1" shapeId="0" xr:uid="{00000000-0006-0000-0300-000030000000}">
      <text>
        <r>
          <rPr>
            <b/>
            <sz val="9"/>
            <color indexed="81"/>
            <rFont val="Tahoma"/>
            <family val="2"/>
          </rPr>
          <t>SPL:</t>
        </r>
        <r>
          <rPr>
            <sz val="9"/>
            <color indexed="81"/>
            <rFont val="Tahoma"/>
            <family val="2"/>
          </rPr>
          <t xml:space="preserve">
Repos journalier
</t>
        </r>
      </text>
    </comment>
    <comment ref="S100" authorId="0" shapeId="0" xr:uid="{00000000-0006-0000-0300-000031000000}">
      <text>
        <r>
          <rPr>
            <b/>
            <sz val="9"/>
            <color indexed="81"/>
            <rFont val="Tahoma"/>
            <family val="2"/>
          </rPr>
          <t>SPL:</t>
        </r>
        <r>
          <rPr>
            <sz val="9"/>
            <color indexed="81"/>
            <rFont val="Tahoma"/>
            <family val="2"/>
          </rPr>
          <t xml:space="preserve">
Si délai de prévenance &lt;72h, saisir : O
</t>
        </r>
      </text>
    </comment>
    <comment ref="U101" authorId="1" shapeId="0" xr:uid="{00000000-0006-0000-0300-000032000000}">
      <text>
        <r>
          <rPr>
            <b/>
            <sz val="9"/>
            <color indexed="81"/>
            <rFont val="Tahoma"/>
            <family val="2"/>
          </rPr>
          <t>SPL:</t>
        </r>
        <r>
          <rPr>
            <sz val="9"/>
            <color indexed="81"/>
            <rFont val="Tahoma"/>
            <family val="2"/>
          </rPr>
          <t xml:space="preserve">
Pause</t>
        </r>
      </text>
    </comment>
    <comment ref="V101" authorId="1" shapeId="0" xr:uid="{00000000-0006-0000-0300-000033000000}">
      <text>
        <r>
          <rPr>
            <b/>
            <sz val="9"/>
            <color indexed="81"/>
            <rFont val="Tahoma"/>
            <family val="2"/>
          </rPr>
          <t>SPL:</t>
        </r>
        <r>
          <rPr>
            <sz val="9"/>
            <color indexed="81"/>
            <rFont val="Tahoma"/>
            <family val="2"/>
          </rPr>
          <t xml:space="preserve">
Réel Jour
</t>
        </r>
      </text>
    </comment>
    <comment ref="W101" authorId="1" shapeId="0" xr:uid="{00000000-0006-0000-0300-000034000000}">
      <text>
        <r>
          <rPr>
            <b/>
            <sz val="9"/>
            <color indexed="81"/>
            <rFont val="Tahoma"/>
            <family val="2"/>
          </rPr>
          <t>SPL:</t>
        </r>
        <r>
          <rPr>
            <sz val="9"/>
            <color indexed="81"/>
            <rFont val="Tahoma"/>
            <family val="2"/>
          </rPr>
          <t xml:space="preserve">
Amplitude</t>
        </r>
      </text>
    </comment>
    <comment ref="X101" authorId="2" shapeId="0" xr:uid="{00000000-0006-0000-0300-000035000000}">
      <text>
        <r>
          <rPr>
            <b/>
            <sz val="9"/>
            <color indexed="81"/>
            <rFont val="Tahoma"/>
            <family val="2"/>
          </rPr>
          <t>SPL:</t>
        </r>
        <r>
          <rPr>
            <sz val="9"/>
            <color indexed="81"/>
            <rFont val="Tahoma"/>
            <family val="2"/>
          </rPr>
          <t xml:space="preserve">
Pause si + 6 heures</t>
        </r>
      </text>
    </comment>
    <comment ref="Y101" authorId="1" shapeId="0" xr:uid="{00000000-0006-0000-0300-000036000000}">
      <text>
        <r>
          <rPr>
            <b/>
            <sz val="9"/>
            <color indexed="81"/>
            <rFont val="Tahoma"/>
            <family val="2"/>
          </rPr>
          <t>SPL:</t>
        </r>
        <r>
          <rPr>
            <sz val="9"/>
            <color indexed="81"/>
            <rFont val="Tahoma"/>
            <family val="2"/>
          </rPr>
          <t xml:space="preserve">
Repos journalier
</t>
        </r>
      </text>
    </comment>
    <comment ref="S112" authorId="0" shapeId="0" xr:uid="{00000000-0006-0000-0300-000037000000}">
      <text>
        <r>
          <rPr>
            <b/>
            <sz val="9"/>
            <color indexed="81"/>
            <rFont val="Tahoma"/>
            <family val="2"/>
          </rPr>
          <t>SPL:</t>
        </r>
        <r>
          <rPr>
            <sz val="9"/>
            <color indexed="81"/>
            <rFont val="Tahoma"/>
            <family val="2"/>
          </rPr>
          <t xml:space="preserve">
Si délai de prévenance &lt;72h, saisir : O
</t>
        </r>
      </text>
    </comment>
    <comment ref="U113" authorId="1" shapeId="0" xr:uid="{00000000-0006-0000-0300-000038000000}">
      <text>
        <r>
          <rPr>
            <b/>
            <sz val="9"/>
            <color indexed="81"/>
            <rFont val="Tahoma"/>
            <family val="2"/>
          </rPr>
          <t>SPL:</t>
        </r>
        <r>
          <rPr>
            <sz val="9"/>
            <color indexed="81"/>
            <rFont val="Tahoma"/>
            <family val="2"/>
          </rPr>
          <t xml:space="preserve">
Pause</t>
        </r>
      </text>
    </comment>
    <comment ref="V113" authorId="1" shapeId="0" xr:uid="{00000000-0006-0000-0300-000039000000}">
      <text>
        <r>
          <rPr>
            <b/>
            <sz val="9"/>
            <color indexed="81"/>
            <rFont val="Tahoma"/>
            <family val="2"/>
          </rPr>
          <t>SPL:</t>
        </r>
        <r>
          <rPr>
            <sz val="9"/>
            <color indexed="81"/>
            <rFont val="Tahoma"/>
            <family val="2"/>
          </rPr>
          <t xml:space="preserve">
Réel Jour
</t>
        </r>
      </text>
    </comment>
    <comment ref="W113" authorId="1" shapeId="0" xr:uid="{00000000-0006-0000-0300-00003A000000}">
      <text>
        <r>
          <rPr>
            <b/>
            <sz val="9"/>
            <color indexed="81"/>
            <rFont val="Tahoma"/>
            <family val="2"/>
          </rPr>
          <t>SPL:</t>
        </r>
        <r>
          <rPr>
            <sz val="9"/>
            <color indexed="81"/>
            <rFont val="Tahoma"/>
            <family val="2"/>
          </rPr>
          <t xml:space="preserve">
Amplitude</t>
        </r>
      </text>
    </comment>
    <comment ref="X113" authorId="2" shapeId="0" xr:uid="{00000000-0006-0000-0300-00003B000000}">
      <text>
        <r>
          <rPr>
            <b/>
            <sz val="9"/>
            <color indexed="81"/>
            <rFont val="Tahoma"/>
            <family val="2"/>
          </rPr>
          <t>SPL:</t>
        </r>
        <r>
          <rPr>
            <sz val="9"/>
            <color indexed="81"/>
            <rFont val="Tahoma"/>
            <family val="2"/>
          </rPr>
          <t xml:space="preserve">
Pause si + 6 heures</t>
        </r>
      </text>
    </comment>
    <comment ref="Y113" authorId="1" shapeId="0" xr:uid="{00000000-0006-0000-0300-00003C000000}">
      <text>
        <r>
          <rPr>
            <b/>
            <sz val="9"/>
            <color indexed="81"/>
            <rFont val="Tahoma"/>
            <family val="2"/>
          </rPr>
          <t>SPL:</t>
        </r>
        <r>
          <rPr>
            <sz val="9"/>
            <color indexed="81"/>
            <rFont val="Tahoma"/>
            <family val="2"/>
          </rPr>
          <t xml:space="preserve">
Repos journalier
</t>
        </r>
      </text>
    </comment>
    <comment ref="S124" authorId="0" shapeId="0" xr:uid="{00000000-0006-0000-0300-00003D000000}">
      <text>
        <r>
          <rPr>
            <b/>
            <sz val="9"/>
            <color indexed="81"/>
            <rFont val="Tahoma"/>
            <family val="2"/>
          </rPr>
          <t>SPL:</t>
        </r>
        <r>
          <rPr>
            <sz val="9"/>
            <color indexed="81"/>
            <rFont val="Tahoma"/>
            <family val="2"/>
          </rPr>
          <t xml:space="preserve">
Si délai de prévenance &lt;72h, saisir : O
</t>
        </r>
      </text>
    </comment>
    <comment ref="U125" authorId="1" shapeId="0" xr:uid="{00000000-0006-0000-0300-00003E000000}">
      <text>
        <r>
          <rPr>
            <b/>
            <sz val="9"/>
            <color indexed="81"/>
            <rFont val="Tahoma"/>
            <family val="2"/>
          </rPr>
          <t>SPL:</t>
        </r>
        <r>
          <rPr>
            <sz val="9"/>
            <color indexed="81"/>
            <rFont val="Tahoma"/>
            <family val="2"/>
          </rPr>
          <t xml:space="preserve">
Pause</t>
        </r>
      </text>
    </comment>
    <comment ref="V125" authorId="1" shapeId="0" xr:uid="{00000000-0006-0000-0300-00003F000000}">
      <text>
        <r>
          <rPr>
            <b/>
            <sz val="9"/>
            <color indexed="81"/>
            <rFont val="Tahoma"/>
            <family val="2"/>
          </rPr>
          <t>SPL:</t>
        </r>
        <r>
          <rPr>
            <sz val="9"/>
            <color indexed="81"/>
            <rFont val="Tahoma"/>
            <family val="2"/>
          </rPr>
          <t xml:space="preserve">
Réel Jour
</t>
        </r>
      </text>
    </comment>
    <comment ref="W125" authorId="1" shapeId="0" xr:uid="{00000000-0006-0000-0300-000040000000}">
      <text>
        <r>
          <rPr>
            <b/>
            <sz val="9"/>
            <color indexed="81"/>
            <rFont val="Tahoma"/>
            <family val="2"/>
          </rPr>
          <t>SPL:</t>
        </r>
        <r>
          <rPr>
            <sz val="9"/>
            <color indexed="81"/>
            <rFont val="Tahoma"/>
            <family val="2"/>
          </rPr>
          <t xml:space="preserve">
Amplitude</t>
        </r>
      </text>
    </comment>
    <comment ref="X125" authorId="2" shapeId="0" xr:uid="{00000000-0006-0000-0300-000041000000}">
      <text>
        <r>
          <rPr>
            <b/>
            <sz val="9"/>
            <color indexed="81"/>
            <rFont val="Tahoma"/>
            <family val="2"/>
          </rPr>
          <t>SPL:</t>
        </r>
        <r>
          <rPr>
            <sz val="9"/>
            <color indexed="81"/>
            <rFont val="Tahoma"/>
            <family val="2"/>
          </rPr>
          <t xml:space="preserve">
Pause si + 6 heures</t>
        </r>
      </text>
    </comment>
    <comment ref="Y125" authorId="1" shapeId="0" xr:uid="{00000000-0006-0000-0300-000042000000}">
      <text>
        <r>
          <rPr>
            <b/>
            <sz val="9"/>
            <color indexed="81"/>
            <rFont val="Tahoma"/>
            <family val="2"/>
          </rPr>
          <t>SPL:</t>
        </r>
        <r>
          <rPr>
            <sz val="9"/>
            <color indexed="81"/>
            <rFont val="Tahoma"/>
            <family val="2"/>
          </rPr>
          <t xml:space="preserve">
Repos journalier
</t>
        </r>
      </text>
    </comment>
    <comment ref="S136" authorId="0" shapeId="0" xr:uid="{00000000-0006-0000-0300-000043000000}">
      <text>
        <r>
          <rPr>
            <b/>
            <sz val="9"/>
            <color indexed="81"/>
            <rFont val="Tahoma"/>
            <family val="2"/>
          </rPr>
          <t>SPL:</t>
        </r>
        <r>
          <rPr>
            <sz val="9"/>
            <color indexed="81"/>
            <rFont val="Tahoma"/>
            <family val="2"/>
          </rPr>
          <t xml:space="preserve">
Si délai de prévenance &lt;72h, saisir : O
</t>
        </r>
      </text>
    </comment>
    <comment ref="U137" authorId="1" shapeId="0" xr:uid="{00000000-0006-0000-0300-000044000000}">
      <text>
        <r>
          <rPr>
            <b/>
            <sz val="9"/>
            <color indexed="81"/>
            <rFont val="Tahoma"/>
            <family val="2"/>
          </rPr>
          <t>SPL:</t>
        </r>
        <r>
          <rPr>
            <sz val="9"/>
            <color indexed="81"/>
            <rFont val="Tahoma"/>
            <family val="2"/>
          </rPr>
          <t xml:space="preserve">
Pause</t>
        </r>
      </text>
    </comment>
    <comment ref="V137" authorId="1" shapeId="0" xr:uid="{00000000-0006-0000-0300-000045000000}">
      <text>
        <r>
          <rPr>
            <b/>
            <sz val="9"/>
            <color indexed="81"/>
            <rFont val="Tahoma"/>
            <family val="2"/>
          </rPr>
          <t>SPL:</t>
        </r>
        <r>
          <rPr>
            <sz val="9"/>
            <color indexed="81"/>
            <rFont val="Tahoma"/>
            <family val="2"/>
          </rPr>
          <t xml:space="preserve">
Réel Jour
</t>
        </r>
      </text>
    </comment>
    <comment ref="W137" authorId="1" shapeId="0" xr:uid="{00000000-0006-0000-0300-000046000000}">
      <text>
        <r>
          <rPr>
            <b/>
            <sz val="9"/>
            <color indexed="81"/>
            <rFont val="Tahoma"/>
            <family val="2"/>
          </rPr>
          <t>SPL:</t>
        </r>
        <r>
          <rPr>
            <sz val="9"/>
            <color indexed="81"/>
            <rFont val="Tahoma"/>
            <family val="2"/>
          </rPr>
          <t xml:space="preserve">
Amplitude</t>
        </r>
      </text>
    </comment>
    <comment ref="X137" authorId="2" shapeId="0" xr:uid="{00000000-0006-0000-0300-000047000000}">
      <text>
        <r>
          <rPr>
            <b/>
            <sz val="9"/>
            <color indexed="81"/>
            <rFont val="Tahoma"/>
            <family val="2"/>
          </rPr>
          <t>SPL:</t>
        </r>
        <r>
          <rPr>
            <sz val="9"/>
            <color indexed="81"/>
            <rFont val="Tahoma"/>
            <family val="2"/>
          </rPr>
          <t xml:space="preserve">
Pause si + 6 heures</t>
        </r>
      </text>
    </comment>
    <comment ref="Y137" authorId="1" shapeId="0" xr:uid="{00000000-0006-0000-0300-000048000000}">
      <text>
        <r>
          <rPr>
            <b/>
            <sz val="9"/>
            <color indexed="81"/>
            <rFont val="Tahoma"/>
            <family val="2"/>
          </rPr>
          <t>SPL:</t>
        </r>
        <r>
          <rPr>
            <sz val="9"/>
            <color indexed="81"/>
            <rFont val="Tahoma"/>
            <family val="2"/>
          </rPr>
          <t xml:space="preserve">
Repos journalier
</t>
        </r>
      </text>
    </comment>
    <comment ref="S148" authorId="0" shapeId="0" xr:uid="{00000000-0006-0000-0300-000049000000}">
      <text>
        <r>
          <rPr>
            <b/>
            <sz val="9"/>
            <color indexed="81"/>
            <rFont val="Tahoma"/>
            <family val="2"/>
          </rPr>
          <t>SPL:</t>
        </r>
        <r>
          <rPr>
            <sz val="9"/>
            <color indexed="81"/>
            <rFont val="Tahoma"/>
            <family val="2"/>
          </rPr>
          <t xml:space="preserve">
Si délai de prévenance &lt;72h, saisir : O
</t>
        </r>
      </text>
    </comment>
    <comment ref="U149" authorId="1" shapeId="0" xr:uid="{00000000-0006-0000-0300-00004A000000}">
      <text>
        <r>
          <rPr>
            <b/>
            <sz val="9"/>
            <color indexed="81"/>
            <rFont val="Tahoma"/>
            <family val="2"/>
          </rPr>
          <t>SPL:</t>
        </r>
        <r>
          <rPr>
            <sz val="9"/>
            <color indexed="81"/>
            <rFont val="Tahoma"/>
            <family val="2"/>
          </rPr>
          <t xml:space="preserve">
Pause</t>
        </r>
      </text>
    </comment>
    <comment ref="V149" authorId="1" shapeId="0" xr:uid="{00000000-0006-0000-0300-00004B000000}">
      <text>
        <r>
          <rPr>
            <b/>
            <sz val="9"/>
            <color indexed="81"/>
            <rFont val="Tahoma"/>
            <family val="2"/>
          </rPr>
          <t>SPL:</t>
        </r>
        <r>
          <rPr>
            <sz val="9"/>
            <color indexed="81"/>
            <rFont val="Tahoma"/>
            <family val="2"/>
          </rPr>
          <t xml:space="preserve">
Réel Jour
</t>
        </r>
      </text>
    </comment>
    <comment ref="W149" authorId="1" shapeId="0" xr:uid="{00000000-0006-0000-0300-00004C000000}">
      <text>
        <r>
          <rPr>
            <b/>
            <sz val="9"/>
            <color indexed="81"/>
            <rFont val="Tahoma"/>
            <family val="2"/>
          </rPr>
          <t>SPL:</t>
        </r>
        <r>
          <rPr>
            <sz val="9"/>
            <color indexed="81"/>
            <rFont val="Tahoma"/>
            <family val="2"/>
          </rPr>
          <t xml:space="preserve">
Amplitude</t>
        </r>
      </text>
    </comment>
    <comment ref="X149" authorId="2" shapeId="0" xr:uid="{00000000-0006-0000-0300-00004D000000}">
      <text>
        <r>
          <rPr>
            <b/>
            <sz val="9"/>
            <color indexed="81"/>
            <rFont val="Tahoma"/>
            <family val="2"/>
          </rPr>
          <t>SPL:</t>
        </r>
        <r>
          <rPr>
            <sz val="9"/>
            <color indexed="81"/>
            <rFont val="Tahoma"/>
            <family val="2"/>
          </rPr>
          <t xml:space="preserve">
Pause si + 6 heures</t>
        </r>
      </text>
    </comment>
    <comment ref="Y149" authorId="1" shapeId="0" xr:uid="{00000000-0006-0000-0300-00004E000000}">
      <text>
        <r>
          <rPr>
            <b/>
            <sz val="9"/>
            <color indexed="81"/>
            <rFont val="Tahoma"/>
            <family val="2"/>
          </rPr>
          <t>SPL:</t>
        </r>
        <r>
          <rPr>
            <sz val="9"/>
            <color indexed="81"/>
            <rFont val="Tahoma"/>
            <family val="2"/>
          </rPr>
          <t xml:space="preserve">
Repos journalier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JAP</author>
    <author>Compta2</author>
    <author>Florent</author>
  </authors>
  <commentList>
    <comment ref="S4" authorId="0" shapeId="0" xr:uid="{00000000-0006-0000-0400-000001000000}">
      <text>
        <r>
          <rPr>
            <b/>
            <sz val="9"/>
            <color indexed="81"/>
            <rFont val="Tahoma"/>
            <family val="2"/>
          </rPr>
          <t>SPL:</t>
        </r>
        <r>
          <rPr>
            <sz val="9"/>
            <color indexed="81"/>
            <rFont val="Tahoma"/>
            <family val="2"/>
          </rPr>
          <t xml:space="preserve">
Si délai de prévenance &lt;72h, saisir : O
</t>
        </r>
      </text>
    </comment>
    <comment ref="U5" authorId="1" shapeId="0" xr:uid="{00000000-0006-0000-0400-000002000000}">
      <text>
        <r>
          <rPr>
            <b/>
            <sz val="9"/>
            <color indexed="81"/>
            <rFont val="Tahoma"/>
            <family val="2"/>
          </rPr>
          <t>SPL:</t>
        </r>
        <r>
          <rPr>
            <sz val="9"/>
            <color indexed="81"/>
            <rFont val="Tahoma"/>
            <family val="2"/>
          </rPr>
          <t xml:space="preserve">
Pause</t>
        </r>
      </text>
    </comment>
    <comment ref="V5" authorId="1" shapeId="0" xr:uid="{00000000-0006-0000-0400-000003000000}">
      <text>
        <r>
          <rPr>
            <b/>
            <sz val="9"/>
            <color indexed="81"/>
            <rFont val="Tahoma"/>
            <family val="2"/>
          </rPr>
          <t>SPL:</t>
        </r>
        <r>
          <rPr>
            <sz val="9"/>
            <color indexed="81"/>
            <rFont val="Tahoma"/>
            <family val="2"/>
          </rPr>
          <t xml:space="preserve">
Réel Jour
</t>
        </r>
      </text>
    </comment>
    <comment ref="W5" authorId="1" shapeId="0" xr:uid="{00000000-0006-0000-0400-000004000000}">
      <text>
        <r>
          <rPr>
            <b/>
            <sz val="9"/>
            <color indexed="81"/>
            <rFont val="Tahoma"/>
            <family val="2"/>
          </rPr>
          <t>SPL:</t>
        </r>
        <r>
          <rPr>
            <sz val="9"/>
            <color indexed="81"/>
            <rFont val="Tahoma"/>
            <family val="2"/>
          </rPr>
          <t xml:space="preserve">
Amplitude</t>
        </r>
      </text>
    </comment>
    <comment ref="X5" authorId="2" shapeId="0" xr:uid="{00000000-0006-0000-0400-000005000000}">
      <text>
        <r>
          <rPr>
            <b/>
            <sz val="9"/>
            <color indexed="81"/>
            <rFont val="Tahoma"/>
            <family val="2"/>
          </rPr>
          <t>SPL:</t>
        </r>
        <r>
          <rPr>
            <sz val="9"/>
            <color indexed="81"/>
            <rFont val="Tahoma"/>
            <family val="2"/>
          </rPr>
          <t xml:space="preserve">
Pause si + 6 heures</t>
        </r>
      </text>
    </comment>
    <comment ref="Y5" authorId="1" shapeId="0" xr:uid="{00000000-0006-0000-0400-000006000000}">
      <text>
        <r>
          <rPr>
            <b/>
            <sz val="9"/>
            <color indexed="81"/>
            <rFont val="Tahoma"/>
            <family val="2"/>
          </rPr>
          <t>SPL:</t>
        </r>
        <r>
          <rPr>
            <sz val="9"/>
            <color indexed="81"/>
            <rFont val="Tahoma"/>
            <family val="2"/>
          </rPr>
          <t xml:space="preserve">
Repos journalier
</t>
        </r>
      </text>
    </comment>
    <comment ref="S16" authorId="0" shapeId="0" xr:uid="{00000000-0006-0000-0400-000007000000}">
      <text>
        <r>
          <rPr>
            <b/>
            <sz val="9"/>
            <color indexed="81"/>
            <rFont val="Tahoma"/>
            <family val="2"/>
          </rPr>
          <t>SPL:</t>
        </r>
        <r>
          <rPr>
            <sz val="9"/>
            <color indexed="81"/>
            <rFont val="Tahoma"/>
            <family val="2"/>
          </rPr>
          <t xml:space="preserve">
Si délai de prévenance &lt;72h, saisir : O
</t>
        </r>
      </text>
    </comment>
    <comment ref="U17" authorId="1" shapeId="0" xr:uid="{00000000-0006-0000-0400-000008000000}">
      <text>
        <r>
          <rPr>
            <b/>
            <sz val="9"/>
            <color indexed="81"/>
            <rFont val="Tahoma"/>
            <family val="2"/>
          </rPr>
          <t>SPL:</t>
        </r>
        <r>
          <rPr>
            <sz val="9"/>
            <color indexed="81"/>
            <rFont val="Tahoma"/>
            <family val="2"/>
          </rPr>
          <t xml:space="preserve">
Pause</t>
        </r>
      </text>
    </comment>
    <comment ref="V17" authorId="1" shapeId="0" xr:uid="{00000000-0006-0000-0400-000009000000}">
      <text>
        <r>
          <rPr>
            <b/>
            <sz val="9"/>
            <color indexed="81"/>
            <rFont val="Tahoma"/>
            <family val="2"/>
          </rPr>
          <t>SPL:</t>
        </r>
        <r>
          <rPr>
            <sz val="9"/>
            <color indexed="81"/>
            <rFont val="Tahoma"/>
            <family val="2"/>
          </rPr>
          <t xml:space="preserve">
Réel Jour
</t>
        </r>
      </text>
    </comment>
    <comment ref="W17" authorId="1" shapeId="0" xr:uid="{00000000-0006-0000-0400-00000A000000}">
      <text>
        <r>
          <rPr>
            <b/>
            <sz val="9"/>
            <color indexed="81"/>
            <rFont val="Tahoma"/>
            <family val="2"/>
          </rPr>
          <t>SPL:</t>
        </r>
        <r>
          <rPr>
            <sz val="9"/>
            <color indexed="81"/>
            <rFont val="Tahoma"/>
            <family val="2"/>
          </rPr>
          <t xml:space="preserve">
Amplitude</t>
        </r>
      </text>
    </comment>
    <comment ref="X17" authorId="2" shapeId="0" xr:uid="{00000000-0006-0000-0400-00000B000000}">
      <text>
        <r>
          <rPr>
            <b/>
            <sz val="9"/>
            <color indexed="81"/>
            <rFont val="Tahoma"/>
            <family val="2"/>
          </rPr>
          <t>SPL:</t>
        </r>
        <r>
          <rPr>
            <sz val="9"/>
            <color indexed="81"/>
            <rFont val="Tahoma"/>
            <family val="2"/>
          </rPr>
          <t xml:space="preserve">
Pause si + 6 heures</t>
        </r>
      </text>
    </comment>
    <comment ref="Y17" authorId="1" shapeId="0" xr:uid="{00000000-0006-0000-0400-00000C000000}">
      <text>
        <r>
          <rPr>
            <b/>
            <sz val="9"/>
            <color indexed="81"/>
            <rFont val="Tahoma"/>
            <family val="2"/>
          </rPr>
          <t>SPL:</t>
        </r>
        <r>
          <rPr>
            <sz val="9"/>
            <color indexed="81"/>
            <rFont val="Tahoma"/>
            <family val="2"/>
          </rPr>
          <t xml:space="preserve">
Repos journalier
</t>
        </r>
      </text>
    </comment>
    <comment ref="S28" authorId="0" shapeId="0" xr:uid="{00000000-0006-0000-0400-00000D000000}">
      <text>
        <r>
          <rPr>
            <b/>
            <sz val="9"/>
            <color indexed="81"/>
            <rFont val="Tahoma"/>
            <family val="2"/>
          </rPr>
          <t>SPL:</t>
        </r>
        <r>
          <rPr>
            <sz val="9"/>
            <color indexed="81"/>
            <rFont val="Tahoma"/>
            <family val="2"/>
          </rPr>
          <t xml:space="preserve">
Si délai de prévenance &lt;72h, saisir : O
</t>
        </r>
      </text>
    </comment>
    <comment ref="U29" authorId="1" shapeId="0" xr:uid="{00000000-0006-0000-0400-00000E000000}">
      <text>
        <r>
          <rPr>
            <b/>
            <sz val="9"/>
            <color indexed="81"/>
            <rFont val="Tahoma"/>
            <family val="2"/>
          </rPr>
          <t>SPL:</t>
        </r>
        <r>
          <rPr>
            <sz val="9"/>
            <color indexed="81"/>
            <rFont val="Tahoma"/>
            <family val="2"/>
          </rPr>
          <t xml:space="preserve">
Pause</t>
        </r>
      </text>
    </comment>
    <comment ref="V29" authorId="1" shapeId="0" xr:uid="{00000000-0006-0000-0400-00000F000000}">
      <text>
        <r>
          <rPr>
            <b/>
            <sz val="9"/>
            <color indexed="81"/>
            <rFont val="Tahoma"/>
            <family val="2"/>
          </rPr>
          <t>SPL:</t>
        </r>
        <r>
          <rPr>
            <sz val="9"/>
            <color indexed="81"/>
            <rFont val="Tahoma"/>
            <family val="2"/>
          </rPr>
          <t xml:space="preserve">
Réel Jour
</t>
        </r>
      </text>
    </comment>
    <comment ref="W29" authorId="1" shapeId="0" xr:uid="{00000000-0006-0000-0400-000010000000}">
      <text>
        <r>
          <rPr>
            <b/>
            <sz val="9"/>
            <color indexed="81"/>
            <rFont val="Tahoma"/>
            <family val="2"/>
          </rPr>
          <t>SPL:</t>
        </r>
        <r>
          <rPr>
            <sz val="9"/>
            <color indexed="81"/>
            <rFont val="Tahoma"/>
            <family val="2"/>
          </rPr>
          <t xml:space="preserve">
Amplitude</t>
        </r>
      </text>
    </comment>
    <comment ref="X29" authorId="2" shapeId="0" xr:uid="{00000000-0006-0000-0400-000011000000}">
      <text>
        <r>
          <rPr>
            <b/>
            <sz val="9"/>
            <color indexed="81"/>
            <rFont val="Tahoma"/>
            <family val="2"/>
          </rPr>
          <t>SPL:</t>
        </r>
        <r>
          <rPr>
            <sz val="9"/>
            <color indexed="81"/>
            <rFont val="Tahoma"/>
            <family val="2"/>
          </rPr>
          <t xml:space="preserve">
Pause si + 6 heures</t>
        </r>
      </text>
    </comment>
    <comment ref="Y29" authorId="1" shapeId="0" xr:uid="{00000000-0006-0000-0400-000012000000}">
      <text>
        <r>
          <rPr>
            <b/>
            <sz val="9"/>
            <color indexed="81"/>
            <rFont val="Tahoma"/>
            <family val="2"/>
          </rPr>
          <t>SPL:</t>
        </r>
        <r>
          <rPr>
            <sz val="9"/>
            <color indexed="81"/>
            <rFont val="Tahoma"/>
            <family val="2"/>
          </rPr>
          <t xml:space="preserve">
Repos journalier
</t>
        </r>
      </text>
    </comment>
    <comment ref="S40" authorId="0" shapeId="0" xr:uid="{00000000-0006-0000-0400-000013000000}">
      <text>
        <r>
          <rPr>
            <b/>
            <sz val="9"/>
            <color indexed="81"/>
            <rFont val="Tahoma"/>
            <family val="2"/>
          </rPr>
          <t>SPL:</t>
        </r>
        <r>
          <rPr>
            <sz val="9"/>
            <color indexed="81"/>
            <rFont val="Tahoma"/>
            <family val="2"/>
          </rPr>
          <t xml:space="preserve">
Si délai de prévenance &lt;72h, saisir : O
</t>
        </r>
      </text>
    </comment>
    <comment ref="U41" authorId="1" shapeId="0" xr:uid="{00000000-0006-0000-0400-000014000000}">
      <text>
        <r>
          <rPr>
            <b/>
            <sz val="9"/>
            <color indexed="81"/>
            <rFont val="Tahoma"/>
            <family val="2"/>
          </rPr>
          <t>SPL:</t>
        </r>
        <r>
          <rPr>
            <sz val="9"/>
            <color indexed="81"/>
            <rFont val="Tahoma"/>
            <family val="2"/>
          </rPr>
          <t xml:space="preserve">
Pause</t>
        </r>
      </text>
    </comment>
    <comment ref="V41" authorId="1" shapeId="0" xr:uid="{00000000-0006-0000-0400-000015000000}">
      <text>
        <r>
          <rPr>
            <b/>
            <sz val="9"/>
            <color indexed="81"/>
            <rFont val="Tahoma"/>
            <family val="2"/>
          </rPr>
          <t>SPL:</t>
        </r>
        <r>
          <rPr>
            <sz val="9"/>
            <color indexed="81"/>
            <rFont val="Tahoma"/>
            <family val="2"/>
          </rPr>
          <t xml:space="preserve">
Réel Jour
</t>
        </r>
      </text>
    </comment>
    <comment ref="W41" authorId="1" shapeId="0" xr:uid="{00000000-0006-0000-0400-000016000000}">
      <text>
        <r>
          <rPr>
            <b/>
            <sz val="9"/>
            <color indexed="81"/>
            <rFont val="Tahoma"/>
            <family val="2"/>
          </rPr>
          <t>SPL:</t>
        </r>
        <r>
          <rPr>
            <sz val="9"/>
            <color indexed="81"/>
            <rFont val="Tahoma"/>
            <family val="2"/>
          </rPr>
          <t xml:space="preserve">
Amplitude</t>
        </r>
      </text>
    </comment>
    <comment ref="X41" authorId="2" shapeId="0" xr:uid="{00000000-0006-0000-0400-000017000000}">
      <text>
        <r>
          <rPr>
            <b/>
            <sz val="9"/>
            <color indexed="81"/>
            <rFont val="Tahoma"/>
            <family val="2"/>
          </rPr>
          <t>SPL:</t>
        </r>
        <r>
          <rPr>
            <sz val="9"/>
            <color indexed="81"/>
            <rFont val="Tahoma"/>
            <family val="2"/>
          </rPr>
          <t xml:space="preserve">
Pause si + 6 heures</t>
        </r>
      </text>
    </comment>
    <comment ref="Y41" authorId="1" shapeId="0" xr:uid="{00000000-0006-0000-0400-000018000000}">
      <text>
        <r>
          <rPr>
            <b/>
            <sz val="9"/>
            <color indexed="81"/>
            <rFont val="Tahoma"/>
            <family val="2"/>
          </rPr>
          <t>SPL:</t>
        </r>
        <r>
          <rPr>
            <sz val="9"/>
            <color indexed="81"/>
            <rFont val="Tahoma"/>
            <family val="2"/>
          </rPr>
          <t xml:space="preserve">
Repos journalier
</t>
        </r>
      </text>
    </comment>
    <comment ref="S52" authorId="0" shapeId="0" xr:uid="{00000000-0006-0000-0400-000019000000}">
      <text>
        <r>
          <rPr>
            <b/>
            <sz val="9"/>
            <color indexed="81"/>
            <rFont val="Tahoma"/>
            <family val="2"/>
          </rPr>
          <t>SPL:</t>
        </r>
        <r>
          <rPr>
            <sz val="9"/>
            <color indexed="81"/>
            <rFont val="Tahoma"/>
            <family val="2"/>
          </rPr>
          <t xml:space="preserve">
Si délai de prévenance &lt;72h, saisir : O
</t>
        </r>
      </text>
    </comment>
    <comment ref="U53" authorId="1" shapeId="0" xr:uid="{00000000-0006-0000-0400-00001A000000}">
      <text>
        <r>
          <rPr>
            <b/>
            <sz val="9"/>
            <color indexed="81"/>
            <rFont val="Tahoma"/>
            <family val="2"/>
          </rPr>
          <t>SPL:</t>
        </r>
        <r>
          <rPr>
            <sz val="9"/>
            <color indexed="81"/>
            <rFont val="Tahoma"/>
            <family val="2"/>
          </rPr>
          <t xml:space="preserve">
Pause</t>
        </r>
      </text>
    </comment>
    <comment ref="V53" authorId="1" shapeId="0" xr:uid="{00000000-0006-0000-0400-00001B000000}">
      <text>
        <r>
          <rPr>
            <b/>
            <sz val="9"/>
            <color indexed="81"/>
            <rFont val="Tahoma"/>
            <family val="2"/>
          </rPr>
          <t>SPL:</t>
        </r>
        <r>
          <rPr>
            <sz val="9"/>
            <color indexed="81"/>
            <rFont val="Tahoma"/>
            <family val="2"/>
          </rPr>
          <t xml:space="preserve">
Réel Jour
</t>
        </r>
      </text>
    </comment>
    <comment ref="W53" authorId="1" shapeId="0" xr:uid="{00000000-0006-0000-0400-00001C000000}">
      <text>
        <r>
          <rPr>
            <b/>
            <sz val="9"/>
            <color indexed="81"/>
            <rFont val="Tahoma"/>
            <family val="2"/>
          </rPr>
          <t>SPL:</t>
        </r>
        <r>
          <rPr>
            <sz val="9"/>
            <color indexed="81"/>
            <rFont val="Tahoma"/>
            <family val="2"/>
          </rPr>
          <t xml:space="preserve">
Amplitude</t>
        </r>
      </text>
    </comment>
    <comment ref="X53" authorId="2" shapeId="0" xr:uid="{00000000-0006-0000-0400-00001D000000}">
      <text>
        <r>
          <rPr>
            <b/>
            <sz val="9"/>
            <color indexed="81"/>
            <rFont val="Tahoma"/>
            <family val="2"/>
          </rPr>
          <t>SPL:</t>
        </r>
        <r>
          <rPr>
            <sz val="9"/>
            <color indexed="81"/>
            <rFont val="Tahoma"/>
            <family val="2"/>
          </rPr>
          <t xml:space="preserve">
Pause si + 6 heures</t>
        </r>
      </text>
    </comment>
    <comment ref="Y53" authorId="1" shapeId="0" xr:uid="{00000000-0006-0000-0400-00001E000000}">
      <text>
        <r>
          <rPr>
            <b/>
            <sz val="9"/>
            <color indexed="81"/>
            <rFont val="Tahoma"/>
            <family val="2"/>
          </rPr>
          <t>SPL:</t>
        </r>
        <r>
          <rPr>
            <sz val="9"/>
            <color indexed="81"/>
            <rFont val="Tahoma"/>
            <family val="2"/>
          </rPr>
          <t xml:space="preserve">
Repos journalier
</t>
        </r>
      </text>
    </comment>
    <comment ref="S64" authorId="0" shapeId="0" xr:uid="{00000000-0006-0000-0400-00001F000000}">
      <text>
        <r>
          <rPr>
            <b/>
            <sz val="9"/>
            <color indexed="81"/>
            <rFont val="Tahoma"/>
            <family val="2"/>
          </rPr>
          <t>SPL:</t>
        </r>
        <r>
          <rPr>
            <sz val="9"/>
            <color indexed="81"/>
            <rFont val="Tahoma"/>
            <family val="2"/>
          </rPr>
          <t xml:space="preserve">
Si délai de prévenance &lt;72h, saisir : O
</t>
        </r>
      </text>
    </comment>
    <comment ref="U65" authorId="1" shapeId="0" xr:uid="{00000000-0006-0000-0400-000020000000}">
      <text>
        <r>
          <rPr>
            <b/>
            <sz val="9"/>
            <color indexed="81"/>
            <rFont val="Tahoma"/>
            <family val="2"/>
          </rPr>
          <t>SPL:</t>
        </r>
        <r>
          <rPr>
            <sz val="9"/>
            <color indexed="81"/>
            <rFont val="Tahoma"/>
            <family val="2"/>
          </rPr>
          <t xml:space="preserve">
Pause</t>
        </r>
      </text>
    </comment>
    <comment ref="V65" authorId="1" shapeId="0" xr:uid="{00000000-0006-0000-0400-000021000000}">
      <text>
        <r>
          <rPr>
            <b/>
            <sz val="9"/>
            <color indexed="81"/>
            <rFont val="Tahoma"/>
            <family val="2"/>
          </rPr>
          <t>SPL:</t>
        </r>
        <r>
          <rPr>
            <sz val="9"/>
            <color indexed="81"/>
            <rFont val="Tahoma"/>
            <family val="2"/>
          </rPr>
          <t xml:space="preserve">
Réel Jour
</t>
        </r>
      </text>
    </comment>
    <comment ref="W65" authorId="1" shapeId="0" xr:uid="{00000000-0006-0000-0400-000022000000}">
      <text>
        <r>
          <rPr>
            <b/>
            <sz val="9"/>
            <color indexed="81"/>
            <rFont val="Tahoma"/>
            <family val="2"/>
          </rPr>
          <t>SPL:</t>
        </r>
        <r>
          <rPr>
            <sz val="9"/>
            <color indexed="81"/>
            <rFont val="Tahoma"/>
            <family val="2"/>
          </rPr>
          <t xml:space="preserve">
Amplitude</t>
        </r>
      </text>
    </comment>
    <comment ref="X65" authorId="2" shapeId="0" xr:uid="{00000000-0006-0000-0400-000023000000}">
      <text>
        <r>
          <rPr>
            <b/>
            <sz val="9"/>
            <color indexed="81"/>
            <rFont val="Tahoma"/>
            <family val="2"/>
          </rPr>
          <t>SPL:</t>
        </r>
        <r>
          <rPr>
            <sz val="9"/>
            <color indexed="81"/>
            <rFont val="Tahoma"/>
            <family val="2"/>
          </rPr>
          <t xml:space="preserve">
Pause si + 6 heures</t>
        </r>
      </text>
    </comment>
    <comment ref="Y65" authorId="1" shapeId="0" xr:uid="{00000000-0006-0000-0400-000024000000}">
      <text>
        <r>
          <rPr>
            <b/>
            <sz val="9"/>
            <color indexed="81"/>
            <rFont val="Tahoma"/>
            <family val="2"/>
          </rPr>
          <t>SPL:</t>
        </r>
        <r>
          <rPr>
            <sz val="9"/>
            <color indexed="81"/>
            <rFont val="Tahoma"/>
            <family val="2"/>
          </rPr>
          <t xml:space="preserve">
Repos journalier
</t>
        </r>
      </text>
    </comment>
    <comment ref="S76" authorId="0" shapeId="0" xr:uid="{00000000-0006-0000-0400-000025000000}">
      <text>
        <r>
          <rPr>
            <b/>
            <sz val="9"/>
            <color indexed="81"/>
            <rFont val="Tahoma"/>
            <family val="2"/>
          </rPr>
          <t>SPL:</t>
        </r>
        <r>
          <rPr>
            <sz val="9"/>
            <color indexed="81"/>
            <rFont val="Tahoma"/>
            <family val="2"/>
          </rPr>
          <t xml:space="preserve">
Si délai de prévenance &lt;72h, saisir : O
</t>
        </r>
      </text>
    </comment>
    <comment ref="U77" authorId="1" shapeId="0" xr:uid="{00000000-0006-0000-0400-000026000000}">
      <text>
        <r>
          <rPr>
            <b/>
            <sz val="9"/>
            <color indexed="81"/>
            <rFont val="Tahoma"/>
            <family val="2"/>
          </rPr>
          <t>SPL:</t>
        </r>
        <r>
          <rPr>
            <sz val="9"/>
            <color indexed="81"/>
            <rFont val="Tahoma"/>
            <family val="2"/>
          </rPr>
          <t xml:space="preserve">
Pause</t>
        </r>
      </text>
    </comment>
    <comment ref="V77" authorId="1" shapeId="0" xr:uid="{00000000-0006-0000-0400-000027000000}">
      <text>
        <r>
          <rPr>
            <b/>
            <sz val="9"/>
            <color indexed="81"/>
            <rFont val="Tahoma"/>
            <family val="2"/>
          </rPr>
          <t>SPL:</t>
        </r>
        <r>
          <rPr>
            <sz val="9"/>
            <color indexed="81"/>
            <rFont val="Tahoma"/>
            <family val="2"/>
          </rPr>
          <t xml:space="preserve">
Réel Jour
</t>
        </r>
      </text>
    </comment>
    <comment ref="W77" authorId="1" shapeId="0" xr:uid="{00000000-0006-0000-0400-000028000000}">
      <text>
        <r>
          <rPr>
            <b/>
            <sz val="9"/>
            <color indexed="81"/>
            <rFont val="Tahoma"/>
            <family val="2"/>
          </rPr>
          <t>SPL:</t>
        </r>
        <r>
          <rPr>
            <sz val="9"/>
            <color indexed="81"/>
            <rFont val="Tahoma"/>
            <family val="2"/>
          </rPr>
          <t xml:space="preserve">
Amplitude</t>
        </r>
      </text>
    </comment>
    <comment ref="X77" authorId="2" shapeId="0" xr:uid="{00000000-0006-0000-0400-000029000000}">
      <text>
        <r>
          <rPr>
            <b/>
            <sz val="9"/>
            <color indexed="81"/>
            <rFont val="Tahoma"/>
            <family val="2"/>
          </rPr>
          <t>SPL:</t>
        </r>
        <r>
          <rPr>
            <sz val="9"/>
            <color indexed="81"/>
            <rFont val="Tahoma"/>
            <family val="2"/>
          </rPr>
          <t xml:space="preserve">
Pause si + 6 heures</t>
        </r>
      </text>
    </comment>
    <comment ref="Y77" authorId="1" shapeId="0" xr:uid="{00000000-0006-0000-0400-00002A000000}">
      <text>
        <r>
          <rPr>
            <b/>
            <sz val="9"/>
            <color indexed="81"/>
            <rFont val="Tahoma"/>
            <family val="2"/>
          </rPr>
          <t>SPL:</t>
        </r>
        <r>
          <rPr>
            <sz val="9"/>
            <color indexed="81"/>
            <rFont val="Tahoma"/>
            <family val="2"/>
          </rPr>
          <t xml:space="preserve">
Repos journalier
</t>
        </r>
      </text>
    </comment>
    <comment ref="S88" authorId="0" shapeId="0" xr:uid="{00000000-0006-0000-0400-00002B000000}">
      <text>
        <r>
          <rPr>
            <b/>
            <sz val="9"/>
            <color indexed="81"/>
            <rFont val="Tahoma"/>
            <family val="2"/>
          </rPr>
          <t>SPL:</t>
        </r>
        <r>
          <rPr>
            <sz val="9"/>
            <color indexed="81"/>
            <rFont val="Tahoma"/>
            <family val="2"/>
          </rPr>
          <t xml:space="preserve">
Si délai de prévenance &lt;72h, saisir : O
</t>
        </r>
      </text>
    </comment>
    <comment ref="U89" authorId="1" shapeId="0" xr:uid="{00000000-0006-0000-0400-00002C000000}">
      <text>
        <r>
          <rPr>
            <b/>
            <sz val="9"/>
            <color indexed="81"/>
            <rFont val="Tahoma"/>
            <family val="2"/>
          </rPr>
          <t>SPL:</t>
        </r>
        <r>
          <rPr>
            <sz val="9"/>
            <color indexed="81"/>
            <rFont val="Tahoma"/>
            <family val="2"/>
          </rPr>
          <t xml:space="preserve">
Pause</t>
        </r>
      </text>
    </comment>
    <comment ref="V89" authorId="1" shapeId="0" xr:uid="{00000000-0006-0000-0400-00002D000000}">
      <text>
        <r>
          <rPr>
            <b/>
            <sz val="9"/>
            <color indexed="81"/>
            <rFont val="Tahoma"/>
            <family val="2"/>
          </rPr>
          <t>SPL:</t>
        </r>
        <r>
          <rPr>
            <sz val="9"/>
            <color indexed="81"/>
            <rFont val="Tahoma"/>
            <family val="2"/>
          </rPr>
          <t xml:space="preserve">
Réel Jour
</t>
        </r>
      </text>
    </comment>
    <comment ref="W89" authorId="1" shapeId="0" xr:uid="{00000000-0006-0000-0400-00002E000000}">
      <text>
        <r>
          <rPr>
            <b/>
            <sz val="9"/>
            <color indexed="81"/>
            <rFont val="Tahoma"/>
            <family val="2"/>
          </rPr>
          <t>SPL:</t>
        </r>
        <r>
          <rPr>
            <sz val="9"/>
            <color indexed="81"/>
            <rFont val="Tahoma"/>
            <family val="2"/>
          </rPr>
          <t xml:space="preserve">
Amplitude</t>
        </r>
      </text>
    </comment>
    <comment ref="X89" authorId="2" shapeId="0" xr:uid="{00000000-0006-0000-0400-00002F000000}">
      <text>
        <r>
          <rPr>
            <b/>
            <sz val="9"/>
            <color indexed="81"/>
            <rFont val="Tahoma"/>
            <family val="2"/>
          </rPr>
          <t>SPL:</t>
        </r>
        <r>
          <rPr>
            <sz val="9"/>
            <color indexed="81"/>
            <rFont val="Tahoma"/>
            <family val="2"/>
          </rPr>
          <t xml:space="preserve">
Pause si + 6 heures</t>
        </r>
      </text>
    </comment>
    <comment ref="Y89" authorId="1" shapeId="0" xr:uid="{00000000-0006-0000-0400-000030000000}">
      <text>
        <r>
          <rPr>
            <b/>
            <sz val="9"/>
            <color indexed="81"/>
            <rFont val="Tahoma"/>
            <family val="2"/>
          </rPr>
          <t>SPL:</t>
        </r>
        <r>
          <rPr>
            <sz val="9"/>
            <color indexed="81"/>
            <rFont val="Tahoma"/>
            <family val="2"/>
          </rPr>
          <t xml:space="preserve">
Repos journalier
</t>
        </r>
      </text>
    </comment>
    <comment ref="S100" authorId="0" shapeId="0" xr:uid="{00000000-0006-0000-0400-000031000000}">
      <text>
        <r>
          <rPr>
            <b/>
            <sz val="9"/>
            <color indexed="81"/>
            <rFont val="Tahoma"/>
            <family val="2"/>
          </rPr>
          <t>SPL:</t>
        </r>
        <r>
          <rPr>
            <sz val="9"/>
            <color indexed="81"/>
            <rFont val="Tahoma"/>
            <family val="2"/>
          </rPr>
          <t xml:space="preserve">
Si délai de prévenance &lt;72h, saisir : O
</t>
        </r>
      </text>
    </comment>
    <comment ref="U101" authorId="1" shapeId="0" xr:uid="{00000000-0006-0000-0400-000032000000}">
      <text>
        <r>
          <rPr>
            <b/>
            <sz val="9"/>
            <color indexed="81"/>
            <rFont val="Tahoma"/>
            <family val="2"/>
          </rPr>
          <t>SPL:</t>
        </r>
        <r>
          <rPr>
            <sz val="9"/>
            <color indexed="81"/>
            <rFont val="Tahoma"/>
            <family val="2"/>
          </rPr>
          <t xml:space="preserve">
Pause</t>
        </r>
      </text>
    </comment>
    <comment ref="V101" authorId="1" shapeId="0" xr:uid="{00000000-0006-0000-0400-000033000000}">
      <text>
        <r>
          <rPr>
            <b/>
            <sz val="9"/>
            <color indexed="81"/>
            <rFont val="Tahoma"/>
            <family val="2"/>
          </rPr>
          <t>SPL:</t>
        </r>
        <r>
          <rPr>
            <sz val="9"/>
            <color indexed="81"/>
            <rFont val="Tahoma"/>
            <family val="2"/>
          </rPr>
          <t xml:space="preserve">
Réel Jour
</t>
        </r>
      </text>
    </comment>
    <comment ref="W101" authorId="1" shapeId="0" xr:uid="{00000000-0006-0000-0400-000034000000}">
      <text>
        <r>
          <rPr>
            <b/>
            <sz val="9"/>
            <color indexed="81"/>
            <rFont val="Tahoma"/>
            <family val="2"/>
          </rPr>
          <t>SPL:</t>
        </r>
        <r>
          <rPr>
            <sz val="9"/>
            <color indexed="81"/>
            <rFont val="Tahoma"/>
            <family val="2"/>
          </rPr>
          <t xml:space="preserve">
Amplitude</t>
        </r>
      </text>
    </comment>
    <comment ref="X101" authorId="2" shapeId="0" xr:uid="{00000000-0006-0000-0400-000035000000}">
      <text>
        <r>
          <rPr>
            <b/>
            <sz val="9"/>
            <color indexed="81"/>
            <rFont val="Tahoma"/>
            <family val="2"/>
          </rPr>
          <t>SPL:</t>
        </r>
        <r>
          <rPr>
            <sz val="9"/>
            <color indexed="81"/>
            <rFont val="Tahoma"/>
            <family val="2"/>
          </rPr>
          <t xml:space="preserve">
Pause si + 6 heures</t>
        </r>
      </text>
    </comment>
    <comment ref="Y101" authorId="1" shapeId="0" xr:uid="{00000000-0006-0000-0400-000036000000}">
      <text>
        <r>
          <rPr>
            <b/>
            <sz val="9"/>
            <color indexed="81"/>
            <rFont val="Tahoma"/>
            <family val="2"/>
          </rPr>
          <t>SPL:</t>
        </r>
        <r>
          <rPr>
            <sz val="9"/>
            <color indexed="81"/>
            <rFont val="Tahoma"/>
            <family val="2"/>
          </rPr>
          <t xml:space="preserve">
Repos journalier
</t>
        </r>
      </text>
    </comment>
    <comment ref="S112" authorId="0" shapeId="0" xr:uid="{00000000-0006-0000-0400-000037000000}">
      <text>
        <r>
          <rPr>
            <b/>
            <sz val="9"/>
            <color indexed="81"/>
            <rFont val="Tahoma"/>
            <family val="2"/>
          </rPr>
          <t>SPL:</t>
        </r>
        <r>
          <rPr>
            <sz val="9"/>
            <color indexed="81"/>
            <rFont val="Tahoma"/>
            <family val="2"/>
          </rPr>
          <t xml:space="preserve">
Si délai de prévenance &lt;72h, saisir : O
</t>
        </r>
      </text>
    </comment>
    <comment ref="U113" authorId="1" shapeId="0" xr:uid="{00000000-0006-0000-0400-000038000000}">
      <text>
        <r>
          <rPr>
            <b/>
            <sz val="9"/>
            <color indexed="81"/>
            <rFont val="Tahoma"/>
            <family val="2"/>
          </rPr>
          <t>SPL:</t>
        </r>
        <r>
          <rPr>
            <sz val="9"/>
            <color indexed="81"/>
            <rFont val="Tahoma"/>
            <family val="2"/>
          </rPr>
          <t xml:space="preserve">
Pause</t>
        </r>
      </text>
    </comment>
    <comment ref="V113" authorId="1" shapeId="0" xr:uid="{00000000-0006-0000-0400-000039000000}">
      <text>
        <r>
          <rPr>
            <b/>
            <sz val="9"/>
            <color indexed="81"/>
            <rFont val="Tahoma"/>
            <family val="2"/>
          </rPr>
          <t>SPL:</t>
        </r>
        <r>
          <rPr>
            <sz val="9"/>
            <color indexed="81"/>
            <rFont val="Tahoma"/>
            <family val="2"/>
          </rPr>
          <t xml:space="preserve">
Réel Jour
</t>
        </r>
      </text>
    </comment>
    <comment ref="W113" authorId="1" shapeId="0" xr:uid="{00000000-0006-0000-0400-00003A000000}">
      <text>
        <r>
          <rPr>
            <b/>
            <sz val="9"/>
            <color indexed="81"/>
            <rFont val="Tahoma"/>
            <family val="2"/>
          </rPr>
          <t>SPL:</t>
        </r>
        <r>
          <rPr>
            <sz val="9"/>
            <color indexed="81"/>
            <rFont val="Tahoma"/>
            <family val="2"/>
          </rPr>
          <t xml:space="preserve">
Amplitude</t>
        </r>
      </text>
    </comment>
    <comment ref="X113" authorId="2" shapeId="0" xr:uid="{00000000-0006-0000-0400-00003B000000}">
      <text>
        <r>
          <rPr>
            <b/>
            <sz val="9"/>
            <color indexed="81"/>
            <rFont val="Tahoma"/>
            <family val="2"/>
          </rPr>
          <t>SPL:</t>
        </r>
        <r>
          <rPr>
            <sz val="9"/>
            <color indexed="81"/>
            <rFont val="Tahoma"/>
            <family val="2"/>
          </rPr>
          <t xml:space="preserve">
Pause si + 6 heures</t>
        </r>
      </text>
    </comment>
    <comment ref="Y113" authorId="1" shapeId="0" xr:uid="{00000000-0006-0000-0400-00003C000000}">
      <text>
        <r>
          <rPr>
            <b/>
            <sz val="9"/>
            <color indexed="81"/>
            <rFont val="Tahoma"/>
            <family val="2"/>
          </rPr>
          <t>SPL:</t>
        </r>
        <r>
          <rPr>
            <sz val="9"/>
            <color indexed="81"/>
            <rFont val="Tahoma"/>
            <family val="2"/>
          </rPr>
          <t xml:space="preserve">
Repos journalier
</t>
        </r>
      </text>
    </comment>
    <comment ref="S124" authorId="0" shapeId="0" xr:uid="{00000000-0006-0000-0400-00003D000000}">
      <text>
        <r>
          <rPr>
            <b/>
            <sz val="9"/>
            <color indexed="81"/>
            <rFont val="Tahoma"/>
            <family val="2"/>
          </rPr>
          <t>SPL:</t>
        </r>
        <r>
          <rPr>
            <sz val="9"/>
            <color indexed="81"/>
            <rFont val="Tahoma"/>
            <family val="2"/>
          </rPr>
          <t xml:space="preserve">
Si délai de prévenance &lt;72h, saisir : O
</t>
        </r>
      </text>
    </comment>
    <comment ref="U125" authorId="1" shapeId="0" xr:uid="{00000000-0006-0000-0400-00003E000000}">
      <text>
        <r>
          <rPr>
            <b/>
            <sz val="9"/>
            <color indexed="81"/>
            <rFont val="Tahoma"/>
            <family val="2"/>
          </rPr>
          <t>SPL:</t>
        </r>
        <r>
          <rPr>
            <sz val="9"/>
            <color indexed="81"/>
            <rFont val="Tahoma"/>
            <family val="2"/>
          </rPr>
          <t xml:space="preserve">
Pause</t>
        </r>
      </text>
    </comment>
    <comment ref="V125" authorId="1" shapeId="0" xr:uid="{00000000-0006-0000-0400-00003F000000}">
      <text>
        <r>
          <rPr>
            <b/>
            <sz val="9"/>
            <color indexed="81"/>
            <rFont val="Tahoma"/>
            <family val="2"/>
          </rPr>
          <t>SPL:</t>
        </r>
        <r>
          <rPr>
            <sz val="9"/>
            <color indexed="81"/>
            <rFont val="Tahoma"/>
            <family val="2"/>
          </rPr>
          <t xml:space="preserve">
Réel Jour
</t>
        </r>
      </text>
    </comment>
    <comment ref="W125" authorId="1" shapeId="0" xr:uid="{00000000-0006-0000-0400-000040000000}">
      <text>
        <r>
          <rPr>
            <b/>
            <sz val="9"/>
            <color indexed="81"/>
            <rFont val="Tahoma"/>
            <family val="2"/>
          </rPr>
          <t>SPL:</t>
        </r>
        <r>
          <rPr>
            <sz val="9"/>
            <color indexed="81"/>
            <rFont val="Tahoma"/>
            <family val="2"/>
          </rPr>
          <t xml:space="preserve">
Amplitude</t>
        </r>
      </text>
    </comment>
    <comment ref="X125" authorId="2" shapeId="0" xr:uid="{00000000-0006-0000-0400-000041000000}">
      <text>
        <r>
          <rPr>
            <b/>
            <sz val="9"/>
            <color indexed="81"/>
            <rFont val="Tahoma"/>
            <family val="2"/>
          </rPr>
          <t>SPL:</t>
        </r>
        <r>
          <rPr>
            <sz val="9"/>
            <color indexed="81"/>
            <rFont val="Tahoma"/>
            <family val="2"/>
          </rPr>
          <t xml:space="preserve">
Pause si + 6 heures</t>
        </r>
      </text>
    </comment>
    <comment ref="Y125" authorId="1" shapeId="0" xr:uid="{00000000-0006-0000-0400-000042000000}">
      <text>
        <r>
          <rPr>
            <b/>
            <sz val="9"/>
            <color indexed="81"/>
            <rFont val="Tahoma"/>
            <family val="2"/>
          </rPr>
          <t>SPL:</t>
        </r>
        <r>
          <rPr>
            <sz val="9"/>
            <color indexed="81"/>
            <rFont val="Tahoma"/>
            <family val="2"/>
          </rPr>
          <t xml:space="preserve">
Repos journalier
</t>
        </r>
      </text>
    </comment>
    <comment ref="S136" authorId="0" shapeId="0" xr:uid="{00000000-0006-0000-0400-000043000000}">
      <text>
        <r>
          <rPr>
            <b/>
            <sz val="9"/>
            <color indexed="81"/>
            <rFont val="Tahoma"/>
            <family val="2"/>
          </rPr>
          <t>SPL:</t>
        </r>
        <r>
          <rPr>
            <sz val="9"/>
            <color indexed="81"/>
            <rFont val="Tahoma"/>
            <family val="2"/>
          </rPr>
          <t xml:space="preserve">
Si délai de prévenance &lt;72h, saisir : O
</t>
        </r>
      </text>
    </comment>
    <comment ref="U137" authorId="1" shapeId="0" xr:uid="{00000000-0006-0000-0400-000044000000}">
      <text>
        <r>
          <rPr>
            <b/>
            <sz val="9"/>
            <color indexed="81"/>
            <rFont val="Tahoma"/>
            <family val="2"/>
          </rPr>
          <t>SPL:</t>
        </r>
        <r>
          <rPr>
            <sz val="9"/>
            <color indexed="81"/>
            <rFont val="Tahoma"/>
            <family val="2"/>
          </rPr>
          <t xml:space="preserve">
Pause</t>
        </r>
      </text>
    </comment>
    <comment ref="V137" authorId="1" shapeId="0" xr:uid="{00000000-0006-0000-0400-000045000000}">
      <text>
        <r>
          <rPr>
            <b/>
            <sz val="9"/>
            <color indexed="81"/>
            <rFont val="Tahoma"/>
            <family val="2"/>
          </rPr>
          <t>SPL:</t>
        </r>
        <r>
          <rPr>
            <sz val="9"/>
            <color indexed="81"/>
            <rFont val="Tahoma"/>
            <family val="2"/>
          </rPr>
          <t xml:space="preserve">
Réel Jour
</t>
        </r>
      </text>
    </comment>
    <comment ref="W137" authorId="1" shapeId="0" xr:uid="{00000000-0006-0000-0400-000046000000}">
      <text>
        <r>
          <rPr>
            <b/>
            <sz val="9"/>
            <color indexed="81"/>
            <rFont val="Tahoma"/>
            <family val="2"/>
          </rPr>
          <t>SPL:</t>
        </r>
        <r>
          <rPr>
            <sz val="9"/>
            <color indexed="81"/>
            <rFont val="Tahoma"/>
            <family val="2"/>
          </rPr>
          <t xml:space="preserve">
Amplitude</t>
        </r>
      </text>
    </comment>
    <comment ref="X137" authorId="2" shapeId="0" xr:uid="{00000000-0006-0000-0400-000047000000}">
      <text>
        <r>
          <rPr>
            <b/>
            <sz val="9"/>
            <color indexed="81"/>
            <rFont val="Tahoma"/>
            <family val="2"/>
          </rPr>
          <t>SPL:</t>
        </r>
        <r>
          <rPr>
            <sz val="9"/>
            <color indexed="81"/>
            <rFont val="Tahoma"/>
            <family val="2"/>
          </rPr>
          <t xml:space="preserve">
Pause si + 6 heures</t>
        </r>
      </text>
    </comment>
    <comment ref="Y137" authorId="1" shapeId="0" xr:uid="{00000000-0006-0000-0400-000048000000}">
      <text>
        <r>
          <rPr>
            <b/>
            <sz val="9"/>
            <color indexed="81"/>
            <rFont val="Tahoma"/>
            <family val="2"/>
          </rPr>
          <t>SPL:</t>
        </r>
        <r>
          <rPr>
            <sz val="9"/>
            <color indexed="81"/>
            <rFont val="Tahoma"/>
            <family val="2"/>
          </rPr>
          <t xml:space="preserve">
Repos journalier
</t>
        </r>
      </text>
    </comment>
    <comment ref="S148" authorId="0" shapeId="0" xr:uid="{00000000-0006-0000-0400-000049000000}">
      <text>
        <r>
          <rPr>
            <b/>
            <sz val="9"/>
            <color indexed="81"/>
            <rFont val="Tahoma"/>
            <family val="2"/>
          </rPr>
          <t>SPL:</t>
        </r>
        <r>
          <rPr>
            <sz val="9"/>
            <color indexed="81"/>
            <rFont val="Tahoma"/>
            <family val="2"/>
          </rPr>
          <t xml:space="preserve">
Si délai de prévenance &lt;72h, saisir : O
</t>
        </r>
      </text>
    </comment>
    <comment ref="U149" authorId="1" shapeId="0" xr:uid="{00000000-0006-0000-0400-00004A000000}">
      <text>
        <r>
          <rPr>
            <b/>
            <sz val="9"/>
            <color indexed="81"/>
            <rFont val="Tahoma"/>
            <family val="2"/>
          </rPr>
          <t>SPL:</t>
        </r>
        <r>
          <rPr>
            <sz val="9"/>
            <color indexed="81"/>
            <rFont val="Tahoma"/>
            <family val="2"/>
          </rPr>
          <t xml:space="preserve">
Pause</t>
        </r>
      </text>
    </comment>
    <comment ref="V149" authorId="1" shapeId="0" xr:uid="{00000000-0006-0000-0400-00004B000000}">
      <text>
        <r>
          <rPr>
            <b/>
            <sz val="9"/>
            <color indexed="81"/>
            <rFont val="Tahoma"/>
            <family val="2"/>
          </rPr>
          <t>SPL:</t>
        </r>
        <r>
          <rPr>
            <sz val="9"/>
            <color indexed="81"/>
            <rFont val="Tahoma"/>
            <family val="2"/>
          </rPr>
          <t xml:space="preserve">
Réel Jour
</t>
        </r>
      </text>
    </comment>
    <comment ref="W149" authorId="1" shapeId="0" xr:uid="{00000000-0006-0000-0400-00004C000000}">
      <text>
        <r>
          <rPr>
            <b/>
            <sz val="9"/>
            <color indexed="81"/>
            <rFont val="Tahoma"/>
            <family val="2"/>
          </rPr>
          <t>SPL:</t>
        </r>
        <r>
          <rPr>
            <sz val="9"/>
            <color indexed="81"/>
            <rFont val="Tahoma"/>
            <family val="2"/>
          </rPr>
          <t xml:space="preserve">
Amplitude</t>
        </r>
      </text>
    </comment>
    <comment ref="X149" authorId="2" shapeId="0" xr:uid="{00000000-0006-0000-0400-00004D000000}">
      <text>
        <r>
          <rPr>
            <b/>
            <sz val="9"/>
            <color indexed="81"/>
            <rFont val="Tahoma"/>
            <family val="2"/>
          </rPr>
          <t>SPL:</t>
        </r>
        <r>
          <rPr>
            <sz val="9"/>
            <color indexed="81"/>
            <rFont val="Tahoma"/>
            <family val="2"/>
          </rPr>
          <t xml:space="preserve">
Pause si + 6 heures</t>
        </r>
      </text>
    </comment>
    <comment ref="Y149" authorId="1" shapeId="0" xr:uid="{00000000-0006-0000-0400-00004E000000}">
      <text>
        <r>
          <rPr>
            <b/>
            <sz val="9"/>
            <color indexed="81"/>
            <rFont val="Tahoma"/>
            <family val="2"/>
          </rPr>
          <t>SPL:</t>
        </r>
        <r>
          <rPr>
            <sz val="9"/>
            <color indexed="81"/>
            <rFont val="Tahoma"/>
            <family val="2"/>
          </rPr>
          <t xml:space="preserve">
Repos journalier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JAP</author>
    <author>Compta2</author>
    <author>Florent</author>
  </authors>
  <commentList>
    <comment ref="S4" authorId="0" shapeId="0" xr:uid="{00000000-0006-0000-0500-000001000000}">
      <text>
        <r>
          <rPr>
            <b/>
            <sz val="9"/>
            <color indexed="81"/>
            <rFont val="Tahoma"/>
            <family val="2"/>
          </rPr>
          <t>SPL:</t>
        </r>
        <r>
          <rPr>
            <sz val="9"/>
            <color indexed="81"/>
            <rFont val="Tahoma"/>
            <family val="2"/>
          </rPr>
          <t xml:space="preserve">
Si délai de prévenance &lt;72h, saisir : O
</t>
        </r>
      </text>
    </comment>
    <comment ref="U5" authorId="1" shapeId="0" xr:uid="{00000000-0006-0000-0500-000002000000}">
      <text>
        <r>
          <rPr>
            <b/>
            <sz val="9"/>
            <color indexed="81"/>
            <rFont val="Tahoma"/>
            <family val="2"/>
          </rPr>
          <t>SPL:</t>
        </r>
        <r>
          <rPr>
            <sz val="9"/>
            <color indexed="81"/>
            <rFont val="Tahoma"/>
            <family val="2"/>
          </rPr>
          <t xml:space="preserve">
Pause</t>
        </r>
      </text>
    </comment>
    <comment ref="V5" authorId="1" shapeId="0" xr:uid="{00000000-0006-0000-0500-000003000000}">
      <text>
        <r>
          <rPr>
            <b/>
            <sz val="9"/>
            <color indexed="81"/>
            <rFont val="Tahoma"/>
            <family val="2"/>
          </rPr>
          <t>SPL:</t>
        </r>
        <r>
          <rPr>
            <sz val="9"/>
            <color indexed="81"/>
            <rFont val="Tahoma"/>
            <family val="2"/>
          </rPr>
          <t xml:space="preserve">
Réel Jour
</t>
        </r>
      </text>
    </comment>
    <comment ref="W5" authorId="1" shapeId="0" xr:uid="{00000000-0006-0000-0500-000004000000}">
      <text>
        <r>
          <rPr>
            <b/>
            <sz val="9"/>
            <color indexed="81"/>
            <rFont val="Tahoma"/>
            <family val="2"/>
          </rPr>
          <t>SPL:</t>
        </r>
        <r>
          <rPr>
            <sz val="9"/>
            <color indexed="81"/>
            <rFont val="Tahoma"/>
            <family val="2"/>
          </rPr>
          <t xml:space="preserve">
Amplitude</t>
        </r>
      </text>
    </comment>
    <comment ref="X5" authorId="2" shapeId="0" xr:uid="{00000000-0006-0000-0500-000005000000}">
      <text>
        <r>
          <rPr>
            <b/>
            <sz val="9"/>
            <color indexed="81"/>
            <rFont val="Tahoma"/>
            <family val="2"/>
          </rPr>
          <t>SPL:</t>
        </r>
        <r>
          <rPr>
            <sz val="9"/>
            <color indexed="81"/>
            <rFont val="Tahoma"/>
            <family val="2"/>
          </rPr>
          <t xml:space="preserve">
Pause si + 6 heures</t>
        </r>
      </text>
    </comment>
    <comment ref="Y5" authorId="1" shapeId="0" xr:uid="{00000000-0006-0000-0500-000006000000}">
      <text>
        <r>
          <rPr>
            <b/>
            <sz val="9"/>
            <color indexed="81"/>
            <rFont val="Tahoma"/>
            <family val="2"/>
          </rPr>
          <t>SPL:</t>
        </r>
        <r>
          <rPr>
            <sz val="9"/>
            <color indexed="81"/>
            <rFont val="Tahoma"/>
            <family val="2"/>
          </rPr>
          <t xml:space="preserve">
Repos journalier
</t>
        </r>
      </text>
    </comment>
    <comment ref="S16" authorId="0" shapeId="0" xr:uid="{00000000-0006-0000-0500-000007000000}">
      <text>
        <r>
          <rPr>
            <b/>
            <sz val="9"/>
            <color indexed="81"/>
            <rFont val="Tahoma"/>
            <family val="2"/>
          </rPr>
          <t>SPL:</t>
        </r>
        <r>
          <rPr>
            <sz val="9"/>
            <color indexed="81"/>
            <rFont val="Tahoma"/>
            <family val="2"/>
          </rPr>
          <t xml:space="preserve">
Si délai de prévenance &lt;72h, saisir : O
</t>
        </r>
      </text>
    </comment>
    <comment ref="U17" authorId="1" shapeId="0" xr:uid="{00000000-0006-0000-0500-000008000000}">
      <text>
        <r>
          <rPr>
            <b/>
            <sz val="9"/>
            <color indexed="81"/>
            <rFont val="Tahoma"/>
            <family val="2"/>
          </rPr>
          <t>SPL:</t>
        </r>
        <r>
          <rPr>
            <sz val="9"/>
            <color indexed="81"/>
            <rFont val="Tahoma"/>
            <family val="2"/>
          </rPr>
          <t xml:space="preserve">
Pause</t>
        </r>
      </text>
    </comment>
    <comment ref="V17" authorId="1" shapeId="0" xr:uid="{00000000-0006-0000-0500-000009000000}">
      <text>
        <r>
          <rPr>
            <b/>
            <sz val="9"/>
            <color indexed="81"/>
            <rFont val="Tahoma"/>
            <family val="2"/>
          </rPr>
          <t>SPL:</t>
        </r>
        <r>
          <rPr>
            <sz val="9"/>
            <color indexed="81"/>
            <rFont val="Tahoma"/>
            <family val="2"/>
          </rPr>
          <t xml:space="preserve">
Réel Jour
</t>
        </r>
      </text>
    </comment>
    <comment ref="W17" authorId="1" shapeId="0" xr:uid="{00000000-0006-0000-0500-00000A000000}">
      <text>
        <r>
          <rPr>
            <b/>
            <sz val="9"/>
            <color indexed="81"/>
            <rFont val="Tahoma"/>
            <family val="2"/>
          </rPr>
          <t>SPL:</t>
        </r>
        <r>
          <rPr>
            <sz val="9"/>
            <color indexed="81"/>
            <rFont val="Tahoma"/>
            <family val="2"/>
          </rPr>
          <t xml:space="preserve">
Amplitude</t>
        </r>
      </text>
    </comment>
    <comment ref="X17" authorId="2" shapeId="0" xr:uid="{00000000-0006-0000-0500-00000B000000}">
      <text>
        <r>
          <rPr>
            <b/>
            <sz val="9"/>
            <color indexed="81"/>
            <rFont val="Tahoma"/>
            <family val="2"/>
          </rPr>
          <t>SPL:</t>
        </r>
        <r>
          <rPr>
            <sz val="9"/>
            <color indexed="81"/>
            <rFont val="Tahoma"/>
            <family val="2"/>
          </rPr>
          <t xml:space="preserve">
Pause si + 6 heures</t>
        </r>
      </text>
    </comment>
    <comment ref="Y17" authorId="1" shapeId="0" xr:uid="{00000000-0006-0000-0500-00000C000000}">
      <text>
        <r>
          <rPr>
            <b/>
            <sz val="9"/>
            <color indexed="81"/>
            <rFont val="Tahoma"/>
            <family val="2"/>
          </rPr>
          <t>SPL:</t>
        </r>
        <r>
          <rPr>
            <sz val="9"/>
            <color indexed="81"/>
            <rFont val="Tahoma"/>
            <family val="2"/>
          </rPr>
          <t xml:space="preserve">
Repos journalier
</t>
        </r>
      </text>
    </comment>
    <comment ref="S28" authorId="0" shapeId="0" xr:uid="{00000000-0006-0000-0500-00000D000000}">
      <text>
        <r>
          <rPr>
            <b/>
            <sz val="9"/>
            <color indexed="81"/>
            <rFont val="Tahoma"/>
            <family val="2"/>
          </rPr>
          <t>SPL:</t>
        </r>
        <r>
          <rPr>
            <sz val="9"/>
            <color indexed="81"/>
            <rFont val="Tahoma"/>
            <family val="2"/>
          </rPr>
          <t xml:space="preserve">
Si délai de prévenance &lt;72h, saisir : O
</t>
        </r>
      </text>
    </comment>
    <comment ref="U29" authorId="1" shapeId="0" xr:uid="{00000000-0006-0000-0500-00000E000000}">
      <text>
        <r>
          <rPr>
            <b/>
            <sz val="9"/>
            <color indexed="81"/>
            <rFont val="Tahoma"/>
            <family val="2"/>
          </rPr>
          <t>SPL:</t>
        </r>
        <r>
          <rPr>
            <sz val="9"/>
            <color indexed="81"/>
            <rFont val="Tahoma"/>
            <family val="2"/>
          </rPr>
          <t xml:space="preserve">
Pause</t>
        </r>
      </text>
    </comment>
    <comment ref="V29" authorId="1" shapeId="0" xr:uid="{00000000-0006-0000-0500-00000F000000}">
      <text>
        <r>
          <rPr>
            <b/>
            <sz val="9"/>
            <color indexed="81"/>
            <rFont val="Tahoma"/>
            <family val="2"/>
          </rPr>
          <t>SPL:</t>
        </r>
        <r>
          <rPr>
            <sz val="9"/>
            <color indexed="81"/>
            <rFont val="Tahoma"/>
            <family val="2"/>
          </rPr>
          <t xml:space="preserve">
Réel Jour
</t>
        </r>
      </text>
    </comment>
    <comment ref="W29" authorId="1" shapeId="0" xr:uid="{00000000-0006-0000-0500-000010000000}">
      <text>
        <r>
          <rPr>
            <b/>
            <sz val="9"/>
            <color indexed="81"/>
            <rFont val="Tahoma"/>
            <family val="2"/>
          </rPr>
          <t>SPL:</t>
        </r>
        <r>
          <rPr>
            <sz val="9"/>
            <color indexed="81"/>
            <rFont val="Tahoma"/>
            <family val="2"/>
          </rPr>
          <t xml:space="preserve">
Amplitude</t>
        </r>
      </text>
    </comment>
    <comment ref="X29" authorId="2" shapeId="0" xr:uid="{00000000-0006-0000-0500-000011000000}">
      <text>
        <r>
          <rPr>
            <b/>
            <sz val="9"/>
            <color indexed="81"/>
            <rFont val="Tahoma"/>
            <family val="2"/>
          </rPr>
          <t>SPL:</t>
        </r>
        <r>
          <rPr>
            <sz val="9"/>
            <color indexed="81"/>
            <rFont val="Tahoma"/>
            <family val="2"/>
          </rPr>
          <t xml:space="preserve">
Pause si + 6 heures</t>
        </r>
      </text>
    </comment>
    <comment ref="Y29" authorId="1" shapeId="0" xr:uid="{00000000-0006-0000-0500-000012000000}">
      <text>
        <r>
          <rPr>
            <b/>
            <sz val="9"/>
            <color indexed="81"/>
            <rFont val="Tahoma"/>
            <family val="2"/>
          </rPr>
          <t>SPL:</t>
        </r>
        <r>
          <rPr>
            <sz val="9"/>
            <color indexed="81"/>
            <rFont val="Tahoma"/>
            <family val="2"/>
          </rPr>
          <t xml:space="preserve">
Repos journalier
</t>
        </r>
      </text>
    </comment>
    <comment ref="S40" authorId="0" shapeId="0" xr:uid="{00000000-0006-0000-0500-000013000000}">
      <text>
        <r>
          <rPr>
            <b/>
            <sz val="9"/>
            <color indexed="81"/>
            <rFont val="Tahoma"/>
            <family val="2"/>
          </rPr>
          <t>SPL:</t>
        </r>
        <r>
          <rPr>
            <sz val="9"/>
            <color indexed="81"/>
            <rFont val="Tahoma"/>
            <family val="2"/>
          </rPr>
          <t xml:space="preserve">
Si délai de prévenance &lt;72h, saisir : O
</t>
        </r>
      </text>
    </comment>
    <comment ref="U41" authorId="1" shapeId="0" xr:uid="{00000000-0006-0000-0500-000014000000}">
      <text>
        <r>
          <rPr>
            <b/>
            <sz val="9"/>
            <color indexed="81"/>
            <rFont val="Tahoma"/>
            <family val="2"/>
          </rPr>
          <t>SPL:</t>
        </r>
        <r>
          <rPr>
            <sz val="9"/>
            <color indexed="81"/>
            <rFont val="Tahoma"/>
            <family val="2"/>
          </rPr>
          <t xml:space="preserve">
Pause</t>
        </r>
      </text>
    </comment>
    <comment ref="V41" authorId="1" shapeId="0" xr:uid="{00000000-0006-0000-0500-000015000000}">
      <text>
        <r>
          <rPr>
            <b/>
            <sz val="9"/>
            <color indexed="81"/>
            <rFont val="Tahoma"/>
            <family val="2"/>
          </rPr>
          <t>SPL:</t>
        </r>
        <r>
          <rPr>
            <sz val="9"/>
            <color indexed="81"/>
            <rFont val="Tahoma"/>
            <family val="2"/>
          </rPr>
          <t xml:space="preserve">
Réel Jour
</t>
        </r>
      </text>
    </comment>
    <comment ref="W41" authorId="1" shapeId="0" xr:uid="{00000000-0006-0000-0500-000016000000}">
      <text>
        <r>
          <rPr>
            <b/>
            <sz val="9"/>
            <color indexed="81"/>
            <rFont val="Tahoma"/>
            <family val="2"/>
          </rPr>
          <t>SPL:</t>
        </r>
        <r>
          <rPr>
            <sz val="9"/>
            <color indexed="81"/>
            <rFont val="Tahoma"/>
            <family val="2"/>
          </rPr>
          <t xml:space="preserve">
Amplitude</t>
        </r>
      </text>
    </comment>
    <comment ref="X41" authorId="2" shapeId="0" xr:uid="{00000000-0006-0000-0500-000017000000}">
      <text>
        <r>
          <rPr>
            <b/>
            <sz val="9"/>
            <color indexed="81"/>
            <rFont val="Tahoma"/>
            <family val="2"/>
          </rPr>
          <t>SPL:</t>
        </r>
        <r>
          <rPr>
            <sz val="9"/>
            <color indexed="81"/>
            <rFont val="Tahoma"/>
            <family val="2"/>
          </rPr>
          <t xml:space="preserve">
Pause si + 6 heures</t>
        </r>
      </text>
    </comment>
    <comment ref="Y41" authorId="1" shapeId="0" xr:uid="{00000000-0006-0000-0500-000018000000}">
      <text>
        <r>
          <rPr>
            <b/>
            <sz val="9"/>
            <color indexed="81"/>
            <rFont val="Tahoma"/>
            <family val="2"/>
          </rPr>
          <t>SPL:</t>
        </r>
        <r>
          <rPr>
            <sz val="9"/>
            <color indexed="81"/>
            <rFont val="Tahoma"/>
            <family val="2"/>
          </rPr>
          <t xml:space="preserve">
Repos journalier
</t>
        </r>
      </text>
    </comment>
    <comment ref="S52" authorId="0" shapeId="0" xr:uid="{00000000-0006-0000-0500-000019000000}">
      <text>
        <r>
          <rPr>
            <b/>
            <sz val="9"/>
            <color indexed="81"/>
            <rFont val="Tahoma"/>
            <family val="2"/>
          </rPr>
          <t>SPL:</t>
        </r>
        <r>
          <rPr>
            <sz val="9"/>
            <color indexed="81"/>
            <rFont val="Tahoma"/>
            <family val="2"/>
          </rPr>
          <t xml:space="preserve">
Si délai de prévenance &lt;72h, saisir : O
</t>
        </r>
      </text>
    </comment>
    <comment ref="U53" authorId="1" shapeId="0" xr:uid="{00000000-0006-0000-0500-00001A000000}">
      <text>
        <r>
          <rPr>
            <b/>
            <sz val="9"/>
            <color indexed="81"/>
            <rFont val="Tahoma"/>
            <family val="2"/>
          </rPr>
          <t>SPL:</t>
        </r>
        <r>
          <rPr>
            <sz val="9"/>
            <color indexed="81"/>
            <rFont val="Tahoma"/>
            <family val="2"/>
          </rPr>
          <t xml:space="preserve">
Pause</t>
        </r>
      </text>
    </comment>
    <comment ref="V53" authorId="1" shapeId="0" xr:uid="{00000000-0006-0000-0500-00001B000000}">
      <text>
        <r>
          <rPr>
            <b/>
            <sz val="9"/>
            <color indexed="81"/>
            <rFont val="Tahoma"/>
            <family val="2"/>
          </rPr>
          <t>SPL:</t>
        </r>
        <r>
          <rPr>
            <sz val="9"/>
            <color indexed="81"/>
            <rFont val="Tahoma"/>
            <family val="2"/>
          </rPr>
          <t xml:space="preserve">
Réel Jour
</t>
        </r>
      </text>
    </comment>
    <comment ref="W53" authorId="1" shapeId="0" xr:uid="{00000000-0006-0000-0500-00001C000000}">
      <text>
        <r>
          <rPr>
            <b/>
            <sz val="9"/>
            <color indexed="81"/>
            <rFont val="Tahoma"/>
            <family val="2"/>
          </rPr>
          <t>SPL:</t>
        </r>
        <r>
          <rPr>
            <sz val="9"/>
            <color indexed="81"/>
            <rFont val="Tahoma"/>
            <family val="2"/>
          </rPr>
          <t xml:space="preserve">
Amplitude</t>
        </r>
      </text>
    </comment>
    <comment ref="X53" authorId="2" shapeId="0" xr:uid="{00000000-0006-0000-0500-00001D000000}">
      <text>
        <r>
          <rPr>
            <b/>
            <sz val="9"/>
            <color indexed="81"/>
            <rFont val="Tahoma"/>
            <family val="2"/>
          </rPr>
          <t>SPL:</t>
        </r>
        <r>
          <rPr>
            <sz val="9"/>
            <color indexed="81"/>
            <rFont val="Tahoma"/>
            <family val="2"/>
          </rPr>
          <t xml:space="preserve">
Pause si + 6 heures</t>
        </r>
      </text>
    </comment>
    <comment ref="Y53" authorId="1" shapeId="0" xr:uid="{00000000-0006-0000-0500-00001E000000}">
      <text>
        <r>
          <rPr>
            <b/>
            <sz val="9"/>
            <color indexed="81"/>
            <rFont val="Tahoma"/>
            <family val="2"/>
          </rPr>
          <t>SPL:</t>
        </r>
        <r>
          <rPr>
            <sz val="9"/>
            <color indexed="81"/>
            <rFont val="Tahoma"/>
            <family val="2"/>
          </rPr>
          <t xml:space="preserve">
Repos journalier
</t>
        </r>
      </text>
    </comment>
    <comment ref="S64" authorId="0" shapeId="0" xr:uid="{00000000-0006-0000-0500-00001F000000}">
      <text>
        <r>
          <rPr>
            <b/>
            <sz val="9"/>
            <color indexed="81"/>
            <rFont val="Tahoma"/>
            <family val="2"/>
          </rPr>
          <t>SPL:</t>
        </r>
        <r>
          <rPr>
            <sz val="9"/>
            <color indexed="81"/>
            <rFont val="Tahoma"/>
            <family val="2"/>
          </rPr>
          <t xml:space="preserve">
Si délai de prévenance &lt;72h, saisir : O
</t>
        </r>
      </text>
    </comment>
    <comment ref="U65" authorId="1" shapeId="0" xr:uid="{00000000-0006-0000-0500-000020000000}">
      <text>
        <r>
          <rPr>
            <b/>
            <sz val="9"/>
            <color indexed="81"/>
            <rFont val="Tahoma"/>
            <family val="2"/>
          </rPr>
          <t>SPL:</t>
        </r>
        <r>
          <rPr>
            <sz val="9"/>
            <color indexed="81"/>
            <rFont val="Tahoma"/>
            <family val="2"/>
          </rPr>
          <t xml:space="preserve">
Pause</t>
        </r>
      </text>
    </comment>
    <comment ref="V65" authorId="1" shapeId="0" xr:uid="{00000000-0006-0000-0500-000021000000}">
      <text>
        <r>
          <rPr>
            <b/>
            <sz val="9"/>
            <color indexed="81"/>
            <rFont val="Tahoma"/>
            <family val="2"/>
          </rPr>
          <t>SPL:</t>
        </r>
        <r>
          <rPr>
            <sz val="9"/>
            <color indexed="81"/>
            <rFont val="Tahoma"/>
            <family val="2"/>
          </rPr>
          <t xml:space="preserve">
Réel Jour
</t>
        </r>
      </text>
    </comment>
    <comment ref="W65" authorId="1" shapeId="0" xr:uid="{00000000-0006-0000-0500-000022000000}">
      <text>
        <r>
          <rPr>
            <b/>
            <sz val="9"/>
            <color indexed="81"/>
            <rFont val="Tahoma"/>
            <family val="2"/>
          </rPr>
          <t>SPL:</t>
        </r>
        <r>
          <rPr>
            <sz val="9"/>
            <color indexed="81"/>
            <rFont val="Tahoma"/>
            <family val="2"/>
          </rPr>
          <t xml:space="preserve">
Amplitude</t>
        </r>
      </text>
    </comment>
    <comment ref="X65" authorId="2" shapeId="0" xr:uid="{00000000-0006-0000-0500-000023000000}">
      <text>
        <r>
          <rPr>
            <b/>
            <sz val="9"/>
            <color indexed="81"/>
            <rFont val="Tahoma"/>
            <family val="2"/>
          </rPr>
          <t>SPL:</t>
        </r>
        <r>
          <rPr>
            <sz val="9"/>
            <color indexed="81"/>
            <rFont val="Tahoma"/>
            <family val="2"/>
          </rPr>
          <t xml:space="preserve">
Pause si + 6 heures</t>
        </r>
      </text>
    </comment>
    <comment ref="Y65" authorId="1" shapeId="0" xr:uid="{00000000-0006-0000-0500-000024000000}">
      <text>
        <r>
          <rPr>
            <b/>
            <sz val="9"/>
            <color indexed="81"/>
            <rFont val="Tahoma"/>
            <family val="2"/>
          </rPr>
          <t>SPL:</t>
        </r>
        <r>
          <rPr>
            <sz val="9"/>
            <color indexed="81"/>
            <rFont val="Tahoma"/>
            <family val="2"/>
          </rPr>
          <t xml:space="preserve">
Repos journalier
</t>
        </r>
      </text>
    </comment>
    <comment ref="S76" authorId="0" shapeId="0" xr:uid="{00000000-0006-0000-0500-000025000000}">
      <text>
        <r>
          <rPr>
            <b/>
            <sz val="9"/>
            <color indexed="81"/>
            <rFont val="Tahoma"/>
            <family val="2"/>
          </rPr>
          <t>SPL:</t>
        </r>
        <r>
          <rPr>
            <sz val="9"/>
            <color indexed="81"/>
            <rFont val="Tahoma"/>
            <family val="2"/>
          </rPr>
          <t xml:space="preserve">
Si délai de prévenance &lt;72h, saisir : O
</t>
        </r>
      </text>
    </comment>
    <comment ref="U77" authorId="1" shapeId="0" xr:uid="{00000000-0006-0000-0500-000026000000}">
      <text>
        <r>
          <rPr>
            <b/>
            <sz val="9"/>
            <color indexed="81"/>
            <rFont val="Tahoma"/>
            <family val="2"/>
          </rPr>
          <t>SPL:</t>
        </r>
        <r>
          <rPr>
            <sz val="9"/>
            <color indexed="81"/>
            <rFont val="Tahoma"/>
            <family val="2"/>
          </rPr>
          <t xml:space="preserve">
Pause</t>
        </r>
      </text>
    </comment>
    <comment ref="V77" authorId="1" shapeId="0" xr:uid="{00000000-0006-0000-0500-000027000000}">
      <text>
        <r>
          <rPr>
            <b/>
            <sz val="9"/>
            <color indexed="81"/>
            <rFont val="Tahoma"/>
            <family val="2"/>
          </rPr>
          <t>SPL:</t>
        </r>
        <r>
          <rPr>
            <sz val="9"/>
            <color indexed="81"/>
            <rFont val="Tahoma"/>
            <family val="2"/>
          </rPr>
          <t xml:space="preserve">
Réel Jour
</t>
        </r>
      </text>
    </comment>
    <comment ref="W77" authorId="1" shapeId="0" xr:uid="{00000000-0006-0000-0500-000028000000}">
      <text>
        <r>
          <rPr>
            <b/>
            <sz val="9"/>
            <color indexed="81"/>
            <rFont val="Tahoma"/>
            <family val="2"/>
          </rPr>
          <t>SPL:</t>
        </r>
        <r>
          <rPr>
            <sz val="9"/>
            <color indexed="81"/>
            <rFont val="Tahoma"/>
            <family val="2"/>
          </rPr>
          <t xml:space="preserve">
Amplitude</t>
        </r>
      </text>
    </comment>
    <comment ref="X77" authorId="2" shapeId="0" xr:uid="{00000000-0006-0000-0500-000029000000}">
      <text>
        <r>
          <rPr>
            <b/>
            <sz val="9"/>
            <color indexed="81"/>
            <rFont val="Tahoma"/>
            <family val="2"/>
          </rPr>
          <t>SPL:</t>
        </r>
        <r>
          <rPr>
            <sz val="9"/>
            <color indexed="81"/>
            <rFont val="Tahoma"/>
            <family val="2"/>
          </rPr>
          <t xml:space="preserve">
Pause si + 6 heures</t>
        </r>
      </text>
    </comment>
    <comment ref="Y77" authorId="1" shapeId="0" xr:uid="{00000000-0006-0000-0500-00002A000000}">
      <text>
        <r>
          <rPr>
            <b/>
            <sz val="9"/>
            <color indexed="81"/>
            <rFont val="Tahoma"/>
            <family val="2"/>
          </rPr>
          <t>SPL:</t>
        </r>
        <r>
          <rPr>
            <sz val="9"/>
            <color indexed="81"/>
            <rFont val="Tahoma"/>
            <family val="2"/>
          </rPr>
          <t xml:space="preserve">
Repos journalier
</t>
        </r>
      </text>
    </comment>
    <comment ref="S88" authorId="0" shapeId="0" xr:uid="{00000000-0006-0000-0500-00002B000000}">
      <text>
        <r>
          <rPr>
            <b/>
            <sz val="9"/>
            <color indexed="81"/>
            <rFont val="Tahoma"/>
            <family val="2"/>
          </rPr>
          <t>SPL:</t>
        </r>
        <r>
          <rPr>
            <sz val="9"/>
            <color indexed="81"/>
            <rFont val="Tahoma"/>
            <family val="2"/>
          </rPr>
          <t xml:space="preserve">
Si délai de prévenance &lt;72h, saisir : O
</t>
        </r>
      </text>
    </comment>
    <comment ref="U89" authorId="1" shapeId="0" xr:uid="{00000000-0006-0000-0500-00002C000000}">
      <text>
        <r>
          <rPr>
            <b/>
            <sz val="9"/>
            <color indexed="81"/>
            <rFont val="Tahoma"/>
            <family val="2"/>
          </rPr>
          <t>SPL:</t>
        </r>
        <r>
          <rPr>
            <sz val="9"/>
            <color indexed="81"/>
            <rFont val="Tahoma"/>
            <family val="2"/>
          </rPr>
          <t xml:space="preserve">
Pause</t>
        </r>
      </text>
    </comment>
    <comment ref="V89" authorId="1" shapeId="0" xr:uid="{00000000-0006-0000-0500-00002D000000}">
      <text>
        <r>
          <rPr>
            <b/>
            <sz val="9"/>
            <color indexed="81"/>
            <rFont val="Tahoma"/>
            <family val="2"/>
          </rPr>
          <t>SPL:</t>
        </r>
        <r>
          <rPr>
            <sz val="9"/>
            <color indexed="81"/>
            <rFont val="Tahoma"/>
            <family val="2"/>
          </rPr>
          <t xml:space="preserve">
Réel Jour
</t>
        </r>
      </text>
    </comment>
    <comment ref="W89" authorId="1" shapeId="0" xr:uid="{00000000-0006-0000-0500-00002E000000}">
      <text>
        <r>
          <rPr>
            <b/>
            <sz val="9"/>
            <color indexed="81"/>
            <rFont val="Tahoma"/>
            <family val="2"/>
          </rPr>
          <t>SPL:</t>
        </r>
        <r>
          <rPr>
            <sz val="9"/>
            <color indexed="81"/>
            <rFont val="Tahoma"/>
            <family val="2"/>
          </rPr>
          <t xml:space="preserve">
Amplitude</t>
        </r>
      </text>
    </comment>
    <comment ref="X89" authorId="2" shapeId="0" xr:uid="{00000000-0006-0000-0500-00002F000000}">
      <text>
        <r>
          <rPr>
            <b/>
            <sz val="9"/>
            <color indexed="81"/>
            <rFont val="Tahoma"/>
            <family val="2"/>
          </rPr>
          <t>SPL:</t>
        </r>
        <r>
          <rPr>
            <sz val="9"/>
            <color indexed="81"/>
            <rFont val="Tahoma"/>
            <family val="2"/>
          </rPr>
          <t xml:space="preserve">
Pause si + 6 heures</t>
        </r>
      </text>
    </comment>
    <comment ref="Y89" authorId="1" shapeId="0" xr:uid="{00000000-0006-0000-0500-000030000000}">
      <text>
        <r>
          <rPr>
            <b/>
            <sz val="9"/>
            <color indexed="81"/>
            <rFont val="Tahoma"/>
            <family val="2"/>
          </rPr>
          <t>SPL:</t>
        </r>
        <r>
          <rPr>
            <sz val="9"/>
            <color indexed="81"/>
            <rFont val="Tahoma"/>
            <family val="2"/>
          </rPr>
          <t xml:space="preserve">
Repos journalier
</t>
        </r>
      </text>
    </comment>
    <comment ref="S100" authorId="0" shapeId="0" xr:uid="{00000000-0006-0000-0500-000031000000}">
      <text>
        <r>
          <rPr>
            <b/>
            <sz val="9"/>
            <color indexed="81"/>
            <rFont val="Tahoma"/>
            <family val="2"/>
          </rPr>
          <t>SPL:</t>
        </r>
        <r>
          <rPr>
            <sz val="9"/>
            <color indexed="81"/>
            <rFont val="Tahoma"/>
            <family val="2"/>
          </rPr>
          <t xml:space="preserve">
Si délai de prévenance &lt;72h, saisir : O
</t>
        </r>
      </text>
    </comment>
    <comment ref="U101" authorId="1" shapeId="0" xr:uid="{00000000-0006-0000-0500-000032000000}">
      <text>
        <r>
          <rPr>
            <b/>
            <sz val="9"/>
            <color indexed="81"/>
            <rFont val="Tahoma"/>
            <family val="2"/>
          </rPr>
          <t>SPL:</t>
        </r>
        <r>
          <rPr>
            <sz val="9"/>
            <color indexed="81"/>
            <rFont val="Tahoma"/>
            <family val="2"/>
          </rPr>
          <t xml:space="preserve">
Pause</t>
        </r>
      </text>
    </comment>
    <comment ref="V101" authorId="1" shapeId="0" xr:uid="{00000000-0006-0000-0500-000033000000}">
      <text>
        <r>
          <rPr>
            <b/>
            <sz val="9"/>
            <color indexed="81"/>
            <rFont val="Tahoma"/>
            <family val="2"/>
          </rPr>
          <t>SPL:</t>
        </r>
        <r>
          <rPr>
            <sz val="9"/>
            <color indexed="81"/>
            <rFont val="Tahoma"/>
            <family val="2"/>
          </rPr>
          <t xml:space="preserve">
Réel Jour
</t>
        </r>
      </text>
    </comment>
    <comment ref="W101" authorId="1" shapeId="0" xr:uid="{00000000-0006-0000-0500-000034000000}">
      <text>
        <r>
          <rPr>
            <b/>
            <sz val="9"/>
            <color indexed="81"/>
            <rFont val="Tahoma"/>
            <family val="2"/>
          </rPr>
          <t>SPL:</t>
        </r>
        <r>
          <rPr>
            <sz val="9"/>
            <color indexed="81"/>
            <rFont val="Tahoma"/>
            <family val="2"/>
          </rPr>
          <t xml:space="preserve">
Amplitude</t>
        </r>
      </text>
    </comment>
    <comment ref="X101" authorId="2" shapeId="0" xr:uid="{00000000-0006-0000-0500-000035000000}">
      <text>
        <r>
          <rPr>
            <b/>
            <sz val="9"/>
            <color indexed="81"/>
            <rFont val="Tahoma"/>
            <family val="2"/>
          </rPr>
          <t>SPL:</t>
        </r>
        <r>
          <rPr>
            <sz val="9"/>
            <color indexed="81"/>
            <rFont val="Tahoma"/>
            <family val="2"/>
          </rPr>
          <t xml:space="preserve">
Pause si + 6 heures</t>
        </r>
      </text>
    </comment>
    <comment ref="Y101" authorId="1" shapeId="0" xr:uid="{00000000-0006-0000-0500-000036000000}">
      <text>
        <r>
          <rPr>
            <b/>
            <sz val="9"/>
            <color indexed="81"/>
            <rFont val="Tahoma"/>
            <family val="2"/>
          </rPr>
          <t>SPL:</t>
        </r>
        <r>
          <rPr>
            <sz val="9"/>
            <color indexed="81"/>
            <rFont val="Tahoma"/>
            <family val="2"/>
          </rPr>
          <t xml:space="preserve">
Repos journalier
</t>
        </r>
      </text>
    </comment>
    <comment ref="S112" authorId="0" shapeId="0" xr:uid="{00000000-0006-0000-0500-000037000000}">
      <text>
        <r>
          <rPr>
            <b/>
            <sz val="9"/>
            <color indexed="81"/>
            <rFont val="Tahoma"/>
            <family val="2"/>
          </rPr>
          <t>SPL:</t>
        </r>
        <r>
          <rPr>
            <sz val="9"/>
            <color indexed="81"/>
            <rFont val="Tahoma"/>
            <family val="2"/>
          </rPr>
          <t xml:space="preserve">
Si délai de prévenance &lt;72h, saisir : O
</t>
        </r>
      </text>
    </comment>
    <comment ref="U113" authorId="1" shapeId="0" xr:uid="{00000000-0006-0000-0500-000038000000}">
      <text>
        <r>
          <rPr>
            <b/>
            <sz val="9"/>
            <color indexed="81"/>
            <rFont val="Tahoma"/>
            <family val="2"/>
          </rPr>
          <t>SPL:</t>
        </r>
        <r>
          <rPr>
            <sz val="9"/>
            <color indexed="81"/>
            <rFont val="Tahoma"/>
            <family val="2"/>
          </rPr>
          <t xml:space="preserve">
Pause</t>
        </r>
      </text>
    </comment>
    <comment ref="V113" authorId="1" shapeId="0" xr:uid="{00000000-0006-0000-0500-000039000000}">
      <text>
        <r>
          <rPr>
            <b/>
            <sz val="9"/>
            <color indexed="81"/>
            <rFont val="Tahoma"/>
            <family val="2"/>
          </rPr>
          <t>SPL:</t>
        </r>
        <r>
          <rPr>
            <sz val="9"/>
            <color indexed="81"/>
            <rFont val="Tahoma"/>
            <family val="2"/>
          </rPr>
          <t xml:space="preserve">
Réel Jour
</t>
        </r>
      </text>
    </comment>
    <comment ref="W113" authorId="1" shapeId="0" xr:uid="{00000000-0006-0000-0500-00003A000000}">
      <text>
        <r>
          <rPr>
            <b/>
            <sz val="9"/>
            <color indexed="81"/>
            <rFont val="Tahoma"/>
            <family val="2"/>
          </rPr>
          <t>SPL:</t>
        </r>
        <r>
          <rPr>
            <sz val="9"/>
            <color indexed="81"/>
            <rFont val="Tahoma"/>
            <family val="2"/>
          </rPr>
          <t xml:space="preserve">
Amplitude</t>
        </r>
      </text>
    </comment>
    <comment ref="X113" authorId="2" shapeId="0" xr:uid="{00000000-0006-0000-0500-00003B000000}">
      <text>
        <r>
          <rPr>
            <b/>
            <sz val="9"/>
            <color indexed="81"/>
            <rFont val="Tahoma"/>
            <family val="2"/>
          </rPr>
          <t>SPL:</t>
        </r>
        <r>
          <rPr>
            <sz val="9"/>
            <color indexed="81"/>
            <rFont val="Tahoma"/>
            <family val="2"/>
          </rPr>
          <t xml:space="preserve">
Pause si + 6 heures</t>
        </r>
      </text>
    </comment>
    <comment ref="Y113" authorId="1" shapeId="0" xr:uid="{00000000-0006-0000-0500-00003C000000}">
      <text>
        <r>
          <rPr>
            <b/>
            <sz val="9"/>
            <color indexed="81"/>
            <rFont val="Tahoma"/>
            <family val="2"/>
          </rPr>
          <t>SPL:</t>
        </r>
        <r>
          <rPr>
            <sz val="9"/>
            <color indexed="81"/>
            <rFont val="Tahoma"/>
            <family val="2"/>
          </rPr>
          <t xml:space="preserve">
Repos journalier
</t>
        </r>
      </text>
    </comment>
    <comment ref="S124" authorId="0" shapeId="0" xr:uid="{00000000-0006-0000-0500-00003D000000}">
      <text>
        <r>
          <rPr>
            <b/>
            <sz val="9"/>
            <color indexed="81"/>
            <rFont val="Tahoma"/>
            <family val="2"/>
          </rPr>
          <t>SPL:</t>
        </r>
        <r>
          <rPr>
            <sz val="9"/>
            <color indexed="81"/>
            <rFont val="Tahoma"/>
            <family val="2"/>
          </rPr>
          <t xml:space="preserve">
Si délai de prévenance &lt;72h, saisir : O
</t>
        </r>
      </text>
    </comment>
    <comment ref="U125" authorId="1" shapeId="0" xr:uid="{00000000-0006-0000-0500-00003E000000}">
      <text>
        <r>
          <rPr>
            <b/>
            <sz val="9"/>
            <color indexed="81"/>
            <rFont val="Tahoma"/>
            <family val="2"/>
          </rPr>
          <t>SPL:</t>
        </r>
        <r>
          <rPr>
            <sz val="9"/>
            <color indexed="81"/>
            <rFont val="Tahoma"/>
            <family val="2"/>
          </rPr>
          <t xml:space="preserve">
Pause</t>
        </r>
      </text>
    </comment>
    <comment ref="V125" authorId="1" shapeId="0" xr:uid="{00000000-0006-0000-0500-00003F000000}">
      <text>
        <r>
          <rPr>
            <b/>
            <sz val="9"/>
            <color indexed="81"/>
            <rFont val="Tahoma"/>
            <family val="2"/>
          </rPr>
          <t>SPL:</t>
        </r>
        <r>
          <rPr>
            <sz val="9"/>
            <color indexed="81"/>
            <rFont val="Tahoma"/>
            <family val="2"/>
          </rPr>
          <t xml:space="preserve">
Réel Jour
</t>
        </r>
      </text>
    </comment>
    <comment ref="W125" authorId="1" shapeId="0" xr:uid="{00000000-0006-0000-0500-000040000000}">
      <text>
        <r>
          <rPr>
            <b/>
            <sz val="9"/>
            <color indexed="81"/>
            <rFont val="Tahoma"/>
            <family val="2"/>
          </rPr>
          <t>SPL:</t>
        </r>
        <r>
          <rPr>
            <sz val="9"/>
            <color indexed="81"/>
            <rFont val="Tahoma"/>
            <family val="2"/>
          </rPr>
          <t xml:space="preserve">
Amplitude</t>
        </r>
      </text>
    </comment>
    <comment ref="X125" authorId="2" shapeId="0" xr:uid="{00000000-0006-0000-0500-000041000000}">
      <text>
        <r>
          <rPr>
            <b/>
            <sz val="9"/>
            <color indexed="81"/>
            <rFont val="Tahoma"/>
            <family val="2"/>
          </rPr>
          <t>SPL:</t>
        </r>
        <r>
          <rPr>
            <sz val="9"/>
            <color indexed="81"/>
            <rFont val="Tahoma"/>
            <family val="2"/>
          </rPr>
          <t xml:space="preserve">
Pause si + 6 heures</t>
        </r>
      </text>
    </comment>
    <comment ref="Y125" authorId="1" shapeId="0" xr:uid="{00000000-0006-0000-0500-000042000000}">
      <text>
        <r>
          <rPr>
            <b/>
            <sz val="9"/>
            <color indexed="81"/>
            <rFont val="Tahoma"/>
            <family val="2"/>
          </rPr>
          <t>SPL:</t>
        </r>
        <r>
          <rPr>
            <sz val="9"/>
            <color indexed="81"/>
            <rFont val="Tahoma"/>
            <family val="2"/>
          </rPr>
          <t xml:space="preserve">
Repos journalier
</t>
        </r>
      </text>
    </comment>
    <comment ref="S136" authorId="0" shapeId="0" xr:uid="{00000000-0006-0000-0500-000043000000}">
      <text>
        <r>
          <rPr>
            <b/>
            <sz val="9"/>
            <color indexed="81"/>
            <rFont val="Tahoma"/>
            <family val="2"/>
          </rPr>
          <t>SPL:</t>
        </r>
        <r>
          <rPr>
            <sz val="9"/>
            <color indexed="81"/>
            <rFont val="Tahoma"/>
            <family val="2"/>
          </rPr>
          <t xml:space="preserve">
Si délai de prévenance &lt;72h, saisir : O
</t>
        </r>
      </text>
    </comment>
    <comment ref="U137" authorId="1" shapeId="0" xr:uid="{00000000-0006-0000-0500-000044000000}">
      <text>
        <r>
          <rPr>
            <b/>
            <sz val="9"/>
            <color indexed="81"/>
            <rFont val="Tahoma"/>
            <family val="2"/>
          </rPr>
          <t>SPL:</t>
        </r>
        <r>
          <rPr>
            <sz val="9"/>
            <color indexed="81"/>
            <rFont val="Tahoma"/>
            <family val="2"/>
          </rPr>
          <t xml:space="preserve">
Pause</t>
        </r>
      </text>
    </comment>
    <comment ref="V137" authorId="1" shapeId="0" xr:uid="{00000000-0006-0000-0500-000045000000}">
      <text>
        <r>
          <rPr>
            <b/>
            <sz val="9"/>
            <color indexed="81"/>
            <rFont val="Tahoma"/>
            <family val="2"/>
          </rPr>
          <t>SPL:</t>
        </r>
        <r>
          <rPr>
            <sz val="9"/>
            <color indexed="81"/>
            <rFont val="Tahoma"/>
            <family val="2"/>
          </rPr>
          <t xml:space="preserve">
Réel Jour
</t>
        </r>
      </text>
    </comment>
    <comment ref="W137" authorId="1" shapeId="0" xr:uid="{00000000-0006-0000-0500-000046000000}">
      <text>
        <r>
          <rPr>
            <b/>
            <sz val="9"/>
            <color indexed="81"/>
            <rFont val="Tahoma"/>
            <family val="2"/>
          </rPr>
          <t>SPL:</t>
        </r>
        <r>
          <rPr>
            <sz val="9"/>
            <color indexed="81"/>
            <rFont val="Tahoma"/>
            <family val="2"/>
          </rPr>
          <t xml:space="preserve">
Amplitude</t>
        </r>
      </text>
    </comment>
    <comment ref="X137" authorId="2" shapeId="0" xr:uid="{00000000-0006-0000-0500-000047000000}">
      <text>
        <r>
          <rPr>
            <b/>
            <sz val="9"/>
            <color indexed="81"/>
            <rFont val="Tahoma"/>
            <family val="2"/>
          </rPr>
          <t>SPL:</t>
        </r>
        <r>
          <rPr>
            <sz val="9"/>
            <color indexed="81"/>
            <rFont val="Tahoma"/>
            <family val="2"/>
          </rPr>
          <t xml:space="preserve">
Pause si + 6 heures</t>
        </r>
      </text>
    </comment>
    <comment ref="Y137" authorId="1" shapeId="0" xr:uid="{00000000-0006-0000-0500-000048000000}">
      <text>
        <r>
          <rPr>
            <b/>
            <sz val="9"/>
            <color indexed="81"/>
            <rFont val="Tahoma"/>
            <family val="2"/>
          </rPr>
          <t>SPL:</t>
        </r>
        <r>
          <rPr>
            <sz val="9"/>
            <color indexed="81"/>
            <rFont val="Tahoma"/>
            <family val="2"/>
          </rPr>
          <t xml:space="preserve">
Repos journalier
</t>
        </r>
      </text>
    </comment>
    <comment ref="S148" authorId="0" shapeId="0" xr:uid="{00000000-0006-0000-0500-000049000000}">
      <text>
        <r>
          <rPr>
            <b/>
            <sz val="9"/>
            <color indexed="81"/>
            <rFont val="Tahoma"/>
            <family val="2"/>
          </rPr>
          <t>SPL:</t>
        </r>
        <r>
          <rPr>
            <sz val="9"/>
            <color indexed="81"/>
            <rFont val="Tahoma"/>
            <family val="2"/>
          </rPr>
          <t xml:space="preserve">
Si délai de prévenance &lt;72h, saisir : O
</t>
        </r>
      </text>
    </comment>
    <comment ref="U149" authorId="1" shapeId="0" xr:uid="{00000000-0006-0000-0500-00004A000000}">
      <text>
        <r>
          <rPr>
            <b/>
            <sz val="9"/>
            <color indexed="81"/>
            <rFont val="Tahoma"/>
            <family val="2"/>
          </rPr>
          <t>SPL:</t>
        </r>
        <r>
          <rPr>
            <sz val="9"/>
            <color indexed="81"/>
            <rFont val="Tahoma"/>
            <family val="2"/>
          </rPr>
          <t xml:space="preserve">
Pause</t>
        </r>
      </text>
    </comment>
    <comment ref="V149" authorId="1" shapeId="0" xr:uid="{00000000-0006-0000-0500-00004B000000}">
      <text>
        <r>
          <rPr>
            <b/>
            <sz val="9"/>
            <color indexed="81"/>
            <rFont val="Tahoma"/>
            <family val="2"/>
          </rPr>
          <t>SPL:</t>
        </r>
        <r>
          <rPr>
            <sz val="9"/>
            <color indexed="81"/>
            <rFont val="Tahoma"/>
            <family val="2"/>
          </rPr>
          <t xml:space="preserve">
Réel Jour
</t>
        </r>
      </text>
    </comment>
    <comment ref="W149" authorId="1" shapeId="0" xr:uid="{00000000-0006-0000-0500-00004C000000}">
      <text>
        <r>
          <rPr>
            <b/>
            <sz val="9"/>
            <color indexed="81"/>
            <rFont val="Tahoma"/>
            <family val="2"/>
          </rPr>
          <t>SPL:</t>
        </r>
        <r>
          <rPr>
            <sz val="9"/>
            <color indexed="81"/>
            <rFont val="Tahoma"/>
            <family val="2"/>
          </rPr>
          <t xml:space="preserve">
Amplitude</t>
        </r>
      </text>
    </comment>
    <comment ref="X149" authorId="2" shapeId="0" xr:uid="{00000000-0006-0000-0500-00004D000000}">
      <text>
        <r>
          <rPr>
            <b/>
            <sz val="9"/>
            <color indexed="81"/>
            <rFont val="Tahoma"/>
            <family val="2"/>
          </rPr>
          <t>SPL:</t>
        </r>
        <r>
          <rPr>
            <sz val="9"/>
            <color indexed="81"/>
            <rFont val="Tahoma"/>
            <family val="2"/>
          </rPr>
          <t xml:space="preserve">
Pause si + 6 heures</t>
        </r>
      </text>
    </comment>
    <comment ref="Y149" authorId="1" shapeId="0" xr:uid="{00000000-0006-0000-0500-00004E000000}">
      <text>
        <r>
          <rPr>
            <b/>
            <sz val="9"/>
            <color indexed="81"/>
            <rFont val="Tahoma"/>
            <family val="2"/>
          </rPr>
          <t>SPL:</t>
        </r>
        <r>
          <rPr>
            <sz val="9"/>
            <color indexed="81"/>
            <rFont val="Tahoma"/>
            <family val="2"/>
          </rPr>
          <t xml:space="preserve">
Repos journalier
</t>
        </r>
      </text>
    </comment>
    <comment ref="S160" authorId="0" shapeId="0" xr:uid="{00000000-0006-0000-0500-00004F000000}">
      <text>
        <r>
          <rPr>
            <b/>
            <sz val="9"/>
            <color indexed="81"/>
            <rFont val="Tahoma"/>
            <family val="2"/>
          </rPr>
          <t>SPL:</t>
        </r>
        <r>
          <rPr>
            <sz val="9"/>
            <color indexed="81"/>
            <rFont val="Tahoma"/>
            <family val="2"/>
          </rPr>
          <t xml:space="preserve">
Si délai de prévenance &lt;72h, saisir : O
</t>
        </r>
      </text>
    </comment>
    <comment ref="U161" authorId="1" shapeId="0" xr:uid="{00000000-0006-0000-0500-000050000000}">
      <text>
        <r>
          <rPr>
            <b/>
            <sz val="9"/>
            <color indexed="81"/>
            <rFont val="Tahoma"/>
            <family val="2"/>
          </rPr>
          <t>SPL:</t>
        </r>
        <r>
          <rPr>
            <sz val="9"/>
            <color indexed="81"/>
            <rFont val="Tahoma"/>
            <family val="2"/>
          </rPr>
          <t xml:space="preserve">
Pause</t>
        </r>
      </text>
    </comment>
    <comment ref="V161" authorId="1" shapeId="0" xr:uid="{00000000-0006-0000-0500-000051000000}">
      <text>
        <r>
          <rPr>
            <b/>
            <sz val="9"/>
            <color indexed="81"/>
            <rFont val="Tahoma"/>
            <family val="2"/>
          </rPr>
          <t>SPL:</t>
        </r>
        <r>
          <rPr>
            <sz val="9"/>
            <color indexed="81"/>
            <rFont val="Tahoma"/>
            <family val="2"/>
          </rPr>
          <t xml:space="preserve">
Réel Jour
</t>
        </r>
      </text>
    </comment>
    <comment ref="W161" authorId="1" shapeId="0" xr:uid="{00000000-0006-0000-0500-000052000000}">
      <text>
        <r>
          <rPr>
            <b/>
            <sz val="9"/>
            <color indexed="81"/>
            <rFont val="Tahoma"/>
            <family val="2"/>
          </rPr>
          <t>SPL:</t>
        </r>
        <r>
          <rPr>
            <sz val="9"/>
            <color indexed="81"/>
            <rFont val="Tahoma"/>
            <family val="2"/>
          </rPr>
          <t xml:space="preserve">
Amplitude</t>
        </r>
      </text>
    </comment>
    <comment ref="X161" authorId="2" shapeId="0" xr:uid="{00000000-0006-0000-0500-000053000000}">
      <text>
        <r>
          <rPr>
            <b/>
            <sz val="9"/>
            <color indexed="81"/>
            <rFont val="Tahoma"/>
            <family val="2"/>
          </rPr>
          <t>SPL:</t>
        </r>
        <r>
          <rPr>
            <sz val="9"/>
            <color indexed="81"/>
            <rFont val="Tahoma"/>
            <family val="2"/>
          </rPr>
          <t xml:space="preserve">
Pause si + 6 heures</t>
        </r>
      </text>
    </comment>
    <comment ref="Y161" authorId="1" shapeId="0" xr:uid="{00000000-0006-0000-0500-000054000000}">
      <text>
        <r>
          <rPr>
            <b/>
            <sz val="9"/>
            <color indexed="81"/>
            <rFont val="Tahoma"/>
            <family val="2"/>
          </rPr>
          <t>SPL:</t>
        </r>
        <r>
          <rPr>
            <sz val="9"/>
            <color indexed="81"/>
            <rFont val="Tahoma"/>
            <family val="2"/>
          </rPr>
          <t xml:space="preserve">
Repos journalier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JAP</author>
    <author>Compta2</author>
    <author>Florent</author>
  </authors>
  <commentList>
    <comment ref="S4" authorId="0" shapeId="0" xr:uid="{00000000-0006-0000-0600-000001000000}">
      <text>
        <r>
          <rPr>
            <b/>
            <sz val="9"/>
            <color indexed="81"/>
            <rFont val="Tahoma"/>
            <family val="2"/>
          </rPr>
          <t>SPL:</t>
        </r>
        <r>
          <rPr>
            <sz val="9"/>
            <color indexed="81"/>
            <rFont val="Tahoma"/>
            <family val="2"/>
          </rPr>
          <t xml:space="preserve">
Si délai de prévenance &lt;72h, saisir : O
</t>
        </r>
      </text>
    </comment>
    <comment ref="U5" authorId="1" shapeId="0" xr:uid="{00000000-0006-0000-0600-000002000000}">
      <text>
        <r>
          <rPr>
            <b/>
            <sz val="9"/>
            <color indexed="81"/>
            <rFont val="Tahoma"/>
            <family val="2"/>
          </rPr>
          <t>SPL:</t>
        </r>
        <r>
          <rPr>
            <sz val="9"/>
            <color indexed="81"/>
            <rFont val="Tahoma"/>
            <family val="2"/>
          </rPr>
          <t xml:space="preserve">
Pause</t>
        </r>
      </text>
    </comment>
    <comment ref="V5" authorId="1" shapeId="0" xr:uid="{00000000-0006-0000-0600-000003000000}">
      <text>
        <r>
          <rPr>
            <b/>
            <sz val="9"/>
            <color indexed="81"/>
            <rFont val="Tahoma"/>
            <family val="2"/>
          </rPr>
          <t>SPL:</t>
        </r>
        <r>
          <rPr>
            <sz val="9"/>
            <color indexed="81"/>
            <rFont val="Tahoma"/>
            <family val="2"/>
          </rPr>
          <t xml:space="preserve">
Réel Jour
</t>
        </r>
      </text>
    </comment>
    <comment ref="W5" authorId="1" shapeId="0" xr:uid="{00000000-0006-0000-0600-000004000000}">
      <text>
        <r>
          <rPr>
            <b/>
            <sz val="9"/>
            <color indexed="81"/>
            <rFont val="Tahoma"/>
            <family val="2"/>
          </rPr>
          <t>SPL:</t>
        </r>
        <r>
          <rPr>
            <sz val="9"/>
            <color indexed="81"/>
            <rFont val="Tahoma"/>
            <family val="2"/>
          </rPr>
          <t xml:space="preserve">
Amplitude</t>
        </r>
      </text>
    </comment>
    <comment ref="X5" authorId="2" shapeId="0" xr:uid="{00000000-0006-0000-0600-000005000000}">
      <text>
        <r>
          <rPr>
            <b/>
            <sz val="9"/>
            <color indexed="81"/>
            <rFont val="Tahoma"/>
            <family val="2"/>
          </rPr>
          <t>SPL:</t>
        </r>
        <r>
          <rPr>
            <sz val="9"/>
            <color indexed="81"/>
            <rFont val="Tahoma"/>
            <family val="2"/>
          </rPr>
          <t xml:space="preserve">
Pause si + 6 heures</t>
        </r>
      </text>
    </comment>
    <comment ref="Y5" authorId="1" shapeId="0" xr:uid="{00000000-0006-0000-0600-000006000000}">
      <text>
        <r>
          <rPr>
            <b/>
            <sz val="9"/>
            <color indexed="81"/>
            <rFont val="Tahoma"/>
            <family val="2"/>
          </rPr>
          <t>SPL:</t>
        </r>
        <r>
          <rPr>
            <sz val="9"/>
            <color indexed="81"/>
            <rFont val="Tahoma"/>
            <family val="2"/>
          </rPr>
          <t xml:space="preserve">
Repos journalier
</t>
        </r>
      </text>
    </comment>
    <comment ref="S16" authorId="0" shapeId="0" xr:uid="{00000000-0006-0000-0600-000007000000}">
      <text>
        <r>
          <rPr>
            <b/>
            <sz val="9"/>
            <color indexed="81"/>
            <rFont val="Tahoma"/>
            <family val="2"/>
          </rPr>
          <t>SPL:</t>
        </r>
        <r>
          <rPr>
            <sz val="9"/>
            <color indexed="81"/>
            <rFont val="Tahoma"/>
            <family val="2"/>
          </rPr>
          <t xml:space="preserve">
Si délai de prévenance &lt;72h, saisir : O
</t>
        </r>
      </text>
    </comment>
    <comment ref="U17" authorId="1" shapeId="0" xr:uid="{00000000-0006-0000-0600-000008000000}">
      <text>
        <r>
          <rPr>
            <b/>
            <sz val="9"/>
            <color indexed="81"/>
            <rFont val="Tahoma"/>
            <family val="2"/>
          </rPr>
          <t>SPL:</t>
        </r>
        <r>
          <rPr>
            <sz val="9"/>
            <color indexed="81"/>
            <rFont val="Tahoma"/>
            <family val="2"/>
          </rPr>
          <t xml:space="preserve">
Pause</t>
        </r>
      </text>
    </comment>
    <comment ref="V17" authorId="1" shapeId="0" xr:uid="{00000000-0006-0000-0600-000009000000}">
      <text>
        <r>
          <rPr>
            <b/>
            <sz val="9"/>
            <color indexed="81"/>
            <rFont val="Tahoma"/>
            <family val="2"/>
          </rPr>
          <t>SPL:</t>
        </r>
        <r>
          <rPr>
            <sz val="9"/>
            <color indexed="81"/>
            <rFont val="Tahoma"/>
            <family val="2"/>
          </rPr>
          <t xml:space="preserve">
Réel Jour
</t>
        </r>
      </text>
    </comment>
    <comment ref="W17" authorId="1" shapeId="0" xr:uid="{00000000-0006-0000-0600-00000A000000}">
      <text>
        <r>
          <rPr>
            <b/>
            <sz val="9"/>
            <color indexed="81"/>
            <rFont val="Tahoma"/>
            <family val="2"/>
          </rPr>
          <t>SPL:</t>
        </r>
        <r>
          <rPr>
            <sz val="9"/>
            <color indexed="81"/>
            <rFont val="Tahoma"/>
            <family val="2"/>
          </rPr>
          <t xml:space="preserve">
Amplitude</t>
        </r>
      </text>
    </comment>
    <comment ref="X17" authorId="2" shapeId="0" xr:uid="{00000000-0006-0000-0600-00000B000000}">
      <text>
        <r>
          <rPr>
            <b/>
            <sz val="9"/>
            <color indexed="81"/>
            <rFont val="Tahoma"/>
            <family val="2"/>
          </rPr>
          <t>SPL:</t>
        </r>
        <r>
          <rPr>
            <sz val="9"/>
            <color indexed="81"/>
            <rFont val="Tahoma"/>
            <family val="2"/>
          </rPr>
          <t xml:space="preserve">
Pause si + 6 heures</t>
        </r>
      </text>
    </comment>
    <comment ref="Y17" authorId="1" shapeId="0" xr:uid="{00000000-0006-0000-0600-00000C000000}">
      <text>
        <r>
          <rPr>
            <b/>
            <sz val="9"/>
            <color indexed="81"/>
            <rFont val="Tahoma"/>
            <family val="2"/>
          </rPr>
          <t>SPL:</t>
        </r>
        <r>
          <rPr>
            <sz val="9"/>
            <color indexed="81"/>
            <rFont val="Tahoma"/>
            <family val="2"/>
          </rPr>
          <t xml:space="preserve">
Repos journalier
</t>
        </r>
      </text>
    </comment>
    <comment ref="S28" authorId="0" shapeId="0" xr:uid="{00000000-0006-0000-0600-00000D000000}">
      <text>
        <r>
          <rPr>
            <b/>
            <sz val="9"/>
            <color indexed="81"/>
            <rFont val="Tahoma"/>
            <family val="2"/>
          </rPr>
          <t>SPL:</t>
        </r>
        <r>
          <rPr>
            <sz val="9"/>
            <color indexed="81"/>
            <rFont val="Tahoma"/>
            <family val="2"/>
          </rPr>
          <t xml:space="preserve">
Si délai de prévenance &lt;72h, saisir : O
</t>
        </r>
      </text>
    </comment>
    <comment ref="U29" authorId="1" shapeId="0" xr:uid="{00000000-0006-0000-0600-00000E000000}">
      <text>
        <r>
          <rPr>
            <b/>
            <sz val="9"/>
            <color indexed="81"/>
            <rFont val="Tahoma"/>
            <family val="2"/>
          </rPr>
          <t>SPL:</t>
        </r>
        <r>
          <rPr>
            <sz val="9"/>
            <color indexed="81"/>
            <rFont val="Tahoma"/>
            <family val="2"/>
          </rPr>
          <t xml:space="preserve">
Pause</t>
        </r>
      </text>
    </comment>
    <comment ref="V29" authorId="1" shapeId="0" xr:uid="{00000000-0006-0000-0600-00000F000000}">
      <text>
        <r>
          <rPr>
            <b/>
            <sz val="9"/>
            <color indexed="81"/>
            <rFont val="Tahoma"/>
            <family val="2"/>
          </rPr>
          <t>SPL:</t>
        </r>
        <r>
          <rPr>
            <sz val="9"/>
            <color indexed="81"/>
            <rFont val="Tahoma"/>
            <family val="2"/>
          </rPr>
          <t xml:space="preserve">
Réel Jour
</t>
        </r>
      </text>
    </comment>
    <comment ref="W29" authorId="1" shapeId="0" xr:uid="{00000000-0006-0000-0600-000010000000}">
      <text>
        <r>
          <rPr>
            <b/>
            <sz val="9"/>
            <color indexed="81"/>
            <rFont val="Tahoma"/>
            <family val="2"/>
          </rPr>
          <t>SPL:</t>
        </r>
        <r>
          <rPr>
            <sz val="9"/>
            <color indexed="81"/>
            <rFont val="Tahoma"/>
            <family val="2"/>
          </rPr>
          <t xml:space="preserve">
Amplitude</t>
        </r>
      </text>
    </comment>
    <comment ref="X29" authorId="2" shapeId="0" xr:uid="{00000000-0006-0000-0600-000011000000}">
      <text>
        <r>
          <rPr>
            <b/>
            <sz val="9"/>
            <color indexed="81"/>
            <rFont val="Tahoma"/>
            <family val="2"/>
          </rPr>
          <t>SPL:</t>
        </r>
        <r>
          <rPr>
            <sz val="9"/>
            <color indexed="81"/>
            <rFont val="Tahoma"/>
            <family val="2"/>
          </rPr>
          <t xml:space="preserve">
Pause si + 6 heures</t>
        </r>
      </text>
    </comment>
    <comment ref="Y29" authorId="1" shapeId="0" xr:uid="{00000000-0006-0000-0600-000012000000}">
      <text>
        <r>
          <rPr>
            <b/>
            <sz val="9"/>
            <color indexed="81"/>
            <rFont val="Tahoma"/>
            <family val="2"/>
          </rPr>
          <t>SPL:</t>
        </r>
        <r>
          <rPr>
            <sz val="9"/>
            <color indexed="81"/>
            <rFont val="Tahoma"/>
            <family val="2"/>
          </rPr>
          <t xml:space="preserve">
Repos journalier
</t>
        </r>
      </text>
    </comment>
    <comment ref="S40" authorId="0" shapeId="0" xr:uid="{00000000-0006-0000-0600-000013000000}">
      <text>
        <r>
          <rPr>
            <b/>
            <sz val="9"/>
            <color indexed="81"/>
            <rFont val="Tahoma"/>
            <family val="2"/>
          </rPr>
          <t>SPL:</t>
        </r>
        <r>
          <rPr>
            <sz val="9"/>
            <color indexed="81"/>
            <rFont val="Tahoma"/>
            <family val="2"/>
          </rPr>
          <t xml:space="preserve">
Si délai de prévenance &lt;72h, saisir : O
</t>
        </r>
      </text>
    </comment>
    <comment ref="U41" authorId="1" shapeId="0" xr:uid="{00000000-0006-0000-0600-000014000000}">
      <text>
        <r>
          <rPr>
            <b/>
            <sz val="9"/>
            <color indexed="81"/>
            <rFont val="Tahoma"/>
            <family val="2"/>
          </rPr>
          <t>SPL:</t>
        </r>
        <r>
          <rPr>
            <sz val="9"/>
            <color indexed="81"/>
            <rFont val="Tahoma"/>
            <family val="2"/>
          </rPr>
          <t xml:space="preserve">
Pause</t>
        </r>
      </text>
    </comment>
    <comment ref="V41" authorId="1" shapeId="0" xr:uid="{00000000-0006-0000-0600-000015000000}">
      <text>
        <r>
          <rPr>
            <b/>
            <sz val="9"/>
            <color indexed="81"/>
            <rFont val="Tahoma"/>
            <family val="2"/>
          </rPr>
          <t>SPL:</t>
        </r>
        <r>
          <rPr>
            <sz val="9"/>
            <color indexed="81"/>
            <rFont val="Tahoma"/>
            <family val="2"/>
          </rPr>
          <t xml:space="preserve">
Réel Jour
</t>
        </r>
      </text>
    </comment>
    <comment ref="W41" authorId="1" shapeId="0" xr:uid="{00000000-0006-0000-0600-000016000000}">
      <text>
        <r>
          <rPr>
            <b/>
            <sz val="9"/>
            <color indexed="81"/>
            <rFont val="Tahoma"/>
            <family val="2"/>
          </rPr>
          <t>SPL:</t>
        </r>
        <r>
          <rPr>
            <sz val="9"/>
            <color indexed="81"/>
            <rFont val="Tahoma"/>
            <family val="2"/>
          </rPr>
          <t xml:space="preserve">
Amplitude</t>
        </r>
      </text>
    </comment>
    <comment ref="X41" authorId="2" shapeId="0" xr:uid="{00000000-0006-0000-0600-000017000000}">
      <text>
        <r>
          <rPr>
            <b/>
            <sz val="9"/>
            <color indexed="81"/>
            <rFont val="Tahoma"/>
            <family val="2"/>
          </rPr>
          <t>SPL:</t>
        </r>
        <r>
          <rPr>
            <sz val="9"/>
            <color indexed="81"/>
            <rFont val="Tahoma"/>
            <family val="2"/>
          </rPr>
          <t xml:space="preserve">
Pause si + 6 heures</t>
        </r>
      </text>
    </comment>
    <comment ref="Y41" authorId="1" shapeId="0" xr:uid="{00000000-0006-0000-0600-000018000000}">
      <text>
        <r>
          <rPr>
            <b/>
            <sz val="9"/>
            <color indexed="81"/>
            <rFont val="Tahoma"/>
            <family val="2"/>
          </rPr>
          <t>SPL:</t>
        </r>
        <r>
          <rPr>
            <sz val="9"/>
            <color indexed="81"/>
            <rFont val="Tahoma"/>
            <family val="2"/>
          </rPr>
          <t xml:space="preserve">
Repos journalier
</t>
        </r>
      </text>
    </comment>
    <comment ref="S52" authorId="0" shapeId="0" xr:uid="{00000000-0006-0000-0600-000019000000}">
      <text>
        <r>
          <rPr>
            <b/>
            <sz val="9"/>
            <color indexed="81"/>
            <rFont val="Tahoma"/>
            <family val="2"/>
          </rPr>
          <t>SPL:</t>
        </r>
        <r>
          <rPr>
            <sz val="9"/>
            <color indexed="81"/>
            <rFont val="Tahoma"/>
            <family val="2"/>
          </rPr>
          <t xml:space="preserve">
Si délai de prévenance &lt;72h, saisir : O
</t>
        </r>
      </text>
    </comment>
    <comment ref="U53" authorId="1" shapeId="0" xr:uid="{00000000-0006-0000-0600-00001A000000}">
      <text>
        <r>
          <rPr>
            <b/>
            <sz val="9"/>
            <color indexed="81"/>
            <rFont val="Tahoma"/>
            <family val="2"/>
          </rPr>
          <t>SPL:</t>
        </r>
        <r>
          <rPr>
            <sz val="9"/>
            <color indexed="81"/>
            <rFont val="Tahoma"/>
            <family val="2"/>
          </rPr>
          <t xml:space="preserve">
Pause</t>
        </r>
      </text>
    </comment>
    <comment ref="V53" authorId="1" shapeId="0" xr:uid="{00000000-0006-0000-0600-00001B000000}">
      <text>
        <r>
          <rPr>
            <b/>
            <sz val="9"/>
            <color indexed="81"/>
            <rFont val="Tahoma"/>
            <family val="2"/>
          </rPr>
          <t>SPL:</t>
        </r>
        <r>
          <rPr>
            <sz val="9"/>
            <color indexed="81"/>
            <rFont val="Tahoma"/>
            <family val="2"/>
          </rPr>
          <t xml:space="preserve">
Réel Jour
</t>
        </r>
      </text>
    </comment>
    <comment ref="W53" authorId="1" shapeId="0" xr:uid="{00000000-0006-0000-0600-00001C000000}">
      <text>
        <r>
          <rPr>
            <b/>
            <sz val="9"/>
            <color indexed="81"/>
            <rFont val="Tahoma"/>
            <family val="2"/>
          </rPr>
          <t>SPL:</t>
        </r>
        <r>
          <rPr>
            <sz val="9"/>
            <color indexed="81"/>
            <rFont val="Tahoma"/>
            <family val="2"/>
          </rPr>
          <t xml:space="preserve">
Amplitude</t>
        </r>
      </text>
    </comment>
    <comment ref="X53" authorId="2" shapeId="0" xr:uid="{00000000-0006-0000-0600-00001D000000}">
      <text>
        <r>
          <rPr>
            <b/>
            <sz val="9"/>
            <color indexed="81"/>
            <rFont val="Tahoma"/>
            <family val="2"/>
          </rPr>
          <t>SPL:</t>
        </r>
        <r>
          <rPr>
            <sz val="9"/>
            <color indexed="81"/>
            <rFont val="Tahoma"/>
            <family val="2"/>
          </rPr>
          <t xml:space="preserve">
Pause si + 6 heures</t>
        </r>
      </text>
    </comment>
    <comment ref="Y53" authorId="1" shapeId="0" xr:uid="{00000000-0006-0000-0600-00001E000000}">
      <text>
        <r>
          <rPr>
            <b/>
            <sz val="9"/>
            <color indexed="81"/>
            <rFont val="Tahoma"/>
            <family val="2"/>
          </rPr>
          <t>SPL:</t>
        </r>
        <r>
          <rPr>
            <sz val="9"/>
            <color indexed="81"/>
            <rFont val="Tahoma"/>
            <family val="2"/>
          </rPr>
          <t xml:space="preserve">
Repos journalier
</t>
        </r>
      </text>
    </comment>
    <comment ref="S64" authorId="0" shapeId="0" xr:uid="{00000000-0006-0000-0600-00001F000000}">
      <text>
        <r>
          <rPr>
            <b/>
            <sz val="9"/>
            <color indexed="81"/>
            <rFont val="Tahoma"/>
            <family val="2"/>
          </rPr>
          <t>SPL:</t>
        </r>
        <r>
          <rPr>
            <sz val="9"/>
            <color indexed="81"/>
            <rFont val="Tahoma"/>
            <family val="2"/>
          </rPr>
          <t xml:space="preserve">
Si délai de prévenance &lt;72h, saisir : O
</t>
        </r>
      </text>
    </comment>
    <comment ref="U65" authorId="1" shapeId="0" xr:uid="{00000000-0006-0000-0600-000020000000}">
      <text>
        <r>
          <rPr>
            <b/>
            <sz val="9"/>
            <color indexed="81"/>
            <rFont val="Tahoma"/>
            <family val="2"/>
          </rPr>
          <t>SPL:</t>
        </r>
        <r>
          <rPr>
            <sz val="9"/>
            <color indexed="81"/>
            <rFont val="Tahoma"/>
            <family val="2"/>
          </rPr>
          <t xml:space="preserve">
Pause</t>
        </r>
      </text>
    </comment>
    <comment ref="V65" authorId="1" shapeId="0" xr:uid="{00000000-0006-0000-0600-000021000000}">
      <text>
        <r>
          <rPr>
            <b/>
            <sz val="9"/>
            <color indexed="81"/>
            <rFont val="Tahoma"/>
            <family val="2"/>
          </rPr>
          <t>SPL:</t>
        </r>
        <r>
          <rPr>
            <sz val="9"/>
            <color indexed="81"/>
            <rFont val="Tahoma"/>
            <family val="2"/>
          </rPr>
          <t xml:space="preserve">
Réel Jour
</t>
        </r>
      </text>
    </comment>
    <comment ref="W65" authorId="1" shapeId="0" xr:uid="{00000000-0006-0000-0600-000022000000}">
      <text>
        <r>
          <rPr>
            <b/>
            <sz val="9"/>
            <color indexed="81"/>
            <rFont val="Tahoma"/>
            <family val="2"/>
          </rPr>
          <t>SPL:</t>
        </r>
        <r>
          <rPr>
            <sz val="9"/>
            <color indexed="81"/>
            <rFont val="Tahoma"/>
            <family val="2"/>
          </rPr>
          <t xml:space="preserve">
Amplitude</t>
        </r>
      </text>
    </comment>
    <comment ref="X65" authorId="2" shapeId="0" xr:uid="{00000000-0006-0000-0600-000023000000}">
      <text>
        <r>
          <rPr>
            <b/>
            <sz val="9"/>
            <color indexed="81"/>
            <rFont val="Tahoma"/>
            <family val="2"/>
          </rPr>
          <t>SPL:</t>
        </r>
        <r>
          <rPr>
            <sz val="9"/>
            <color indexed="81"/>
            <rFont val="Tahoma"/>
            <family val="2"/>
          </rPr>
          <t xml:space="preserve">
Pause si + 6 heures</t>
        </r>
      </text>
    </comment>
    <comment ref="Y65" authorId="1" shapeId="0" xr:uid="{00000000-0006-0000-0600-000024000000}">
      <text>
        <r>
          <rPr>
            <b/>
            <sz val="9"/>
            <color indexed="81"/>
            <rFont val="Tahoma"/>
            <family val="2"/>
          </rPr>
          <t>SPL:</t>
        </r>
        <r>
          <rPr>
            <sz val="9"/>
            <color indexed="81"/>
            <rFont val="Tahoma"/>
            <family val="2"/>
          </rPr>
          <t xml:space="preserve">
Repos journalier
</t>
        </r>
      </text>
    </comment>
    <comment ref="S76" authorId="0" shapeId="0" xr:uid="{00000000-0006-0000-0600-000025000000}">
      <text>
        <r>
          <rPr>
            <b/>
            <sz val="9"/>
            <color indexed="81"/>
            <rFont val="Tahoma"/>
            <family val="2"/>
          </rPr>
          <t>SPL:</t>
        </r>
        <r>
          <rPr>
            <sz val="9"/>
            <color indexed="81"/>
            <rFont val="Tahoma"/>
            <family val="2"/>
          </rPr>
          <t xml:space="preserve">
Si délai de prévenance &lt;72h, saisir : O
</t>
        </r>
      </text>
    </comment>
    <comment ref="U77" authorId="1" shapeId="0" xr:uid="{00000000-0006-0000-0600-000026000000}">
      <text>
        <r>
          <rPr>
            <b/>
            <sz val="9"/>
            <color indexed="81"/>
            <rFont val="Tahoma"/>
            <family val="2"/>
          </rPr>
          <t>SPL:</t>
        </r>
        <r>
          <rPr>
            <sz val="9"/>
            <color indexed="81"/>
            <rFont val="Tahoma"/>
            <family val="2"/>
          </rPr>
          <t xml:space="preserve">
Pause</t>
        </r>
      </text>
    </comment>
    <comment ref="V77" authorId="1" shapeId="0" xr:uid="{00000000-0006-0000-0600-000027000000}">
      <text>
        <r>
          <rPr>
            <b/>
            <sz val="9"/>
            <color indexed="81"/>
            <rFont val="Tahoma"/>
            <family val="2"/>
          </rPr>
          <t>SPL:</t>
        </r>
        <r>
          <rPr>
            <sz val="9"/>
            <color indexed="81"/>
            <rFont val="Tahoma"/>
            <family val="2"/>
          </rPr>
          <t xml:space="preserve">
Réel Jour
</t>
        </r>
      </text>
    </comment>
    <comment ref="W77" authorId="1" shapeId="0" xr:uid="{00000000-0006-0000-0600-000028000000}">
      <text>
        <r>
          <rPr>
            <b/>
            <sz val="9"/>
            <color indexed="81"/>
            <rFont val="Tahoma"/>
            <family val="2"/>
          </rPr>
          <t>SPL:</t>
        </r>
        <r>
          <rPr>
            <sz val="9"/>
            <color indexed="81"/>
            <rFont val="Tahoma"/>
            <family val="2"/>
          </rPr>
          <t xml:space="preserve">
Amplitude</t>
        </r>
      </text>
    </comment>
    <comment ref="X77" authorId="2" shapeId="0" xr:uid="{00000000-0006-0000-0600-000029000000}">
      <text>
        <r>
          <rPr>
            <b/>
            <sz val="9"/>
            <color indexed="81"/>
            <rFont val="Tahoma"/>
            <family val="2"/>
          </rPr>
          <t>SPL:</t>
        </r>
        <r>
          <rPr>
            <sz val="9"/>
            <color indexed="81"/>
            <rFont val="Tahoma"/>
            <family val="2"/>
          </rPr>
          <t xml:space="preserve">
Pause si + 6 heures</t>
        </r>
      </text>
    </comment>
    <comment ref="Y77" authorId="1" shapeId="0" xr:uid="{00000000-0006-0000-0600-00002A000000}">
      <text>
        <r>
          <rPr>
            <b/>
            <sz val="9"/>
            <color indexed="81"/>
            <rFont val="Tahoma"/>
            <family val="2"/>
          </rPr>
          <t>SPL:</t>
        </r>
        <r>
          <rPr>
            <sz val="9"/>
            <color indexed="81"/>
            <rFont val="Tahoma"/>
            <family val="2"/>
          </rPr>
          <t xml:space="preserve">
Repos journalier
</t>
        </r>
      </text>
    </comment>
    <comment ref="S88" authorId="0" shapeId="0" xr:uid="{00000000-0006-0000-0600-00002B000000}">
      <text>
        <r>
          <rPr>
            <b/>
            <sz val="9"/>
            <color indexed="81"/>
            <rFont val="Tahoma"/>
            <family val="2"/>
          </rPr>
          <t>SPL:</t>
        </r>
        <r>
          <rPr>
            <sz val="9"/>
            <color indexed="81"/>
            <rFont val="Tahoma"/>
            <family val="2"/>
          </rPr>
          <t xml:space="preserve">
Si délai de prévenance &lt;72h, saisir : O
</t>
        </r>
      </text>
    </comment>
    <comment ref="U89" authorId="1" shapeId="0" xr:uid="{00000000-0006-0000-0600-00002C000000}">
      <text>
        <r>
          <rPr>
            <b/>
            <sz val="9"/>
            <color indexed="81"/>
            <rFont val="Tahoma"/>
            <family val="2"/>
          </rPr>
          <t>SPL:</t>
        </r>
        <r>
          <rPr>
            <sz val="9"/>
            <color indexed="81"/>
            <rFont val="Tahoma"/>
            <family val="2"/>
          </rPr>
          <t xml:space="preserve">
Pause</t>
        </r>
      </text>
    </comment>
    <comment ref="V89" authorId="1" shapeId="0" xr:uid="{00000000-0006-0000-0600-00002D000000}">
      <text>
        <r>
          <rPr>
            <b/>
            <sz val="9"/>
            <color indexed="81"/>
            <rFont val="Tahoma"/>
            <family val="2"/>
          </rPr>
          <t>SPL:</t>
        </r>
        <r>
          <rPr>
            <sz val="9"/>
            <color indexed="81"/>
            <rFont val="Tahoma"/>
            <family val="2"/>
          </rPr>
          <t xml:space="preserve">
Réel Jour
</t>
        </r>
      </text>
    </comment>
    <comment ref="W89" authorId="1" shapeId="0" xr:uid="{00000000-0006-0000-0600-00002E000000}">
      <text>
        <r>
          <rPr>
            <b/>
            <sz val="9"/>
            <color indexed="81"/>
            <rFont val="Tahoma"/>
            <family val="2"/>
          </rPr>
          <t>SPL:</t>
        </r>
        <r>
          <rPr>
            <sz val="9"/>
            <color indexed="81"/>
            <rFont val="Tahoma"/>
            <family val="2"/>
          </rPr>
          <t xml:space="preserve">
Amplitude</t>
        </r>
      </text>
    </comment>
    <comment ref="X89" authorId="2" shapeId="0" xr:uid="{00000000-0006-0000-0600-00002F000000}">
      <text>
        <r>
          <rPr>
            <b/>
            <sz val="9"/>
            <color indexed="81"/>
            <rFont val="Tahoma"/>
            <family val="2"/>
          </rPr>
          <t>SPL:</t>
        </r>
        <r>
          <rPr>
            <sz val="9"/>
            <color indexed="81"/>
            <rFont val="Tahoma"/>
            <family val="2"/>
          </rPr>
          <t xml:space="preserve">
Pause si + 6 heures</t>
        </r>
      </text>
    </comment>
    <comment ref="Y89" authorId="1" shapeId="0" xr:uid="{00000000-0006-0000-0600-000030000000}">
      <text>
        <r>
          <rPr>
            <b/>
            <sz val="9"/>
            <color indexed="81"/>
            <rFont val="Tahoma"/>
            <family val="2"/>
          </rPr>
          <t>SPL:</t>
        </r>
        <r>
          <rPr>
            <sz val="9"/>
            <color indexed="81"/>
            <rFont val="Tahoma"/>
            <family val="2"/>
          </rPr>
          <t xml:space="preserve">
Repos journalier
</t>
        </r>
      </text>
    </comment>
    <comment ref="S100" authorId="0" shapeId="0" xr:uid="{00000000-0006-0000-0600-000031000000}">
      <text>
        <r>
          <rPr>
            <b/>
            <sz val="9"/>
            <color indexed="81"/>
            <rFont val="Tahoma"/>
            <family val="2"/>
          </rPr>
          <t>SPL:</t>
        </r>
        <r>
          <rPr>
            <sz val="9"/>
            <color indexed="81"/>
            <rFont val="Tahoma"/>
            <family val="2"/>
          </rPr>
          <t xml:space="preserve">
Si délai de prévenance &lt;72h, saisir : O
</t>
        </r>
      </text>
    </comment>
    <comment ref="U101" authorId="1" shapeId="0" xr:uid="{00000000-0006-0000-0600-000032000000}">
      <text>
        <r>
          <rPr>
            <b/>
            <sz val="9"/>
            <color indexed="81"/>
            <rFont val="Tahoma"/>
            <family val="2"/>
          </rPr>
          <t>SPL:</t>
        </r>
        <r>
          <rPr>
            <sz val="9"/>
            <color indexed="81"/>
            <rFont val="Tahoma"/>
            <family val="2"/>
          </rPr>
          <t xml:space="preserve">
Pause</t>
        </r>
      </text>
    </comment>
    <comment ref="V101" authorId="1" shapeId="0" xr:uid="{00000000-0006-0000-0600-000033000000}">
      <text>
        <r>
          <rPr>
            <b/>
            <sz val="9"/>
            <color indexed="81"/>
            <rFont val="Tahoma"/>
            <family val="2"/>
          </rPr>
          <t>SPL:</t>
        </r>
        <r>
          <rPr>
            <sz val="9"/>
            <color indexed="81"/>
            <rFont val="Tahoma"/>
            <family val="2"/>
          </rPr>
          <t xml:space="preserve">
Réel Jour
</t>
        </r>
      </text>
    </comment>
    <comment ref="W101" authorId="1" shapeId="0" xr:uid="{00000000-0006-0000-0600-000034000000}">
      <text>
        <r>
          <rPr>
            <b/>
            <sz val="9"/>
            <color indexed="81"/>
            <rFont val="Tahoma"/>
            <family val="2"/>
          </rPr>
          <t>SPL:</t>
        </r>
        <r>
          <rPr>
            <sz val="9"/>
            <color indexed="81"/>
            <rFont val="Tahoma"/>
            <family val="2"/>
          </rPr>
          <t xml:space="preserve">
Amplitude</t>
        </r>
      </text>
    </comment>
    <comment ref="X101" authorId="2" shapeId="0" xr:uid="{00000000-0006-0000-0600-000035000000}">
      <text>
        <r>
          <rPr>
            <b/>
            <sz val="9"/>
            <color indexed="81"/>
            <rFont val="Tahoma"/>
            <family val="2"/>
          </rPr>
          <t>SPL:</t>
        </r>
        <r>
          <rPr>
            <sz val="9"/>
            <color indexed="81"/>
            <rFont val="Tahoma"/>
            <family val="2"/>
          </rPr>
          <t xml:space="preserve">
Pause si + 6 heures</t>
        </r>
      </text>
    </comment>
    <comment ref="Y101" authorId="1" shapeId="0" xr:uid="{00000000-0006-0000-0600-000036000000}">
      <text>
        <r>
          <rPr>
            <b/>
            <sz val="9"/>
            <color indexed="81"/>
            <rFont val="Tahoma"/>
            <family val="2"/>
          </rPr>
          <t>SPL:</t>
        </r>
        <r>
          <rPr>
            <sz val="9"/>
            <color indexed="81"/>
            <rFont val="Tahoma"/>
            <family val="2"/>
          </rPr>
          <t xml:space="preserve">
Repos journalier
</t>
        </r>
      </text>
    </comment>
    <comment ref="S112" authorId="0" shapeId="0" xr:uid="{00000000-0006-0000-0600-000037000000}">
      <text>
        <r>
          <rPr>
            <b/>
            <sz val="9"/>
            <color indexed="81"/>
            <rFont val="Tahoma"/>
            <family val="2"/>
          </rPr>
          <t>SPL:</t>
        </r>
        <r>
          <rPr>
            <sz val="9"/>
            <color indexed="81"/>
            <rFont val="Tahoma"/>
            <family val="2"/>
          </rPr>
          <t xml:space="preserve">
Si délai de prévenance &lt;72h, saisir : O
</t>
        </r>
      </text>
    </comment>
    <comment ref="U113" authorId="1" shapeId="0" xr:uid="{00000000-0006-0000-0600-000038000000}">
      <text>
        <r>
          <rPr>
            <b/>
            <sz val="9"/>
            <color indexed="81"/>
            <rFont val="Tahoma"/>
            <family val="2"/>
          </rPr>
          <t>SPL:</t>
        </r>
        <r>
          <rPr>
            <sz val="9"/>
            <color indexed="81"/>
            <rFont val="Tahoma"/>
            <family val="2"/>
          </rPr>
          <t xml:space="preserve">
Pause</t>
        </r>
      </text>
    </comment>
    <comment ref="V113" authorId="1" shapeId="0" xr:uid="{00000000-0006-0000-0600-000039000000}">
      <text>
        <r>
          <rPr>
            <b/>
            <sz val="9"/>
            <color indexed="81"/>
            <rFont val="Tahoma"/>
            <family val="2"/>
          </rPr>
          <t>SPL:</t>
        </r>
        <r>
          <rPr>
            <sz val="9"/>
            <color indexed="81"/>
            <rFont val="Tahoma"/>
            <family val="2"/>
          </rPr>
          <t xml:space="preserve">
Réel Jour
</t>
        </r>
      </text>
    </comment>
    <comment ref="W113" authorId="1" shapeId="0" xr:uid="{00000000-0006-0000-0600-00003A000000}">
      <text>
        <r>
          <rPr>
            <b/>
            <sz val="9"/>
            <color indexed="81"/>
            <rFont val="Tahoma"/>
            <family val="2"/>
          </rPr>
          <t>SPL:</t>
        </r>
        <r>
          <rPr>
            <sz val="9"/>
            <color indexed="81"/>
            <rFont val="Tahoma"/>
            <family val="2"/>
          </rPr>
          <t xml:space="preserve">
Amplitude</t>
        </r>
      </text>
    </comment>
    <comment ref="X113" authorId="2" shapeId="0" xr:uid="{00000000-0006-0000-0600-00003B000000}">
      <text>
        <r>
          <rPr>
            <b/>
            <sz val="9"/>
            <color indexed="81"/>
            <rFont val="Tahoma"/>
            <family val="2"/>
          </rPr>
          <t>SPL:</t>
        </r>
        <r>
          <rPr>
            <sz val="9"/>
            <color indexed="81"/>
            <rFont val="Tahoma"/>
            <family val="2"/>
          </rPr>
          <t xml:space="preserve">
Pause si + 6 heures</t>
        </r>
      </text>
    </comment>
    <comment ref="Y113" authorId="1" shapeId="0" xr:uid="{00000000-0006-0000-0600-00003C000000}">
      <text>
        <r>
          <rPr>
            <b/>
            <sz val="9"/>
            <color indexed="81"/>
            <rFont val="Tahoma"/>
            <family val="2"/>
          </rPr>
          <t>SPL:</t>
        </r>
        <r>
          <rPr>
            <sz val="9"/>
            <color indexed="81"/>
            <rFont val="Tahoma"/>
            <family val="2"/>
          </rPr>
          <t xml:space="preserve">
Repos journalier
</t>
        </r>
      </text>
    </comment>
    <comment ref="S124" authorId="0" shapeId="0" xr:uid="{00000000-0006-0000-0600-00003D000000}">
      <text>
        <r>
          <rPr>
            <b/>
            <sz val="9"/>
            <color indexed="81"/>
            <rFont val="Tahoma"/>
            <family val="2"/>
          </rPr>
          <t>SPL:</t>
        </r>
        <r>
          <rPr>
            <sz val="9"/>
            <color indexed="81"/>
            <rFont val="Tahoma"/>
            <family val="2"/>
          </rPr>
          <t xml:space="preserve">
Si délai de prévenance &lt;72h, saisir : O
</t>
        </r>
      </text>
    </comment>
    <comment ref="U125" authorId="1" shapeId="0" xr:uid="{00000000-0006-0000-0600-00003E000000}">
      <text>
        <r>
          <rPr>
            <b/>
            <sz val="9"/>
            <color indexed="81"/>
            <rFont val="Tahoma"/>
            <family val="2"/>
          </rPr>
          <t>SPL:</t>
        </r>
        <r>
          <rPr>
            <sz val="9"/>
            <color indexed="81"/>
            <rFont val="Tahoma"/>
            <family val="2"/>
          </rPr>
          <t xml:space="preserve">
Pause</t>
        </r>
      </text>
    </comment>
    <comment ref="V125" authorId="1" shapeId="0" xr:uid="{00000000-0006-0000-0600-00003F000000}">
      <text>
        <r>
          <rPr>
            <b/>
            <sz val="9"/>
            <color indexed="81"/>
            <rFont val="Tahoma"/>
            <family val="2"/>
          </rPr>
          <t>SPL:</t>
        </r>
        <r>
          <rPr>
            <sz val="9"/>
            <color indexed="81"/>
            <rFont val="Tahoma"/>
            <family val="2"/>
          </rPr>
          <t xml:space="preserve">
Réel Jour
</t>
        </r>
      </text>
    </comment>
    <comment ref="W125" authorId="1" shapeId="0" xr:uid="{00000000-0006-0000-0600-000040000000}">
      <text>
        <r>
          <rPr>
            <b/>
            <sz val="9"/>
            <color indexed="81"/>
            <rFont val="Tahoma"/>
            <family val="2"/>
          </rPr>
          <t>SPL:</t>
        </r>
        <r>
          <rPr>
            <sz val="9"/>
            <color indexed="81"/>
            <rFont val="Tahoma"/>
            <family val="2"/>
          </rPr>
          <t xml:space="preserve">
Amplitude</t>
        </r>
      </text>
    </comment>
    <comment ref="X125" authorId="2" shapeId="0" xr:uid="{00000000-0006-0000-0600-000041000000}">
      <text>
        <r>
          <rPr>
            <b/>
            <sz val="9"/>
            <color indexed="81"/>
            <rFont val="Tahoma"/>
            <family val="2"/>
          </rPr>
          <t>SPL:</t>
        </r>
        <r>
          <rPr>
            <sz val="9"/>
            <color indexed="81"/>
            <rFont val="Tahoma"/>
            <family val="2"/>
          </rPr>
          <t xml:space="preserve">
Pause si + 6 heures</t>
        </r>
      </text>
    </comment>
    <comment ref="Y125" authorId="1" shapeId="0" xr:uid="{00000000-0006-0000-0600-000042000000}">
      <text>
        <r>
          <rPr>
            <b/>
            <sz val="9"/>
            <color indexed="81"/>
            <rFont val="Tahoma"/>
            <family val="2"/>
          </rPr>
          <t>SPL:</t>
        </r>
        <r>
          <rPr>
            <sz val="9"/>
            <color indexed="81"/>
            <rFont val="Tahoma"/>
            <family val="2"/>
          </rPr>
          <t xml:space="preserve">
Repos journalier
</t>
        </r>
      </text>
    </comment>
    <comment ref="S136" authorId="0" shapeId="0" xr:uid="{00000000-0006-0000-0600-000043000000}">
      <text>
        <r>
          <rPr>
            <b/>
            <sz val="9"/>
            <color indexed="81"/>
            <rFont val="Tahoma"/>
            <family val="2"/>
          </rPr>
          <t>SPL:</t>
        </r>
        <r>
          <rPr>
            <sz val="9"/>
            <color indexed="81"/>
            <rFont val="Tahoma"/>
            <family val="2"/>
          </rPr>
          <t xml:space="preserve">
Si délai de prévenance &lt;72h, saisir : O
</t>
        </r>
      </text>
    </comment>
    <comment ref="U137" authorId="1" shapeId="0" xr:uid="{00000000-0006-0000-0600-000044000000}">
      <text>
        <r>
          <rPr>
            <b/>
            <sz val="9"/>
            <color indexed="81"/>
            <rFont val="Tahoma"/>
            <family val="2"/>
          </rPr>
          <t>SPL:</t>
        </r>
        <r>
          <rPr>
            <sz val="9"/>
            <color indexed="81"/>
            <rFont val="Tahoma"/>
            <family val="2"/>
          </rPr>
          <t xml:space="preserve">
Pause</t>
        </r>
      </text>
    </comment>
    <comment ref="V137" authorId="1" shapeId="0" xr:uid="{00000000-0006-0000-0600-000045000000}">
      <text>
        <r>
          <rPr>
            <b/>
            <sz val="9"/>
            <color indexed="81"/>
            <rFont val="Tahoma"/>
            <family val="2"/>
          </rPr>
          <t>SPL:</t>
        </r>
        <r>
          <rPr>
            <sz val="9"/>
            <color indexed="81"/>
            <rFont val="Tahoma"/>
            <family val="2"/>
          </rPr>
          <t xml:space="preserve">
Réel Jour
</t>
        </r>
      </text>
    </comment>
    <comment ref="W137" authorId="1" shapeId="0" xr:uid="{00000000-0006-0000-0600-000046000000}">
      <text>
        <r>
          <rPr>
            <b/>
            <sz val="9"/>
            <color indexed="81"/>
            <rFont val="Tahoma"/>
            <family val="2"/>
          </rPr>
          <t>SPL:</t>
        </r>
        <r>
          <rPr>
            <sz val="9"/>
            <color indexed="81"/>
            <rFont val="Tahoma"/>
            <family val="2"/>
          </rPr>
          <t xml:space="preserve">
Amplitude</t>
        </r>
      </text>
    </comment>
    <comment ref="X137" authorId="2" shapeId="0" xr:uid="{00000000-0006-0000-0600-000047000000}">
      <text>
        <r>
          <rPr>
            <b/>
            <sz val="9"/>
            <color indexed="81"/>
            <rFont val="Tahoma"/>
            <family val="2"/>
          </rPr>
          <t>SPL:</t>
        </r>
        <r>
          <rPr>
            <sz val="9"/>
            <color indexed="81"/>
            <rFont val="Tahoma"/>
            <family val="2"/>
          </rPr>
          <t xml:space="preserve">
Pause si + 6 heures</t>
        </r>
      </text>
    </comment>
    <comment ref="Y137" authorId="1" shapeId="0" xr:uid="{00000000-0006-0000-0600-000048000000}">
      <text>
        <r>
          <rPr>
            <b/>
            <sz val="9"/>
            <color indexed="81"/>
            <rFont val="Tahoma"/>
            <family val="2"/>
          </rPr>
          <t>SPL:</t>
        </r>
        <r>
          <rPr>
            <sz val="9"/>
            <color indexed="81"/>
            <rFont val="Tahoma"/>
            <family val="2"/>
          </rPr>
          <t xml:space="preserve">
Repos journalier
</t>
        </r>
      </text>
    </comment>
    <comment ref="S148" authorId="0" shapeId="0" xr:uid="{00000000-0006-0000-0600-000049000000}">
      <text>
        <r>
          <rPr>
            <b/>
            <sz val="9"/>
            <color indexed="81"/>
            <rFont val="Tahoma"/>
            <family val="2"/>
          </rPr>
          <t>SPL:</t>
        </r>
        <r>
          <rPr>
            <sz val="9"/>
            <color indexed="81"/>
            <rFont val="Tahoma"/>
            <family val="2"/>
          </rPr>
          <t xml:space="preserve">
Si délai de prévenance &lt;72h, saisir : O
</t>
        </r>
      </text>
    </comment>
    <comment ref="U149" authorId="1" shapeId="0" xr:uid="{00000000-0006-0000-0600-00004A000000}">
      <text>
        <r>
          <rPr>
            <b/>
            <sz val="9"/>
            <color indexed="81"/>
            <rFont val="Tahoma"/>
            <family val="2"/>
          </rPr>
          <t>SPL:</t>
        </r>
        <r>
          <rPr>
            <sz val="9"/>
            <color indexed="81"/>
            <rFont val="Tahoma"/>
            <family val="2"/>
          </rPr>
          <t xml:space="preserve">
Pause</t>
        </r>
      </text>
    </comment>
    <comment ref="V149" authorId="1" shapeId="0" xr:uid="{00000000-0006-0000-0600-00004B000000}">
      <text>
        <r>
          <rPr>
            <b/>
            <sz val="9"/>
            <color indexed="81"/>
            <rFont val="Tahoma"/>
            <family val="2"/>
          </rPr>
          <t>SPL:</t>
        </r>
        <r>
          <rPr>
            <sz val="9"/>
            <color indexed="81"/>
            <rFont val="Tahoma"/>
            <family val="2"/>
          </rPr>
          <t xml:space="preserve">
Réel Jour
</t>
        </r>
      </text>
    </comment>
    <comment ref="W149" authorId="1" shapeId="0" xr:uid="{00000000-0006-0000-0600-00004C000000}">
      <text>
        <r>
          <rPr>
            <b/>
            <sz val="9"/>
            <color indexed="81"/>
            <rFont val="Tahoma"/>
            <family val="2"/>
          </rPr>
          <t>SPL:</t>
        </r>
        <r>
          <rPr>
            <sz val="9"/>
            <color indexed="81"/>
            <rFont val="Tahoma"/>
            <family val="2"/>
          </rPr>
          <t xml:space="preserve">
Amplitude</t>
        </r>
      </text>
    </comment>
    <comment ref="X149" authorId="2" shapeId="0" xr:uid="{00000000-0006-0000-0600-00004D000000}">
      <text>
        <r>
          <rPr>
            <b/>
            <sz val="9"/>
            <color indexed="81"/>
            <rFont val="Tahoma"/>
            <family val="2"/>
          </rPr>
          <t>SPL:</t>
        </r>
        <r>
          <rPr>
            <sz val="9"/>
            <color indexed="81"/>
            <rFont val="Tahoma"/>
            <family val="2"/>
          </rPr>
          <t xml:space="preserve">
Pause si + 6 heures</t>
        </r>
      </text>
    </comment>
    <comment ref="Y149" authorId="1" shapeId="0" xr:uid="{00000000-0006-0000-0600-00004E000000}">
      <text>
        <r>
          <rPr>
            <b/>
            <sz val="9"/>
            <color indexed="81"/>
            <rFont val="Tahoma"/>
            <family val="2"/>
          </rPr>
          <t>SPL:</t>
        </r>
        <r>
          <rPr>
            <sz val="9"/>
            <color indexed="81"/>
            <rFont val="Tahoma"/>
            <family val="2"/>
          </rPr>
          <t xml:space="preserve">
Repos journalier
</t>
        </r>
      </text>
    </comment>
  </commentList>
</comments>
</file>

<file path=xl/sharedStrings.xml><?xml version="1.0" encoding="utf-8"?>
<sst xmlns="http://schemas.openxmlformats.org/spreadsheetml/2006/main" count="3223" uniqueCount="382">
  <si>
    <t>prév</t>
  </si>
  <si>
    <t>réel</t>
  </si>
  <si>
    <t>lundi</t>
  </si>
  <si>
    <t>mardi</t>
  </si>
  <si>
    <t>mercredi</t>
  </si>
  <si>
    <t>jeudi</t>
  </si>
  <si>
    <t>vendredi</t>
  </si>
  <si>
    <t>samedi</t>
  </si>
  <si>
    <t>dimanche</t>
  </si>
  <si>
    <t>du</t>
  </si>
  <si>
    <t>au</t>
  </si>
  <si>
    <t>TOTAL heures</t>
  </si>
  <si>
    <t>LUNDI</t>
  </si>
  <si>
    <t>MARDI</t>
  </si>
  <si>
    <t>MERCREDI</t>
  </si>
  <si>
    <t>JEUDI</t>
  </si>
  <si>
    <t>VENDREDI</t>
  </si>
  <si>
    <t>Début</t>
  </si>
  <si>
    <t>Fin</t>
  </si>
  <si>
    <t>SAMEDI</t>
  </si>
  <si>
    <t>DIMANCHE</t>
  </si>
  <si>
    <t>TOTAL S36</t>
  </si>
  <si>
    <t>remarques</t>
  </si>
  <si>
    <t>SOLDE CP :</t>
  </si>
  <si>
    <t>TOTAL S2</t>
  </si>
  <si>
    <t>TOTAL S3</t>
  </si>
  <si>
    <t>TOTAL S4</t>
  </si>
  <si>
    <t>TOTAL S5</t>
  </si>
  <si>
    <t>TOTAL S6</t>
  </si>
  <si>
    <t>TOTAL S7</t>
  </si>
  <si>
    <t>TOTAL S8</t>
  </si>
  <si>
    <t>TOTAL S9</t>
  </si>
  <si>
    <t>TOTAL S10</t>
  </si>
  <si>
    <t>TOTAL S11</t>
  </si>
  <si>
    <t>TOTAL S12</t>
  </si>
  <si>
    <t>TOTAL S13</t>
  </si>
  <si>
    <t>TOTAL S14</t>
  </si>
  <si>
    <t>TOTAL S15</t>
  </si>
  <si>
    <t>TOTAL S16</t>
  </si>
  <si>
    <t>TOTAL S17</t>
  </si>
  <si>
    <t>TOTAL S18</t>
  </si>
  <si>
    <t>TOTAL S19</t>
  </si>
  <si>
    <t>TOTAL S20</t>
  </si>
  <si>
    <t>TOTAL S21</t>
  </si>
  <si>
    <t>TOTAL S22</t>
  </si>
  <si>
    <t>TOTAL S23</t>
  </si>
  <si>
    <t>TOTAL S24</t>
  </si>
  <si>
    <t>TOTAL S25</t>
  </si>
  <si>
    <t>TOTAL S26</t>
  </si>
  <si>
    <t>TOTAL S27</t>
  </si>
  <si>
    <t>TOTAL S28</t>
  </si>
  <si>
    <t>TOTAL S29</t>
  </si>
  <si>
    <t>TOTAL S30</t>
  </si>
  <si>
    <t>TOTAL S31</t>
  </si>
  <si>
    <t>TOTAL S32</t>
  </si>
  <si>
    <t>TOTAL S33</t>
  </si>
  <si>
    <t>TOTAL S34</t>
  </si>
  <si>
    <t>TOTAL S35</t>
  </si>
  <si>
    <t xml:space="preserve">au </t>
  </si>
  <si>
    <t>Delta de la semaine :</t>
  </si>
  <si>
    <t>pause
1</t>
  </si>
  <si>
    <t>durée
 jprév</t>
  </si>
  <si>
    <t>durée
 jréel</t>
  </si>
  <si>
    <t>pause
2</t>
  </si>
  <si>
    <t>Ampli-
tude</t>
  </si>
  <si>
    <t>Alerte</t>
  </si>
  <si>
    <t>P</t>
  </si>
  <si>
    <t>J</t>
  </si>
  <si>
    <t>A</t>
  </si>
  <si>
    <t>R</t>
  </si>
  <si>
    <t>Rep. J</t>
  </si>
  <si>
    <t>DELTA ANNUEL</t>
  </si>
  <si>
    <t>1er trimestre</t>
  </si>
  <si>
    <t>2ème trimestre</t>
  </si>
  <si>
    <t>3ème trimestre</t>
  </si>
  <si>
    <t>4ème trimestre</t>
  </si>
  <si>
    <t>Année scolaire :</t>
  </si>
  <si>
    <t>/</t>
  </si>
  <si>
    <t>TOTAL</t>
  </si>
  <si>
    <t>TOTAL HEURES PREVISIONNELLES 1er TRIMESTRE</t>
  </si>
  <si>
    <t>TOTAL HEURES REELLES 1er TRIMESTRE</t>
  </si>
  <si>
    <t>DELTA 1er TRIMESTRE</t>
  </si>
  <si>
    <t>NB MALADIE 1er TRIMESTRE</t>
  </si>
  <si>
    <t>Pôle :</t>
  </si>
  <si>
    <t>Samedi / dimanche</t>
  </si>
  <si>
    <t>fériés hors WE</t>
  </si>
  <si>
    <t>Temps de travail hebdo :</t>
  </si>
  <si>
    <t>Mensuel :</t>
  </si>
  <si>
    <t>Structure :</t>
  </si>
  <si>
    <t>Printemps</t>
  </si>
  <si>
    <t>Eté</t>
  </si>
  <si>
    <t>Toussaint</t>
  </si>
  <si>
    <t>Noël</t>
  </si>
  <si>
    <t>Temps plein</t>
  </si>
  <si>
    <t>Salarié</t>
  </si>
  <si>
    <t>Nombre de mois :</t>
  </si>
  <si>
    <t>Total annuel des heures</t>
  </si>
  <si>
    <t>1er mois :</t>
  </si>
  <si>
    <t>Fractionnement (en hres)</t>
  </si>
  <si>
    <t>Dernier mois :</t>
  </si>
  <si>
    <t>Congés conventionnels (h)</t>
  </si>
  <si>
    <t>Nb de jours congés conv. :</t>
  </si>
  <si>
    <t>Total</t>
  </si>
  <si>
    <t>Vacances
scolaires</t>
  </si>
  <si>
    <t>Période</t>
  </si>
  <si>
    <t>Dates</t>
  </si>
  <si>
    <t>Hiver</t>
  </si>
  <si>
    <t>Nom :</t>
  </si>
  <si>
    <t xml:space="preserve">Prénom : </t>
  </si>
  <si>
    <t>Prénom :</t>
  </si>
  <si>
    <t xml:space="preserve">Nom : </t>
  </si>
  <si>
    <t>Année scolaire</t>
  </si>
  <si>
    <t>Temps de travail mensuel :</t>
  </si>
  <si>
    <t>Temps de travail annuel :</t>
  </si>
  <si>
    <t>Delta 1er trimestre</t>
  </si>
  <si>
    <t>Delta 2ème trimestre</t>
  </si>
  <si>
    <t>Delta 3ème trimestre</t>
  </si>
  <si>
    <t>Delta 4ème trimestre</t>
  </si>
  <si>
    <t>Solde</t>
  </si>
  <si>
    <t>Paramétrage du planning indicatif annualisé</t>
  </si>
  <si>
    <t>Signatures</t>
  </si>
  <si>
    <t>Responsable</t>
  </si>
  <si>
    <t>Nom et prénom</t>
  </si>
  <si>
    <t>En fin de trimestre, ce document doit être imprimé, signé et sera classé dans les classeurs de chaque salarié. Chaque salarié pourra, après demande auprès du secrétariat avoir accès à ce document</t>
  </si>
  <si>
    <t>Légende</t>
  </si>
  <si>
    <t>CP ou JC</t>
  </si>
  <si>
    <t>Récapitulatif des heures effectuées sur les 12 semaines précédentes</t>
  </si>
  <si>
    <t>Total 12 sem. :</t>
  </si>
  <si>
    <t>Moyenne :</t>
  </si>
  <si>
    <t>SPL Enfance et Animation - 1 rue des Alpes - 68490 OTTMARSHEIM - sec-dir@splea68.fr - 03.68.36.16.23</t>
  </si>
  <si>
    <t>Total heures réelles :</t>
  </si>
  <si>
    <t>Total heures prév. :</t>
  </si>
  <si>
    <t>Delta 1er trim. à régulariser</t>
  </si>
  <si>
    <t>Delta 2ème trim. à régulariser</t>
  </si>
  <si>
    <t>Delta 3ème trim. à régulariser</t>
  </si>
  <si>
    <t>Heures réelles</t>
  </si>
  <si>
    <t>Heures prévisionnelles</t>
  </si>
  <si>
    <t>P+6</t>
  </si>
  <si>
    <t>Nom et prénom :</t>
  </si>
  <si>
    <t>SEPTEMBRE</t>
  </si>
  <si>
    <t>OCTOBRE</t>
  </si>
  <si>
    <t>NOVEMBRE</t>
  </si>
  <si>
    <t>DECEMBRE</t>
  </si>
  <si>
    <t>JANVIER</t>
  </si>
  <si>
    <t>FEVRIER</t>
  </si>
  <si>
    <t>MARS</t>
  </si>
  <si>
    <t>AVRIL</t>
  </si>
  <si>
    <t>MAI</t>
  </si>
  <si>
    <t>JUIN</t>
  </si>
  <si>
    <t>JUILLET</t>
  </si>
  <si>
    <t>AOUT</t>
  </si>
  <si>
    <t>annuel :</t>
  </si>
  <si>
    <t>Durée min. de la pause :</t>
  </si>
  <si>
    <t>Majoration dimanche :</t>
  </si>
  <si>
    <t>Responsable :</t>
  </si>
  <si>
    <t>Date</t>
  </si>
  <si>
    <t>1er trimestre :</t>
  </si>
  <si>
    <t>n</t>
  </si>
  <si>
    <t>2ème trimestre :</t>
  </si>
  <si>
    <t>Calcul du fractionnement</t>
  </si>
  <si>
    <t>3ème trimestre :</t>
  </si>
  <si>
    <t>4ème trimestre :</t>
  </si>
  <si>
    <t>Signatures trimestrielles ?</t>
  </si>
  <si>
    <t>Règle :</t>
  </si>
  <si>
    <t>De 3 à 5 jours : 1 jour</t>
  </si>
  <si>
    <t>Nb jours pris entre le 01/05 et le 31/10 inclus :</t>
  </si>
  <si>
    <t>Calcul des jours de fractionnement</t>
  </si>
  <si>
    <t>Ouvrables</t>
  </si>
  <si>
    <t>Ouvrés</t>
  </si>
  <si>
    <t>Total à prendre</t>
  </si>
  <si>
    <t>Réel ouvrés</t>
  </si>
  <si>
    <t>Fractionn.</t>
  </si>
  <si>
    <t>Si solde &lt;3 : 0 jour</t>
  </si>
  <si>
    <t>Planning indicatif annualisé - récapitulatif</t>
  </si>
  <si>
    <t>prév / réel</t>
  </si>
  <si>
    <t>cp fractionn.</t>
  </si>
  <si>
    <t>Prév.</t>
  </si>
  <si>
    <t>Total des heures à effectuer :</t>
  </si>
  <si>
    <t>Total des heures prévisionnelles :</t>
  </si>
  <si>
    <t>Total des heures réalisées :</t>
  </si>
  <si>
    <t>NB CP réel 1er TRIMESTRE</t>
  </si>
  <si>
    <t>NB JC réel 1er TRIMESTRE</t>
  </si>
  <si>
    <t>Congés</t>
  </si>
  <si>
    <t>JF</t>
  </si>
  <si>
    <t>M</t>
  </si>
  <si>
    <t>Nombre de jours CP pris</t>
  </si>
  <si>
    <t>Nombre de jours conventionnels pris</t>
  </si>
  <si>
    <t>Nombre de jours CP prévisionnels</t>
  </si>
  <si>
    <t>Nombre de jours conventionnels prév.</t>
  </si>
  <si>
    <t>Fract. N-1</t>
  </si>
  <si>
    <t>Etapes</t>
  </si>
  <si>
    <t>Saisie à réaliser</t>
  </si>
  <si>
    <t>Utilisation du logiciel</t>
  </si>
  <si>
    <t>Paramétrage</t>
  </si>
  <si>
    <t>T1</t>
  </si>
  <si>
    <t>T1, T2, T3, T4</t>
  </si>
  <si>
    <t>Vérifier le nombre total d'heures prévisionnelles ainsi que le nombre de jours de congés et conventionnels prévus.
Réajuster si nécessaire.</t>
  </si>
  <si>
    <t>T2, T3, T4</t>
  </si>
  <si>
    <t>Impression des plannings prévisionnels</t>
  </si>
  <si>
    <t>Saisie
des plannings réels</t>
  </si>
  <si>
    <t>Saisie
des plannings prévisionnels</t>
  </si>
  <si>
    <t>A la fin du 1er trimestre, saisir un "o" (= oui) sous "signatures trimestrielles", à droite de "1er trimestre".</t>
  </si>
  <si>
    <t>Comparer les heures réellement effectuées avec les heures prévisionnelles afin de réajuster éventuellement les heures sur le trimestre suivant.</t>
  </si>
  <si>
    <t>1er jour de la période :</t>
  </si>
  <si>
    <t>Dernier jour de la période :</t>
  </si>
  <si>
    <t>Heures de fractionnement :</t>
  </si>
  <si>
    <t>SPL Enfance et Animation    -    1, rue des Alpes    -    68490 OTTMARSHEIM</t>
  </si>
  <si>
    <t>Tot hres prév.</t>
  </si>
  <si>
    <t>Tot. Heures réelles</t>
  </si>
  <si>
    <t>Récap mensuel fiche paie</t>
  </si>
  <si>
    <t>Onglets concernés</t>
  </si>
  <si>
    <t>Au plus tard le 5 de chaque mois,
compléter la date de fin du mois précédent puis imprimer l'onglet, qui sera transmis par le directeur de l'équipement pour information avec la fiche de paie du salarié concerné.</t>
  </si>
  <si>
    <t>Imprimer le document T1 en 2 exemplaires, à signer par le salarié et le directeur de l'équipement.
1 exemplaire pour le salarié, 1 pour la direction générale.</t>
  </si>
  <si>
    <t>Répéter
l'étape 7 chaque semaine,
l'étape 8 chaque mois,
et les étapes 9 à 12 chaque trimestre.</t>
  </si>
  <si>
    <t>aa</t>
  </si>
  <si>
    <t>Autre abs</t>
  </si>
  <si>
    <t>jour</t>
  </si>
  <si>
    <t>férié</t>
  </si>
  <si>
    <t>payés</t>
  </si>
  <si>
    <t>Arrêt</t>
  </si>
  <si>
    <t>maladie</t>
  </si>
  <si>
    <t>TTE</t>
  </si>
  <si>
    <t>AUTRES ABSENCES (Temps de Travail Effectif)</t>
  </si>
  <si>
    <t>- 72h ?</t>
  </si>
  <si>
    <t>Temps plein ou temps partiel ?</t>
  </si>
  <si>
    <t>TOTAL HEURES PREVISIONNELLES 2ème TRIMESTRE</t>
  </si>
  <si>
    <t>TOTAL HEURES REELLES 2ème TRIMESTRE</t>
  </si>
  <si>
    <t>DELTA 2ème TRIMESTRE</t>
  </si>
  <si>
    <t>NB CP réel 2ème TRIMESTRE</t>
  </si>
  <si>
    <t>NB JC réel 2ème TRIMESTRE</t>
  </si>
  <si>
    <t>NB MALADIE 2ème TRIMESTRE</t>
  </si>
  <si>
    <t>TOTAL HEURES PREVISIONNELLES 3ème TRIMESTRE</t>
  </si>
  <si>
    <t>TOTAL HEURES REELLES 3ème TRIMESTRE</t>
  </si>
  <si>
    <t>DELTA 3ème TRIMESTRE</t>
  </si>
  <si>
    <t>NB CP réel 3ème TRIMESTRE</t>
  </si>
  <si>
    <t>NB JC réel 3ème TRIMESTRE</t>
  </si>
  <si>
    <t>NB MALADIE 3ème TRIMESTRE</t>
  </si>
  <si>
    <t>TOTAL HEURES REELLES 4ème TRIMESTRE</t>
  </si>
  <si>
    <t>DELTA 4ème TRIMESTRE</t>
  </si>
  <si>
    <t>NB CP réel 4ème TRIMESTRE</t>
  </si>
  <si>
    <t>NB JC réel 4ème TRIMESTRE</t>
  </si>
  <si>
    <t>NB MALADIE 4ème TRIMESTRE</t>
  </si>
  <si>
    <t>TOTAL HEURES PREVISIONNELLES 4ème TRIMESTRE</t>
  </si>
  <si>
    <t>Heures réelles (TTE)</t>
  </si>
  <si>
    <t>1.1</t>
  </si>
  <si>
    <t>Correction du calcul automatique du N° de la semaine (S1…)</t>
  </si>
  <si>
    <t>Si solde &gt;=6 : 2 jours</t>
  </si>
  <si>
    <t>1.3</t>
  </si>
  <si>
    <t>Calcul des droits aux jours de fractionnement</t>
  </si>
  <si>
    <t>Différenciation CP et TTE - Calcul des droits aux jours de fractionnement - erreur calcul 20' pause</t>
  </si>
  <si>
    <t>Nb jours</t>
  </si>
  <si>
    <t>WE</t>
  </si>
  <si>
    <t>férié hors WE</t>
  </si>
  <si>
    <t>Jours ouvrés</t>
  </si>
  <si>
    <t>CP</t>
  </si>
  <si>
    <t>CP Alisfa</t>
  </si>
  <si>
    <t>jour n°</t>
  </si>
  <si>
    <t>Date d'embauche :</t>
  </si>
  <si>
    <t>Date de fin de contrat :</t>
  </si>
  <si>
    <t>Nombre de jours ouvrés :</t>
  </si>
  <si>
    <t>TTE annuel :</t>
  </si>
  <si>
    <t>Plein temps hebdo :</t>
  </si>
  <si>
    <t>Nb de jours CP Alisfa par mois :</t>
  </si>
  <si>
    <t>Paiement des CP en fin de contrat ?</t>
  </si>
  <si>
    <t>Temps de travail hebdomadaire :</t>
  </si>
  <si>
    <t>Pour 228 jours : décret n°2000-815</t>
  </si>
  <si>
    <t>= 227 : 228 + 1 journée solidarité - 2 fériés A/M</t>
  </si>
  <si>
    <t>Nombre de jours travaillés :</t>
  </si>
  <si>
    <t>Temps de travail effectif :</t>
  </si>
  <si>
    <t>Nb de jrs travaillés (ss les CP et JC) :</t>
  </si>
  <si>
    <t>Dont congés déjà pris</t>
  </si>
  <si>
    <t>Solde
congés</t>
  </si>
  <si>
    <t>Solde congés
(à payer)</t>
  </si>
  <si>
    <t>Congés pris</t>
  </si>
  <si>
    <t>si maladie pdt cp ou jc</t>
  </si>
  <si>
    <t>CSS</t>
  </si>
  <si>
    <t>Congé</t>
  </si>
  <si>
    <t>sans solde</t>
  </si>
  <si>
    <t>congé ss solde</t>
  </si>
  <si>
    <t>Réel</t>
  </si>
  <si>
    <t>Yc compensation en repos (prévenance -72h)</t>
  </si>
  <si>
    <t>Congé sans solde (réel)</t>
  </si>
  <si>
    <t>Congé sans solde (réel) :</t>
  </si>
  <si>
    <t>Report CP période précédente :</t>
  </si>
  <si>
    <t>Nb jours congés sans solde :</t>
  </si>
  <si>
    <t>Nb jours maladies :</t>
  </si>
  <si>
    <t>Nb jours autres absences :</t>
  </si>
  <si>
    <t>Calcul CP 01/06 au 31/05</t>
  </si>
  <si>
    <t>Prév</t>
  </si>
  <si>
    <t>Calcul max Alisfa :</t>
  </si>
  <si>
    <t>Automatisation - horaires prévisionnels sur l'année</t>
  </si>
  <si>
    <t>Lundi</t>
  </si>
  <si>
    <t>Mardi</t>
  </si>
  <si>
    <t>Mercredi</t>
  </si>
  <si>
    <t>Jeudi</t>
  </si>
  <si>
    <t>Vendredi</t>
  </si>
  <si>
    <t>Samedi</t>
  </si>
  <si>
    <t>Dimanche</t>
  </si>
  <si>
    <t>Total hebdomadaire</t>
  </si>
  <si>
    <t>Versions</t>
  </si>
  <si>
    <t>2.5</t>
  </si>
  <si>
    <t>version 2.5</t>
  </si>
  <si>
    <t>Mises à jour effectuées</t>
  </si>
  <si>
    <t>1.4</t>
  </si>
  <si>
    <t>Gestion des contrats en cours d’année</t>
  </si>
  <si>
    <t>1.5 - 1.6</t>
  </si>
  <si>
    <t>1.7</t>
  </si>
  <si>
    <t>Gestion des maladies pendant un congé
Gestion des congés sans solde</t>
  </si>
  <si>
    <t>Gestion des maladies pendant un congé</t>
  </si>
  <si>
    <t>Gestion des congés sans solde</t>
  </si>
  <si>
    <t>Gestion de la réduction du temps de travail pour les femmes enceintes</t>
  </si>
  <si>
    <t>Il suffit de changer la date de fin de contrat.</t>
  </si>
  <si>
    <t>Situations</t>
  </si>
  <si>
    <t>Si un CDD passe en CDI</t>
  </si>
  <si>
    <t>En cas de contrat en CDD ne se terminant pas le 31 août, il est nécessaire de prévoir les congés en réel pour calculer le TTE. Sinon, les CP seront obligatoirement payés.</t>
  </si>
  <si>
    <t>Contrat en CDD en cours d'année</t>
  </si>
  <si>
    <t>Calcul non réalisé sur T2 à T4 lorsqu'un salarié est malade durant ses CP (selon règles stipulées sur la note d'information du 02/01/2018)
Rajout sur l'onglet "procédures" des règles applicables selon les situations</t>
  </si>
  <si>
    <t>Si un salarié demande un congé sans solde, et qu’il est validé : saisir « css » en réel de ladite date. Dans l’onglet « Paramétrage », vous avez le total des CSS pris en cellule « AD15 », repris également dans l’onglet « annualisation », tout en bas à gauche.
Conséquence : le temps de travail se réduit (voir ligne supplémentaire dans l’onglet « Paramétrage », en « I13 »</t>
  </si>
  <si>
    <t>Après chaque semaine, les horaires réels sont complétés directement sur la feuille imprimée (T1).
Cette feuille est ensuite signée par le salarié et le directeur de l'équipement concerné.
Les heures réellement effectuées chaque semaine doivent être saisies sur le logiciel par le/la secrétaire ou la personne déléguée à cette tâche.
Bien vérifier chaque semaine les éventuelles alertes et tenir informées les personnes concernées sur ces alertes.</t>
  </si>
  <si>
    <t>2.2</t>
  </si>
  <si>
    <t>Erreurs corrigées :
- Sur l’onglet « T1 », en semaine 45 : les horaires automatiques ne se rajoutaient pas pour le lundi – 1ère cellule
- Sur l’onglet « T1 », en semaines 46 et 47, un signal d’erreurs lié à la pause se rajoutait en rouge dans les alertes, sans raison valable. Donc aucune répercussion sur le temps de travail réel.</t>
  </si>
  <si>
    <t>2.3</t>
  </si>
  <si>
    <t>Le calcul automatique des congés au 31 mai 2018 est erroné si un salarié a pris un CP en mai 2017</t>
  </si>
  <si>
    <t>2.4</t>
  </si>
  <si>
    <t>Rajout d'un texte permettant d’interpréter les chiffres (vérification : si les personnels ont pris assez de CP sur N-1 pour éviter de les perdre)</t>
  </si>
  <si>
    <t>N+1 au 31/05 : contrôle
Report éventuel des CP de la période précédente
Contrôle des CP N-1 : CP acquis au 31 mai et CP pris du 1er au 31 mai
Automatisation des horaires prévisionnels : Ne pas oublier de supprimer les heures sur certains jours (fériés, vacances scolaires, ...)</t>
  </si>
  <si>
    <t>Rajout de l'option "Paiement des CP en fin de contrat"
Rajout du calcul "Heures réalisées jusqu'à ce jour + heures prév. jusqu'au dernier jour"
Modification des couleurs des cellules grises (trop foncées)
Onglet récap : jour à 0 en couleur</t>
  </si>
  <si>
    <t>2.0 et 2.1</t>
  </si>
  <si>
    <t>Règles à appliquer</t>
  </si>
  <si>
    <t>Période 1</t>
  </si>
  <si>
    <t>Période 2</t>
  </si>
  <si>
    <t>3.0</t>
  </si>
  <si>
    <t>Calcul automatisé en cas de changement de durée hedomadaire de travail pour des salariés permanents
Rajout dans le calcul des heures de compensation en repos</t>
  </si>
  <si>
    <t>Changement en cours d'année ?</t>
  </si>
  <si>
    <r>
      <t xml:space="preserve">Saisir les horaires prévisionnels sous la forme 00:00 dans les colonnes "prév", ainsi que :
les jours de congés payés : saisir "CP" sur la 1ère colonne
les jours de congés conventionnels : saisir "JC" sur la 1ère colonne
Ne pas saisir d'heures si la case de la 2è colonne est violette
(= jour férié)
Il est possible de copier/coller sur plusieurs semaines et sur les 4 trimestres en même temps.
</t>
    </r>
    <r>
      <rPr>
        <b/>
        <u/>
        <sz val="11"/>
        <color indexed="10"/>
        <rFont val="Calibri"/>
        <family val="2"/>
      </rPr>
      <t>Attention</t>
    </r>
    <r>
      <rPr>
        <sz val="11"/>
        <color indexed="10"/>
        <rFont val="Calibri"/>
        <family val="2"/>
      </rPr>
      <t xml:space="preserve"> : D'un tableau à un autre, copier uniquement les valeurs (collage spécial "valeur")</t>
    </r>
  </si>
  <si>
    <r>
      <t xml:space="preserve">Si un « CP » ou « JC » était prévu, et qu’en réel le salarié était en arrêt maladie (« m »)
o Le jour de congé n’est pas décompté du réel
o Le TTE à effectuer est réduit du temps de travail qu’aurait dû effectuer le salarié sur cette journée : le nombre d’heures qu’aurait dû réaliser le salarié s'il n’était pas en congé doit être ajouté dans 
« remarques » (la cellule se met automatiquement en jaune)
</t>
    </r>
    <r>
      <rPr>
        <b/>
        <u/>
        <sz val="11"/>
        <color theme="1"/>
        <rFont val="Calibri"/>
        <family val="2"/>
        <scheme val="minor"/>
      </rPr>
      <t>Exemple :</t>
    </r>
    <r>
      <rPr>
        <sz val="11"/>
        <color theme="1"/>
        <rFont val="Calibri"/>
        <family val="2"/>
        <scheme val="minor"/>
      </rPr>
      <t xml:space="preserve"> un salarié est en arrêt maladie le 10 avril alors qu’il est en congé.
</t>
    </r>
    <r>
      <rPr>
        <u/>
        <sz val="11"/>
        <color theme="1"/>
        <rFont val="Calibri"/>
        <family val="2"/>
        <scheme val="minor"/>
      </rPr>
      <t xml:space="preserve">Prévisionnel </t>
    </r>
    <r>
      <rPr>
        <sz val="11"/>
        <color theme="1"/>
        <rFont val="Calibri"/>
        <family val="2"/>
        <scheme val="minor"/>
      </rPr>
      <t xml:space="preserve">: « cp »,  </t>
    </r>
    <r>
      <rPr>
        <u/>
        <sz val="11"/>
        <color theme="1"/>
        <rFont val="Calibri"/>
        <family val="2"/>
        <scheme val="minor"/>
      </rPr>
      <t>Réel</t>
    </r>
    <r>
      <rPr>
        <sz val="11"/>
        <color theme="1"/>
        <rFont val="Calibri"/>
        <family val="2"/>
        <scheme val="minor"/>
      </rPr>
      <t xml:space="preserve"> : « m »
</t>
    </r>
    <r>
      <rPr>
        <u/>
        <sz val="11"/>
        <color theme="1"/>
        <rFont val="Calibri"/>
        <family val="2"/>
        <scheme val="minor"/>
      </rPr>
      <t xml:space="preserve">Colonne </t>
    </r>
    <r>
      <rPr>
        <sz val="11"/>
        <color theme="1"/>
        <rFont val="Calibri"/>
        <family val="2"/>
        <scheme val="minor"/>
      </rPr>
      <t xml:space="preserve">« remarques » : saisir le nombre d’heures (s'il était présent, il aurait dû effectuer des heures, donc 7h par exemple. Ce nombre d’heures se rajoute ainsi en réel). Il est possible de rajouter un commentaire sur la cellule "insérer un commentaire").
</t>
    </r>
    <r>
      <rPr>
        <i/>
        <u/>
        <sz val="11"/>
        <color theme="1"/>
        <rFont val="Calibri"/>
        <family val="2"/>
        <scheme val="minor"/>
      </rPr>
      <t>NB</t>
    </r>
    <r>
      <rPr>
        <i/>
        <sz val="11"/>
        <color theme="1"/>
        <rFont val="Calibri"/>
        <family val="2"/>
        <scheme val="minor"/>
      </rPr>
      <t xml:space="preserve"> : Prendre en compte la note d'information 2018-06-04 sur le décompte des congés payés</t>
    </r>
  </si>
  <si>
    <t>3.1</t>
  </si>
  <si>
    <t>Colonne trop petite sur l'onglet "annualisation" + manque 2 formules automatiques des horaires T3 et 31/08</t>
  </si>
  <si>
    <t>Mois :</t>
  </si>
  <si>
    <t>Total :</t>
  </si>
  <si>
    <t>Saisir des horaires sur le samedi matin (exemple : 8:30 – 11:30 pour un temps plein) – rajouter un commentaire dans la colonne « remarques ». Temps de travail à déduire : 10%).</t>
  </si>
  <si>
    <t>4.0</t>
  </si>
  <si>
    <t>Total des heures réalisées à ce jour :</t>
  </si>
  <si>
    <t>Attention : modifier 
si 366 jours =&gt; BN371 =&gt; BN372
Si 365 jours : BN372 =&gt; BN371</t>
  </si>
  <si>
    <t>Vérification 1er jour de l'année ?</t>
  </si>
  <si>
    <t>Rajout du renseignement lié "périodes hautes / basses"
Vérification / test sur le nombre de jours/an : 365 jours  -  366 jours
Rajout de l'information : quoi faire si 366 jours / 365 jours (onglet paramétrage : si 366 jours =&gt; BN371 =&gt; BN372
Si 365 jours : BN372 =&gt; BN371)   /   + onglet "période 1" et "période 2"
Modification information pour le salarié rajoutée sur la fiche de paie</t>
  </si>
  <si>
    <t>Calcul par mois heures effectuées ?</t>
  </si>
  <si>
    <t>Date :</t>
  </si>
  <si>
    <t>Imprimer l'onglet "annualisation" 2x, faire signer le salarié concerné ainsi que le directeur de la structure.
(1 exemplaire pour le salarié, 1 pour la direction générale)</t>
  </si>
  <si>
    <t>Annualisation</t>
  </si>
  <si>
    <t>Impression des 4 onglets (= 4 trimestres) et faire signer le salarié + le responsable de site sur chaque feuille : 
Document à compléter et à signer chaque semaine manuellement</t>
  </si>
  <si>
    <t>Total des heures à réaliser sur l'année :</t>
  </si>
  <si>
    <t>MO</t>
  </si>
  <si>
    <t>MPL</t>
  </si>
  <si>
    <t>RAM</t>
  </si>
  <si>
    <t>PN</t>
  </si>
  <si>
    <t>PH</t>
  </si>
  <si>
    <t>PO</t>
  </si>
  <si>
    <t>PB</t>
  </si>
  <si>
    <t>Direction</t>
  </si>
  <si>
    <t>Nombre d'heures réalisées jusqu'au</t>
  </si>
  <si>
    <t>du 21 décembre 2019 au 5 janvier 2020
du 27 juillet au 24 août 2020</t>
  </si>
  <si>
    <t>du 1er septembre au 20 décembre 2019
au 6 janvier au 23 février 2020
du 19 avril au 26 juillet 2020
du 19 au 31 août 2020</t>
  </si>
  <si>
    <t>du 21 décembre 2019 au 5 janvier 2020
du 24 février au 1er mars 2020
du 27 juillet au 18 août 2020</t>
  </si>
  <si>
    <t>Pôles</t>
  </si>
  <si>
    <t>JAP</t>
  </si>
  <si>
    <t>Petite Enfance</t>
  </si>
  <si>
    <t>DG</t>
  </si>
  <si>
    <t>AJT</t>
  </si>
  <si>
    <t>du 21 octobre au 3 novembre 2019
du 15 février au 1er mars 2020
du 14 au 26 avril 2020
du 6 juillet au 14 août 2020</t>
  </si>
  <si>
    <t>du 1er septembre au 20 décembre 2020
du 5 janvier 2020 au 27 juillet 2020</t>
  </si>
  <si>
    <t>du 1er septembre au 20 octobre 2019
du 4 novembre au 14 février 2020
du 2 mars au 13 avril 2020
du 27 avril au 5 juillet 2020
du 15 au 31 août 2020</t>
  </si>
  <si>
    <t>du 1er septembre au 20 décembre 2019
du 6 janvier 2020 au 9 avril 2020
du 20 avril au 26 juillet 2020
du 17 au 31 août 2020</t>
  </si>
  <si>
    <t>du 21 décembre 2019 au 5 janvier 2020
du 10 au 19 avril 2020
du 27 juillet au 16 août 2020</t>
  </si>
  <si>
    <t>du 21 octobre au 3 novembre 2019
du 21 décembre 2019 au 5 janvier 2020
du 15 février au 1er mars 2020
du 10 au 26 avril 2020
du 6 juillet au 31 août 2020</t>
  </si>
  <si>
    <t>du 1er septembre au 20 octobre 2019
du 4 novembre au 20 décembre 2019
du 6 janvier au 14 février 2020
du 2 mars au 9 avril 2020
du 27 avril au 5 juillet 2020</t>
  </si>
  <si>
    <t>du 21 octobre au 3 novembre 2019
du 15 février au 1er mars 2020
du 10 au 26 avril 2020
du 6 juillet au 31 août 2020</t>
  </si>
  <si>
    <t>du 1er septembre au 20 octobre 2019
du 4 novembre au 14 février 2020
du 2 mars au 9 avril 2020
du 27 avril au 5 juillet 2020</t>
  </si>
  <si>
    <t>Périodes de forte activité :</t>
  </si>
  <si>
    <t>Périodes de faible activité :</t>
  </si>
  <si>
    <r>
      <t xml:space="preserve">Saisir toutes les cellules "bleues" :
</t>
    </r>
    <r>
      <rPr>
        <b/>
        <sz val="11"/>
        <color theme="1"/>
        <rFont val="Calibri"/>
        <family val="2"/>
        <scheme val="minor"/>
      </rPr>
      <t>Informations générales</t>
    </r>
    <r>
      <rPr>
        <sz val="11"/>
        <color theme="1"/>
        <rFont val="Calibri"/>
        <family val="2"/>
        <scheme val="minor"/>
      </rPr>
      <t xml:space="preserve"> : nom, prénom, pôle, temps de travail hebdo, structure, congés conventionnels, …
</t>
    </r>
    <r>
      <rPr>
        <b/>
        <sz val="11"/>
        <color theme="1"/>
        <rFont val="Calibri"/>
        <family val="2"/>
        <scheme val="minor"/>
      </rPr>
      <t>Report éventuel des CP</t>
    </r>
    <r>
      <rPr>
        <sz val="11"/>
        <color theme="1"/>
        <rFont val="Calibri"/>
        <family val="2"/>
        <scheme val="minor"/>
      </rPr>
      <t xml:space="preserve"> de la période précédente
</t>
    </r>
    <r>
      <rPr>
        <b/>
        <sz val="11"/>
        <color theme="1"/>
        <rFont val="Calibri"/>
        <family val="2"/>
        <scheme val="minor"/>
      </rPr>
      <t>Contrôle des CP N-1</t>
    </r>
    <r>
      <rPr>
        <sz val="11"/>
        <color theme="1"/>
        <rFont val="Calibri"/>
        <family val="2"/>
        <scheme val="minor"/>
      </rPr>
      <t xml:space="preserve"> : CP acquis au 31 mai et CP pris du 1er au 31 mai
</t>
    </r>
    <r>
      <rPr>
        <b/>
        <sz val="11"/>
        <color theme="1"/>
        <rFont val="Calibri"/>
        <family val="2"/>
        <scheme val="minor"/>
      </rPr>
      <t>Automatisation des horaires prévisionnels</t>
    </r>
    <r>
      <rPr>
        <sz val="11"/>
        <color theme="1"/>
        <rFont val="Calibri"/>
        <family val="2"/>
        <scheme val="minor"/>
      </rPr>
      <t xml:space="preserve"> : Ne pas oublier de supprimer les heures sur certains jours (fériés, vacances scolaires, ...) sur T1, T2, T3 et T4.
En cas de </t>
    </r>
    <r>
      <rPr>
        <b/>
        <sz val="11"/>
        <color theme="1"/>
        <rFont val="Calibri"/>
        <family val="2"/>
        <scheme val="minor"/>
      </rPr>
      <t>changement du temps de travail hebdomadaire en cours d'année</t>
    </r>
    <r>
      <rPr>
        <sz val="11"/>
        <color theme="1"/>
        <rFont val="Calibri"/>
        <family val="2"/>
        <scheme val="minor"/>
      </rPr>
      <t xml:space="preserve"> : saisir un "o" dans la case "Changement en cours d'année", puis compléter les 3 cellules en bleu des tableaux en bas de page (onglet "paramétrage").
</t>
    </r>
    <r>
      <rPr>
        <b/>
        <sz val="11"/>
        <color theme="1"/>
        <rFont val="Calibri"/>
        <family val="2"/>
        <scheme val="minor"/>
      </rPr>
      <t xml:space="preserve">Calcul les jours de fractionnement </t>
    </r>
    <r>
      <rPr>
        <sz val="11"/>
        <color theme="1"/>
        <rFont val="Calibri"/>
        <family val="2"/>
        <scheme val="minor"/>
      </rPr>
      <t xml:space="preserve">: Ne saisir que sdes jours de CP et non des JC
</t>
    </r>
    <r>
      <rPr>
        <b/>
        <sz val="11"/>
        <color theme="1"/>
        <rFont val="Calibri"/>
        <family val="2"/>
        <scheme val="minor"/>
      </rPr>
      <t xml:space="preserve">Contrôle des CP au 31 mai </t>
    </r>
    <r>
      <rPr>
        <sz val="11"/>
        <color theme="1"/>
        <rFont val="Calibri"/>
        <family val="2"/>
        <scheme val="minor"/>
      </rPr>
      <t xml:space="preserve">: permet d'éviter de perdre des congés
</t>
    </r>
    <r>
      <rPr>
        <b/>
        <sz val="11"/>
        <color theme="1"/>
        <rFont val="Calibri"/>
        <family val="2"/>
        <scheme val="minor"/>
      </rPr>
      <t xml:space="preserve">
Choix du pôle et du site : </t>
    </r>
    <r>
      <rPr>
        <sz val="11"/>
        <color theme="1"/>
        <rFont val="Calibri"/>
        <family val="2"/>
        <scheme val="minor"/>
      </rPr>
      <t xml:space="preserve">automatique (choix parmi plusieurs propositions) / répercusion sur les périodes de forte / faible activité
</t>
    </r>
  </si>
  <si>
    <t>version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</si>
</sst>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164" formatCode="_-* #,##0.00\ _€_-;\-* #,##0.00\ _€_-;_-* &quot;-&quot;??\ _€_-;_-@_-"/>
    <numFmt numFmtId="165" formatCode="h:mm;@"/>
    <numFmt numFmtId="166" formatCode="[$-F400]h:mm:ss\ AM/PM"/>
    <numFmt numFmtId="167" formatCode="[h]:mm:ss;@"/>
    <numFmt numFmtId="168" formatCode="dd/mm/yy;@"/>
    <numFmt numFmtId="169" formatCode="_-* #,##0.0\ _€_-;\-* #,##0.0\ _€_-;_-* &quot;-&quot;??\ _€_-;_-@_-"/>
    <numFmt numFmtId="170" formatCode="_-* #,##0.00000\ _€_-;\-* #,##0.00000\ _€_-;_-* &quot;-&quot;??\ _€_-;_-@_-"/>
    <numFmt numFmtId="171" formatCode="dddd"/>
    <numFmt numFmtId="172" formatCode="[hh]:mm"/>
    <numFmt numFmtId="173" formatCode="[$-F800]dddd\,\ mmmm\ dd\,\ yyyy"/>
    <numFmt numFmtId="174" formatCode="ddd\ dd\ mmm\ yyyy"/>
    <numFmt numFmtId="175" formatCode="[h]:mm"/>
    <numFmt numFmtId="176" formatCode="dd"/>
    <numFmt numFmtId="177" formatCode="_-* #,##0\ _€_-;\-* #,##0\ _€_-;_-* &quot;-&quot;??\ _€_-;_-@_-"/>
    <numFmt numFmtId="178" formatCode="0.0"/>
    <numFmt numFmtId="179" formatCode="dd\ mmmm\ yyyy"/>
    <numFmt numFmtId="180" formatCode="0.000"/>
    <numFmt numFmtId="181" formatCode="_-* #,##0.0000\ _€_-;\-* #,##0.0000\ _€_-;_-* &quot;-&quot;??\ _€_-;_-@_-"/>
    <numFmt numFmtId="182" formatCode="#,##0_ ;\-#,##0\ "/>
    <numFmt numFmtId="183" formatCode="#,##0.00_ ;\-#,##0.00\ "/>
  </numFmts>
  <fonts count="133" x14ac:knownFonts="1">
    <font>
      <sz val="11"/>
      <color theme="1"/>
      <name val="Calibri"/>
      <family val="2"/>
      <scheme val="minor"/>
    </font>
    <font>
      <sz val="10"/>
      <color indexed="8"/>
      <name val="Calibri"/>
      <family val="2"/>
    </font>
    <font>
      <sz val="10"/>
      <color indexed="8"/>
      <name val="Arial Narrow"/>
      <family val="2"/>
    </font>
    <font>
      <b/>
      <sz val="10"/>
      <color indexed="9"/>
      <name val="Arial Narrow"/>
      <family val="2"/>
    </font>
    <font>
      <b/>
      <sz val="11"/>
      <color indexed="8"/>
      <name val="Arial Narrow"/>
      <family val="2"/>
    </font>
    <font>
      <b/>
      <sz val="12"/>
      <name val="Arial Narrow"/>
      <family val="2"/>
    </font>
    <font>
      <sz val="10"/>
      <name val="Arial Narrow"/>
      <family val="2"/>
    </font>
    <font>
      <sz val="12"/>
      <name val="Arial Narrow"/>
      <family val="2"/>
    </font>
    <font>
      <b/>
      <sz val="10"/>
      <name val="Arial Narrow"/>
      <family val="2"/>
    </font>
    <font>
      <sz val="10"/>
      <color indexed="10"/>
      <name val="Arial Narrow"/>
      <family val="2"/>
    </font>
    <font>
      <sz val="11"/>
      <color indexed="8"/>
      <name val="Arial Narrow"/>
      <family val="2"/>
    </font>
    <font>
      <b/>
      <sz val="11"/>
      <color indexed="9"/>
      <name val="Arial Narrow"/>
      <family val="2"/>
    </font>
    <font>
      <b/>
      <sz val="20"/>
      <color indexed="8"/>
      <name val="Arial Narrow"/>
      <family val="2"/>
    </font>
    <font>
      <b/>
      <i/>
      <sz val="11"/>
      <color indexed="8"/>
      <name val="Arial Narrow"/>
      <family val="2"/>
    </font>
    <font>
      <b/>
      <sz val="14"/>
      <color indexed="9"/>
      <name val="Arial Narrow"/>
      <family val="2"/>
    </font>
    <font>
      <sz val="10"/>
      <color indexed="9"/>
      <name val="Arial Narrow"/>
      <family val="2"/>
    </font>
    <font>
      <b/>
      <sz val="9"/>
      <color indexed="8"/>
      <name val="Arial Narrow"/>
      <family val="2"/>
    </font>
    <font>
      <sz val="9"/>
      <color indexed="8"/>
      <name val="Arial Narrow"/>
      <family val="2"/>
    </font>
    <font>
      <sz val="9"/>
      <color indexed="8"/>
      <name val="Calibri"/>
      <family val="2"/>
    </font>
    <font>
      <sz val="11"/>
      <name val="Calibri"/>
      <family val="2"/>
    </font>
    <font>
      <i/>
      <sz val="11"/>
      <color indexed="9"/>
      <name val="Calibri"/>
      <family val="2"/>
    </font>
    <font>
      <sz val="11"/>
      <name val="Arial Narrow"/>
      <family val="2"/>
    </font>
    <font>
      <b/>
      <sz val="10"/>
      <color indexed="60"/>
      <name val="Arial Narrow"/>
      <family val="2"/>
    </font>
    <font>
      <b/>
      <sz val="9"/>
      <color indexed="60"/>
      <name val="Arial Narrow"/>
      <family val="2"/>
    </font>
    <font>
      <sz val="11"/>
      <color indexed="10"/>
      <name val="Calibri"/>
      <family val="2"/>
    </font>
    <font>
      <sz val="11"/>
      <color indexed="8"/>
      <name val="Calibri"/>
      <family val="2"/>
    </font>
    <font>
      <sz val="11"/>
      <color indexed="57"/>
      <name val="Arial Narrow"/>
      <family val="2"/>
    </font>
    <font>
      <b/>
      <sz val="10"/>
      <color indexed="9"/>
      <name val="Arial Narrow"/>
      <family val="2"/>
    </font>
    <font>
      <sz val="10"/>
      <color indexed="40"/>
      <name val="Arial Narrow"/>
      <family val="2"/>
    </font>
    <font>
      <u/>
      <sz val="11"/>
      <name val="Calibri"/>
      <family val="2"/>
    </font>
    <font>
      <sz val="9"/>
      <color indexed="81"/>
      <name val="Tahoma"/>
      <family val="2"/>
    </font>
    <font>
      <b/>
      <sz val="9"/>
      <color indexed="81"/>
      <name val="Tahoma"/>
      <family val="2"/>
    </font>
    <font>
      <sz val="7"/>
      <color indexed="8"/>
      <name val="Calibri"/>
      <family val="2"/>
    </font>
    <font>
      <i/>
      <sz val="9"/>
      <color indexed="8"/>
      <name val="Calibri"/>
      <family val="2"/>
    </font>
    <font>
      <sz val="8"/>
      <name val="Calibri"/>
      <family val="2"/>
    </font>
    <font>
      <b/>
      <sz val="20"/>
      <name val="Arial Narrow"/>
      <family val="2"/>
    </font>
    <font>
      <b/>
      <sz val="11"/>
      <color indexed="12"/>
      <name val="Arial"/>
      <family val="2"/>
    </font>
    <font>
      <b/>
      <sz val="12"/>
      <color indexed="12"/>
      <name val="Arial"/>
      <family val="2"/>
    </font>
    <font>
      <sz val="10"/>
      <name val="Arial"/>
      <family val="2"/>
    </font>
    <font>
      <sz val="10"/>
      <color indexed="12"/>
      <name val="Arial"/>
      <family val="2"/>
    </font>
    <font>
      <b/>
      <sz val="11"/>
      <name val="Arial"/>
      <family val="2"/>
    </font>
    <font>
      <b/>
      <sz val="8"/>
      <color indexed="12"/>
      <name val="Arial"/>
      <family val="2"/>
    </font>
    <font>
      <b/>
      <sz val="10"/>
      <color indexed="12"/>
      <name val="Arial"/>
      <family val="2"/>
    </font>
    <font>
      <sz val="8"/>
      <name val="Arial"/>
      <family val="2"/>
    </font>
    <font>
      <sz val="11"/>
      <color indexed="12"/>
      <name val="Arial"/>
      <family val="2"/>
    </font>
    <font>
      <b/>
      <sz val="10"/>
      <name val="Arial"/>
      <family val="2"/>
    </font>
    <font>
      <sz val="7"/>
      <name val="Arial"/>
      <family val="2"/>
    </font>
    <font>
      <b/>
      <sz val="9"/>
      <name val="Arial"/>
      <family val="2"/>
    </font>
    <font>
      <sz val="7"/>
      <color indexed="9"/>
      <name val="Arial"/>
      <family val="2"/>
    </font>
    <font>
      <b/>
      <sz val="7"/>
      <name val="Arial"/>
      <family val="2"/>
    </font>
    <font>
      <sz val="9"/>
      <name val="Arial"/>
      <family val="2"/>
    </font>
    <font>
      <b/>
      <sz val="9"/>
      <color indexed="39"/>
      <name val="Arial"/>
      <family val="2"/>
    </font>
    <font>
      <b/>
      <sz val="9"/>
      <color indexed="12"/>
      <name val="Arial"/>
      <family val="2"/>
    </font>
    <font>
      <sz val="8"/>
      <color indexed="8"/>
      <name val="Calibri"/>
      <family val="2"/>
    </font>
    <font>
      <b/>
      <sz val="14"/>
      <color indexed="12"/>
      <name val="Arial Narrow"/>
      <family val="2"/>
    </font>
    <font>
      <b/>
      <sz val="14"/>
      <name val="Arial Narrow"/>
      <family val="2"/>
    </font>
    <font>
      <sz val="14"/>
      <name val="Arial Narrow"/>
      <family val="2"/>
    </font>
    <font>
      <sz val="14"/>
      <color indexed="8"/>
      <name val="Arial Narrow"/>
      <family val="2"/>
    </font>
    <font>
      <sz val="12"/>
      <color indexed="8"/>
      <name val="Arial Narrow"/>
      <family val="2"/>
    </font>
    <font>
      <b/>
      <sz val="12"/>
      <color indexed="8"/>
      <name val="Arial Narrow"/>
      <family val="2"/>
    </font>
    <font>
      <i/>
      <sz val="12"/>
      <name val="Arial Narrow"/>
      <family val="2"/>
    </font>
    <font>
      <b/>
      <u/>
      <sz val="11"/>
      <color indexed="8"/>
      <name val="Calibri"/>
      <family val="2"/>
    </font>
    <font>
      <b/>
      <u/>
      <sz val="18"/>
      <color indexed="12"/>
      <name val="Arial Narrow"/>
      <family val="2"/>
    </font>
    <font>
      <b/>
      <sz val="11"/>
      <name val="Arial Narrow"/>
      <family val="2"/>
    </font>
    <font>
      <i/>
      <sz val="8"/>
      <color indexed="8"/>
      <name val="Arial Narrow"/>
      <family val="2"/>
    </font>
    <font>
      <b/>
      <u/>
      <sz val="18"/>
      <color indexed="12"/>
      <name val="Arial"/>
      <family val="2"/>
    </font>
    <font>
      <u/>
      <sz val="18"/>
      <name val="Arial"/>
      <family val="2"/>
    </font>
    <font>
      <sz val="11"/>
      <color indexed="8"/>
      <name val="Calibri"/>
      <family val="2"/>
    </font>
    <font>
      <u/>
      <sz val="18"/>
      <color indexed="8"/>
      <name val="Arial"/>
      <family val="2"/>
    </font>
    <font>
      <sz val="11"/>
      <color indexed="8"/>
      <name val="Arial"/>
      <family val="2"/>
    </font>
    <font>
      <b/>
      <u/>
      <sz val="11"/>
      <color indexed="8"/>
      <name val="Arial"/>
      <family val="2"/>
    </font>
    <font>
      <b/>
      <sz val="11"/>
      <color indexed="8"/>
      <name val="Arial"/>
      <family val="2"/>
    </font>
    <font>
      <sz val="10"/>
      <color indexed="8"/>
      <name val="Arial"/>
      <family val="2"/>
    </font>
    <font>
      <sz val="10"/>
      <name val="Arial"/>
      <family val="2"/>
    </font>
    <font>
      <sz val="7"/>
      <name val="Arial"/>
      <family val="2"/>
    </font>
    <font>
      <sz val="8"/>
      <name val="Arial"/>
      <family val="2"/>
    </font>
    <font>
      <sz val="11"/>
      <name val="Arial"/>
      <family val="2"/>
    </font>
    <font>
      <b/>
      <u/>
      <sz val="14"/>
      <color indexed="8"/>
      <name val="Arial Narrow"/>
      <family val="2"/>
    </font>
    <font>
      <b/>
      <sz val="10"/>
      <color indexed="16"/>
      <name val="Arial Narrow"/>
      <family val="2"/>
    </font>
    <font>
      <sz val="12"/>
      <name val="Arial"/>
      <family val="2"/>
    </font>
    <font>
      <b/>
      <u/>
      <sz val="12"/>
      <name val="Arial"/>
      <family val="2"/>
    </font>
    <font>
      <u/>
      <sz val="11"/>
      <color indexed="8"/>
      <name val="Arial"/>
      <family val="2"/>
    </font>
    <font>
      <b/>
      <sz val="12"/>
      <name val="Arial"/>
      <family val="2"/>
    </font>
    <font>
      <b/>
      <sz val="12"/>
      <color indexed="60"/>
      <name val="Arial Narrow"/>
      <family val="2"/>
    </font>
    <font>
      <b/>
      <u/>
      <sz val="11"/>
      <color indexed="10"/>
      <name val="Calibri"/>
      <family val="2"/>
    </font>
    <font>
      <sz val="11"/>
      <color theme="1"/>
      <name val="Calibri"/>
      <family val="2"/>
      <scheme val="minor"/>
    </font>
    <font>
      <b/>
      <sz val="11"/>
      <color theme="3"/>
      <name val="Calibri"/>
      <family val="2"/>
      <scheme val="minor"/>
    </font>
    <font>
      <b/>
      <sz val="11"/>
      <color theme="1"/>
      <name val="Calibri"/>
      <family val="2"/>
      <scheme val="minor"/>
    </font>
    <font>
      <sz val="14"/>
      <color theme="1"/>
      <name val="Calibri"/>
      <family val="2"/>
      <scheme val="minor"/>
    </font>
    <font>
      <b/>
      <sz val="14"/>
      <color theme="1"/>
      <name val="Calibri"/>
      <family val="2"/>
      <scheme val="minor"/>
    </font>
    <font>
      <i/>
      <sz val="12"/>
      <color theme="1"/>
      <name val="Calibri"/>
      <family val="2"/>
      <scheme val="minor"/>
    </font>
    <font>
      <sz val="11"/>
      <color rgb="FFFF0000"/>
      <name val="Arial"/>
      <family val="2"/>
    </font>
    <font>
      <b/>
      <u/>
      <sz val="16"/>
      <color theme="3"/>
      <name val="Calibri"/>
      <family val="2"/>
      <scheme val="minor"/>
    </font>
    <font>
      <b/>
      <sz val="14"/>
      <color theme="3"/>
      <name val="Calibri"/>
      <family val="2"/>
      <scheme val="minor"/>
    </font>
    <font>
      <b/>
      <i/>
      <sz val="12"/>
      <color rgb="FFFF0000"/>
      <name val="Arial Narrow"/>
      <family val="2"/>
    </font>
    <font>
      <sz val="8"/>
      <color rgb="FFFF0000"/>
      <name val="Calibri"/>
      <family val="2"/>
      <scheme val="minor"/>
    </font>
    <font>
      <sz val="10"/>
      <color theme="1"/>
      <name val="Calibri"/>
      <family val="2"/>
      <scheme val="minor"/>
    </font>
    <font>
      <b/>
      <sz val="14"/>
      <name val="Calibri"/>
      <family val="2"/>
      <scheme val="minor"/>
    </font>
    <font>
      <sz val="11"/>
      <color rgb="FF006100"/>
      <name val="Calibri"/>
      <family val="2"/>
      <scheme val="minor"/>
    </font>
    <font>
      <i/>
      <sz val="10"/>
      <color indexed="12"/>
      <name val="Arial"/>
      <family val="2"/>
    </font>
    <font>
      <sz val="12"/>
      <color theme="1"/>
      <name val="Calibri"/>
      <family val="2"/>
      <scheme val="minor"/>
    </font>
    <font>
      <u/>
      <sz val="11"/>
      <color theme="10"/>
      <name val="Calibri"/>
      <family val="2"/>
      <scheme val="minor"/>
    </font>
    <font>
      <i/>
      <sz val="12"/>
      <color indexed="8"/>
      <name val="Arial Narrow"/>
      <family val="2"/>
    </font>
    <font>
      <i/>
      <sz val="9"/>
      <color rgb="FFFF0000"/>
      <name val="Arial"/>
      <family val="2"/>
    </font>
    <font>
      <i/>
      <sz val="14"/>
      <color indexed="12"/>
      <name val="Arial Narrow"/>
      <family val="2"/>
    </font>
    <font>
      <i/>
      <sz val="11"/>
      <color theme="1"/>
      <name val="Calibri"/>
      <family val="2"/>
      <scheme val="minor"/>
    </font>
    <font>
      <i/>
      <sz val="10"/>
      <color rgb="FFFF0000"/>
      <name val="Arial"/>
      <family val="2"/>
    </font>
    <font>
      <sz val="8"/>
      <color indexed="8"/>
      <name val="Arial"/>
      <family val="2"/>
    </font>
    <font>
      <i/>
      <sz val="12"/>
      <color theme="0" tint="-0.499984740745262"/>
      <name val="Arial"/>
      <family val="2"/>
    </font>
    <font>
      <i/>
      <sz val="7"/>
      <color theme="0" tint="-0.499984740745262"/>
      <name val="Arial"/>
      <family val="2"/>
    </font>
    <font>
      <b/>
      <sz val="12"/>
      <color theme="0" tint="-0.499984740745262"/>
      <name val="Arial"/>
      <family val="2"/>
    </font>
    <font>
      <sz val="12"/>
      <color indexed="60"/>
      <name val="Arial Narrow"/>
      <family val="2"/>
    </font>
    <font>
      <b/>
      <u/>
      <sz val="11"/>
      <color theme="1"/>
      <name val="Calibri"/>
      <family val="2"/>
      <scheme val="minor"/>
    </font>
    <font>
      <i/>
      <sz val="11"/>
      <color indexed="8"/>
      <name val="Arial Narrow"/>
      <family val="2"/>
    </font>
    <font>
      <sz val="11"/>
      <color rgb="FF9C5700"/>
      <name val="Calibri"/>
      <family val="2"/>
      <scheme val="minor"/>
    </font>
    <font>
      <b/>
      <sz val="11"/>
      <color theme="0"/>
      <name val="Arial"/>
      <family val="2"/>
    </font>
    <font>
      <sz val="11"/>
      <color rgb="FF0000FF"/>
      <name val="Arial"/>
      <family val="2"/>
    </font>
    <font>
      <b/>
      <sz val="11"/>
      <color rgb="FF002060"/>
      <name val="Calibri"/>
      <family val="2"/>
      <scheme val="minor"/>
    </font>
    <font>
      <b/>
      <sz val="12"/>
      <color theme="7" tint="-0.249977111117893"/>
      <name val="Arial"/>
      <family val="2"/>
    </font>
    <font>
      <sz val="10"/>
      <color theme="7" tint="-0.249977111117893"/>
      <name val="Arial"/>
      <family val="2"/>
    </font>
    <font>
      <sz val="11"/>
      <color theme="7" tint="-0.249977111117893"/>
      <name val="Arial"/>
      <family val="2"/>
    </font>
    <font>
      <sz val="9"/>
      <color theme="7" tint="-0.249977111117893"/>
      <name val="Arial"/>
      <family val="2"/>
    </font>
    <font>
      <i/>
      <sz val="11"/>
      <color theme="0" tint="-0.499984740745262"/>
      <name val="Arial"/>
      <family val="2"/>
    </font>
    <font>
      <u/>
      <sz val="11"/>
      <color theme="1"/>
      <name val="Calibri"/>
      <family val="2"/>
      <scheme val="minor"/>
    </font>
    <font>
      <i/>
      <u/>
      <sz val="11"/>
      <color theme="1"/>
      <name val="Calibri"/>
      <family val="2"/>
      <scheme val="minor"/>
    </font>
    <font>
      <sz val="11"/>
      <color rgb="FFFF0000"/>
      <name val="Calibri"/>
      <family val="2"/>
      <scheme val="minor"/>
    </font>
    <font>
      <sz val="11"/>
      <color indexed="8"/>
      <name val="Calibri"/>
      <family val="2"/>
      <scheme val="minor"/>
    </font>
    <font>
      <b/>
      <u/>
      <sz val="12"/>
      <color theme="1"/>
      <name val="Arial"/>
      <family val="2"/>
    </font>
    <font>
      <sz val="11"/>
      <color theme="1"/>
      <name val="Arial"/>
      <family val="2"/>
    </font>
    <font>
      <sz val="11"/>
      <color theme="1" tint="0.249977111117893"/>
      <name val="Calibri"/>
      <family val="2"/>
      <scheme val="minor"/>
    </font>
    <font>
      <sz val="10"/>
      <color theme="1" tint="0.249977111117893"/>
      <name val="Calibri"/>
      <family val="2"/>
      <scheme val="minor"/>
    </font>
    <font>
      <sz val="14"/>
      <color rgb="FF9C5700"/>
      <name val="Calibri"/>
      <family val="2"/>
      <scheme val="minor"/>
    </font>
    <font>
      <sz val="13.7"/>
      <color theme="1"/>
      <name val="Calibri"/>
      <family val="2"/>
      <scheme val="minor"/>
    </font>
  </fonts>
  <fills count="35">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indexed="51"/>
        <bgColor indexed="64"/>
      </patternFill>
    </fill>
    <fill>
      <patternFill patternType="solid">
        <fgColor indexed="47"/>
        <bgColor indexed="64"/>
      </patternFill>
    </fill>
    <fill>
      <patternFill patternType="solid">
        <fgColor indexed="60"/>
        <bgColor indexed="64"/>
      </patternFill>
    </fill>
    <fill>
      <patternFill patternType="solid">
        <fgColor indexed="43"/>
        <bgColor indexed="64"/>
      </patternFill>
    </fill>
    <fill>
      <patternFill patternType="solid">
        <fgColor indexed="49"/>
        <bgColor indexed="64"/>
      </patternFill>
    </fill>
    <fill>
      <patternFill patternType="solid">
        <fgColor indexed="50"/>
        <bgColor indexed="64"/>
      </patternFill>
    </fill>
    <fill>
      <patternFill patternType="solid">
        <fgColor indexed="46"/>
        <bgColor indexed="64"/>
      </patternFill>
    </fill>
    <fill>
      <patternFill patternType="solid">
        <fgColor indexed="41"/>
        <bgColor indexed="64"/>
      </patternFill>
    </fill>
    <fill>
      <patternFill patternType="solid">
        <fgColor indexed="31"/>
        <bgColor indexed="64"/>
      </patternFill>
    </fill>
    <fill>
      <patternFill patternType="solid">
        <fgColor indexed="10"/>
        <bgColor indexed="64"/>
      </patternFill>
    </fill>
    <fill>
      <patternFill patternType="solid">
        <fgColor indexed="19"/>
        <bgColor indexed="64"/>
      </patternFill>
    </fill>
    <fill>
      <patternFill patternType="solid">
        <fgColor indexed="44"/>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00FFFF"/>
        <bgColor indexed="64"/>
      </patternFill>
    </fill>
    <fill>
      <patternFill patternType="solid">
        <fgColor rgb="FFFFFF00"/>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C6EFCE"/>
      </patternFill>
    </fill>
    <fill>
      <patternFill patternType="solid">
        <fgColor theme="0" tint="-0.34998626667073579"/>
        <bgColor indexed="64"/>
      </patternFill>
    </fill>
    <fill>
      <patternFill patternType="solid">
        <fgColor rgb="FFCCFFFF"/>
        <bgColor indexed="64"/>
      </patternFill>
    </fill>
    <fill>
      <patternFill patternType="solid">
        <fgColor theme="8" tint="0.79998168889431442"/>
        <bgColor indexed="64"/>
      </patternFill>
    </fill>
    <fill>
      <patternFill patternType="solid">
        <fgColor rgb="FFFFFFCC"/>
        <bgColor indexed="64"/>
      </patternFill>
    </fill>
    <fill>
      <patternFill patternType="solid">
        <fgColor theme="0"/>
        <bgColor indexed="64"/>
      </patternFill>
    </fill>
    <fill>
      <patternFill patternType="solid">
        <fgColor theme="5" tint="0.59999389629810485"/>
        <bgColor indexed="64"/>
      </patternFill>
    </fill>
    <fill>
      <patternFill patternType="solid">
        <fgColor rgb="FFFFEB9C"/>
      </patternFill>
    </fill>
    <fill>
      <patternFill patternType="solid">
        <fgColor rgb="FF99CC00"/>
        <bgColor indexed="64"/>
      </patternFill>
    </fill>
    <fill>
      <patternFill patternType="solid">
        <fgColor rgb="FFFF0000"/>
        <bgColor indexed="64"/>
      </patternFill>
    </fill>
    <fill>
      <patternFill patternType="solid">
        <fgColor rgb="FFFFFF99"/>
        <bgColor indexed="64"/>
      </patternFill>
    </fill>
  </fills>
  <borders count="124">
    <border>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right style="double">
        <color indexed="64"/>
      </right>
      <top/>
      <bottom/>
      <diagonal/>
    </border>
    <border>
      <left style="double">
        <color indexed="64"/>
      </left>
      <right/>
      <top/>
      <bottom/>
      <diagonal/>
    </border>
    <border>
      <left style="double">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style="double">
        <color indexed="64"/>
      </right>
      <top style="hair">
        <color indexed="64"/>
      </top>
      <bottom style="double">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bottom style="double">
        <color indexed="64"/>
      </bottom>
      <diagonal/>
    </border>
    <border>
      <left style="double">
        <color indexed="64"/>
      </left>
      <right/>
      <top style="thin">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style="thin">
        <color indexed="64"/>
      </bottom>
      <diagonal/>
    </border>
    <border>
      <left style="thin">
        <color indexed="64"/>
      </left>
      <right/>
      <top style="double">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style="double">
        <color indexed="64"/>
      </left>
      <right/>
      <top style="thin">
        <color indexed="64"/>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dotted">
        <color indexed="64"/>
      </right>
      <top style="medium">
        <color indexed="64"/>
      </top>
      <bottom/>
      <diagonal/>
    </border>
    <border>
      <left/>
      <right style="dotted">
        <color indexed="64"/>
      </right>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medium">
        <color indexed="64"/>
      </bottom>
      <diagonal/>
    </border>
    <border>
      <left style="thin">
        <color auto="1"/>
      </left>
      <right style="double">
        <color auto="1"/>
      </right>
      <top style="double">
        <color auto="1"/>
      </top>
      <bottom style="double">
        <color auto="1"/>
      </bottom>
      <diagonal/>
    </border>
    <border>
      <left style="medium">
        <color indexed="64"/>
      </left>
      <right style="thin">
        <color indexed="64"/>
      </right>
      <top/>
      <bottom style="thin">
        <color indexed="64"/>
      </bottom>
      <diagonal/>
    </border>
    <border>
      <left/>
      <right/>
      <top style="medium">
        <color auto="1"/>
      </top>
      <bottom style="thin">
        <color indexed="64"/>
      </bottom>
      <diagonal/>
    </border>
    <border>
      <left style="thin">
        <color indexed="64"/>
      </left>
      <right style="double">
        <color indexed="64"/>
      </right>
      <top/>
      <bottom/>
      <diagonal/>
    </border>
    <border>
      <left/>
      <right style="thin">
        <color indexed="64"/>
      </right>
      <top style="double">
        <color indexed="64"/>
      </top>
      <bottom style="double">
        <color indexed="64"/>
      </bottom>
      <diagonal/>
    </border>
    <border>
      <left style="double">
        <color indexed="64"/>
      </left>
      <right/>
      <top style="double">
        <color indexed="64"/>
      </top>
      <bottom style="thin">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s>
  <cellStyleXfs count="7">
    <xf numFmtId="0" fontId="0" fillId="0" borderId="0"/>
    <xf numFmtId="164" fontId="25" fillId="0" borderId="0" applyFont="0" applyFill="0" applyBorder="0" applyAlignment="0" applyProtection="0"/>
    <xf numFmtId="166" fontId="85" fillId="0" borderId="0"/>
    <xf numFmtId="9" fontId="67" fillId="0" borderId="0" applyFont="0" applyFill="0" applyBorder="0" applyAlignment="0" applyProtection="0"/>
    <xf numFmtId="0" fontId="98" fillId="24" borderId="0" applyNumberFormat="0" applyBorder="0" applyAlignment="0" applyProtection="0"/>
    <xf numFmtId="0" fontId="101" fillId="0" borderId="0" applyNumberFormat="0" applyFill="0" applyBorder="0" applyAlignment="0" applyProtection="0"/>
    <xf numFmtId="0" fontId="114" fillId="31" borderId="0" applyNumberFormat="0" applyBorder="0" applyAlignment="0" applyProtection="0"/>
  </cellStyleXfs>
  <cellXfs count="1105">
    <xf numFmtId="0" fontId="0" fillId="0" borderId="0" xfId="0"/>
    <xf numFmtId="0" fontId="24" fillId="0" borderId="0" xfId="0" applyFont="1"/>
    <xf numFmtId="0" fontId="2" fillId="2" borderId="1" xfId="0" applyFont="1" applyFill="1" applyBorder="1" applyAlignment="1">
      <alignment horizontal="center"/>
    </xf>
    <xf numFmtId="0" fontId="2" fillId="2" borderId="2" xfId="0" applyFont="1" applyFill="1" applyBorder="1" applyAlignment="1">
      <alignment horizontal="center"/>
    </xf>
    <xf numFmtId="14" fontId="2" fillId="2" borderId="3" xfId="0" applyNumberFormat="1" applyFont="1" applyFill="1" applyBorder="1" applyAlignment="1">
      <alignment horizontal="center"/>
    </xf>
    <xf numFmtId="14" fontId="2" fillId="2" borderId="4" xfId="0" applyNumberFormat="1"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7" fillId="3" borderId="0" xfId="0" applyFont="1" applyFill="1" applyAlignment="1">
      <alignment horizontal="center"/>
    </xf>
    <xf numFmtId="0" fontId="5" fillId="3" borderId="0" xfId="0" applyFont="1" applyFill="1" applyAlignment="1">
      <alignment horizontal="center"/>
    </xf>
    <xf numFmtId="0" fontId="4" fillId="0" borderId="0" xfId="0" applyFont="1"/>
    <xf numFmtId="0" fontId="1" fillId="0" borderId="0" xfId="0" applyFont="1" applyAlignment="1">
      <alignment horizontal="center"/>
    </xf>
    <xf numFmtId="167" fontId="0" fillId="0" borderId="0" xfId="0" applyNumberFormat="1"/>
    <xf numFmtId="0" fontId="1" fillId="4" borderId="0" xfId="0" applyFont="1" applyFill="1" applyAlignment="1">
      <alignment horizontal="center"/>
    </xf>
    <xf numFmtId="0" fontId="2" fillId="0" borderId="0" xfId="0" applyFont="1" applyAlignment="1">
      <alignment horizontal="center"/>
    </xf>
    <xf numFmtId="165" fontId="2" fillId="0" borderId="7" xfId="0" applyNumberFormat="1" applyFont="1" applyBorder="1" applyAlignment="1" applyProtection="1">
      <alignment horizontal="center"/>
      <protection locked="0"/>
    </xf>
    <xf numFmtId="165" fontId="2" fillId="0" borderId="8" xfId="0" applyNumberFormat="1" applyFont="1" applyBorder="1" applyAlignment="1" applyProtection="1">
      <alignment horizontal="center"/>
      <protection locked="0"/>
    </xf>
    <xf numFmtId="165" fontId="2" fillId="0" borderId="9" xfId="0" applyNumberFormat="1" applyFont="1" applyBorder="1" applyAlignment="1" applyProtection="1">
      <alignment horizontal="center"/>
      <protection locked="0"/>
    </xf>
    <xf numFmtId="165" fontId="2" fillId="3" borderId="2" xfId="0" applyNumberFormat="1" applyFont="1" applyFill="1" applyBorder="1" applyAlignment="1">
      <alignment horizontal="center"/>
    </xf>
    <xf numFmtId="177" fontId="22" fillId="0" borderId="0" xfId="1" applyNumberFormat="1" applyFont="1" applyAlignment="1">
      <alignment horizontal="center"/>
    </xf>
    <xf numFmtId="14" fontId="22" fillId="0" borderId="0" xfId="0" applyNumberFormat="1" applyFont="1" applyAlignment="1">
      <alignment horizontal="center"/>
    </xf>
    <xf numFmtId="14" fontId="0" fillId="0" borderId="0" xfId="0" applyNumberFormat="1"/>
    <xf numFmtId="14" fontId="53" fillId="0" borderId="0" xfId="0" applyNumberFormat="1" applyFont="1"/>
    <xf numFmtId="172" fontId="6" fillId="3" borderId="0" xfId="0" applyNumberFormat="1" applyFont="1" applyFill="1" applyAlignment="1">
      <alignment horizontal="center"/>
    </xf>
    <xf numFmtId="172" fontId="9" fillId="3" borderId="0" xfId="0" applyNumberFormat="1" applyFont="1" applyFill="1" applyAlignment="1">
      <alignment horizontal="center"/>
    </xf>
    <xf numFmtId="172" fontId="6" fillId="3" borderId="0" xfId="1" applyNumberFormat="1" applyFont="1" applyFill="1" applyAlignment="1">
      <alignment horizontal="center"/>
    </xf>
    <xf numFmtId="172" fontId="0" fillId="0" borderId="0" xfId="0" applyNumberFormat="1"/>
    <xf numFmtId="172" fontId="2" fillId="0" borderId="0" xfId="0" applyNumberFormat="1" applyFont="1" applyAlignment="1">
      <alignment horizontal="center"/>
    </xf>
    <xf numFmtId="172" fontId="2" fillId="0" borderId="7" xfId="0" applyNumberFormat="1" applyFont="1" applyBorder="1" applyAlignment="1" applyProtection="1">
      <alignment horizontal="center"/>
      <protection locked="0"/>
    </xf>
    <xf numFmtId="0" fontId="0" fillId="0" borderId="0" xfId="0" applyAlignment="1">
      <alignment horizontal="center"/>
    </xf>
    <xf numFmtId="0" fontId="0" fillId="0" borderId="14" xfId="0" applyBorder="1"/>
    <xf numFmtId="0" fontId="55" fillId="0" borderId="0" xfId="0" applyFont="1"/>
    <xf numFmtId="0" fontId="10" fillId="0" borderId="0" xfId="0" applyFont="1"/>
    <xf numFmtId="0" fontId="10" fillId="0" borderId="15" xfId="0" applyFont="1" applyBorder="1"/>
    <xf numFmtId="0" fontId="10" fillId="0" borderId="16" xfId="0" applyFont="1" applyBorder="1"/>
    <xf numFmtId="0" fontId="57" fillId="0" borderId="0" xfId="0" applyFont="1"/>
    <xf numFmtId="0" fontId="2" fillId="2" borderId="17" xfId="0" applyFont="1" applyFill="1" applyBorder="1" applyAlignment="1">
      <alignment horizontal="center"/>
    </xf>
    <xf numFmtId="14" fontId="2" fillId="2" borderId="7" xfId="0" applyNumberFormat="1" applyFont="1" applyFill="1" applyBorder="1" applyAlignment="1">
      <alignment horizontal="center"/>
    </xf>
    <xf numFmtId="0" fontId="2" fillId="2" borderId="18" xfId="0" applyFont="1" applyFill="1" applyBorder="1" applyAlignment="1">
      <alignment horizontal="center"/>
    </xf>
    <xf numFmtId="0" fontId="3" fillId="0" borderId="19" xfId="0" applyFont="1" applyBorder="1" applyAlignment="1">
      <alignment horizontal="left"/>
    </xf>
    <xf numFmtId="165" fontId="3" fillId="0" borderId="19" xfId="0" applyNumberFormat="1" applyFont="1" applyBorder="1" applyAlignment="1">
      <alignment horizontal="left"/>
    </xf>
    <xf numFmtId="0" fontId="0" fillId="0" borderId="20" xfId="0" applyBorder="1"/>
    <xf numFmtId="0" fontId="7" fillId="0" borderId="0" xfId="0" applyFont="1" applyAlignment="1">
      <alignment horizontal="center"/>
    </xf>
    <xf numFmtId="172" fontId="8" fillId="0" borderId="0" xfId="0" applyNumberFormat="1" applyFont="1" applyAlignment="1">
      <alignment horizontal="center"/>
    </xf>
    <xf numFmtId="172" fontId="6" fillId="0" borderId="0" xfId="0" applyNumberFormat="1" applyFont="1" applyAlignment="1">
      <alignment horizontal="center"/>
    </xf>
    <xf numFmtId="172" fontId="9" fillId="0" borderId="0" xfId="0" applyNumberFormat="1" applyFont="1" applyAlignment="1">
      <alignment horizontal="center"/>
    </xf>
    <xf numFmtId="0" fontId="7" fillId="7" borderId="8" xfId="0" applyFont="1" applyFill="1" applyBorder="1" applyAlignment="1">
      <alignment horizontal="center"/>
    </xf>
    <xf numFmtId="0" fontId="33" fillId="0" borderId="0" xfId="0" applyFont="1" applyAlignment="1">
      <alignment horizontal="center"/>
    </xf>
    <xf numFmtId="172" fontId="1" fillId="4" borderId="0" xfId="0" applyNumberFormat="1" applyFont="1" applyFill="1" applyAlignment="1">
      <alignment horizontal="center"/>
    </xf>
    <xf numFmtId="0" fontId="0" fillId="0" borderId="23" xfId="0" applyBorder="1"/>
    <xf numFmtId="165" fontId="2" fillId="3" borderId="4" xfId="0" applyNumberFormat="1" applyFont="1" applyFill="1" applyBorder="1" applyAlignment="1">
      <alignment horizontal="center"/>
    </xf>
    <xf numFmtId="0" fontId="5" fillId="7" borderId="24" xfId="0" applyFont="1" applyFill="1" applyBorder="1" applyAlignment="1">
      <alignment horizontal="center"/>
    </xf>
    <xf numFmtId="0" fontId="5" fillId="7" borderId="25" xfId="0" applyFont="1" applyFill="1" applyBorder="1" applyAlignment="1">
      <alignment horizontal="center"/>
    </xf>
    <xf numFmtId="0" fontId="5" fillId="7" borderId="26" xfId="0" applyFont="1" applyFill="1" applyBorder="1" applyAlignment="1">
      <alignment horizontal="center"/>
    </xf>
    <xf numFmtId="0" fontId="5" fillId="7" borderId="27" xfId="0" applyFont="1" applyFill="1" applyBorder="1" applyAlignment="1">
      <alignment horizontal="center"/>
    </xf>
    <xf numFmtId="172" fontId="63" fillId="7" borderId="8" xfId="0" applyNumberFormat="1" applyFont="1" applyFill="1" applyBorder="1" applyAlignment="1">
      <alignment horizontal="center"/>
    </xf>
    <xf numFmtId="172" fontId="0" fillId="0" borderId="9" xfId="0" applyNumberFormat="1" applyBorder="1"/>
    <xf numFmtId="172" fontId="6" fillId="3" borderId="28" xfId="0" applyNumberFormat="1" applyFont="1" applyFill="1" applyBorder="1" applyAlignment="1">
      <alignment horizontal="right"/>
    </xf>
    <xf numFmtId="172" fontId="6" fillId="3" borderId="7" xfId="0" applyNumberFormat="1" applyFont="1" applyFill="1" applyBorder="1" applyAlignment="1">
      <alignment horizontal="center"/>
    </xf>
    <xf numFmtId="172" fontId="6" fillId="3" borderId="9" xfId="0" applyNumberFormat="1" applyFont="1" applyFill="1" applyBorder="1" applyAlignment="1">
      <alignment horizontal="right"/>
    </xf>
    <xf numFmtId="172" fontId="9" fillId="3" borderId="7" xfId="0" applyNumberFormat="1" applyFont="1" applyFill="1" applyBorder="1" applyAlignment="1">
      <alignment horizontal="center"/>
    </xf>
    <xf numFmtId="172" fontId="6" fillId="3" borderId="9" xfId="0" applyNumberFormat="1" applyFont="1" applyFill="1" applyBorder="1" applyAlignment="1">
      <alignment horizontal="center"/>
    </xf>
    <xf numFmtId="172" fontId="2" fillId="0" borderId="9" xfId="0" applyNumberFormat="1" applyFont="1" applyBorder="1" applyAlignment="1">
      <alignment horizontal="center"/>
    </xf>
    <xf numFmtId="0" fontId="69" fillId="0" borderId="0" xfId="0" applyFont="1"/>
    <xf numFmtId="0" fontId="54" fillId="0" borderId="0" xfId="0" applyFont="1" applyAlignment="1">
      <alignment horizontal="right"/>
    </xf>
    <xf numFmtId="0" fontId="54" fillId="0" borderId="13" xfId="0" applyFont="1" applyBorder="1" applyAlignment="1">
      <alignment horizontal="center"/>
    </xf>
    <xf numFmtId="0" fontId="54" fillId="0" borderId="0" xfId="0" applyFont="1" applyAlignment="1">
      <alignment vertical="center"/>
    </xf>
    <xf numFmtId="0" fontId="54" fillId="0" borderId="14" xfId="0" quotePrefix="1" applyFont="1" applyBorder="1" applyAlignment="1">
      <alignment horizontal="center" vertical="center"/>
    </xf>
    <xf numFmtId="0" fontId="65" fillId="0" borderId="0" xfId="0" applyFont="1" applyAlignment="1">
      <alignment horizontal="center"/>
    </xf>
    <xf numFmtId="2" fontId="66" fillId="0" borderId="0" xfId="0" applyNumberFormat="1" applyFont="1"/>
    <xf numFmtId="0" fontId="68" fillId="0" borderId="0" xfId="0" applyFont="1"/>
    <xf numFmtId="0" fontId="37" fillId="0" borderId="0" xfId="0" applyFont="1" applyAlignment="1">
      <alignment horizontal="center"/>
    </xf>
    <xf numFmtId="0" fontId="39" fillId="0" borderId="0" xfId="0" applyFont="1"/>
    <xf numFmtId="0" fontId="36" fillId="0" borderId="0" xfId="0" applyFont="1" applyAlignment="1">
      <alignment horizontal="right"/>
    </xf>
    <xf numFmtId="0" fontId="37" fillId="0" borderId="0" xfId="0" applyFont="1"/>
    <xf numFmtId="2" fontId="38" fillId="0" borderId="0" xfId="0" applyNumberFormat="1" applyFont="1"/>
    <xf numFmtId="2" fontId="69" fillId="0" borderId="0" xfId="0" applyNumberFormat="1" applyFont="1"/>
    <xf numFmtId="0" fontId="37" fillId="0" borderId="0" xfId="0" applyFont="1" applyAlignment="1">
      <alignment horizontal="left"/>
    </xf>
    <xf numFmtId="0" fontId="42" fillId="0" borderId="0" xfId="0" applyFont="1" applyAlignment="1">
      <alignment vertical="center" wrapText="1"/>
    </xf>
    <xf numFmtId="2" fontId="41" fillId="0" borderId="0" xfId="0" applyNumberFormat="1" applyFont="1" applyAlignment="1">
      <alignment horizontal="center"/>
    </xf>
    <xf numFmtId="173" fontId="37" fillId="0" borderId="0" xfId="0" applyNumberFormat="1" applyFont="1"/>
    <xf numFmtId="14" fontId="43" fillId="0" borderId="8" xfId="0" applyNumberFormat="1" applyFont="1" applyBorder="1" applyAlignment="1">
      <alignment horizontal="center"/>
    </xf>
    <xf numFmtId="171" fontId="45" fillId="0" borderId="0" xfId="0" applyNumberFormat="1" applyFont="1" applyAlignment="1">
      <alignment horizontal="center"/>
    </xf>
    <xf numFmtId="0" fontId="46" fillId="0" borderId="0" xfId="0" applyFont="1" applyAlignment="1">
      <alignment horizontal="center"/>
    </xf>
    <xf numFmtId="172" fontId="39" fillId="0" borderId="0" xfId="0" applyNumberFormat="1" applyFont="1" applyAlignment="1">
      <alignment horizontal="center"/>
    </xf>
    <xf numFmtId="46" fontId="38" fillId="7" borderId="14" xfId="0" applyNumberFormat="1" applyFont="1" applyFill="1" applyBorder="1" applyAlignment="1">
      <alignment horizontal="center" vertical="center"/>
    </xf>
    <xf numFmtId="46" fontId="38" fillId="7" borderId="28" xfId="0" applyNumberFormat="1" applyFont="1" applyFill="1" applyBorder="1" applyAlignment="1">
      <alignment horizontal="center" vertical="center"/>
    </xf>
    <xf numFmtId="46" fontId="38" fillId="7" borderId="30" xfId="0" applyNumberFormat="1" applyFont="1" applyFill="1" applyBorder="1" applyAlignment="1">
      <alignment horizontal="center" vertical="center"/>
    </xf>
    <xf numFmtId="176" fontId="46" fillId="0" borderId="0" xfId="0" applyNumberFormat="1" applyFont="1" applyAlignment="1">
      <alignment horizontal="right"/>
    </xf>
    <xf numFmtId="171" fontId="46" fillId="0" borderId="0" xfId="0" applyNumberFormat="1" applyFont="1" applyAlignment="1">
      <alignment horizontal="center"/>
    </xf>
    <xf numFmtId="175" fontId="46" fillId="0" borderId="0" xfId="0" applyNumberFormat="1" applyFont="1" applyAlignment="1">
      <alignment horizontal="center"/>
    </xf>
    <xf numFmtId="175" fontId="47" fillId="0" borderId="0" xfId="0" applyNumberFormat="1" applyFont="1" applyAlignment="1">
      <alignment horizontal="center"/>
    </xf>
    <xf numFmtId="0" fontId="50" fillId="0" borderId="0" xfId="0" applyFont="1"/>
    <xf numFmtId="2" fontId="43" fillId="0" borderId="0" xfId="0" applyNumberFormat="1" applyFont="1"/>
    <xf numFmtId="2" fontId="43" fillId="0" borderId="0" xfId="0" applyNumberFormat="1" applyFont="1" applyAlignment="1">
      <alignment horizontal="center"/>
    </xf>
    <xf numFmtId="175" fontId="43" fillId="0" borderId="0" xfId="0" applyNumberFormat="1" applyFont="1" applyAlignment="1">
      <alignment horizontal="center"/>
    </xf>
    <xf numFmtId="0" fontId="54" fillId="0" borderId="22" xfId="0" applyFont="1" applyBorder="1" applyAlignment="1">
      <alignment horizontal="right" vertical="center"/>
    </xf>
    <xf numFmtId="0" fontId="54" fillId="0" borderId="31" xfId="0" applyFont="1" applyBorder="1" applyAlignment="1">
      <alignment horizontal="left" vertical="center"/>
    </xf>
    <xf numFmtId="165" fontId="78" fillId="0" borderId="1" xfId="0" applyNumberFormat="1" applyFont="1" applyBorder="1" applyAlignment="1">
      <alignment horizontal="center"/>
    </xf>
    <xf numFmtId="165" fontId="78" fillId="0" borderId="32" xfId="0" applyNumberFormat="1" applyFont="1" applyBorder="1" applyAlignment="1">
      <alignment horizontal="center"/>
    </xf>
    <xf numFmtId="165" fontId="78" fillId="9" borderId="32" xfId="0" applyNumberFormat="1" applyFont="1" applyFill="1" applyBorder="1" applyAlignment="1">
      <alignment horizontal="center"/>
    </xf>
    <xf numFmtId="165" fontId="78" fillId="9" borderId="33" xfId="0" applyNumberFormat="1" applyFont="1" applyFill="1" applyBorder="1" applyAlignment="1">
      <alignment horizontal="center"/>
    </xf>
    <xf numFmtId="177" fontId="15" fillId="3" borderId="0" xfId="1" applyNumberFormat="1" applyFont="1" applyFill="1" applyAlignment="1">
      <alignment horizontal="center"/>
    </xf>
    <xf numFmtId="177" fontId="85" fillId="0" borderId="0" xfId="1" applyNumberFormat="1" applyFont="1"/>
    <xf numFmtId="2" fontId="0" fillId="0" borderId="0" xfId="0" applyNumberFormat="1"/>
    <xf numFmtId="2" fontId="0" fillId="0" borderId="14" xfId="0" applyNumberFormat="1" applyBorder="1"/>
    <xf numFmtId="174" fontId="0" fillId="0" borderId="8" xfId="0" applyNumberFormat="1" applyBorder="1"/>
    <xf numFmtId="0" fontId="0" fillId="0" borderId="8" xfId="0" applyBorder="1"/>
    <xf numFmtId="177" fontId="38" fillId="0" borderId="0" xfId="1" applyNumberFormat="1" applyFont="1" applyAlignment="1">
      <alignment horizontal="center" vertical="center"/>
    </xf>
    <xf numFmtId="1" fontId="85" fillId="0" borderId="0" xfId="1" applyNumberFormat="1" applyFont="1" applyAlignment="1">
      <alignment horizontal="center"/>
    </xf>
    <xf numFmtId="0" fontId="37" fillId="0" borderId="0" xfId="0" applyFont="1" applyAlignment="1">
      <alignment horizontal="right"/>
    </xf>
    <xf numFmtId="2" fontId="42" fillId="0" borderId="31" xfId="0" applyNumberFormat="1" applyFont="1" applyBorder="1" applyAlignment="1">
      <alignment horizontal="center"/>
    </xf>
    <xf numFmtId="46" fontId="73" fillId="7" borderId="14" xfId="0" applyNumberFormat="1" applyFont="1" applyFill="1" applyBorder="1" applyAlignment="1">
      <alignment horizontal="center" vertical="center"/>
    </xf>
    <xf numFmtId="46" fontId="73" fillId="7" borderId="28" xfId="0" applyNumberFormat="1" applyFont="1" applyFill="1" applyBorder="1" applyAlignment="1">
      <alignment horizontal="center" vertical="center"/>
    </xf>
    <xf numFmtId="2" fontId="0" fillId="0" borderId="34" xfId="0" applyNumberFormat="1" applyBorder="1"/>
    <xf numFmtId="46" fontId="73" fillId="7" borderId="30" xfId="0" applyNumberFormat="1" applyFont="1" applyFill="1" applyBorder="1" applyAlignment="1">
      <alignment horizontal="center" vertical="center"/>
    </xf>
    <xf numFmtId="2" fontId="0" fillId="0" borderId="35" xfId="0" applyNumberFormat="1" applyBorder="1"/>
    <xf numFmtId="176" fontId="46" fillId="0" borderId="36" xfId="1" applyNumberFormat="1" applyFont="1" applyBorder="1" applyAlignment="1">
      <alignment horizontal="right"/>
    </xf>
    <xf numFmtId="171" fontId="46" fillId="0" borderId="37" xfId="0" applyNumberFormat="1" applyFont="1" applyBorder="1" applyAlignment="1">
      <alignment horizontal="center"/>
    </xf>
    <xf numFmtId="175" fontId="46" fillId="0" borderId="38" xfId="0" applyNumberFormat="1" applyFont="1" applyBorder="1" applyAlignment="1">
      <alignment horizontal="center"/>
    </xf>
    <xf numFmtId="176" fontId="46" fillId="0" borderId="39" xfId="0" applyNumberFormat="1" applyFont="1" applyBorder="1" applyAlignment="1">
      <alignment horizontal="right"/>
    </xf>
    <xf numFmtId="171" fontId="46" fillId="0" borderId="40" xfId="0" applyNumberFormat="1" applyFont="1" applyBorder="1" applyAlignment="1">
      <alignment horizontal="center"/>
    </xf>
    <xf numFmtId="176" fontId="46" fillId="0" borderId="41" xfId="0" applyNumberFormat="1" applyFont="1" applyBorder="1" applyAlignment="1">
      <alignment horizontal="right"/>
    </xf>
    <xf numFmtId="0" fontId="46" fillId="0" borderId="42" xfId="0" applyFont="1" applyBorder="1" applyAlignment="1">
      <alignment horizontal="center"/>
    </xf>
    <xf numFmtId="2" fontId="46" fillId="0" borderId="43" xfId="0" applyNumberFormat="1" applyFont="1" applyBorder="1" applyAlignment="1">
      <alignment horizontal="center"/>
    </xf>
    <xf numFmtId="171" fontId="46" fillId="0" borderId="42" xfId="0" applyNumberFormat="1" applyFont="1" applyBorder="1" applyAlignment="1">
      <alignment horizontal="center"/>
    </xf>
    <xf numFmtId="176" fontId="46" fillId="0" borderId="41" xfId="0" applyNumberFormat="1" applyFont="1" applyBorder="1" applyAlignment="1">
      <alignment horizontal="center"/>
    </xf>
    <xf numFmtId="172" fontId="2" fillId="0" borderId="8" xfId="0" applyNumberFormat="1" applyFont="1" applyBorder="1" applyAlignment="1" applyProtection="1">
      <alignment horizontal="center"/>
      <protection locked="0"/>
    </xf>
    <xf numFmtId="175" fontId="47" fillId="0" borderId="44" xfId="0" applyNumberFormat="1" applyFont="1" applyBorder="1" applyAlignment="1">
      <alignment horizontal="center"/>
    </xf>
    <xf numFmtId="165" fontId="2" fillId="9" borderId="4" xfId="0" applyNumberFormat="1" applyFont="1" applyFill="1" applyBorder="1" applyAlignment="1">
      <alignment horizontal="center"/>
    </xf>
    <xf numFmtId="165" fontId="78" fillId="0" borderId="3" xfId="0" applyNumberFormat="1" applyFont="1" applyBorder="1" applyAlignment="1">
      <alignment horizontal="center"/>
    </xf>
    <xf numFmtId="165" fontId="78" fillId="9" borderId="3" xfId="0" applyNumberFormat="1" applyFont="1" applyFill="1" applyBorder="1" applyAlignment="1">
      <alignment horizontal="center"/>
    </xf>
    <xf numFmtId="165" fontId="78" fillId="9" borderId="5" xfId="0" applyNumberFormat="1" applyFont="1" applyFill="1" applyBorder="1" applyAlignment="1">
      <alignment horizontal="center"/>
    </xf>
    <xf numFmtId="165" fontId="2" fillId="9" borderId="6" xfId="0" applyNumberFormat="1" applyFont="1" applyFill="1" applyBorder="1" applyAlignment="1">
      <alignment horizontal="center"/>
    </xf>
    <xf numFmtId="0" fontId="87" fillId="0" borderId="0" xfId="0" applyFont="1" applyAlignment="1">
      <alignment horizontal="center" vertical="center" wrapText="1"/>
    </xf>
    <xf numFmtId="0" fontId="0" fillId="0" borderId="0" xfId="0" applyAlignment="1">
      <alignment horizontal="center" vertical="center" wrapText="1"/>
    </xf>
    <xf numFmtId="0" fontId="86" fillId="0" borderId="45" xfId="0" applyFont="1" applyBorder="1" applyAlignment="1">
      <alignment horizontal="center" vertical="center" wrapText="1"/>
    </xf>
    <xf numFmtId="0" fontId="86" fillId="0" borderId="46" xfId="0" applyFont="1" applyBorder="1" applyAlignment="1">
      <alignment horizontal="center" vertical="center" wrapText="1"/>
    </xf>
    <xf numFmtId="0" fontId="87" fillId="16" borderId="50" xfId="0" applyFont="1" applyFill="1" applyBorder="1" applyAlignment="1">
      <alignment horizontal="center" vertical="center" wrapText="1"/>
    </xf>
    <xf numFmtId="0" fontId="0" fillId="16" borderId="51" xfId="0" applyFill="1" applyBorder="1" applyAlignment="1">
      <alignment horizontal="center" vertical="center" wrapText="1"/>
    </xf>
    <xf numFmtId="0" fontId="0" fillId="16" borderId="52" xfId="0" applyFill="1" applyBorder="1" applyAlignment="1">
      <alignment horizontal="center" vertical="center" wrapText="1"/>
    </xf>
    <xf numFmtId="0" fontId="87" fillId="16" borderId="53" xfId="0" applyFont="1" applyFill="1" applyBorder="1" applyAlignment="1">
      <alignment horizontal="center" vertical="center" wrapText="1"/>
    </xf>
    <xf numFmtId="0" fontId="0" fillId="16" borderId="54" xfId="0" applyFill="1" applyBorder="1" applyAlignment="1">
      <alignment horizontal="center" vertical="center" wrapText="1"/>
    </xf>
    <xf numFmtId="0" fontId="0" fillId="16" borderId="55" xfId="0" applyFill="1" applyBorder="1" applyAlignment="1">
      <alignment horizontal="center" vertical="center" wrapText="1"/>
    </xf>
    <xf numFmtId="0" fontId="87" fillId="17" borderId="50" xfId="0" applyFont="1" applyFill="1" applyBorder="1" applyAlignment="1">
      <alignment horizontal="center" vertical="center" wrapText="1"/>
    </xf>
    <xf numFmtId="0" fontId="0" fillId="17" borderId="51" xfId="0" applyFill="1" applyBorder="1" applyAlignment="1">
      <alignment horizontal="center" vertical="center" wrapText="1"/>
    </xf>
    <xf numFmtId="0" fontId="0" fillId="17" borderId="52" xfId="0" applyFill="1" applyBorder="1" applyAlignment="1">
      <alignment horizontal="center" vertical="center" wrapText="1"/>
    </xf>
    <xf numFmtId="0" fontId="87" fillId="17" borderId="53" xfId="0" applyFont="1" applyFill="1" applyBorder="1" applyAlignment="1">
      <alignment horizontal="center" vertical="center" wrapText="1"/>
    </xf>
    <xf numFmtId="0" fontId="0" fillId="17" borderId="54" xfId="0" applyFill="1" applyBorder="1" applyAlignment="1">
      <alignment horizontal="center" vertical="center" wrapText="1"/>
    </xf>
    <xf numFmtId="0" fontId="0" fillId="17" borderId="55" xfId="0" applyFill="1" applyBorder="1" applyAlignment="1">
      <alignment horizontal="center" vertical="center" wrapText="1"/>
    </xf>
    <xf numFmtId="0" fontId="87" fillId="18" borderId="47" xfId="0" applyFont="1" applyFill="1" applyBorder="1" applyAlignment="1">
      <alignment horizontal="center" vertical="center" wrapText="1"/>
    </xf>
    <xf numFmtId="0" fontId="0" fillId="18" borderId="48" xfId="0" applyFill="1" applyBorder="1" applyAlignment="1">
      <alignment horizontal="center" vertical="center" wrapText="1"/>
    </xf>
    <xf numFmtId="0" fontId="0" fillId="18" borderId="49" xfId="0" applyFill="1" applyBorder="1" applyAlignment="1">
      <alignment horizontal="center" vertical="center" wrapText="1"/>
    </xf>
    <xf numFmtId="0" fontId="87" fillId="18" borderId="53" xfId="0" applyFont="1" applyFill="1" applyBorder="1" applyAlignment="1">
      <alignment horizontal="center" vertical="center" wrapText="1"/>
    </xf>
    <xf numFmtId="0" fontId="0" fillId="18" borderId="54" xfId="0" applyFill="1" applyBorder="1" applyAlignment="1">
      <alignment horizontal="center" vertical="center" wrapText="1"/>
    </xf>
    <xf numFmtId="0" fontId="0" fillId="18" borderId="55" xfId="0" applyFill="1" applyBorder="1" applyAlignment="1">
      <alignment horizontal="center" vertical="center" wrapText="1"/>
    </xf>
    <xf numFmtId="0" fontId="87" fillId="17" borderId="56" xfId="0" applyFont="1" applyFill="1" applyBorder="1" applyAlignment="1">
      <alignment horizontal="center" vertical="center" wrapText="1"/>
    </xf>
    <xf numFmtId="0" fontId="0" fillId="17" borderId="57" xfId="0" applyFill="1" applyBorder="1" applyAlignment="1">
      <alignment horizontal="center" vertical="center" wrapText="1"/>
    </xf>
    <xf numFmtId="0" fontId="0" fillId="17" borderId="58" xfId="0" applyFill="1" applyBorder="1" applyAlignment="1">
      <alignment horizontal="center" vertical="center" wrapText="1"/>
    </xf>
    <xf numFmtId="0" fontId="38" fillId="0" borderId="21" xfId="0" applyFont="1" applyBorder="1" applyAlignment="1">
      <alignment horizontal="right" vertical="center" wrapText="1"/>
    </xf>
    <xf numFmtId="0" fontId="38" fillId="0" borderId="0" xfId="0" applyFont="1" applyAlignment="1">
      <alignment horizontal="right" vertical="center" wrapText="1"/>
    </xf>
    <xf numFmtId="1" fontId="44" fillId="11" borderId="0" xfId="0" applyNumberFormat="1" applyFont="1" applyFill="1" applyAlignment="1" applyProtection="1">
      <alignment horizontal="center" vertical="center"/>
      <protection locked="0"/>
    </xf>
    <xf numFmtId="1" fontId="44" fillId="11" borderId="23" xfId="0" applyNumberFormat="1" applyFont="1" applyFill="1" applyBorder="1" applyAlignment="1" applyProtection="1">
      <alignment horizontal="center" vertical="center"/>
      <protection locked="0"/>
    </xf>
    <xf numFmtId="0" fontId="0" fillId="0" borderId="0" xfId="0" applyAlignment="1">
      <alignment horizontal="center" vertical="center"/>
    </xf>
    <xf numFmtId="2" fontId="69" fillId="0" borderId="0" xfId="0" applyNumberFormat="1" applyFont="1" applyAlignment="1">
      <alignment vertical="center"/>
    </xf>
    <xf numFmtId="0" fontId="37" fillId="0" borderId="0" xfId="0" applyFont="1" applyAlignment="1">
      <alignment horizontal="center" vertical="center"/>
    </xf>
    <xf numFmtId="0" fontId="65" fillId="0" borderId="0" xfId="0" applyFont="1" applyAlignment="1">
      <alignment horizontal="center" vertical="center"/>
    </xf>
    <xf numFmtId="2" fontId="66" fillId="0" borderId="0" xfId="0" applyNumberFormat="1" applyFont="1" applyAlignment="1">
      <alignment vertical="center"/>
    </xf>
    <xf numFmtId="0" fontId="68" fillId="0" borderId="0" xfId="0" applyFont="1" applyAlignment="1">
      <alignment vertical="center"/>
    </xf>
    <xf numFmtId="46" fontId="68" fillId="0" borderId="0" xfId="0" applyNumberFormat="1" applyFont="1" applyAlignment="1">
      <alignment vertical="center"/>
    </xf>
    <xf numFmtId="2" fontId="38" fillId="0" borderId="0" xfId="0" applyNumberFormat="1" applyFont="1" applyAlignment="1">
      <alignment vertical="center"/>
    </xf>
    <xf numFmtId="0" fontId="69" fillId="0" borderId="0" xfId="0" applyFont="1" applyAlignment="1">
      <alignment vertical="center"/>
    </xf>
    <xf numFmtId="20" fontId="69" fillId="0" borderId="0" xfId="0" applyNumberFormat="1" applyFont="1" applyAlignment="1">
      <alignment vertical="center"/>
    </xf>
    <xf numFmtId="0" fontId="39" fillId="0" borderId="0" xfId="0" applyFont="1" applyAlignment="1">
      <alignment vertical="center"/>
    </xf>
    <xf numFmtId="0" fontId="36" fillId="0" borderId="0" xfId="0" applyFont="1" applyAlignment="1">
      <alignment horizontal="right" vertical="center"/>
    </xf>
    <xf numFmtId="0" fontId="40" fillId="0" borderId="0" xfId="0" applyFont="1" applyAlignment="1">
      <alignment vertical="center"/>
    </xf>
    <xf numFmtId="0" fontId="37" fillId="0" borderId="0" xfId="0" applyFont="1" applyAlignment="1">
      <alignment vertical="center"/>
    </xf>
    <xf numFmtId="0" fontId="37" fillId="0" borderId="0" xfId="0" applyFont="1" applyAlignment="1">
      <alignment horizontal="right" vertical="center"/>
    </xf>
    <xf numFmtId="2" fontId="38" fillId="0" borderId="8" xfId="0" applyNumberFormat="1" applyFont="1" applyBorder="1" applyAlignment="1">
      <alignment horizontal="center" vertical="center"/>
    </xf>
    <xf numFmtId="0" fontId="70" fillId="0" borderId="0" xfId="0" applyFont="1" applyAlignment="1">
      <alignment vertical="center"/>
    </xf>
    <xf numFmtId="2" fontId="41" fillId="0" borderId="0" xfId="0" applyNumberFormat="1" applyFont="1" applyAlignment="1">
      <alignment horizontal="center" vertical="center"/>
    </xf>
    <xf numFmtId="14" fontId="43" fillId="0" borderId="8" xfId="0" applyNumberFormat="1" applyFont="1" applyBorder="1" applyAlignment="1">
      <alignment horizontal="center" vertical="center"/>
    </xf>
    <xf numFmtId="0" fontId="69" fillId="0" borderId="0" xfId="0" applyFont="1" applyAlignment="1">
      <alignment horizontal="right" vertical="center"/>
    </xf>
    <xf numFmtId="14" fontId="69" fillId="0" borderId="0" xfId="0" applyNumberFormat="1" applyFont="1" applyAlignment="1">
      <alignment horizontal="right" vertical="center"/>
    </xf>
    <xf numFmtId="0" fontId="71" fillId="0" borderId="0" xfId="0" applyFont="1" applyAlignment="1">
      <alignment horizontal="left" vertical="center"/>
    </xf>
    <xf numFmtId="14" fontId="69" fillId="0" borderId="0" xfId="0" applyNumberFormat="1" applyFont="1" applyAlignment="1">
      <alignment vertical="center"/>
    </xf>
    <xf numFmtId="177" fontId="69" fillId="0" borderId="0" xfId="1" applyNumberFormat="1" applyFont="1" applyAlignment="1">
      <alignment vertical="center"/>
    </xf>
    <xf numFmtId="0" fontId="46" fillId="0" borderId="0" xfId="0" applyFont="1" applyAlignment="1">
      <alignment horizontal="center" vertical="center"/>
    </xf>
    <xf numFmtId="0" fontId="81" fillId="0" borderId="0" xfId="0" applyFont="1" applyAlignment="1">
      <alignment vertical="center"/>
    </xf>
    <xf numFmtId="9" fontId="40" fillId="0" borderId="0" xfId="3" applyFont="1" applyAlignment="1">
      <alignment horizontal="center" vertical="center"/>
    </xf>
    <xf numFmtId="178" fontId="69" fillId="0" borderId="0" xfId="0" applyNumberFormat="1" applyFont="1" applyAlignment="1">
      <alignment vertical="center"/>
    </xf>
    <xf numFmtId="1" fontId="69" fillId="0" borderId="0" xfId="0" applyNumberFormat="1" applyFont="1" applyAlignment="1">
      <alignment vertical="center"/>
    </xf>
    <xf numFmtId="0" fontId="69" fillId="0" borderId="35" xfId="0" applyFont="1" applyBorder="1" applyAlignment="1">
      <alignment vertical="center"/>
    </xf>
    <xf numFmtId="2" fontId="69" fillId="0" borderId="34" xfId="0" applyNumberFormat="1" applyFont="1" applyBorder="1" applyAlignment="1">
      <alignment vertical="center"/>
    </xf>
    <xf numFmtId="2" fontId="69" fillId="0" borderId="35" xfId="0" applyNumberFormat="1" applyFont="1" applyBorder="1" applyAlignment="1">
      <alignment vertical="center"/>
    </xf>
    <xf numFmtId="0" fontId="48" fillId="0" borderId="44" xfId="0" applyFont="1" applyBorder="1" applyAlignment="1">
      <alignment vertical="center"/>
    </xf>
    <xf numFmtId="0" fontId="48" fillId="0" borderId="0" xfId="0" applyFont="1" applyAlignment="1">
      <alignment vertical="center"/>
    </xf>
    <xf numFmtId="176" fontId="46" fillId="0" borderId="0" xfId="0" applyNumberFormat="1" applyFont="1" applyAlignment="1">
      <alignment horizontal="right" vertical="center"/>
    </xf>
    <xf numFmtId="171" fontId="46" fillId="0" borderId="0" xfId="0" applyNumberFormat="1" applyFont="1" applyAlignment="1">
      <alignment horizontal="center" vertical="center"/>
    </xf>
    <xf numFmtId="175" fontId="46" fillId="0" borderId="0" xfId="0" applyNumberFormat="1" applyFont="1" applyAlignment="1">
      <alignment horizontal="center" vertical="center"/>
    </xf>
    <xf numFmtId="0" fontId="69" fillId="0" borderId="0" xfId="0" quotePrefix="1" applyFont="1" applyAlignment="1">
      <alignment vertical="center"/>
    </xf>
    <xf numFmtId="175" fontId="79" fillId="0" borderId="0" xfId="0" applyNumberFormat="1" applyFont="1" applyAlignment="1">
      <alignment horizontal="center" vertical="center"/>
    </xf>
    <xf numFmtId="176" fontId="79" fillId="0" borderId="0" xfId="0" applyNumberFormat="1" applyFont="1" applyAlignment="1">
      <alignment horizontal="right" vertical="center"/>
    </xf>
    <xf numFmtId="171" fontId="79" fillId="0" borderId="0" xfId="0" applyNumberFormat="1" applyFont="1" applyAlignment="1">
      <alignment horizontal="center" vertical="center"/>
    </xf>
    <xf numFmtId="0" fontId="91" fillId="0" borderId="0" xfId="0" applyFont="1" applyAlignment="1">
      <alignment vertical="center"/>
    </xf>
    <xf numFmtId="167" fontId="69" fillId="0" borderId="0" xfId="0" applyNumberFormat="1" applyFont="1" applyAlignment="1">
      <alignment vertical="center"/>
    </xf>
    <xf numFmtId="166" fontId="69" fillId="0" borderId="0" xfId="0" applyNumberFormat="1" applyFont="1" applyAlignment="1">
      <alignment vertical="center"/>
    </xf>
    <xf numFmtId="176" fontId="46" fillId="0" borderId="21" xfId="0" applyNumberFormat="1" applyFont="1" applyBorder="1" applyAlignment="1">
      <alignment horizontal="right" vertical="center"/>
    </xf>
    <xf numFmtId="171" fontId="79" fillId="0" borderId="0" xfId="0" applyNumberFormat="1" applyFont="1" applyAlignment="1">
      <alignment horizontal="right" vertical="center"/>
    </xf>
    <xf numFmtId="171" fontId="79" fillId="0" borderId="23" xfId="0" applyNumberFormat="1" applyFont="1" applyBorder="1" applyAlignment="1">
      <alignment horizontal="center" vertical="center"/>
    </xf>
    <xf numFmtId="9" fontId="69" fillId="0" borderId="0" xfId="3" applyFont="1" applyAlignment="1">
      <alignment vertical="center"/>
    </xf>
    <xf numFmtId="171" fontId="46" fillId="0" borderId="15" xfId="0" applyNumberFormat="1" applyFont="1" applyBorder="1" applyAlignment="1">
      <alignment horizontal="center" vertical="center"/>
    </xf>
    <xf numFmtId="175" fontId="46" fillId="0" borderId="13" xfId="0" applyNumberFormat="1" applyFont="1" applyBorder="1" applyAlignment="1">
      <alignment horizontal="center" vertical="center"/>
    </xf>
    <xf numFmtId="176" fontId="46" fillId="0" borderId="13" xfId="0" applyNumberFormat="1" applyFont="1" applyBorder="1" applyAlignment="1">
      <alignment horizontal="right" vertical="center"/>
    </xf>
    <xf numFmtId="171" fontId="46" fillId="0" borderId="13" xfId="0" applyNumberFormat="1" applyFont="1" applyBorder="1" applyAlignment="1">
      <alignment horizontal="center" vertical="center"/>
    </xf>
    <xf numFmtId="171" fontId="46" fillId="0" borderId="16" xfId="0" applyNumberFormat="1" applyFont="1" applyBorder="1" applyAlignment="1">
      <alignment horizontal="center" vertical="center"/>
    </xf>
    <xf numFmtId="176" fontId="46" fillId="0" borderId="22" xfId="0" applyNumberFormat="1" applyFont="1" applyBorder="1" applyAlignment="1">
      <alignment horizontal="right" vertical="center"/>
    </xf>
    <xf numFmtId="171" fontId="79" fillId="0" borderId="14" xfId="0" applyNumberFormat="1" applyFont="1" applyBorder="1" applyAlignment="1">
      <alignment horizontal="center" vertical="center"/>
    </xf>
    <xf numFmtId="175" fontId="79" fillId="0" borderId="14" xfId="0" applyNumberFormat="1" applyFont="1" applyBorder="1" applyAlignment="1">
      <alignment horizontal="center" vertical="center"/>
    </xf>
    <xf numFmtId="176" fontId="79" fillId="0" borderId="14" xfId="0" applyNumberFormat="1" applyFont="1" applyBorder="1" applyAlignment="1">
      <alignment horizontal="right" vertical="center"/>
    </xf>
    <xf numFmtId="171" fontId="79" fillId="0" borderId="14" xfId="0" applyNumberFormat="1" applyFont="1" applyBorder="1" applyAlignment="1">
      <alignment horizontal="right" vertical="center"/>
    </xf>
    <xf numFmtId="171" fontId="79" fillId="0" borderId="31" xfId="0" applyNumberFormat="1" applyFont="1" applyBorder="1" applyAlignment="1">
      <alignment horizontal="center" vertical="center"/>
    </xf>
    <xf numFmtId="171" fontId="46" fillId="0" borderId="21" xfId="0" applyNumberFormat="1" applyFont="1" applyBorder="1" applyAlignment="1">
      <alignment horizontal="center" vertical="center"/>
    </xf>
    <xf numFmtId="167" fontId="71" fillId="0" borderId="0" xfId="0" applyNumberFormat="1" applyFont="1" applyAlignment="1">
      <alignment horizontal="right" vertical="center"/>
    </xf>
    <xf numFmtId="171" fontId="46" fillId="0" borderId="22" xfId="0" applyNumberFormat="1" applyFont="1" applyBorder="1" applyAlignment="1">
      <alignment horizontal="center" vertical="center"/>
    </xf>
    <xf numFmtId="175" fontId="46" fillId="0" borderId="14" xfId="0" applyNumberFormat="1" applyFont="1" applyBorder="1" applyAlignment="1">
      <alignment horizontal="center" vertical="center"/>
    </xf>
    <xf numFmtId="176" fontId="46" fillId="0" borderId="14" xfId="0" applyNumberFormat="1" applyFont="1" applyBorder="1" applyAlignment="1">
      <alignment horizontal="right" vertical="center"/>
    </xf>
    <xf numFmtId="171" fontId="46" fillId="0" borderId="14" xfId="0" applyNumberFormat="1" applyFont="1" applyBorder="1" applyAlignment="1">
      <alignment horizontal="center" vertical="center"/>
    </xf>
    <xf numFmtId="171" fontId="46" fillId="0" borderId="31" xfId="0" applyNumberFormat="1" applyFont="1" applyBorder="1" applyAlignment="1">
      <alignment horizontal="center" vertical="center"/>
    </xf>
    <xf numFmtId="171" fontId="46" fillId="0" borderId="23" xfId="0" applyNumberFormat="1" applyFont="1" applyBorder="1" applyAlignment="1">
      <alignment horizontal="center" vertical="center"/>
    </xf>
    <xf numFmtId="171" fontId="79" fillId="0" borderId="21" xfId="0" applyNumberFormat="1" applyFont="1" applyBorder="1" applyAlignment="1">
      <alignment horizontal="left" vertical="center"/>
    </xf>
    <xf numFmtId="177" fontId="76" fillId="0" borderId="0" xfId="1" applyNumberFormat="1" applyFont="1" applyAlignment="1">
      <alignment horizontal="center" vertical="center"/>
    </xf>
    <xf numFmtId="177" fontId="76" fillId="0" borderId="0" xfId="1" applyNumberFormat="1" applyFont="1" applyAlignment="1">
      <alignment horizontal="right" vertical="center"/>
    </xf>
    <xf numFmtId="0" fontId="69" fillId="0" borderId="21" xfId="0" applyFont="1" applyBorder="1" applyAlignment="1">
      <alignment vertical="center"/>
    </xf>
    <xf numFmtId="0" fontId="69" fillId="0" borderId="23" xfId="0" applyFont="1" applyBorder="1" applyAlignment="1">
      <alignment vertical="center"/>
    </xf>
    <xf numFmtId="171" fontId="46" fillId="0" borderId="22" xfId="0" applyNumberFormat="1" applyFont="1" applyBorder="1" applyAlignment="1">
      <alignment horizontal="center"/>
    </xf>
    <xf numFmtId="175" fontId="46" fillId="0" borderId="14" xfId="0" applyNumberFormat="1" applyFont="1" applyBorder="1" applyAlignment="1">
      <alignment horizontal="center"/>
    </xf>
    <xf numFmtId="176" fontId="46" fillId="0" borderId="14" xfId="0" applyNumberFormat="1" applyFont="1" applyBorder="1" applyAlignment="1">
      <alignment horizontal="right"/>
    </xf>
    <xf numFmtId="171" fontId="46" fillId="0" borderId="14" xfId="0" applyNumberFormat="1" applyFont="1" applyBorder="1" applyAlignment="1">
      <alignment horizontal="center"/>
    </xf>
    <xf numFmtId="171" fontId="46" fillId="0" borderId="31" xfId="0" applyNumberFormat="1" applyFont="1" applyBorder="1" applyAlignment="1">
      <alignment horizontal="center"/>
    </xf>
    <xf numFmtId="0" fontId="98" fillId="24" borderId="0" xfId="4" applyAlignment="1">
      <alignment horizontal="center"/>
    </xf>
    <xf numFmtId="180" fontId="98" fillId="24" borderId="0" xfId="4" applyNumberFormat="1" applyAlignment="1">
      <alignment horizontal="center"/>
    </xf>
    <xf numFmtId="14" fontId="0" fillId="0" borderId="0" xfId="0" applyNumberFormat="1" applyAlignment="1">
      <alignment horizontal="center"/>
    </xf>
    <xf numFmtId="181" fontId="0" fillId="0" borderId="0" xfId="1" applyNumberFormat="1" applyFont="1"/>
    <xf numFmtId="0" fontId="0" fillId="0" borderId="0" xfId="0" applyAlignment="1">
      <alignment horizontal="right"/>
    </xf>
    <xf numFmtId="0" fontId="100" fillId="0" borderId="15" xfId="0" applyFont="1" applyBorder="1"/>
    <xf numFmtId="0" fontId="100" fillId="0" borderId="13" xfId="0" applyFont="1" applyBorder="1"/>
    <xf numFmtId="0" fontId="100" fillId="0" borderId="16" xfId="0" applyFont="1" applyBorder="1"/>
    <xf numFmtId="0" fontId="100" fillId="0" borderId="21" xfId="0" applyFont="1" applyBorder="1"/>
    <xf numFmtId="0" fontId="100" fillId="0" borderId="0" xfId="0" applyFont="1" applyAlignment="1">
      <alignment horizontal="right"/>
    </xf>
    <xf numFmtId="1" fontId="100" fillId="17" borderId="0" xfId="0" applyNumberFormat="1" applyFont="1" applyFill="1" applyAlignment="1" applyProtection="1">
      <alignment horizontal="center"/>
      <protection locked="0"/>
    </xf>
    <xf numFmtId="0" fontId="100" fillId="0" borderId="0" xfId="0" applyFont="1"/>
    <xf numFmtId="0" fontId="100" fillId="0" borderId="23" xfId="0" applyFont="1" applyBorder="1"/>
    <xf numFmtId="14" fontId="100" fillId="17" borderId="0" xfId="0" applyNumberFormat="1" applyFont="1" applyFill="1" applyAlignment="1" applyProtection="1">
      <alignment horizontal="center"/>
      <protection locked="0"/>
    </xf>
    <xf numFmtId="172" fontId="100" fillId="17" borderId="0" xfId="0" applyNumberFormat="1" applyFont="1" applyFill="1" applyAlignment="1" applyProtection="1">
      <alignment horizontal="center"/>
      <protection locked="0"/>
    </xf>
    <xf numFmtId="172" fontId="100" fillId="0" borderId="0" xfId="0" applyNumberFormat="1" applyFont="1" applyAlignment="1">
      <alignment horizontal="center"/>
    </xf>
    <xf numFmtId="0" fontId="100" fillId="0" borderId="0" xfId="0" applyFont="1" applyAlignment="1">
      <alignment horizontal="right" vertical="center"/>
    </xf>
    <xf numFmtId="2" fontId="100" fillId="0" borderId="0" xfId="0" applyNumberFormat="1" applyFont="1" applyAlignment="1">
      <alignment horizontal="center"/>
    </xf>
    <xf numFmtId="2" fontId="100" fillId="0" borderId="0" xfId="0" applyNumberFormat="1" applyFont="1"/>
    <xf numFmtId="0" fontId="100" fillId="0" borderId="22" xfId="0" applyFont="1" applyBorder="1"/>
    <xf numFmtId="0" fontId="100" fillId="0" borderId="14" xfId="0" applyFont="1" applyBorder="1"/>
    <xf numFmtId="0" fontId="100" fillId="0" borderId="31" xfId="0" applyFont="1" applyBorder="1"/>
    <xf numFmtId="172" fontId="28" fillId="25" borderId="9" xfId="1" applyNumberFormat="1" applyFont="1" applyFill="1" applyBorder="1" applyAlignment="1" applyProtection="1">
      <alignment horizontal="center"/>
      <protection locked="0"/>
    </xf>
    <xf numFmtId="172" fontId="22" fillId="23" borderId="8" xfId="0" applyNumberFormat="1" applyFont="1" applyFill="1" applyBorder="1" applyAlignment="1" applyProtection="1">
      <alignment horizontal="center"/>
      <protection locked="0"/>
    </xf>
    <xf numFmtId="165" fontId="22" fillId="23" borderId="8" xfId="0" applyNumberFormat="1" applyFont="1" applyFill="1" applyBorder="1" applyAlignment="1" applyProtection="1">
      <alignment horizontal="center"/>
      <protection locked="0"/>
    </xf>
    <xf numFmtId="0" fontId="64" fillId="0" borderId="0" xfId="0" applyFont="1"/>
    <xf numFmtId="0" fontId="10" fillId="0" borderId="0" xfId="0" applyFont="1" applyAlignment="1">
      <alignment horizontal="right"/>
    </xf>
    <xf numFmtId="0" fontId="103" fillId="0" borderId="13" xfId="0" applyFont="1" applyBorder="1" applyAlignment="1">
      <alignment vertical="center" wrapText="1"/>
    </xf>
    <xf numFmtId="2" fontId="69" fillId="0" borderId="0" xfId="0" applyNumberFormat="1" applyFont="1" applyAlignment="1">
      <alignment horizontal="center" vertical="center"/>
    </xf>
    <xf numFmtId="0" fontId="64" fillId="0" borderId="0" xfId="0" applyFont="1" applyAlignment="1">
      <alignment horizontal="right"/>
    </xf>
    <xf numFmtId="171" fontId="108" fillId="0" borderId="21" xfId="0" applyNumberFormat="1" applyFont="1" applyBorder="1" applyAlignment="1">
      <alignment horizontal="left" vertical="center"/>
    </xf>
    <xf numFmtId="175" fontId="109" fillId="0" borderId="0" xfId="0" applyNumberFormat="1" applyFont="1" applyAlignment="1">
      <alignment horizontal="center" vertical="center"/>
    </xf>
    <xf numFmtId="176" fontId="109" fillId="0" borderId="0" xfId="0" applyNumberFormat="1" applyFont="1" applyAlignment="1">
      <alignment horizontal="right" vertical="center"/>
    </xf>
    <xf numFmtId="171" fontId="109" fillId="0" borderId="0" xfId="0" applyNumberFormat="1" applyFont="1" applyAlignment="1">
      <alignment horizontal="center" vertical="center"/>
    </xf>
    <xf numFmtId="1" fontId="98" fillId="24" borderId="0" xfId="4" applyNumberFormat="1" applyAlignment="1">
      <alignment horizontal="center"/>
    </xf>
    <xf numFmtId="0" fontId="95" fillId="0" borderId="0" xfId="0" applyFont="1" applyAlignment="1">
      <alignment horizontal="center" vertical="center" wrapText="1"/>
    </xf>
    <xf numFmtId="0" fontId="58" fillId="0" borderId="13" xfId="0" applyFont="1" applyBorder="1" applyAlignment="1">
      <alignment horizontal="center"/>
    </xf>
    <xf numFmtId="2" fontId="58" fillId="0" borderId="13" xfId="0" applyNumberFormat="1" applyFont="1" applyBorder="1" applyAlignment="1">
      <alignment horizontal="center"/>
    </xf>
    <xf numFmtId="164" fontId="7" fillId="0" borderId="13" xfId="1" applyFont="1" applyBorder="1" applyAlignment="1">
      <alignment horizontal="center"/>
    </xf>
    <xf numFmtId="0" fontId="0" fillId="0" borderId="0" xfId="0" applyAlignment="1">
      <alignment vertical="center"/>
    </xf>
    <xf numFmtId="0" fontId="111" fillId="28" borderId="92" xfId="0" applyFont="1" applyFill="1" applyBorder="1" applyAlignment="1">
      <alignment horizontal="right" vertical="center"/>
    </xf>
    <xf numFmtId="2" fontId="83" fillId="28" borderId="93" xfId="0" applyNumberFormat="1" applyFont="1" applyFill="1" applyBorder="1" applyAlignment="1">
      <alignment horizontal="left" vertical="center"/>
    </xf>
    <xf numFmtId="2" fontId="83" fillId="28" borderId="95" xfId="0" applyNumberFormat="1" applyFont="1" applyFill="1" applyBorder="1" applyAlignment="1">
      <alignment horizontal="left" vertical="center"/>
    </xf>
    <xf numFmtId="171" fontId="76" fillId="0" borderId="0" xfId="0" applyNumberFormat="1" applyFont="1" applyAlignment="1">
      <alignment horizontal="right" vertical="center"/>
    </xf>
    <xf numFmtId="176" fontId="79" fillId="0" borderId="22" xfId="0" applyNumberFormat="1" applyFont="1" applyBorder="1" applyAlignment="1">
      <alignment horizontal="right" vertical="center"/>
    </xf>
    <xf numFmtId="1" fontId="69" fillId="0" borderId="23" xfId="0" applyNumberFormat="1" applyFont="1" applyBorder="1" applyAlignment="1">
      <alignment horizontal="center" vertical="center"/>
    </xf>
    <xf numFmtId="171" fontId="76" fillId="0" borderId="14" xfId="0" applyNumberFormat="1" applyFont="1" applyBorder="1" applyAlignment="1">
      <alignment horizontal="right" vertical="center"/>
    </xf>
    <xf numFmtId="1" fontId="69" fillId="0" borderId="31" xfId="0" applyNumberFormat="1" applyFont="1" applyBorder="1" applyAlignment="1">
      <alignment horizontal="center" vertical="center"/>
    </xf>
    <xf numFmtId="172" fontId="69" fillId="0" borderId="0" xfId="0" applyNumberFormat="1" applyFont="1" applyAlignment="1">
      <alignment vertical="center"/>
    </xf>
    <xf numFmtId="0" fontId="113" fillId="0" borderId="102" xfId="0" applyFont="1" applyBorder="1" applyAlignment="1">
      <alignment horizontal="center" vertical="center"/>
    </xf>
    <xf numFmtId="172" fontId="114" fillId="31" borderId="95" xfId="6" applyNumberFormat="1" applyBorder="1" applyAlignment="1">
      <alignment vertical="center"/>
    </xf>
    <xf numFmtId="165" fontId="2" fillId="23" borderId="6" xfId="0" applyNumberFormat="1" applyFont="1" applyFill="1" applyBorder="1" applyAlignment="1">
      <alignment horizontal="center"/>
    </xf>
    <xf numFmtId="165" fontId="78" fillId="23" borderId="5" xfId="0" applyNumberFormat="1" applyFont="1" applyFill="1" applyBorder="1" applyAlignment="1">
      <alignment horizontal="center"/>
    </xf>
    <xf numFmtId="1" fontId="116" fillId="26" borderId="23" xfId="0" applyNumberFormat="1" applyFont="1" applyFill="1" applyBorder="1" applyAlignment="1" applyProtection="1">
      <alignment horizontal="center" vertical="center"/>
      <protection locked="0"/>
    </xf>
    <xf numFmtId="0" fontId="87" fillId="0" borderId="100" xfId="0" applyFont="1" applyBorder="1" applyAlignment="1">
      <alignment horizontal="center" vertical="center"/>
    </xf>
    <xf numFmtId="0" fontId="87" fillId="0" borderId="102" xfId="0" applyFont="1" applyBorder="1" applyAlignment="1">
      <alignment horizontal="center" vertical="center"/>
    </xf>
    <xf numFmtId="0" fontId="86" fillId="0" borderId="78" xfId="0" applyFont="1" applyBorder="1" applyAlignment="1">
      <alignment horizontal="center" vertical="center" wrapText="1"/>
    </xf>
    <xf numFmtId="0" fontId="86" fillId="0" borderId="115" xfId="0" applyFont="1" applyBorder="1" applyAlignment="1">
      <alignment horizontal="center" vertical="center" wrapText="1"/>
    </xf>
    <xf numFmtId="0" fontId="0" fillId="0" borderId="49" xfId="0" applyBorder="1" applyAlignment="1">
      <alignment horizontal="center" vertical="center" wrapText="1"/>
    </xf>
    <xf numFmtId="0" fontId="0" fillId="0" borderId="52" xfId="0" applyBorder="1" applyAlignment="1">
      <alignment horizontal="center" vertical="center" wrapText="1"/>
    </xf>
    <xf numFmtId="0" fontId="0" fillId="0" borderId="55" xfId="0" applyBorder="1" applyAlignment="1">
      <alignment horizontal="center" vertical="center" wrapText="1"/>
    </xf>
    <xf numFmtId="0" fontId="87" fillId="0" borderId="48" xfId="0" applyFont="1" applyBorder="1" applyAlignment="1">
      <alignment horizontal="center" vertical="center" wrapText="1"/>
    </xf>
    <xf numFmtId="0" fontId="87" fillId="0" borderId="51" xfId="0" applyFont="1" applyBorder="1" applyAlignment="1">
      <alignment horizontal="center" vertical="center" wrapText="1"/>
    </xf>
    <xf numFmtId="0" fontId="87" fillId="0" borderId="54" xfId="0" applyFont="1" applyBorder="1" applyAlignment="1">
      <alignment horizontal="center" vertical="center" wrapText="1"/>
    </xf>
    <xf numFmtId="0" fontId="69" fillId="0" borderId="13" xfId="0" applyFont="1" applyBorder="1"/>
    <xf numFmtId="2" fontId="69" fillId="0" borderId="13" xfId="0" applyNumberFormat="1" applyFont="1" applyBorder="1"/>
    <xf numFmtId="0" fontId="69" fillId="0" borderId="16" xfId="0" applyFont="1" applyBorder="1"/>
    <xf numFmtId="0" fontId="69" fillId="0" borderId="21" xfId="0" applyFont="1" applyBorder="1"/>
    <xf numFmtId="0" fontId="69" fillId="0" borderId="23" xfId="0" applyFont="1" applyBorder="1"/>
    <xf numFmtId="0" fontId="69" fillId="0" borderId="22" xfId="0" applyFont="1" applyBorder="1"/>
    <xf numFmtId="0" fontId="69" fillId="0" borderId="14" xfId="0" applyFont="1" applyBorder="1"/>
    <xf numFmtId="0" fontId="69" fillId="0" borderId="31" xfId="0" applyFont="1" applyBorder="1"/>
    <xf numFmtId="172" fontId="36" fillId="0" borderId="0" xfId="0" applyNumberFormat="1" applyFont="1" applyAlignment="1">
      <alignment horizontal="center" vertical="center"/>
    </xf>
    <xf numFmtId="0" fontId="103" fillId="0" borderId="0" xfId="0" applyFont="1" applyAlignment="1">
      <alignment vertical="center" wrapText="1"/>
    </xf>
    <xf numFmtId="2" fontId="69" fillId="0" borderId="14" xfId="0" applyNumberFormat="1" applyFont="1" applyBorder="1"/>
    <xf numFmtId="0" fontId="118" fillId="0" borderId="0" xfId="0" applyFont="1" applyAlignment="1">
      <alignment horizontal="center" vertical="center"/>
    </xf>
    <xf numFmtId="0" fontId="119" fillId="0" borderId="0" xfId="0" applyFont="1" applyAlignment="1">
      <alignment vertical="center"/>
    </xf>
    <xf numFmtId="0" fontId="120" fillId="0" borderId="0" xfId="0" applyFont="1" applyAlignment="1">
      <alignment vertical="center"/>
    </xf>
    <xf numFmtId="2" fontId="120" fillId="0" borderId="0" xfId="0" applyNumberFormat="1" applyFont="1" applyAlignment="1">
      <alignment vertical="center"/>
    </xf>
    <xf numFmtId="1" fontId="44" fillId="11" borderId="0" xfId="0" applyNumberFormat="1" applyFont="1" applyFill="1" applyAlignment="1">
      <alignment horizontal="center" vertical="center"/>
    </xf>
    <xf numFmtId="1" fontId="44" fillId="11" borderId="23" xfId="0" applyNumberFormat="1" applyFont="1" applyFill="1" applyBorder="1" applyAlignment="1">
      <alignment horizontal="center" vertical="center"/>
    </xf>
    <xf numFmtId="1" fontId="100" fillId="17" borderId="0" xfId="0" applyNumberFormat="1" applyFont="1" applyFill="1" applyAlignment="1">
      <alignment horizontal="center"/>
    </xf>
    <xf numFmtId="14" fontId="100" fillId="17" borderId="0" xfId="0" applyNumberFormat="1" applyFont="1" applyFill="1" applyAlignment="1">
      <alignment horizontal="center"/>
    </xf>
    <xf numFmtId="1" fontId="116" fillId="26" borderId="23" xfId="0" applyNumberFormat="1" applyFont="1" applyFill="1" applyBorder="1" applyAlignment="1">
      <alignment horizontal="center" vertical="center"/>
    </xf>
    <xf numFmtId="172" fontId="69" fillId="21" borderId="0" xfId="0" applyNumberFormat="1" applyFont="1" applyFill="1" applyAlignment="1">
      <alignment vertical="center"/>
    </xf>
    <xf numFmtId="175" fontId="79" fillId="22" borderId="0" xfId="0" applyNumberFormat="1" applyFont="1" applyFill="1" applyAlignment="1">
      <alignment horizontal="center" vertical="center"/>
    </xf>
    <xf numFmtId="172" fontId="100" fillId="17" borderId="0" xfId="0" applyNumberFormat="1" applyFont="1" applyFill="1" applyAlignment="1">
      <alignment horizontal="center"/>
    </xf>
    <xf numFmtId="175" fontId="79" fillId="22" borderId="14" xfId="0" applyNumberFormat="1" applyFont="1" applyFill="1" applyBorder="1" applyAlignment="1">
      <alignment horizontal="center" vertical="center"/>
    </xf>
    <xf numFmtId="165" fontId="2" fillId="17" borderId="1" xfId="0" applyNumberFormat="1" applyFont="1" applyFill="1" applyBorder="1" applyAlignment="1">
      <alignment horizontal="center" vertical="center"/>
    </xf>
    <xf numFmtId="165" fontId="2" fillId="17" borderId="3" xfId="0" applyNumberFormat="1" applyFont="1" applyFill="1" applyBorder="1" applyAlignment="1">
      <alignment horizontal="center" vertical="center"/>
    </xf>
    <xf numFmtId="165" fontId="2" fillId="17" borderId="5" xfId="0" applyNumberFormat="1" applyFont="1" applyFill="1" applyBorder="1" applyAlignment="1">
      <alignment horizontal="center" vertical="center"/>
    </xf>
    <xf numFmtId="0" fontId="0" fillId="0" borderId="116" xfId="0" applyBorder="1" applyAlignment="1">
      <alignment horizontal="center" vertical="center"/>
    </xf>
    <xf numFmtId="14" fontId="0" fillId="0" borderId="29" xfId="0" applyNumberFormat="1" applyBorder="1" applyAlignment="1">
      <alignment horizontal="center" vertical="center"/>
    </xf>
    <xf numFmtId="0" fontId="0" fillId="0" borderId="32" xfId="0" applyBorder="1" applyAlignment="1">
      <alignment horizontal="center" vertical="center" wrapText="1"/>
    </xf>
    <xf numFmtId="0" fontId="0" fillId="0" borderId="4" xfId="0" applyBorder="1" applyAlignment="1">
      <alignment horizontal="center" vertical="center"/>
    </xf>
    <xf numFmtId="14" fontId="0" fillId="0" borderId="8" xfId="0" applyNumberFormat="1" applyBorder="1" applyAlignment="1">
      <alignment horizontal="center" vertical="center"/>
    </xf>
    <xf numFmtId="0" fontId="0" fillId="0" borderId="3" xfId="0" applyBorder="1" applyAlignment="1">
      <alignment horizontal="center" vertical="center" wrapText="1"/>
    </xf>
    <xf numFmtId="0" fontId="0" fillId="0" borderId="3" xfId="0" quotePrefix="1" applyBorder="1" applyAlignment="1">
      <alignment horizontal="center" vertical="center" wrapText="1"/>
    </xf>
    <xf numFmtId="0" fontId="0" fillId="0" borderId="6" xfId="0" applyBorder="1" applyAlignment="1">
      <alignment horizontal="center" vertical="center"/>
    </xf>
    <xf numFmtId="14" fontId="0" fillId="0" borderId="114" xfId="0" applyNumberFormat="1" applyBorder="1" applyAlignment="1">
      <alignment horizontal="center" vertical="center"/>
    </xf>
    <xf numFmtId="0" fontId="0" fillId="0" borderId="5" xfId="0" applyBorder="1" applyAlignment="1">
      <alignment horizontal="center" vertical="center" wrapText="1"/>
    </xf>
    <xf numFmtId="14" fontId="87" fillId="0" borderId="94" xfId="0" applyNumberFormat="1" applyFont="1" applyBorder="1" applyAlignment="1">
      <alignment horizontal="center" vertical="center"/>
    </xf>
    <xf numFmtId="0" fontId="121" fillId="0" borderId="0" xfId="0" applyFont="1" applyAlignment="1">
      <alignment horizontal="right" vertical="center"/>
    </xf>
    <xf numFmtId="175" fontId="79" fillId="26" borderId="0" xfId="0" applyNumberFormat="1" applyFont="1" applyFill="1" applyAlignment="1" applyProtection="1">
      <alignment horizontal="center" vertical="center"/>
      <protection locked="0"/>
    </xf>
    <xf numFmtId="175" fontId="79" fillId="26" borderId="14" xfId="0" applyNumberFormat="1" applyFont="1" applyFill="1" applyBorder="1" applyAlignment="1" applyProtection="1">
      <alignment horizontal="center" vertical="center"/>
      <protection locked="0"/>
    </xf>
    <xf numFmtId="0" fontId="72" fillId="0" borderId="0" xfId="0" applyFont="1" applyAlignment="1">
      <alignment vertical="center"/>
    </xf>
    <xf numFmtId="171" fontId="38" fillId="0" borderId="0" xfId="0" applyNumberFormat="1" applyFont="1" applyAlignment="1">
      <alignment horizontal="center" vertical="center"/>
    </xf>
    <xf numFmtId="171" fontId="76" fillId="0" borderId="21" xfId="0" applyNumberFormat="1" applyFont="1" applyBorder="1" applyAlignment="1">
      <alignment horizontal="left" vertical="center"/>
    </xf>
    <xf numFmtId="171" fontId="122" fillId="0" borderId="21" xfId="0" applyNumberFormat="1" applyFont="1" applyBorder="1" applyAlignment="1">
      <alignment horizontal="left" vertical="center"/>
    </xf>
    <xf numFmtId="165" fontId="2" fillId="26" borderId="1" xfId="0" applyNumberFormat="1" applyFont="1" applyFill="1" applyBorder="1" applyAlignment="1" applyProtection="1">
      <alignment horizontal="center" vertical="center"/>
      <protection locked="0"/>
    </xf>
    <xf numFmtId="165" fontId="2" fillId="26" borderId="3" xfId="0" applyNumberFormat="1" applyFont="1" applyFill="1" applyBorder="1" applyAlignment="1" applyProtection="1">
      <alignment horizontal="center" vertical="center"/>
      <protection locked="0"/>
    </xf>
    <xf numFmtId="165" fontId="2" fillId="26" borderId="5" xfId="0" applyNumberFormat="1" applyFont="1" applyFill="1" applyBorder="1" applyAlignment="1" applyProtection="1">
      <alignment horizontal="center" vertical="center"/>
      <protection locked="0"/>
    </xf>
    <xf numFmtId="165" fontId="2" fillId="32" borderId="4" xfId="0" applyNumberFormat="1" applyFont="1" applyFill="1" applyBorder="1" applyAlignment="1">
      <alignment horizontal="center"/>
    </xf>
    <xf numFmtId="165" fontId="78" fillId="32" borderId="3" xfId="0" applyNumberFormat="1" applyFont="1" applyFill="1" applyBorder="1" applyAlignment="1">
      <alignment horizontal="center"/>
    </xf>
    <xf numFmtId="14" fontId="0" fillId="0" borderId="14" xfId="0" applyNumberFormat="1" applyBorder="1" applyAlignment="1">
      <alignment horizontal="center" vertical="center"/>
    </xf>
    <xf numFmtId="0" fontId="0" fillId="0" borderId="0" xfId="0" applyAlignment="1">
      <alignment horizontal="center"/>
    </xf>
    <xf numFmtId="0" fontId="38" fillId="0" borderId="21" xfId="0" applyFont="1" applyBorder="1" applyAlignment="1">
      <alignment horizontal="right" vertical="center" wrapText="1"/>
    </xf>
    <xf numFmtId="0" fontId="38" fillId="0" borderId="0" xfId="0" applyFont="1" applyAlignment="1">
      <alignment horizontal="right" vertical="center" wrapText="1"/>
    </xf>
    <xf numFmtId="0" fontId="69" fillId="0" borderId="0" xfId="0" applyFont="1" applyAlignment="1">
      <alignment horizontal="right" vertical="center"/>
    </xf>
    <xf numFmtId="175" fontId="47" fillId="0" borderId="0" xfId="0" applyNumberFormat="1" applyFont="1" applyAlignment="1">
      <alignment horizontal="center"/>
    </xf>
    <xf numFmtId="1" fontId="44" fillId="11" borderId="0" xfId="0" applyNumberFormat="1" applyFont="1" applyFill="1" applyAlignment="1">
      <alignment horizontal="center" vertical="center"/>
    </xf>
    <xf numFmtId="1" fontId="44" fillId="11" borderId="23" xfId="0" applyNumberFormat="1" applyFont="1" applyFill="1" applyBorder="1" applyAlignment="1">
      <alignment horizontal="center" vertical="center"/>
    </xf>
    <xf numFmtId="14" fontId="0" fillId="0" borderId="0" xfId="0" applyNumberFormat="1" applyAlignment="1">
      <alignment horizontal="center"/>
    </xf>
    <xf numFmtId="0" fontId="0" fillId="0" borderId="0" xfId="0" applyAlignment="1">
      <alignment horizontal="center" vertical="center" wrapText="1"/>
    </xf>
    <xf numFmtId="0" fontId="0" fillId="0" borderId="2" xfId="0" applyFont="1" applyBorder="1" applyAlignment="1">
      <alignment horizontal="center" vertical="center"/>
    </xf>
    <xf numFmtId="14" fontId="0" fillId="0" borderId="117" xfId="0" applyNumberFormat="1" applyFont="1" applyBorder="1" applyAlignment="1">
      <alignment horizontal="center" vertical="center"/>
    </xf>
    <xf numFmtId="0" fontId="0" fillId="0" borderId="1" xfId="0" applyFont="1" applyBorder="1" applyAlignment="1">
      <alignment horizontal="center" vertical="center" wrapText="1"/>
    </xf>
    <xf numFmtId="0" fontId="123" fillId="0" borderId="13" xfId="0" applyFont="1" applyBorder="1" applyAlignment="1">
      <alignment vertical="center"/>
    </xf>
    <xf numFmtId="0" fontId="87" fillId="10" borderId="21" xfId="0" applyFont="1" applyFill="1" applyBorder="1" applyAlignment="1">
      <alignment horizontal="center" vertical="center"/>
    </xf>
    <xf numFmtId="0" fontId="87" fillId="0" borderId="0" xfId="0" applyFont="1" applyBorder="1" applyAlignment="1">
      <alignment horizontal="center" vertical="center"/>
    </xf>
    <xf numFmtId="0" fontId="87" fillId="20" borderId="0" xfId="0" applyFont="1" applyFill="1" applyBorder="1" applyAlignment="1">
      <alignment horizontal="center" vertical="center"/>
    </xf>
    <xf numFmtId="0" fontId="87" fillId="19" borderId="0" xfId="0" applyFont="1" applyFill="1" applyBorder="1" applyAlignment="1">
      <alignment horizontal="center" vertical="center"/>
    </xf>
    <xf numFmtId="0" fontId="87" fillId="19" borderId="23" xfId="0" applyFont="1" applyFill="1" applyBorder="1" applyAlignment="1">
      <alignment horizontal="center" vertical="center"/>
    </xf>
    <xf numFmtId="0" fontId="129" fillId="10" borderId="21" xfId="0" applyFont="1" applyFill="1" applyBorder="1" applyAlignment="1">
      <alignment horizontal="center" vertical="center"/>
    </xf>
    <xf numFmtId="0" fontId="129" fillId="0" borderId="0" xfId="0" applyFont="1" applyBorder="1" applyAlignment="1">
      <alignment horizontal="center" vertical="center"/>
    </xf>
    <xf numFmtId="0" fontId="129" fillId="20" borderId="0" xfId="0" applyFont="1" applyFill="1" applyBorder="1" applyAlignment="1">
      <alignment horizontal="center" vertical="center"/>
    </xf>
    <xf numFmtId="0" fontId="129" fillId="19" borderId="0" xfId="0" applyFont="1" applyFill="1" applyBorder="1" applyAlignment="1">
      <alignment horizontal="center" vertical="center"/>
    </xf>
    <xf numFmtId="0" fontId="130" fillId="19" borderId="23" xfId="0" applyFont="1" applyFill="1" applyBorder="1" applyAlignment="1">
      <alignment horizontal="center" vertical="center"/>
    </xf>
    <xf numFmtId="0" fontId="129" fillId="10" borderId="22" xfId="0" applyFont="1" applyFill="1" applyBorder="1" applyAlignment="1">
      <alignment horizontal="center" vertical="center"/>
    </xf>
    <xf numFmtId="0" fontId="129" fillId="0" borderId="14" xfId="0" applyFont="1" applyBorder="1" applyAlignment="1">
      <alignment horizontal="center" vertical="center"/>
    </xf>
    <xf numFmtId="0" fontId="129" fillId="20" borderId="14" xfId="0" applyFont="1" applyFill="1" applyBorder="1" applyAlignment="1">
      <alignment horizontal="center" vertical="center"/>
    </xf>
    <xf numFmtId="0" fontId="130" fillId="20" borderId="14" xfId="0" applyFont="1" applyFill="1" applyBorder="1" applyAlignment="1">
      <alignment horizontal="center" vertical="center"/>
    </xf>
    <xf numFmtId="0" fontId="129" fillId="19" borderId="14" xfId="0" applyFont="1" applyFill="1" applyBorder="1" applyAlignment="1">
      <alignment horizontal="center" vertical="center"/>
    </xf>
    <xf numFmtId="0" fontId="129" fillId="19" borderId="31" xfId="0" applyFont="1" applyFill="1" applyBorder="1" applyAlignment="1">
      <alignment horizontal="center" vertical="center"/>
    </xf>
    <xf numFmtId="175" fontId="47" fillId="0" borderId="0" xfId="0" applyNumberFormat="1" applyFont="1" applyAlignment="1">
      <alignment horizontal="center"/>
    </xf>
    <xf numFmtId="0" fontId="89" fillId="0" borderId="0" xfId="0" applyFont="1" applyAlignment="1" applyProtection="1">
      <alignment horizontal="center" vertical="center"/>
    </xf>
    <xf numFmtId="0" fontId="88" fillId="0" borderId="0" xfId="0" applyFont="1" applyAlignment="1" applyProtection="1">
      <alignment horizontal="right" vertical="center"/>
    </xf>
    <xf numFmtId="179" fontId="88" fillId="0" borderId="0" xfId="0" applyNumberFormat="1" applyFont="1" applyAlignment="1" applyProtection="1">
      <alignment horizontal="right" vertical="center"/>
    </xf>
    <xf numFmtId="0" fontId="0" fillId="0" borderId="0" xfId="0" applyAlignment="1" applyProtection="1">
      <alignment vertical="center"/>
    </xf>
    <xf numFmtId="0" fontId="88" fillId="0" borderId="0" xfId="0" applyFont="1" applyAlignment="1" applyProtection="1">
      <alignment vertical="center"/>
    </xf>
    <xf numFmtId="179" fontId="97" fillId="0" borderId="0" xfId="0" applyNumberFormat="1" applyFont="1" applyFill="1" applyAlignment="1" applyProtection="1">
      <alignment vertical="center"/>
    </xf>
    <xf numFmtId="179" fontId="88" fillId="0" borderId="0" xfId="0" applyNumberFormat="1" applyFont="1" applyAlignment="1" applyProtection="1">
      <alignment horizontal="center" vertical="center"/>
    </xf>
    <xf numFmtId="175" fontId="43" fillId="0" borderId="0" xfId="0" applyNumberFormat="1" applyFont="1" applyAlignment="1">
      <alignment horizontal="center" vertical="center"/>
    </xf>
    <xf numFmtId="0" fontId="107" fillId="0" borderId="0" xfId="0" applyFont="1" applyAlignment="1">
      <alignment vertical="center"/>
    </xf>
    <xf numFmtId="172" fontId="89" fillId="0" borderId="0" xfId="0" applyNumberFormat="1" applyFont="1" applyAlignment="1" applyProtection="1">
      <alignment horizontal="left" vertical="center"/>
    </xf>
    <xf numFmtId="0" fontId="88" fillId="0" borderId="0" xfId="0" applyFont="1" applyAlignment="1" applyProtection="1">
      <alignment horizontal="left" vertical="center"/>
    </xf>
    <xf numFmtId="0" fontId="0" fillId="0" borderId="0" xfId="0" applyBorder="1" applyAlignment="1" applyProtection="1">
      <alignment vertical="center"/>
    </xf>
    <xf numFmtId="0" fontId="88" fillId="34" borderId="21" xfId="0" applyFont="1" applyFill="1" applyBorder="1" applyAlignment="1" applyProtection="1">
      <alignment vertical="center"/>
    </xf>
    <xf numFmtId="0" fontId="88" fillId="34" borderId="0" xfId="0" applyFont="1" applyFill="1" applyBorder="1" applyAlignment="1" applyProtection="1">
      <alignment vertical="center"/>
    </xf>
    <xf numFmtId="0" fontId="88" fillId="34" borderId="23" xfId="0" applyFont="1" applyFill="1" applyBorder="1" applyAlignment="1" applyProtection="1">
      <alignment vertical="center"/>
    </xf>
    <xf numFmtId="0" fontId="89" fillId="0" borderId="0" xfId="0" applyFont="1" applyAlignment="1" applyProtection="1">
      <alignment horizontal="right" vertical="center"/>
    </xf>
    <xf numFmtId="175" fontId="46" fillId="0" borderId="0" xfId="0" applyNumberFormat="1" applyFont="1" applyAlignment="1">
      <alignment horizontal="center" wrapText="1"/>
    </xf>
    <xf numFmtId="2" fontId="107" fillId="0" borderId="22" xfId="0" applyNumberFormat="1" applyFont="1" applyBorder="1"/>
    <xf numFmtId="175" fontId="46" fillId="0" borderId="14" xfId="0" applyNumberFormat="1" applyFont="1" applyBorder="1" applyAlignment="1">
      <alignment horizontal="center" wrapText="1"/>
    </xf>
    <xf numFmtId="175" fontId="43" fillId="0" borderId="13" xfId="0" applyNumberFormat="1" applyFont="1" applyBorder="1" applyAlignment="1">
      <alignment horizontal="center" vertical="center"/>
    </xf>
    <xf numFmtId="175" fontId="46" fillId="0" borderId="13" xfId="0" applyNumberFormat="1" applyFont="1" applyBorder="1" applyAlignment="1">
      <alignment horizontal="center" wrapText="1"/>
    </xf>
    <xf numFmtId="2" fontId="107" fillId="0" borderId="14" xfId="0" applyNumberFormat="1" applyFont="1" applyBorder="1"/>
    <xf numFmtId="175" fontId="47" fillId="0" borderId="0" xfId="0" applyNumberFormat="1" applyFont="1" applyAlignment="1"/>
    <xf numFmtId="175" fontId="114" fillId="31" borderId="0" xfId="6" applyNumberFormat="1" applyAlignment="1">
      <alignment horizontal="center" vertical="center"/>
    </xf>
    <xf numFmtId="2" fontId="107" fillId="0" borderId="0" xfId="0" applyNumberFormat="1" applyFont="1" applyBorder="1"/>
    <xf numFmtId="2" fontId="107" fillId="0" borderId="21" xfId="0" applyNumberFormat="1" applyFont="1" applyBorder="1"/>
    <xf numFmtId="14" fontId="132" fillId="34" borderId="13" xfId="0" applyNumberFormat="1" applyFont="1" applyFill="1" applyBorder="1" applyAlignment="1" applyProtection="1">
      <alignment horizontal="left" vertical="center"/>
    </xf>
    <xf numFmtId="0" fontId="132" fillId="34" borderId="13" xfId="0" applyFont="1" applyFill="1" applyBorder="1" applyAlignment="1" applyProtection="1">
      <alignment vertical="center"/>
    </xf>
    <xf numFmtId="0" fontId="132" fillId="34" borderId="16" xfId="0" applyFont="1" applyFill="1" applyBorder="1" applyAlignment="1" applyProtection="1">
      <alignment vertical="center"/>
    </xf>
    <xf numFmtId="165" fontId="2" fillId="0" borderId="7" xfId="0" applyNumberFormat="1" applyFont="1" applyBorder="1" applyAlignment="1" applyProtection="1">
      <alignment horizontal="center"/>
    </xf>
    <xf numFmtId="165" fontId="2" fillId="0" borderId="8" xfId="0" applyNumberFormat="1" applyFont="1" applyBorder="1" applyAlignment="1" applyProtection="1">
      <alignment horizontal="center"/>
    </xf>
    <xf numFmtId="165" fontId="2" fillId="0" borderId="9" xfId="0" applyNumberFormat="1" applyFont="1" applyBorder="1" applyAlignment="1" applyProtection="1">
      <alignment horizontal="center"/>
    </xf>
    <xf numFmtId="172" fontId="2" fillId="0" borderId="8" xfId="0" applyNumberFormat="1" applyFont="1" applyBorder="1" applyAlignment="1" applyProtection="1">
      <alignment horizontal="center"/>
    </xf>
    <xf numFmtId="172" fontId="2" fillId="0" borderId="7" xfId="0" applyNumberFormat="1" applyFont="1" applyBorder="1" applyAlignment="1" applyProtection="1">
      <alignment horizontal="center"/>
    </xf>
    <xf numFmtId="0" fontId="93" fillId="17" borderId="62" xfId="0" applyFont="1" applyFill="1" applyBorder="1" applyAlignment="1">
      <alignment horizontal="center" vertical="center" textRotation="90" wrapText="1"/>
    </xf>
    <xf numFmtId="0" fontId="93" fillId="17" borderId="63" xfId="0" applyFont="1" applyFill="1" applyBorder="1" applyAlignment="1">
      <alignment horizontal="center" vertical="center" textRotation="90" wrapText="1"/>
    </xf>
    <xf numFmtId="0" fontId="92" fillId="20" borderId="0" xfId="0" applyFont="1" applyFill="1" applyAlignment="1">
      <alignment horizontal="center" vertical="center" wrapText="1"/>
    </xf>
    <xf numFmtId="0" fontId="105" fillId="0" borderId="0" xfId="0" applyFont="1" applyAlignment="1">
      <alignment horizontal="center" vertical="top" wrapText="1"/>
    </xf>
    <xf numFmtId="0" fontId="86" fillId="0" borderId="59" xfId="0" applyFont="1" applyBorder="1" applyAlignment="1">
      <alignment horizontal="center" vertical="center" wrapText="1"/>
    </xf>
    <xf numFmtId="0" fontId="86" fillId="0" borderId="60" xfId="0" applyFont="1" applyBorder="1" applyAlignment="1">
      <alignment horizontal="center" vertical="center" wrapText="1"/>
    </xf>
    <xf numFmtId="0" fontId="93" fillId="16" borderId="61" xfId="0" applyFont="1" applyFill="1" applyBorder="1" applyAlignment="1">
      <alignment horizontal="center" vertical="center" textRotation="90" wrapText="1"/>
    </xf>
    <xf numFmtId="0" fontId="93" fillId="16" borderId="62" xfId="0" applyFont="1" applyFill="1" applyBorder="1" applyAlignment="1">
      <alignment horizontal="center" vertical="center" textRotation="90" wrapText="1"/>
    </xf>
    <xf numFmtId="0" fontId="93" fillId="18" borderId="61" xfId="0" applyFont="1" applyFill="1" applyBorder="1" applyAlignment="1">
      <alignment horizontal="center" vertical="center" textRotation="90" wrapText="1"/>
    </xf>
    <xf numFmtId="0" fontId="93" fillId="18" borderId="63" xfId="0" applyFont="1" applyFill="1" applyBorder="1" applyAlignment="1">
      <alignment horizontal="center" vertical="center" textRotation="90" wrapText="1"/>
    </xf>
    <xf numFmtId="0" fontId="0" fillId="16" borderId="46" xfId="0" applyFill="1" applyBorder="1" applyAlignment="1">
      <alignment horizontal="center" vertical="center" wrapText="1"/>
    </xf>
    <xf numFmtId="0" fontId="0" fillId="16" borderId="118" xfId="0" applyFill="1" applyBorder="1" applyAlignment="1">
      <alignment horizontal="center" vertical="center" wrapText="1"/>
    </xf>
    <xf numFmtId="0" fontId="0" fillId="16" borderId="58" xfId="0" applyFill="1" applyBorder="1" applyAlignment="1">
      <alignment horizontal="center" vertical="center" wrapText="1"/>
    </xf>
    <xf numFmtId="0" fontId="0" fillId="16" borderId="61" xfId="0" applyFill="1" applyBorder="1" applyAlignment="1">
      <alignment horizontal="center" vertical="center" wrapText="1"/>
    </xf>
    <xf numFmtId="0" fontId="0" fillId="16" borderId="62" xfId="0" applyFill="1" applyBorder="1" applyAlignment="1">
      <alignment horizontal="center" vertical="center" wrapText="1"/>
    </xf>
    <xf numFmtId="0" fontId="0" fillId="16" borderId="57" xfId="0" applyFill="1" applyBorder="1" applyAlignment="1">
      <alignment horizontal="center" vertical="center" wrapText="1"/>
    </xf>
    <xf numFmtId="0" fontId="87" fillId="16" borderId="46" xfId="0" applyFont="1" applyFill="1" applyBorder="1" applyAlignment="1">
      <alignment horizontal="center" vertical="center" wrapText="1"/>
    </xf>
    <xf numFmtId="0" fontId="87" fillId="16" borderId="118" xfId="0" applyFont="1" applyFill="1" applyBorder="1" applyAlignment="1">
      <alignment horizontal="center" vertical="center" wrapText="1"/>
    </xf>
    <xf numFmtId="0" fontId="87" fillId="16" borderId="58" xfId="0" applyFont="1" applyFill="1" applyBorder="1" applyAlignment="1">
      <alignment horizontal="center" vertical="center" wrapText="1"/>
    </xf>
    <xf numFmtId="165" fontId="2" fillId="26" borderId="4" xfId="0" applyNumberFormat="1" applyFont="1" applyFill="1" applyBorder="1" applyAlignment="1" applyProtection="1">
      <alignment horizontal="center" vertical="center"/>
      <protection locked="0"/>
    </xf>
    <xf numFmtId="165" fontId="2" fillId="26" borderId="8" xfId="0" applyNumberFormat="1" applyFont="1" applyFill="1" applyBorder="1" applyAlignment="1" applyProtection="1">
      <alignment horizontal="center" vertical="center"/>
      <protection locked="0"/>
    </xf>
    <xf numFmtId="0" fontId="113" fillId="0" borderId="100" xfId="0" applyFont="1" applyBorder="1" applyAlignment="1">
      <alignment horizontal="center" vertical="center"/>
    </xf>
    <xf numFmtId="0" fontId="113" fillId="0" borderId="101" xfId="0" applyFont="1" applyBorder="1" applyAlignment="1">
      <alignment horizontal="center" vertical="center"/>
    </xf>
    <xf numFmtId="0" fontId="0" fillId="0" borderId="104" xfId="0" applyBorder="1" applyAlignment="1">
      <alignment horizontal="center" vertical="center"/>
    </xf>
    <xf numFmtId="0" fontId="0" fillId="0" borderId="105" xfId="0" applyBorder="1" applyAlignment="1">
      <alignment horizontal="center" vertical="center"/>
    </xf>
    <xf numFmtId="165" fontId="2" fillId="26" borderId="2" xfId="0" applyNumberFormat="1" applyFont="1" applyFill="1" applyBorder="1" applyAlignment="1" applyProtection="1">
      <alignment horizontal="center" vertical="center"/>
      <protection locked="0"/>
    </xf>
    <xf numFmtId="165" fontId="2" fillId="26" borderId="103" xfId="0" applyNumberFormat="1" applyFont="1" applyFill="1" applyBorder="1" applyAlignment="1" applyProtection="1">
      <alignment horizontal="center" vertical="center"/>
      <protection locked="0"/>
    </xf>
    <xf numFmtId="0" fontId="0" fillId="0" borderId="83" xfId="0" applyBorder="1" applyAlignment="1">
      <alignment horizontal="center" vertical="center"/>
    </xf>
    <xf numFmtId="0" fontId="0" fillId="0" borderId="84" xfId="0" applyBorder="1" applyAlignment="1">
      <alignment horizontal="center" vertical="center"/>
    </xf>
    <xf numFmtId="165" fontId="2" fillId="26" borderId="83" xfId="0" applyNumberFormat="1" applyFont="1" applyFill="1" applyBorder="1" applyAlignment="1" applyProtection="1">
      <alignment horizontal="center" vertical="center"/>
      <protection locked="0"/>
    </xf>
    <xf numFmtId="165" fontId="2" fillId="26" borderId="7" xfId="0" applyNumberFormat="1" applyFont="1" applyFill="1" applyBorder="1" applyAlignment="1" applyProtection="1">
      <alignment horizontal="center" vertical="center"/>
      <protection locked="0"/>
    </xf>
    <xf numFmtId="0" fontId="38" fillId="0" borderId="111" xfId="0" applyFont="1" applyBorder="1" applyAlignment="1">
      <alignment horizontal="center" vertical="center"/>
    </xf>
    <xf numFmtId="0" fontId="38" fillId="0" borderId="112" xfId="0" applyFont="1" applyBorder="1" applyAlignment="1">
      <alignment horizontal="center" vertical="center"/>
    </xf>
    <xf numFmtId="0" fontId="38" fillId="0" borderId="113" xfId="0" applyFont="1" applyBorder="1" applyAlignment="1">
      <alignment horizontal="center" vertical="center"/>
    </xf>
    <xf numFmtId="176" fontId="38" fillId="0" borderId="108" xfId="0" applyNumberFormat="1" applyFont="1" applyBorder="1" applyAlignment="1">
      <alignment horizontal="center" vertical="center"/>
    </xf>
    <xf numFmtId="176" fontId="38" fillId="0" borderId="109" xfId="0" applyNumberFormat="1" applyFont="1" applyBorder="1" applyAlignment="1">
      <alignment horizontal="center" vertical="center"/>
    </xf>
    <xf numFmtId="176" fontId="38" fillId="0" borderId="110" xfId="0" applyNumberFormat="1" applyFont="1" applyBorder="1" applyAlignment="1">
      <alignment horizontal="center" vertical="center"/>
    </xf>
    <xf numFmtId="0" fontId="38" fillId="7" borderId="64" xfId="0" applyFont="1" applyFill="1" applyBorder="1" applyAlignment="1">
      <alignment horizontal="center" vertical="center"/>
    </xf>
    <xf numFmtId="0" fontId="38" fillId="7" borderId="28" xfId="0" applyFont="1" applyFill="1" applyBorder="1" applyAlignment="1">
      <alignment horizontal="center" vertical="center"/>
    </xf>
    <xf numFmtId="0" fontId="38" fillId="7" borderId="50" xfId="0" applyFont="1" applyFill="1" applyBorder="1" applyAlignment="1">
      <alignment horizontal="center" vertical="center"/>
    </xf>
    <xf numFmtId="1" fontId="79" fillId="26" borderId="0" xfId="1" applyNumberFormat="1" applyFont="1" applyFill="1" applyAlignment="1" applyProtection="1">
      <alignment horizontal="center" vertical="center"/>
      <protection locked="0"/>
    </xf>
    <xf numFmtId="1" fontId="79" fillId="26" borderId="23" xfId="1" applyNumberFormat="1" applyFont="1" applyFill="1" applyBorder="1" applyAlignment="1" applyProtection="1">
      <alignment horizontal="center" vertical="center"/>
      <protection locked="0"/>
    </xf>
    <xf numFmtId="174" fontId="46" fillId="12" borderId="66" xfId="0" applyNumberFormat="1" applyFont="1" applyFill="1" applyBorder="1" applyAlignment="1">
      <alignment horizontal="center" vertical="center"/>
    </xf>
    <xf numFmtId="174" fontId="46" fillId="12" borderId="55" xfId="0" applyNumberFormat="1" applyFont="1" applyFill="1" applyBorder="1" applyAlignment="1">
      <alignment horizontal="center" vertical="center"/>
    </xf>
    <xf numFmtId="173" fontId="43" fillId="7" borderId="30" xfId="0" applyNumberFormat="1" applyFont="1" applyFill="1" applyBorder="1" applyAlignment="1">
      <alignment horizontal="center" vertical="center"/>
    </xf>
    <xf numFmtId="2" fontId="38" fillId="7" borderId="30" xfId="0" applyNumberFormat="1" applyFont="1" applyFill="1" applyBorder="1" applyAlignment="1">
      <alignment horizontal="center" vertical="center"/>
    </xf>
    <xf numFmtId="176" fontId="80" fillId="0" borderId="15" xfId="0" applyNumberFormat="1" applyFont="1" applyBorder="1" applyAlignment="1">
      <alignment horizontal="center" vertical="center"/>
    </xf>
    <xf numFmtId="176" fontId="80" fillId="0" borderId="13" xfId="0" applyNumberFormat="1" applyFont="1" applyBorder="1" applyAlignment="1">
      <alignment horizontal="center" vertical="center"/>
    </xf>
    <xf numFmtId="176" fontId="80" fillId="0" borderId="16" xfId="0" applyNumberFormat="1" applyFont="1" applyBorder="1" applyAlignment="1">
      <alignment horizontal="center" vertical="center"/>
    </xf>
    <xf numFmtId="171" fontId="80" fillId="0" borderId="15" xfId="0" applyNumberFormat="1" applyFont="1" applyBorder="1" applyAlignment="1">
      <alignment horizontal="center" vertical="center"/>
    </xf>
    <xf numFmtId="171" fontId="80" fillId="0" borderId="13" xfId="0" applyNumberFormat="1" applyFont="1" applyBorder="1" applyAlignment="1">
      <alignment horizontal="center" vertical="center"/>
    </xf>
    <xf numFmtId="171" fontId="80" fillId="0" borderId="16" xfId="0" applyNumberFormat="1" applyFont="1" applyBorder="1" applyAlignment="1">
      <alignment horizontal="center" vertical="center"/>
    </xf>
    <xf numFmtId="173" fontId="43" fillId="7" borderId="65" xfId="0" applyNumberFormat="1" applyFont="1" applyFill="1" applyBorder="1" applyAlignment="1">
      <alignment horizontal="center" vertical="center"/>
    </xf>
    <xf numFmtId="173" fontId="43" fillId="7" borderId="66" xfId="0" applyNumberFormat="1" applyFont="1" applyFill="1" applyBorder="1" applyAlignment="1">
      <alignment horizontal="center" vertical="center"/>
    </xf>
    <xf numFmtId="173" fontId="43" fillId="7" borderId="55" xfId="0" applyNumberFormat="1" applyFont="1" applyFill="1" applyBorder="1" applyAlignment="1">
      <alignment horizontal="center" vertical="center"/>
    </xf>
    <xf numFmtId="172" fontId="36" fillId="11" borderId="9" xfId="0" applyNumberFormat="1" applyFont="1" applyFill="1" applyBorder="1" applyAlignment="1" applyProtection="1">
      <alignment horizontal="center" vertical="center"/>
      <protection locked="0"/>
    </xf>
    <xf numFmtId="172" fontId="36" fillId="11" borderId="7" xfId="0" applyNumberFormat="1" applyFont="1" applyFill="1" applyBorder="1" applyAlignment="1" applyProtection="1">
      <alignment horizontal="center" vertical="center"/>
      <protection locked="0"/>
    </xf>
    <xf numFmtId="174" fontId="46" fillId="12" borderId="67" xfId="0" applyNumberFormat="1" applyFont="1" applyFill="1" applyBorder="1" applyAlignment="1">
      <alignment horizontal="center" vertical="center"/>
    </xf>
    <xf numFmtId="174" fontId="46" fillId="12" borderId="49" xfId="0" applyNumberFormat="1" applyFont="1" applyFill="1" applyBorder="1" applyAlignment="1">
      <alignment horizontal="center" vertical="center"/>
    </xf>
    <xf numFmtId="0" fontId="45" fillId="7" borderId="59" xfId="0" applyFont="1" applyFill="1" applyBorder="1" applyAlignment="1">
      <alignment horizontal="center" vertical="center"/>
    </xf>
    <xf numFmtId="0" fontId="45" fillId="7" borderId="68" xfId="0" applyFont="1" applyFill="1" applyBorder="1" applyAlignment="1">
      <alignment horizontal="center" vertical="center"/>
    </xf>
    <xf numFmtId="0" fontId="45" fillId="7" borderId="60" xfId="0" applyFont="1" applyFill="1" applyBorder="1" applyAlignment="1">
      <alignment horizontal="center" vertical="center"/>
    </xf>
    <xf numFmtId="1" fontId="110" fillId="0" borderId="0" xfId="1" applyNumberFormat="1" applyFont="1" applyAlignment="1">
      <alignment horizontal="center" vertical="center"/>
    </xf>
    <xf numFmtId="1" fontId="110" fillId="0" borderId="23" xfId="1" applyNumberFormat="1" applyFont="1" applyBorder="1" applyAlignment="1">
      <alignment horizontal="center" vertical="center"/>
    </xf>
    <xf numFmtId="174" fontId="46" fillId="12" borderId="7" xfId="0" applyNumberFormat="1" applyFont="1" applyFill="1" applyBorder="1" applyAlignment="1">
      <alignment horizontal="center" vertical="center"/>
    </xf>
    <xf numFmtId="174" fontId="46" fillId="12" borderId="8" xfId="0" applyNumberFormat="1" applyFont="1" applyFill="1" applyBorder="1" applyAlignment="1">
      <alignment horizontal="center" vertical="center"/>
    </xf>
    <xf numFmtId="174" fontId="46" fillId="12" borderId="52" xfId="0" applyNumberFormat="1" applyFont="1" applyFill="1" applyBorder="1" applyAlignment="1">
      <alignment horizontal="center" vertical="center"/>
    </xf>
    <xf numFmtId="1" fontId="82" fillId="0" borderId="0" xfId="1" applyNumberFormat="1" applyFont="1" applyAlignment="1">
      <alignment horizontal="center" vertical="center"/>
    </xf>
    <xf numFmtId="1" fontId="82" fillId="0" borderId="23" xfId="1" applyNumberFormat="1" applyFont="1" applyBorder="1" applyAlignment="1">
      <alignment horizontal="center" vertical="center"/>
    </xf>
    <xf numFmtId="174" fontId="46" fillId="12" borderId="82" xfId="0" applyNumberFormat="1" applyFont="1" applyFill="1" applyBorder="1" applyAlignment="1">
      <alignment horizontal="center" vertical="center"/>
    </xf>
    <xf numFmtId="174" fontId="46" fillId="12" borderId="30" xfId="0" applyNumberFormat="1" applyFont="1" applyFill="1" applyBorder="1" applyAlignment="1">
      <alignment horizontal="center" vertical="center"/>
    </xf>
    <xf numFmtId="174" fontId="46" fillId="12" borderId="65" xfId="0" applyNumberFormat="1" applyFont="1" applyFill="1" applyBorder="1" applyAlignment="1">
      <alignment horizontal="center" vertical="center"/>
    </xf>
    <xf numFmtId="0" fontId="38" fillId="0" borderId="51" xfId="0" applyFont="1" applyBorder="1" applyAlignment="1">
      <alignment horizontal="center" vertical="center"/>
    </xf>
    <xf numFmtId="0" fontId="38" fillId="0" borderId="8" xfId="0" applyFont="1" applyBorder="1" applyAlignment="1">
      <alignment horizontal="center" vertical="center"/>
    </xf>
    <xf numFmtId="0" fontId="38" fillId="0" borderId="52" xfId="0" applyFont="1" applyBorder="1" applyAlignment="1">
      <alignment horizontal="center" vertical="center"/>
    </xf>
    <xf numFmtId="175" fontId="38" fillId="23" borderId="28" xfId="0" applyNumberFormat="1" applyFont="1" applyFill="1" applyBorder="1" applyAlignment="1">
      <alignment horizontal="center" vertical="center"/>
    </xf>
    <xf numFmtId="175" fontId="38" fillId="23" borderId="7" xfId="0" applyNumberFormat="1" applyFont="1" applyFill="1" applyBorder="1" applyAlignment="1">
      <alignment horizontal="center" vertical="center"/>
    </xf>
    <xf numFmtId="173" fontId="43" fillId="7" borderId="14" xfId="0" applyNumberFormat="1" applyFont="1" applyFill="1" applyBorder="1" applyAlignment="1">
      <alignment horizontal="center" vertical="center"/>
    </xf>
    <xf numFmtId="0" fontId="42" fillId="0" borderId="54" xfId="0" applyFont="1" applyBorder="1" applyAlignment="1">
      <alignment horizontal="center" vertical="center"/>
    </xf>
    <xf numFmtId="0" fontId="42" fillId="0" borderId="66" xfId="0" applyFont="1" applyBorder="1" applyAlignment="1">
      <alignment horizontal="center" vertical="center"/>
    </xf>
    <xf numFmtId="0" fontId="42" fillId="0" borderId="55" xfId="0" applyFont="1" applyBorder="1" applyAlignment="1">
      <alignment horizontal="center" vertical="center"/>
    </xf>
    <xf numFmtId="175" fontId="39" fillId="0" borderId="30" xfId="0" applyNumberFormat="1" applyFont="1" applyBorder="1" applyAlignment="1">
      <alignment horizontal="center" vertical="center"/>
    </xf>
    <xf numFmtId="175" fontId="39" fillId="0" borderId="65" xfId="0" applyNumberFormat="1" applyFont="1" applyBorder="1" applyAlignment="1">
      <alignment horizontal="center" vertical="center"/>
    </xf>
    <xf numFmtId="175" fontId="38" fillId="0" borderId="28" xfId="0" applyNumberFormat="1" applyFont="1" applyBorder="1" applyAlignment="1">
      <alignment horizontal="center" vertical="center"/>
    </xf>
    <xf numFmtId="175" fontId="38" fillId="0" borderId="7" xfId="0" applyNumberFormat="1" applyFont="1" applyBorder="1" applyAlignment="1">
      <alignment horizontal="center" vertical="center"/>
    </xf>
    <xf numFmtId="174" fontId="46" fillId="12" borderId="80" xfId="0" applyNumberFormat="1" applyFont="1" applyFill="1" applyBorder="1" applyAlignment="1">
      <alignment horizontal="center" vertical="center"/>
    </xf>
    <xf numFmtId="0" fontId="72" fillId="0" borderId="22" xfId="0" applyFont="1" applyBorder="1" applyAlignment="1">
      <alignment horizontal="right" vertical="center"/>
    </xf>
    <xf numFmtId="0" fontId="72" fillId="0" borderId="14" xfId="0" applyFont="1" applyBorder="1" applyAlignment="1">
      <alignment horizontal="right" vertical="center"/>
    </xf>
    <xf numFmtId="175" fontId="39" fillId="0" borderId="81" xfId="0" applyNumberFormat="1" applyFont="1" applyBorder="1" applyAlignment="1">
      <alignment horizontal="center" vertical="center"/>
    </xf>
    <xf numFmtId="175" fontId="39" fillId="0" borderId="53" xfId="0" applyNumberFormat="1" applyFont="1" applyBorder="1" applyAlignment="1">
      <alignment horizontal="center" vertical="center"/>
    </xf>
    <xf numFmtId="0" fontId="69" fillId="0" borderId="21" xfId="0" applyFont="1" applyBorder="1" applyAlignment="1">
      <alignment horizontal="right" vertical="center"/>
    </xf>
    <xf numFmtId="0" fontId="69" fillId="0" borderId="0" xfId="0" applyFont="1" applyAlignment="1">
      <alignment horizontal="right" vertical="center"/>
    </xf>
    <xf numFmtId="2" fontId="38" fillId="7" borderId="14" xfId="0" applyNumberFormat="1" applyFont="1" applyFill="1" applyBorder="1" applyAlignment="1">
      <alignment horizontal="center" vertical="center"/>
    </xf>
    <xf numFmtId="173" fontId="43" fillId="7" borderId="28" xfId="0" applyNumberFormat="1" applyFont="1" applyFill="1" applyBorder="1" applyAlignment="1">
      <alignment horizontal="center" vertical="center"/>
    </xf>
    <xf numFmtId="173" fontId="43" fillId="7" borderId="7" xfId="0" applyNumberFormat="1" applyFont="1" applyFill="1" applyBorder="1" applyAlignment="1">
      <alignment horizontal="center" vertical="center"/>
    </xf>
    <xf numFmtId="173" fontId="43" fillId="7" borderId="8" xfId="0" applyNumberFormat="1" applyFont="1" applyFill="1" applyBorder="1" applyAlignment="1">
      <alignment horizontal="center" vertical="center"/>
    </xf>
    <xf numFmtId="173" fontId="43" fillId="7" borderId="52" xfId="0" applyNumberFormat="1" applyFont="1" applyFill="1" applyBorder="1" applyAlignment="1">
      <alignment horizontal="center" vertical="center"/>
    </xf>
    <xf numFmtId="2" fontId="38" fillId="7" borderId="28" xfId="0" applyNumberFormat="1" applyFont="1" applyFill="1" applyBorder="1" applyAlignment="1">
      <alignment horizontal="center" vertical="center"/>
    </xf>
    <xf numFmtId="173" fontId="43" fillId="7" borderId="31" xfId="0" applyNumberFormat="1" applyFont="1" applyFill="1" applyBorder="1" applyAlignment="1">
      <alignment horizontal="center" vertical="center"/>
    </xf>
    <xf numFmtId="173" fontId="43" fillId="7" borderId="29" xfId="0" applyNumberFormat="1" applyFont="1" applyFill="1" applyBorder="1" applyAlignment="1">
      <alignment horizontal="center" vertical="center"/>
    </xf>
    <xf numFmtId="173" fontId="43" fillId="7" borderId="58" xfId="0" applyNumberFormat="1" applyFont="1" applyFill="1" applyBorder="1" applyAlignment="1">
      <alignment horizontal="center" vertical="center"/>
    </xf>
    <xf numFmtId="0" fontId="0" fillId="0" borderId="0" xfId="0" applyAlignment="1">
      <alignment horizontal="center"/>
    </xf>
    <xf numFmtId="0" fontId="69" fillId="0" borderId="13" xfId="0" applyFont="1" applyBorder="1" applyAlignment="1">
      <alignment horizontal="center" vertical="center"/>
    </xf>
    <xf numFmtId="0" fontId="72" fillId="0" borderId="9" xfId="0" applyFont="1" applyBorder="1" applyAlignment="1">
      <alignment horizontal="right" vertical="center"/>
    </xf>
    <xf numFmtId="0" fontId="72" fillId="0" borderId="28" xfId="0" applyFont="1" applyBorder="1" applyAlignment="1">
      <alignment horizontal="right" vertical="center"/>
    </xf>
    <xf numFmtId="1" fontId="44" fillId="26" borderId="28" xfId="0" applyNumberFormat="1" applyFont="1" applyFill="1" applyBorder="1" applyAlignment="1" applyProtection="1">
      <alignment horizontal="center" vertical="center"/>
      <protection locked="0"/>
    </xf>
    <xf numFmtId="1" fontId="44" fillId="26" borderId="7" xfId="0" applyNumberFormat="1" applyFont="1" applyFill="1" applyBorder="1" applyAlignment="1" applyProtection="1">
      <alignment horizontal="center" vertical="center"/>
      <protection locked="0"/>
    </xf>
    <xf numFmtId="1" fontId="44" fillId="29" borderId="28" xfId="0" applyNumberFormat="1" applyFont="1" applyFill="1" applyBorder="1" applyAlignment="1">
      <alignment horizontal="center" vertical="center"/>
    </xf>
    <xf numFmtId="1" fontId="44" fillId="29" borderId="7" xfId="0" applyNumberFormat="1" applyFont="1" applyFill="1" applyBorder="1" applyAlignment="1">
      <alignment horizontal="center" vertical="center"/>
    </xf>
    <xf numFmtId="171" fontId="50" fillId="0" borderId="91" xfId="0" applyNumberFormat="1" applyFont="1" applyBorder="1" applyAlignment="1">
      <alignment horizontal="center" vertical="center" wrapText="1"/>
    </xf>
    <xf numFmtId="0" fontId="107" fillId="0" borderId="9" xfId="0" applyFont="1" applyBorder="1" applyAlignment="1">
      <alignment horizontal="center" vertical="center" wrapText="1"/>
    </xf>
    <xf numFmtId="0" fontId="107" fillId="0" borderId="7" xfId="0" applyFont="1" applyBorder="1" applyAlignment="1">
      <alignment horizontal="center" vertical="center" wrapText="1"/>
    </xf>
    <xf numFmtId="183" fontId="69" fillId="0" borderId="9" xfId="1" applyNumberFormat="1" applyFont="1" applyBorder="1" applyAlignment="1">
      <alignment horizontal="center" vertical="center"/>
    </xf>
    <xf numFmtId="183" fontId="69" fillId="0" borderId="7" xfId="1" applyNumberFormat="1" applyFont="1" applyBorder="1" applyAlignment="1">
      <alignment horizontal="center" vertical="center"/>
    </xf>
    <xf numFmtId="172" fontId="39" fillId="23" borderId="9" xfId="0" applyNumberFormat="1" applyFont="1" applyFill="1" applyBorder="1" applyAlignment="1">
      <alignment horizontal="center" vertical="center"/>
    </xf>
    <xf numFmtId="172" fontId="39" fillId="23" borderId="7" xfId="0" applyNumberFormat="1" applyFont="1" applyFill="1" applyBorder="1" applyAlignment="1">
      <alignment horizontal="center" vertical="center"/>
    </xf>
    <xf numFmtId="182" fontId="69" fillId="0" borderId="9" xfId="1" applyNumberFormat="1" applyFont="1" applyBorder="1" applyAlignment="1">
      <alignment horizontal="center" vertical="center"/>
    </xf>
    <xf numFmtId="182" fontId="69" fillId="0" borderId="7" xfId="1" applyNumberFormat="1" applyFont="1" applyBorder="1" applyAlignment="1">
      <alignment horizontal="center" vertical="center"/>
    </xf>
    <xf numFmtId="0" fontId="36" fillId="0" borderId="0" xfId="0" applyFont="1" applyAlignment="1">
      <alignment horizontal="left" vertical="center"/>
    </xf>
    <xf numFmtId="0" fontId="38" fillId="0" borderId="21" xfId="0" applyFont="1" applyBorder="1" applyAlignment="1">
      <alignment horizontal="right" vertical="center" wrapText="1"/>
    </xf>
    <xf numFmtId="0" fontId="38" fillId="0" borderId="0" xfId="0" applyFont="1" applyAlignment="1">
      <alignment horizontal="right" vertical="center" wrapText="1"/>
    </xf>
    <xf numFmtId="0" fontId="38" fillId="0" borderId="15" xfId="0" applyFont="1" applyBorder="1" applyAlignment="1">
      <alignment horizontal="right" vertical="center" wrapText="1"/>
    </xf>
    <xf numFmtId="0" fontId="38" fillId="0" borderId="13" xfId="0" applyFont="1" applyBorder="1" applyAlignment="1">
      <alignment horizontal="right" vertical="center" wrapText="1"/>
    </xf>
    <xf numFmtId="14" fontId="40" fillId="26" borderId="9" xfId="0" applyNumberFormat="1" applyFont="1" applyFill="1" applyBorder="1" applyAlignment="1" applyProtection="1">
      <alignment horizontal="center" vertical="center"/>
      <protection locked="0"/>
    </xf>
    <xf numFmtId="14" fontId="40" fillId="26" borderId="28" xfId="0" applyNumberFormat="1" applyFont="1" applyFill="1" applyBorder="1" applyAlignment="1" applyProtection="1">
      <alignment horizontal="center" vertical="center"/>
      <protection locked="0"/>
    </xf>
    <xf numFmtId="14" fontId="40" fillId="26" borderId="7" xfId="0" applyNumberFormat="1" applyFont="1" applyFill="1" applyBorder="1" applyAlignment="1" applyProtection="1">
      <alignment horizontal="center" vertical="center"/>
      <protection locked="0"/>
    </xf>
    <xf numFmtId="2" fontId="106" fillId="0" borderId="0" xfId="0" applyNumberFormat="1" applyFont="1" applyAlignment="1">
      <alignment horizontal="center" vertical="center" wrapText="1"/>
    </xf>
    <xf numFmtId="2" fontId="106" fillId="0" borderId="23" xfId="0" applyNumberFormat="1" applyFont="1" applyBorder="1" applyAlignment="1">
      <alignment horizontal="center" vertical="center" wrapText="1"/>
    </xf>
    <xf numFmtId="2" fontId="106" fillId="0" borderId="14" xfId="0" applyNumberFormat="1" applyFont="1" applyBorder="1" applyAlignment="1">
      <alignment horizontal="center" vertical="center" wrapText="1"/>
    </xf>
    <xf numFmtId="2" fontId="106" fillId="0" borderId="31" xfId="0" applyNumberFormat="1" applyFont="1" applyBorder="1" applyAlignment="1">
      <alignment horizontal="center" vertical="center" wrapText="1"/>
    </xf>
    <xf numFmtId="0" fontId="36" fillId="11" borderId="9" xfId="0" applyFont="1" applyFill="1" applyBorder="1" applyAlignment="1" applyProtection="1">
      <alignment horizontal="center" vertical="center"/>
      <protection locked="0"/>
    </xf>
    <xf numFmtId="0" fontId="36" fillId="11" borderId="28" xfId="0" applyFont="1" applyFill="1" applyBorder="1" applyAlignment="1" applyProtection="1">
      <alignment horizontal="center" vertical="center"/>
      <protection locked="0"/>
    </xf>
    <xf numFmtId="0" fontId="36" fillId="11" borderId="7" xfId="0" applyFont="1" applyFill="1" applyBorder="1" applyAlignment="1" applyProtection="1">
      <alignment horizontal="center" vertical="center"/>
      <protection locked="0"/>
    </xf>
    <xf numFmtId="0" fontId="42" fillId="0" borderId="78" xfId="0" applyFont="1" applyBorder="1" applyAlignment="1">
      <alignment horizontal="center" vertical="center"/>
    </xf>
    <xf numFmtId="0" fontId="42" fillId="0" borderId="79" xfId="0" applyFont="1" applyBorder="1" applyAlignment="1">
      <alignment horizontal="center" vertical="center"/>
    </xf>
    <xf numFmtId="175" fontId="39" fillId="0" borderId="79" xfId="0" applyNumberFormat="1" applyFont="1" applyBorder="1" applyAlignment="1">
      <alignment horizontal="center" vertical="center"/>
    </xf>
    <xf numFmtId="175" fontId="39" fillId="0" borderId="115" xfId="0" applyNumberFormat="1" applyFont="1" applyBorder="1" applyAlignment="1">
      <alignment horizontal="center" vertical="center"/>
    </xf>
    <xf numFmtId="14" fontId="40" fillId="0" borderId="9" xfId="0" applyNumberFormat="1" applyFont="1" applyBorder="1" applyAlignment="1">
      <alignment horizontal="center" vertical="center"/>
    </xf>
    <xf numFmtId="0" fontId="40" fillId="0" borderId="28" xfId="0" applyFont="1" applyBorder="1" applyAlignment="1">
      <alignment horizontal="center" vertical="center"/>
    </xf>
    <xf numFmtId="0" fontId="40" fillId="0" borderId="7" xfId="0" applyFont="1" applyBorder="1" applyAlignment="1">
      <alignment horizontal="center" vertical="center"/>
    </xf>
    <xf numFmtId="0" fontId="38" fillId="0" borderId="9" xfId="0" applyFont="1" applyBorder="1" applyAlignment="1">
      <alignment horizontal="right" vertical="center" wrapText="1"/>
    </xf>
    <xf numFmtId="0" fontId="38" fillId="0" borderId="28" xfId="0" applyFont="1" applyBorder="1" applyAlignment="1">
      <alignment horizontal="right" vertical="center" wrapText="1"/>
    </xf>
    <xf numFmtId="2" fontId="44" fillId="0" borderId="28" xfId="0" applyNumberFormat="1" applyFont="1" applyBorder="1" applyAlignment="1">
      <alignment horizontal="center" vertical="center"/>
    </xf>
    <xf numFmtId="2" fontId="44" fillId="0" borderId="7" xfId="0" applyNumberFormat="1" applyFont="1" applyBorder="1" applyAlignment="1">
      <alignment horizontal="center" vertical="center"/>
    </xf>
    <xf numFmtId="175" fontId="38" fillId="3" borderId="8" xfId="0" applyNumberFormat="1" applyFont="1" applyFill="1" applyBorder="1" applyAlignment="1">
      <alignment horizontal="center" vertical="center"/>
    </xf>
    <xf numFmtId="175" fontId="38" fillId="3" borderId="52" xfId="0" applyNumberFormat="1" applyFont="1" applyFill="1" applyBorder="1" applyAlignment="1">
      <alignment horizontal="center" vertical="center"/>
    </xf>
    <xf numFmtId="0" fontId="38" fillId="0" borderId="54" xfId="0" applyFont="1" applyBorder="1" applyAlignment="1">
      <alignment horizontal="center" vertical="center"/>
    </xf>
    <xf numFmtId="0" fontId="38" fillId="0" borderId="66" xfId="0" applyFont="1" applyBorder="1" applyAlignment="1">
      <alignment horizontal="center" vertical="center"/>
    </xf>
    <xf numFmtId="175" fontId="38" fillId="3" borderId="66" xfId="0" applyNumberFormat="1" applyFont="1" applyFill="1" applyBorder="1" applyAlignment="1">
      <alignment horizontal="center" vertical="center"/>
    </xf>
    <xf numFmtId="175" fontId="38" fillId="3" borderId="55" xfId="0" applyNumberFormat="1" applyFont="1" applyFill="1" applyBorder="1" applyAlignment="1">
      <alignment horizontal="center" vertical="center"/>
    </xf>
    <xf numFmtId="46" fontId="45" fillId="7" borderId="69" xfId="0" applyNumberFormat="1" applyFont="1" applyFill="1" applyBorder="1" applyAlignment="1">
      <alignment horizontal="center" vertical="center" wrapText="1"/>
    </xf>
    <xf numFmtId="46" fontId="45" fillId="7" borderId="44" xfId="0" applyNumberFormat="1" applyFont="1" applyFill="1" applyBorder="1" applyAlignment="1">
      <alignment horizontal="center" vertical="center" wrapText="1"/>
    </xf>
    <xf numFmtId="46" fontId="45" fillId="7" borderId="70" xfId="0" applyNumberFormat="1" applyFont="1" applyFill="1" applyBorder="1" applyAlignment="1">
      <alignment horizontal="center" vertical="center" wrapText="1"/>
    </xf>
    <xf numFmtId="46" fontId="45" fillId="7" borderId="35" xfId="0" applyNumberFormat="1" applyFont="1" applyFill="1" applyBorder="1" applyAlignment="1">
      <alignment horizontal="center" vertical="center" wrapText="1"/>
    </xf>
    <xf numFmtId="46" fontId="45" fillId="7" borderId="0" xfId="0" applyNumberFormat="1" applyFont="1" applyFill="1" applyAlignment="1">
      <alignment horizontal="center" vertical="center" wrapText="1"/>
    </xf>
    <xf numFmtId="46" fontId="45" fillId="7" borderId="34" xfId="0" applyNumberFormat="1" applyFont="1" applyFill="1" applyBorder="1" applyAlignment="1">
      <alignment horizontal="center" vertical="center" wrapText="1"/>
    </xf>
    <xf numFmtId="46" fontId="45" fillId="7" borderId="71" xfId="0" applyNumberFormat="1" applyFont="1" applyFill="1" applyBorder="1" applyAlignment="1">
      <alignment horizontal="center" vertical="center" wrapText="1"/>
    </xf>
    <xf numFmtId="46" fontId="45" fillId="7" borderId="72" xfId="0" applyNumberFormat="1" applyFont="1" applyFill="1" applyBorder="1" applyAlignment="1">
      <alignment horizontal="center" vertical="center" wrapText="1"/>
    </xf>
    <xf numFmtId="46" fontId="45" fillId="7" borderId="73" xfId="0" applyNumberFormat="1" applyFont="1" applyFill="1" applyBorder="1" applyAlignment="1">
      <alignment horizontal="center" vertical="center" wrapText="1"/>
    </xf>
    <xf numFmtId="172" fontId="44" fillId="0" borderId="28" xfId="0" applyNumberFormat="1" applyFont="1" applyBorder="1" applyAlignment="1">
      <alignment horizontal="center" vertical="center"/>
    </xf>
    <xf numFmtId="172" fontId="44" fillId="0" borderId="7" xfId="0" applyNumberFormat="1" applyFont="1" applyBorder="1" applyAlignment="1">
      <alignment horizontal="center" vertical="center"/>
    </xf>
    <xf numFmtId="0" fontId="117" fillId="31" borderId="9" xfId="6" applyFont="1" applyBorder="1" applyAlignment="1">
      <alignment horizontal="center"/>
    </xf>
    <xf numFmtId="0" fontId="117" fillId="31" borderId="28" xfId="6" applyFont="1" applyBorder="1" applyAlignment="1">
      <alignment horizontal="center"/>
    </xf>
    <xf numFmtId="0" fontId="117" fillId="31" borderId="7" xfId="6" applyFont="1" applyBorder="1" applyAlignment="1">
      <alignment horizontal="center"/>
    </xf>
    <xf numFmtId="175" fontId="39" fillId="0" borderId="75" xfId="0" applyNumberFormat="1" applyFont="1" applyBorder="1" applyAlignment="1">
      <alignment horizontal="center" vertical="center"/>
    </xf>
    <xf numFmtId="175" fontId="39" fillId="0" borderId="68" xfId="0" applyNumberFormat="1" applyFont="1" applyBorder="1" applyAlignment="1">
      <alignment horizontal="center" vertical="center"/>
    </xf>
    <xf numFmtId="175" fontId="39" fillId="0" borderId="60" xfId="0" applyNumberFormat="1" applyFont="1" applyBorder="1" applyAlignment="1">
      <alignment horizontal="center" vertical="center"/>
    </xf>
    <xf numFmtId="175" fontId="38" fillId="3" borderId="81" xfId="0" applyNumberFormat="1" applyFont="1" applyFill="1" applyBorder="1" applyAlignment="1">
      <alignment horizontal="center" vertical="center"/>
    </xf>
    <xf numFmtId="175" fontId="38" fillId="3" borderId="30" xfId="0" applyNumberFormat="1" applyFont="1" applyFill="1" applyBorder="1" applyAlignment="1">
      <alignment horizontal="center" vertical="center"/>
    </xf>
    <xf numFmtId="175" fontId="38" fillId="3" borderId="53" xfId="0" applyNumberFormat="1" applyFont="1" applyFill="1" applyBorder="1" applyAlignment="1">
      <alignment horizontal="center" vertical="center"/>
    </xf>
    <xf numFmtId="175" fontId="38" fillId="3" borderId="9" xfId="0" applyNumberFormat="1" applyFont="1" applyFill="1" applyBorder="1" applyAlignment="1">
      <alignment horizontal="center" vertical="center"/>
    </xf>
    <xf numFmtId="175" fontId="38" fillId="3" borderId="28" xfId="0" applyNumberFormat="1" applyFont="1" applyFill="1" applyBorder="1" applyAlignment="1">
      <alignment horizontal="center" vertical="center"/>
    </xf>
    <xf numFmtId="175" fontId="38" fillId="3" borderId="50" xfId="0" applyNumberFormat="1" applyFont="1" applyFill="1" applyBorder="1" applyAlignment="1">
      <alignment horizontal="center" vertical="center"/>
    </xf>
    <xf numFmtId="175" fontId="38" fillId="0" borderId="8" xfId="0" applyNumberFormat="1" applyFont="1" applyBorder="1" applyAlignment="1">
      <alignment horizontal="center" vertical="center"/>
    </xf>
    <xf numFmtId="175" fontId="38" fillId="0" borderId="52" xfId="0" applyNumberFormat="1" applyFont="1" applyBorder="1" applyAlignment="1">
      <alignment horizontal="center" vertical="center"/>
    </xf>
    <xf numFmtId="175" fontId="38" fillId="0" borderId="67" xfId="0" applyNumberFormat="1" applyFont="1" applyBorder="1" applyAlignment="1">
      <alignment horizontal="center" vertical="center"/>
    </xf>
    <xf numFmtId="175" fontId="38" fillId="0" borderId="49" xfId="0" applyNumberFormat="1" applyFont="1" applyBorder="1" applyAlignment="1">
      <alignment horizontal="center" vertical="center"/>
    </xf>
    <xf numFmtId="0" fontId="38" fillId="0" borderId="48" xfId="0" applyFont="1" applyBorder="1" applyAlignment="1">
      <alignment horizontal="center" vertical="center"/>
    </xf>
    <xf numFmtId="0" fontId="38" fillId="0" borderId="67" xfId="0" applyFont="1" applyBorder="1" applyAlignment="1">
      <alignment horizontal="center" vertical="center"/>
    </xf>
    <xf numFmtId="0" fontId="65" fillId="0" borderId="9" xfId="0" applyFont="1" applyBorder="1" applyAlignment="1">
      <alignment horizontal="center"/>
    </xf>
    <xf numFmtId="0" fontId="65" fillId="0" borderId="28" xfId="0" applyFont="1" applyBorder="1" applyAlignment="1">
      <alignment horizontal="center"/>
    </xf>
    <xf numFmtId="0" fontId="65" fillId="0" borderId="7" xfId="0" applyFont="1" applyBorder="1" applyAlignment="1">
      <alignment horizontal="center"/>
    </xf>
    <xf numFmtId="0" fontId="128" fillId="26" borderId="21" xfId="0" applyFont="1" applyFill="1" applyBorder="1" applyAlignment="1" applyProtection="1">
      <alignment horizontal="center" vertical="center" wrapText="1"/>
      <protection locked="0"/>
    </xf>
    <xf numFmtId="0" fontId="128" fillId="26" borderId="0" xfId="0" applyFont="1" applyFill="1" applyBorder="1" applyAlignment="1" applyProtection="1">
      <alignment horizontal="center" vertical="center" wrapText="1"/>
      <protection locked="0"/>
    </xf>
    <xf numFmtId="0" fontId="128" fillId="26" borderId="23" xfId="0" applyFont="1" applyFill="1" applyBorder="1" applyAlignment="1" applyProtection="1">
      <alignment horizontal="center" vertical="center" wrapText="1"/>
      <protection locked="0"/>
    </xf>
    <xf numFmtId="0" fontId="128" fillId="26" borderId="22" xfId="0" applyFont="1" applyFill="1" applyBorder="1" applyAlignment="1" applyProtection="1">
      <alignment horizontal="center" vertical="center" wrapText="1"/>
      <protection locked="0"/>
    </xf>
    <xf numFmtId="0" fontId="128" fillId="26" borderId="14" xfId="0" applyFont="1" applyFill="1" applyBorder="1" applyAlignment="1" applyProtection="1">
      <alignment horizontal="center" vertical="center" wrapText="1"/>
      <protection locked="0"/>
    </xf>
    <xf numFmtId="0" fontId="128" fillId="26" borderId="31" xfId="0" applyFont="1" applyFill="1" applyBorder="1" applyAlignment="1" applyProtection="1">
      <alignment horizontal="center" vertical="center" wrapText="1"/>
      <protection locked="0"/>
    </xf>
    <xf numFmtId="0" fontId="127" fillId="0" borderId="15" xfId="0" applyFont="1" applyBorder="1" applyAlignment="1">
      <alignment horizontal="center"/>
    </xf>
    <xf numFmtId="0" fontId="127" fillId="0" borderId="13" xfId="0" applyFont="1" applyBorder="1" applyAlignment="1">
      <alignment horizontal="center"/>
    </xf>
    <xf numFmtId="0" fontId="127" fillId="0" borderId="16" xfId="0" applyFont="1" applyBorder="1" applyAlignment="1">
      <alignment horizontal="center"/>
    </xf>
    <xf numFmtId="9" fontId="40" fillId="0" borderId="9" xfId="3" applyFont="1" applyBorder="1" applyAlignment="1">
      <alignment horizontal="center" vertical="center"/>
    </xf>
    <xf numFmtId="9" fontId="40" fillId="0" borderId="28" xfId="3" applyFont="1" applyBorder="1" applyAlignment="1">
      <alignment horizontal="center" vertical="center"/>
    </xf>
    <xf numFmtId="9" fontId="40" fillId="0" borderId="7" xfId="3" applyFont="1" applyBorder="1" applyAlignment="1">
      <alignment horizontal="center" vertical="center"/>
    </xf>
    <xf numFmtId="172" fontId="44" fillId="0" borderId="14" xfId="0" applyNumberFormat="1" applyFont="1" applyBorder="1" applyAlignment="1">
      <alignment horizontal="center" vertical="center"/>
    </xf>
    <xf numFmtId="172" fontId="44" fillId="0" borderId="31" xfId="0" applyNumberFormat="1" applyFont="1" applyBorder="1" applyAlignment="1">
      <alignment horizontal="center" vertical="center"/>
    </xf>
    <xf numFmtId="20" fontId="40" fillId="0" borderId="9" xfId="0" applyNumberFormat="1" applyFont="1" applyBorder="1" applyAlignment="1">
      <alignment horizontal="center" vertical="center"/>
    </xf>
    <xf numFmtId="20" fontId="40" fillId="0" borderId="28" xfId="0" applyNumberFormat="1" applyFont="1" applyBorder="1" applyAlignment="1">
      <alignment horizontal="center" vertical="center"/>
    </xf>
    <xf numFmtId="20" fontId="40" fillId="0" borderId="7" xfId="0" applyNumberFormat="1" applyFont="1" applyBorder="1" applyAlignment="1">
      <alignment horizontal="center" vertical="center"/>
    </xf>
    <xf numFmtId="164" fontId="42" fillId="0" borderId="75" xfId="1" applyFont="1" applyBorder="1" applyAlignment="1">
      <alignment horizontal="center" vertical="center"/>
    </xf>
    <xf numFmtId="164" fontId="42" fillId="0" borderId="68" xfId="1" applyFont="1" applyBorder="1" applyAlignment="1">
      <alignment horizontal="center" vertical="center"/>
    </xf>
    <xf numFmtId="164" fontId="42" fillId="0" borderId="60" xfId="1" applyFont="1" applyBorder="1" applyAlignment="1">
      <alignment horizontal="center" vertical="center"/>
    </xf>
    <xf numFmtId="175" fontId="38" fillId="0" borderId="76" xfId="0" applyNumberFormat="1" applyFont="1" applyBorder="1" applyAlignment="1">
      <alignment horizontal="center" vertical="center"/>
    </xf>
    <xf numFmtId="175" fontId="38" fillId="0" borderId="77" xfId="0" applyNumberFormat="1" applyFont="1" applyBorder="1" applyAlignment="1">
      <alignment horizontal="center" vertical="center"/>
    </xf>
    <xf numFmtId="175" fontId="38" fillId="0" borderId="47" xfId="0" applyNumberFormat="1" applyFont="1" applyBorder="1" applyAlignment="1">
      <alignment horizontal="center" vertical="center"/>
    </xf>
    <xf numFmtId="0" fontId="99" fillId="0" borderId="13" xfId="0" applyFont="1" applyBorder="1" applyAlignment="1">
      <alignment horizontal="right" vertical="top"/>
    </xf>
    <xf numFmtId="0" fontId="38" fillId="7" borderId="74" xfId="0" applyFont="1" applyFill="1" applyBorder="1" applyAlignment="1">
      <alignment horizontal="center" vertical="center"/>
    </xf>
    <xf numFmtId="0" fontId="38" fillId="7" borderId="14" xfId="0" applyFont="1" applyFill="1" applyBorder="1" applyAlignment="1">
      <alignment horizontal="center" vertical="center"/>
    </xf>
    <xf numFmtId="0" fontId="38" fillId="7" borderId="56" xfId="0" applyFont="1" applyFill="1" applyBorder="1" applyAlignment="1">
      <alignment horizontal="center" vertical="center"/>
    </xf>
    <xf numFmtId="172" fontId="36" fillId="0" borderId="9" xfId="0" applyNumberFormat="1" applyFont="1" applyBorder="1" applyAlignment="1">
      <alignment horizontal="center" vertical="center"/>
    </xf>
    <xf numFmtId="172" fontId="36" fillId="0" borderId="7" xfId="0" applyNumberFormat="1" applyFont="1" applyBorder="1" applyAlignment="1">
      <alignment horizontal="center" vertical="center"/>
    </xf>
    <xf numFmtId="2" fontId="45" fillId="7" borderId="68" xfId="0" applyNumberFormat="1" applyFont="1" applyFill="1" applyBorder="1" applyAlignment="1">
      <alignment horizontal="center" vertical="center"/>
    </xf>
    <xf numFmtId="2" fontId="45" fillId="7" borderId="60" xfId="0" applyNumberFormat="1" applyFont="1" applyFill="1" applyBorder="1" applyAlignment="1">
      <alignment horizontal="center" vertical="center"/>
    </xf>
    <xf numFmtId="0" fontId="38" fillId="7" borderId="82" xfId="0" applyFont="1" applyFill="1" applyBorder="1" applyAlignment="1">
      <alignment horizontal="center" vertical="center"/>
    </xf>
    <xf numFmtId="0" fontId="38" fillId="7" borderId="30" xfId="0" applyFont="1" applyFill="1" applyBorder="1" applyAlignment="1">
      <alignment horizontal="center" vertical="center"/>
    </xf>
    <xf numFmtId="0" fontId="38" fillId="7" borderId="53" xfId="0" applyFont="1" applyFill="1" applyBorder="1" applyAlignment="1">
      <alignment horizontal="center" vertical="center"/>
    </xf>
    <xf numFmtId="0" fontId="40" fillId="11" borderId="9" xfId="0" applyFont="1" applyFill="1" applyBorder="1" applyAlignment="1" applyProtection="1">
      <alignment horizontal="center" vertical="center"/>
      <protection locked="0"/>
    </xf>
    <xf numFmtId="0" fontId="40" fillId="11" borderId="28" xfId="0" applyFont="1" applyFill="1" applyBorder="1" applyAlignment="1" applyProtection="1">
      <alignment horizontal="center" vertical="center"/>
      <protection locked="0"/>
    </xf>
    <xf numFmtId="0" fontId="40" fillId="11" borderId="7" xfId="0" applyFont="1" applyFill="1" applyBorder="1" applyAlignment="1" applyProtection="1">
      <alignment horizontal="center" vertical="center"/>
      <protection locked="0"/>
    </xf>
    <xf numFmtId="0" fontId="0" fillId="0" borderId="106" xfId="0" applyBorder="1" applyAlignment="1">
      <alignment horizontal="center" vertical="center"/>
    </xf>
    <xf numFmtId="0" fontId="0" fillId="0" borderId="107" xfId="0" applyBorder="1" applyAlignment="1">
      <alignment horizontal="center" vertical="center"/>
    </xf>
    <xf numFmtId="165" fontId="2" fillId="26" borderId="106" xfId="0" applyNumberFormat="1" applyFont="1" applyFill="1" applyBorder="1" applyAlignment="1" applyProtection="1">
      <alignment horizontal="center" vertical="center"/>
      <protection locked="0"/>
    </xf>
    <xf numFmtId="165" fontId="2" fillId="26" borderId="18" xfId="0" applyNumberFormat="1" applyFont="1" applyFill="1" applyBorder="1" applyAlignment="1" applyProtection="1">
      <alignment horizontal="center" vertical="center"/>
      <protection locked="0"/>
    </xf>
    <xf numFmtId="0" fontId="38" fillId="0" borderId="0" xfId="0" applyFont="1" applyAlignment="1">
      <alignment horizontal="center" vertical="center"/>
    </xf>
    <xf numFmtId="2" fontId="42" fillId="0" borderId="78" xfId="0" applyNumberFormat="1" applyFont="1" applyBorder="1" applyAlignment="1">
      <alignment horizontal="center" vertical="center"/>
    </xf>
    <xf numFmtId="2" fontId="42" fillId="0" borderId="79" xfId="0" applyNumberFormat="1" applyFont="1" applyBorder="1" applyAlignment="1">
      <alignment horizontal="center" vertical="center"/>
    </xf>
    <xf numFmtId="0" fontId="38" fillId="0" borderId="49" xfId="0" applyFont="1" applyBorder="1" applyAlignment="1">
      <alignment horizontal="center" vertical="center"/>
    </xf>
    <xf numFmtId="175" fontId="38" fillId="0" borderId="80" xfId="0" applyNumberFormat="1" applyFont="1" applyBorder="1" applyAlignment="1">
      <alignment horizontal="center" vertical="center"/>
    </xf>
    <xf numFmtId="20" fontId="115" fillId="0" borderId="28" xfId="0" applyNumberFormat="1" applyFont="1" applyBorder="1" applyAlignment="1">
      <alignment horizontal="center" vertical="center"/>
    </xf>
    <xf numFmtId="2" fontId="114" fillId="31" borderId="92" xfId="6" applyNumberFormat="1" applyBorder="1" applyAlignment="1">
      <alignment horizontal="center" vertical="center"/>
    </xf>
    <xf numFmtId="2" fontId="114" fillId="31" borderId="94" xfId="6" applyNumberFormat="1" applyBorder="1" applyAlignment="1">
      <alignment horizontal="center" vertical="center"/>
    </xf>
    <xf numFmtId="2" fontId="114" fillId="31" borderId="93" xfId="6" applyNumberFormat="1" applyBorder="1" applyAlignment="1">
      <alignment horizontal="center" vertical="center"/>
    </xf>
    <xf numFmtId="175" fontId="38" fillId="0" borderId="9" xfId="0" applyNumberFormat="1" applyFont="1" applyBorder="1" applyAlignment="1">
      <alignment horizontal="center" vertical="center"/>
    </xf>
    <xf numFmtId="175" fontId="38" fillId="0" borderId="50" xfId="0" applyNumberFormat="1" applyFont="1" applyBorder="1" applyAlignment="1">
      <alignment horizontal="center" vertical="center"/>
    </xf>
    <xf numFmtId="165" fontId="2" fillId="26" borderId="6" xfId="0" applyNumberFormat="1" applyFont="1" applyFill="1" applyBorder="1" applyAlignment="1" applyProtection="1">
      <alignment horizontal="center" vertical="center"/>
      <protection locked="0"/>
    </xf>
    <xf numFmtId="165" fontId="2" fillId="26" borderId="114" xfId="0" applyNumberFormat="1" applyFont="1" applyFill="1" applyBorder="1" applyAlignment="1" applyProtection="1">
      <alignment horizontal="center" vertical="center"/>
      <protection locked="0"/>
    </xf>
    <xf numFmtId="14" fontId="47" fillId="12" borderId="48" xfId="0" applyNumberFormat="1" applyFont="1" applyFill="1" applyBorder="1" applyAlignment="1">
      <alignment horizontal="center" vertical="center" wrapText="1"/>
    </xf>
    <xf numFmtId="14" fontId="47" fillId="12" borderId="49" xfId="0" applyNumberFormat="1" applyFont="1" applyFill="1" applyBorder="1" applyAlignment="1">
      <alignment horizontal="center" vertical="center" wrapText="1"/>
    </xf>
    <xf numFmtId="14" fontId="47" fillId="12" borderId="51" xfId="0" applyNumberFormat="1" applyFont="1" applyFill="1" applyBorder="1" applyAlignment="1">
      <alignment horizontal="center" vertical="center" wrapText="1"/>
    </xf>
    <xf numFmtId="14" fontId="47" fillId="12" borderId="52" xfId="0" applyNumberFormat="1" applyFont="1" applyFill="1" applyBorder="1" applyAlignment="1">
      <alignment horizontal="center" vertical="center" wrapText="1"/>
    </xf>
    <xf numFmtId="14" fontId="47" fillId="12" borderId="54" xfId="0" applyNumberFormat="1" applyFont="1" applyFill="1" applyBorder="1" applyAlignment="1">
      <alignment horizontal="center" vertical="center" wrapText="1"/>
    </xf>
    <xf numFmtId="14" fontId="47" fillId="12" borderId="55" xfId="0" applyNumberFormat="1" applyFont="1" applyFill="1" applyBorder="1" applyAlignment="1">
      <alignment horizontal="center" vertical="center" wrapText="1"/>
    </xf>
    <xf numFmtId="166" fontId="112" fillId="0" borderId="0" xfId="2" applyFont="1" applyAlignment="1">
      <alignment horizontal="center" vertical="center"/>
    </xf>
    <xf numFmtId="1" fontId="44" fillId="11" borderId="0" xfId="0" applyNumberFormat="1" applyFont="1" applyFill="1" applyAlignment="1" applyProtection="1">
      <alignment horizontal="center" vertical="center"/>
      <protection locked="0"/>
    </xf>
    <xf numFmtId="1" fontId="44" fillId="11" borderId="23" xfId="0" applyNumberFormat="1" applyFont="1" applyFill="1" applyBorder="1" applyAlignment="1" applyProtection="1">
      <alignment horizontal="center" vertical="center"/>
      <protection locked="0"/>
    </xf>
    <xf numFmtId="2" fontId="44" fillId="11" borderId="13" xfId="0" applyNumberFormat="1" applyFont="1" applyFill="1" applyBorder="1" applyAlignment="1" applyProtection="1">
      <alignment horizontal="center" vertical="center"/>
      <protection locked="0"/>
    </xf>
    <xf numFmtId="2" fontId="44" fillId="11" borderId="16" xfId="0" applyNumberFormat="1" applyFont="1" applyFill="1" applyBorder="1" applyAlignment="1" applyProtection="1">
      <alignment horizontal="center" vertical="center"/>
      <protection locked="0"/>
    </xf>
    <xf numFmtId="0" fontId="115" fillId="33" borderId="15" xfId="0" applyFont="1" applyFill="1" applyBorder="1" applyAlignment="1">
      <alignment horizontal="center" vertical="center" wrapText="1"/>
    </xf>
    <xf numFmtId="0" fontId="115" fillId="33" borderId="16" xfId="0" applyFont="1" applyFill="1" applyBorder="1" applyAlignment="1">
      <alignment horizontal="center" vertical="center" wrapText="1"/>
    </xf>
    <xf numFmtId="0" fontId="115" fillId="33" borderId="21" xfId="0" applyFont="1" applyFill="1" applyBorder="1" applyAlignment="1">
      <alignment horizontal="center" vertical="center" wrapText="1"/>
    </xf>
    <xf numFmtId="0" fontId="115" fillId="33" borderId="23" xfId="0" applyFont="1" applyFill="1" applyBorder="1" applyAlignment="1">
      <alignment horizontal="center" vertical="center" wrapText="1"/>
    </xf>
    <xf numFmtId="0" fontId="115" fillId="33" borderId="22" xfId="0" applyFont="1" applyFill="1" applyBorder="1" applyAlignment="1">
      <alignment horizontal="center" vertical="center" wrapText="1"/>
    </xf>
    <xf numFmtId="0" fontId="115" fillId="33" borderId="31" xfId="0" applyFont="1" applyFill="1" applyBorder="1" applyAlignment="1">
      <alignment horizontal="center" vertical="center" wrapText="1"/>
    </xf>
    <xf numFmtId="172" fontId="120" fillId="11" borderId="9" xfId="0" applyNumberFormat="1" applyFont="1" applyFill="1" applyBorder="1" applyAlignment="1" applyProtection="1">
      <alignment horizontal="center" vertical="center"/>
      <protection locked="0"/>
    </xf>
    <xf numFmtId="172" fontId="120" fillId="11" borderId="7" xfId="0" applyNumberFormat="1" applyFont="1" applyFill="1" applyBorder="1" applyAlignment="1" applyProtection="1">
      <alignment horizontal="center" vertical="center"/>
      <protection locked="0"/>
    </xf>
    <xf numFmtId="0" fontId="101" fillId="0" borderId="21" xfId="5" applyBorder="1" applyAlignment="1">
      <alignment horizontal="center"/>
    </xf>
    <xf numFmtId="0" fontId="101" fillId="0" borderId="0" xfId="5" applyAlignment="1">
      <alignment horizontal="center"/>
    </xf>
    <xf numFmtId="0" fontId="101" fillId="0" borderId="23" xfId="5" applyBorder="1" applyAlignment="1">
      <alignment horizontal="center"/>
    </xf>
    <xf numFmtId="0" fontId="100" fillId="0" borderId="22" xfId="0" quotePrefix="1" applyFont="1" applyBorder="1" applyAlignment="1">
      <alignment horizontal="center"/>
    </xf>
    <xf numFmtId="0" fontId="100" fillId="0" borderId="14" xfId="0" quotePrefix="1" applyFont="1" applyBorder="1" applyAlignment="1">
      <alignment horizontal="center"/>
    </xf>
    <xf numFmtId="0" fontId="100" fillId="0" borderId="31" xfId="0" quotePrefix="1" applyFont="1" applyBorder="1" applyAlignment="1">
      <alignment horizontal="center"/>
    </xf>
    <xf numFmtId="14" fontId="40" fillId="26" borderId="9" xfId="0" applyNumberFormat="1" applyFont="1" applyFill="1" applyBorder="1" applyAlignment="1">
      <alignment horizontal="center" vertical="center"/>
    </xf>
    <xf numFmtId="14" fontId="40" fillId="26" borderId="28" xfId="0" applyNumberFormat="1" applyFont="1" applyFill="1" applyBorder="1" applyAlignment="1">
      <alignment horizontal="center" vertical="center"/>
    </xf>
    <xf numFmtId="14" fontId="40" fillId="26" borderId="7" xfId="0" applyNumberFormat="1" applyFont="1" applyFill="1" applyBorder="1" applyAlignment="1">
      <alignment horizontal="center" vertical="center"/>
    </xf>
    <xf numFmtId="172" fontId="36" fillId="11" borderId="9" xfId="0" applyNumberFormat="1" applyFont="1" applyFill="1" applyBorder="1" applyAlignment="1">
      <alignment horizontal="center" vertical="center"/>
    </xf>
    <xf numFmtId="172" fontId="36" fillId="11" borderId="7" xfId="0" applyNumberFormat="1" applyFont="1" applyFill="1" applyBorder="1" applyAlignment="1">
      <alignment horizontal="center" vertical="center"/>
    </xf>
    <xf numFmtId="0" fontId="40" fillId="11" borderId="9" xfId="0" applyFont="1" applyFill="1" applyBorder="1" applyAlignment="1">
      <alignment horizontal="center" vertical="center"/>
    </xf>
    <xf numFmtId="0" fontId="40" fillId="11" borderId="28" xfId="0" applyFont="1" applyFill="1" applyBorder="1" applyAlignment="1">
      <alignment horizontal="center" vertical="center"/>
    </xf>
    <xf numFmtId="0" fontId="40" fillId="11" borderId="7" xfId="0" applyFont="1" applyFill="1" applyBorder="1" applyAlignment="1">
      <alignment horizontal="center" vertical="center"/>
    </xf>
    <xf numFmtId="0" fontId="107" fillId="0" borderId="15" xfId="0" applyFont="1" applyBorder="1" applyAlignment="1">
      <alignment horizontal="center" vertical="center" wrapText="1"/>
    </xf>
    <xf numFmtId="0" fontId="107" fillId="0" borderId="16" xfId="0" applyFont="1" applyBorder="1" applyAlignment="1">
      <alignment horizontal="center" vertical="center" wrapText="1"/>
    </xf>
    <xf numFmtId="0" fontId="107" fillId="0" borderId="22" xfId="0" applyFont="1" applyBorder="1" applyAlignment="1">
      <alignment horizontal="center" vertical="center" wrapText="1"/>
    </xf>
    <xf numFmtId="0" fontId="107" fillId="0" borderId="31" xfId="0" applyFont="1" applyBorder="1" applyAlignment="1">
      <alignment horizontal="center" vertical="center" wrapText="1"/>
    </xf>
    <xf numFmtId="0" fontId="36" fillId="11" borderId="9" xfId="0" applyFont="1" applyFill="1" applyBorder="1" applyAlignment="1">
      <alignment horizontal="center" vertical="center"/>
    </xf>
    <xf numFmtId="0" fontId="36" fillId="11" borderId="28" xfId="0" applyFont="1" applyFill="1" applyBorder="1" applyAlignment="1">
      <alignment horizontal="center" vertical="center"/>
    </xf>
    <xf numFmtId="0" fontId="36" fillId="11" borderId="7" xfId="0" applyFont="1" applyFill="1" applyBorder="1" applyAlignment="1">
      <alignment horizontal="center" vertical="center"/>
    </xf>
    <xf numFmtId="0" fontId="38" fillId="0" borderId="72" xfId="0" applyFont="1" applyBorder="1" applyAlignment="1">
      <alignment horizontal="center" vertical="center"/>
    </xf>
    <xf numFmtId="0" fontId="38" fillId="0" borderId="73" xfId="0" applyFont="1" applyBorder="1" applyAlignment="1">
      <alignment horizontal="center" vertical="center"/>
    </xf>
    <xf numFmtId="2" fontId="42" fillId="0" borderId="59" xfId="0" applyNumberFormat="1" applyFont="1" applyBorder="1" applyAlignment="1">
      <alignment horizontal="center" vertical="center"/>
    </xf>
    <xf numFmtId="2" fontId="42" fillId="0" borderId="68" xfId="0" applyNumberFormat="1" applyFont="1" applyBorder="1" applyAlignment="1">
      <alignment horizontal="center" vertical="center"/>
    </xf>
    <xf numFmtId="2" fontId="42" fillId="0" borderId="119" xfId="0" applyNumberFormat="1" applyFont="1" applyBorder="1" applyAlignment="1">
      <alignment horizontal="center" vertical="center"/>
    </xf>
    <xf numFmtId="0" fontId="38" fillId="0" borderId="120" xfId="0" applyFont="1" applyBorder="1" applyAlignment="1">
      <alignment horizontal="center" vertical="center"/>
    </xf>
    <xf numFmtId="0" fontId="38" fillId="0" borderId="77" xfId="0" applyFont="1" applyBorder="1" applyAlignment="1">
      <alignment horizontal="center" vertical="center"/>
    </xf>
    <xf numFmtId="0" fontId="38" fillId="0" borderId="47" xfId="0" applyFont="1" applyBorder="1" applyAlignment="1">
      <alignment horizontal="center" vertical="center"/>
    </xf>
    <xf numFmtId="175" fontId="38" fillId="0" borderId="120" xfId="0" applyNumberFormat="1" applyFont="1" applyBorder="1" applyAlignment="1">
      <alignment horizontal="center" vertical="center"/>
    </xf>
    <xf numFmtId="0" fontId="38" fillId="0" borderId="64" xfId="0" applyFont="1" applyBorder="1" applyAlignment="1">
      <alignment horizontal="center" vertical="center"/>
    </xf>
    <xf numFmtId="0" fontId="38" fillId="0" borderId="28" xfId="0" applyFont="1" applyBorder="1" applyAlignment="1">
      <alignment horizontal="center" vertical="center"/>
    </xf>
    <xf numFmtId="0" fontId="38" fillId="0" borderId="50" xfId="0" applyFont="1" applyBorder="1" applyAlignment="1">
      <alignment horizontal="center" vertical="center"/>
    </xf>
    <xf numFmtId="175" fontId="38" fillId="23" borderId="64" xfId="0" applyNumberFormat="1" applyFont="1" applyFill="1" applyBorder="1" applyAlignment="1">
      <alignment horizontal="center" vertical="center"/>
    </xf>
    <xf numFmtId="1" fontId="44" fillId="11" borderId="0" xfId="0" applyNumberFormat="1" applyFont="1" applyFill="1" applyAlignment="1">
      <alignment horizontal="center" vertical="center"/>
    </xf>
    <xf numFmtId="1" fontId="44" fillId="11" borderId="23" xfId="0" applyNumberFormat="1" applyFont="1" applyFill="1" applyBorder="1" applyAlignment="1">
      <alignment horizontal="center" vertical="center"/>
    </xf>
    <xf numFmtId="2" fontId="44" fillId="11" borderId="13" xfId="0" applyNumberFormat="1" applyFont="1" applyFill="1" applyBorder="1" applyAlignment="1">
      <alignment horizontal="center" vertical="center"/>
    </xf>
    <xf numFmtId="2" fontId="44" fillId="11" borderId="16" xfId="0" applyNumberFormat="1" applyFont="1" applyFill="1" applyBorder="1" applyAlignment="1">
      <alignment horizontal="center" vertical="center"/>
    </xf>
    <xf numFmtId="175" fontId="38" fillId="0" borderId="64" xfId="0" applyNumberFormat="1" applyFont="1" applyBorder="1" applyAlignment="1">
      <alignment horizontal="center" vertical="center"/>
    </xf>
    <xf numFmtId="0" fontId="42" fillId="0" borderId="82" xfId="0" applyFont="1" applyBorder="1" applyAlignment="1">
      <alignment horizontal="center" vertical="center"/>
    </xf>
    <xf numFmtId="0" fontId="42" fillId="0" borderId="30" xfId="0" applyFont="1" applyBorder="1" applyAlignment="1">
      <alignment horizontal="center" vertical="center"/>
    </xf>
    <xf numFmtId="0" fontId="42" fillId="0" borderId="53" xfId="0" applyFont="1" applyBorder="1" applyAlignment="1">
      <alignment horizontal="center" vertical="center"/>
    </xf>
    <xf numFmtId="175" fontId="39" fillId="0" borderId="82" xfId="0" applyNumberFormat="1" applyFont="1" applyBorder="1" applyAlignment="1">
      <alignment horizontal="center" vertical="center"/>
    </xf>
    <xf numFmtId="1" fontId="44" fillId="26" borderId="28" xfId="0" applyNumberFormat="1" applyFont="1" applyFill="1" applyBorder="1" applyAlignment="1">
      <alignment horizontal="center" vertical="center"/>
    </xf>
    <xf numFmtId="1" fontId="44" fillId="26" borderId="7" xfId="0" applyNumberFormat="1" applyFont="1" applyFill="1" applyBorder="1" applyAlignment="1">
      <alignment horizontal="center" vertical="center"/>
    </xf>
    <xf numFmtId="0" fontId="38" fillId="0" borderId="0" xfId="0" applyFont="1" applyBorder="1" applyAlignment="1">
      <alignment horizontal="right" vertical="center" wrapText="1"/>
    </xf>
    <xf numFmtId="46" fontId="45" fillId="7" borderId="0" xfId="0" applyNumberFormat="1" applyFont="1" applyFill="1" applyBorder="1" applyAlignment="1">
      <alignment horizontal="center" vertical="center" wrapText="1"/>
    </xf>
    <xf numFmtId="2" fontId="45" fillId="7" borderId="59" xfId="0" applyNumberFormat="1" applyFont="1" applyFill="1" applyBorder="1" applyAlignment="1">
      <alignment horizontal="center" vertical="center"/>
    </xf>
    <xf numFmtId="14" fontId="47" fillId="12" borderId="69" xfId="0" applyNumberFormat="1" applyFont="1" applyFill="1" applyBorder="1" applyAlignment="1">
      <alignment horizontal="center" vertical="center" wrapText="1"/>
    </xf>
    <xf numFmtId="14" fontId="47" fillId="12" borderId="70" xfId="0" applyNumberFormat="1" applyFont="1" applyFill="1" applyBorder="1" applyAlignment="1">
      <alignment horizontal="center" vertical="center" wrapText="1"/>
    </xf>
    <xf numFmtId="14" fontId="47" fillId="12" borderId="35" xfId="0" applyNumberFormat="1" applyFont="1" applyFill="1" applyBorder="1" applyAlignment="1">
      <alignment horizontal="center" vertical="center" wrapText="1"/>
    </xf>
    <xf numFmtId="14" fontId="47" fillId="12" borderId="34" xfId="0" applyNumberFormat="1" applyFont="1" applyFill="1" applyBorder="1" applyAlignment="1">
      <alignment horizontal="center" vertical="center" wrapText="1"/>
    </xf>
    <xf numFmtId="14" fontId="47" fillId="12" borderId="71" xfId="0" applyNumberFormat="1" applyFont="1" applyFill="1" applyBorder="1" applyAlignment="1">
      <alignment horizontal="center" vertical="center" wrapText="1"/>
    </xf>
    <xf numFmtId="14" fontId="47" fillId="12" borderId="73" xfId="0" applyNumberFormat="1" applyFont="1" applyFill="1" applyBorder="1" applyAlignment="1">
      <alignment horizontal="center" vertical="center" wrapText="1"/>
    </xf>
    <xf numFmtId="174" fontId="46" fillId="12" borderId="120" xfId="0" applyNumberFormat="1" applyFont="1" applyFill="1" applyBorder="1" applyAlignment="1">
      <alignment horizontal="center" vertical="center"/>
    </xf>
    <xf numFmtId="174" fontId="46" fillId="12" borderId="77" xfId="0" applyNumberFormat="1" applyFont="1" applyFill="1" applyBorder="1" applyAlignment="1">
      <alignment horizontal="center" vertical="center"/>
    </xf>
    <xf numFmtId="174" fontId="46" fillId="12" borderId="76" xfId="0" applyNumberFormat="1" applyFont="1" applyFill="1" applyBorder="1" applyAlignment="1">
      <alignment horizontal="center" vertical="center"/>
    </xf>
    <xf numFmtId="174" fontId="46" fillId="12" borderId="47" xfId="0" applyNumberFormat="1" applyFont="1" applyFill="1" applyBorder="1" applyAlignment="1">
      <alignment horizontal="center" vertical="center"/>
    </xf>
    <xf numFmtId="0" fontId="38" fillId="7" borderId="120" xfId="0" applyFont="1" applyFill="1" applyBorder="1" applyAlignment="1">
      <alignment horizontal="center" vertical="center"/>
    </xf>
    <xf numFmtId="0" fontId="38" fillId="7" borderId="77" xfId="0" applyFont="1" applyFill="1" applyBorder="1" applyAlignment="1">
      <alignment horizontal="center" vertical="center"/>
    </xf>
    <xf numFmtId="0" fontId="38" fillId="7" borderId="47" xfId="0" applyFont="1" applyFill="1" applyBorder="1" applyAlignment="1">
      <alignment horizontal="center" vertical="center"/>
    </xf>
    <xf numFmtId="2" fontId="38" fillId="7" borderId="120" xfId="0" applyNumberFormat="1" applyFont="1" applyFill="1" applyBorder="1" applyAlignment="1">
      <alignment horizontal="center" vertical="center"/>
    </xf>
    <xf numFmtId="2" fontId="38" fillId="7" borderId="77" xfId="0" applyNumberFormat="1" applyFont="1" applyFill="1" applyBorder="1" applyAlignment="1">
      <alignment horizontal="center" vertical="center"/>
    </xf>
    <xf numFmtId="173" fontId="43" fillId="7" borderId="77" xfId="0" applyNumberFormat="1" applyFont="1" applyFill="1" applyBorder="1" applyAlignment="1">
      <alignment horizontal="center" vertical="center"/>
    </xf>
    <xf numFmtId="173" fontId="43" fillId="7" borderId="47" xfId="0" applyNumberFormat="1" applyFont="1" applyFill="1" applyBorder="1" applyAlignment="1">
      <alignment horizontal="center" vertical="center"/>
    </xf>
    <xf numFmtId="0" fontId="69" fillId="0" borderId="0" xfId="0" applyFont="1" applyBorder="1" applyAlignment="1">
      <alignment horizontal="right" vertical="center"/>
    </xf>
    <xf numFmtId="174" fontId="46" fillId="12" borderId="64" xfId="0" applyNumberFormat="1" applyFont="1" applyFill="1" applyBorder="1" applyAlignment="1">
      <alignment horizontal="center" vertical="center"/>
    </xf>
    <xf numFmtId="174" fontId="46" fillId="12" borderId="28" xfId="0" applyNumberFormat="1" applyFont="1" applyFill="1" applyBorder="1" applyAlignment="1">
      <alignment horizontal="center" vertical="center"/>
    </xf>
    <xf numFmtId="174" fontId="46" fillId="12" borderId="9" xfId="0" applyNumberFormat="1" applyFont="1" applyFill="1" applyBorder="1" applyAlignment="1">
      <alignment horizontal="center" vertical="center"/>
    </xf>
    <xf numFmtId="174" fontId="46" fillId="12" borderId="50" xfId="0" applyNumberFormat="1" applyFont="1" applyFill="1" applyBorder="1" applyAlignment="1">
      <alignment horizontal="center" vertical="center"/>
    </xf>
    <xf numFmtId="2" fontId="38" fillId="7" borderId="64" xfId="0" applyNumberFormat="1" applyFont="1" applyFill="1" applyBorder="1" applyAlignment="1">
      <alignment horizontal="center" vertical="center"/>
    </xf>
    <xf numFmtId="173" fontId="43" fillId="7" borderId="50" xfId="0" applyNumberFormat="1" applyFont="1" applyFill="1" applyBorder="1" applyAlignment="1">
      <alignment horizontal="center" vertical="center"/>
    </xf>
    <xf numFmtId="0" fontId="101" fillId="0" borderId="0" xfId="5" applyBorder="1" applyAlignment="1">
      <alignment horizontal="center"/>
    </xf>
    <xf numFmtId="172" fontId="71" fillId="0" borderId="0" xfId="0" applyNumberFormat="1" applyFont="1" applyAlignment="1">
      <alignment horizontal="center" vertical="center"/>
    </xf>
    <xf numFmtId="172" fontId="71" fillId="0" borderId="23" xfId="0" applyNumberFormat="1" applyFont="1" applyBorder="1" applyAlignment="1">
      <alignment horizontal="center" vertical="center"/>
    </xf>
    <xf numFmtId="174" fontId="46" fillId="12" borderId="81" xfId="0" applyNumberFormat="1" applyFont="1" applyFill="1" applyBorder="1" applyAlignment="1">
      <alignment horizontal="center" vertical="center"/>
    </xf>
    <xf numFmtId="174" fontId="46" fillId="12" borderId="53" xfId="0" applyNumberFormat="1" applyFont="1" applyFill="1" applyBorder="1" applyAlignment="1">
      <alignment horizontal="center" vertical="center"/>
    </xf>
    <xf numFmtId="2" fontId="38" fillId="7" borderId="82" xfId="0" applyNumberFormat="1" applyFont="1" applyFill="1" applyBorder="1" applyAlignment="1">
      <alignment horizontal="center" vertical="center"/>
    </xf>
    <xf numFmtId="173" fontId="43" fillId="7" borderId="53" xfId="0" applyNumberFormat="1" applyFont="1" applyFill="1" applyBorder="1" applyAlignment="1">
      <alignment horizontal="center" vertical="center"/>
    </xf>
    <xf numFmtId="1" fontId="79" fillId="21" borderId="0" xfId="1" applyNumberFormat="1" applyFont="1" applyFill="1" applyAlignment="1">
      <alignment horizontal="center" vertical="center"/>
    </xf>
    <xf numFmtId="1" fontId="79" fillId="21" borderId="23" xfId="1" applyNumberFormat="1" applyFont="1" applyFill="1" applyBorder="1" applyAlignment="1">
      <alignment horizontal="center" vertical="center"/>
    </xf>
    <xf numFmtId="165" fontId="2" fillId="17" borderId="83" xfId="0" applyNumberFormat="1" applyFont="1" applyFill="1" applyBorder="1" applyAlignment="1">
      <alignment horizontal="center" vertical="center"/>
    </xf>
    <xf numFmtId="165" fontId="2" fillId="17" borderId="7" xfId="0" applyNumberFormat="1" applyFont="1" applyFill="1" applyBorder="1" applyAlignment="1">
      <alignment horizontal="center" vertical="center"/>
    </xf>
    <xf numFmtId="0" fontId="113" fillId="0" borderId="92" xfId="0" applyFont="1" applyBorder="1" applyAlignment="1">
      <alignment horizontal="center" vertical="center"/>
    </xf>
    <xf numFmtId="0" fontId="113" fillId="0" borderId="93" xfId="0" applyFont="1" applyBorder="1" applyAlignment="1">
      <alignment horizontal="center" vertical="center"/>
    </xf>
    <xf numFmtId="165" fontId="2" fillId="17" borderId="104" xfId="0" applyNumberFormat="1" applyFont="1" applyFill="1" applyBorder="1" applyAlignment="1">
      <alignment horizontal="center" vertical="center"/>
    </xf>
    <xf numFmtId="165" fontId="2" fillId="17" borderId="17" xfId="0" applyNumberFormat="1" applyFont="1" applyFill="1" applyBorder="1" applyAlignment="1">
      <alignment horizontal="center" vertical="center"/>
    </xf>
    <xf numFmtId="175" fontId="47" fillId="0" borderId="0" xfId="0" applyNumberFormat="1" applyFont="1" applyAlignment="1">
      <alignment horizontal="center"/>
    </xf>
    <xf numFmtId="165" fontId="2" fillId="17" borderId="106" xfId="0" applyNumberFormat="1" applyFont="1" applyFill="1" applyBorder="1" applyAlignment="1">
      <alignment horizontal="center" vertical="center"/>
    </xf>
    <xf numFmtId="165" fontId="2" fillId="17" borderId="18" xfId="0" applyNumberFormat="1" applyFont="1" applyFill="1" applyBorder="1" applyAlignment="1">
      <alignment horizontal="center" vertical="center"/>
    </xf>
    <xf numFmtId="165" fontId="2" fillId="17" borderId="4" xfId="0" applyNumberFormat="1" applyFont="1" applyFill="1" applyBorder="1" applyAlignment="1">
      <alignment horizontal="center" vertical="center"/>
    </xf>
    <xf numFmtId="165" fontId="2" fillId="17" borderId="8" xfId="0" applyNumberFormat="1" applyFont="1" applyFill="1" applyBorder="1" applyAlignment="1">
      <alignment horizontal="center" vertical="center"/>
    </xf>
    <xf numFmtId="165" fontId="2" fillId="17" borderId="2" xfId="0" applyNumberFormat="1" applyFont="1" applyFill="1" applyBorder="1" applyAlignment="1">
      <alignment horizontal="center" vertical="center"/>
    </xf>
    <xf numFmtId="165" fontId="2" fillId="17" borderId="103" xfId="0" applyNumberFormat="1" applyFont="1" applyFill="1" applyBorder="1" applyAlignment="1">
      <alignment horizontal="center" vertical="center"/>
    </xf>
    <xf numFmtId="165" fontId="2" fillId="17" borderId="6" xfId="0" applyNumberFormat="1" applyFont="1" applyFill="1" applyBorder="1" applyAlignment="1">
      <alignment horizontal="center" vertical="center"/>
    </xf>
    <xf numFmtId="165" fontId="2" fillId="17" borderId="114" xfId="0" applyNumberFormat="1" applyFont="1" applyFill="1" applyBorder="1" applyAlignment="1">
      <alignment horizontal="center" vertical="center"/>
    </xf>
    <xf numFmtId="0" fontId="123" fillId="0" borderId="15" xfId="0" applyFont="1" applyBorder="1" applyAlignment="1">
      <alignment horizontal="center" vertical="center"/>
    </xf>
    <xf numFmtId="0" fontId="123" fillId="0" borderId="13" xfId="0" applyFont="1" applyBorder="1" applyAlignment="1">
      <alignment horizontal="center" vertical="center"/>
    </xf>
    <xf numFmtId="0" fontId="123" fillId="0" borderId="16" xfId="0" applyFont="1" applyBorder="1" applyAlignment="1">
      <alignment horizontal="center" vertical="center"/>
    </xf>
    <xf numFmtId="0" fontId="126" fillId="0" borderId="21" xfId="0" applyFont="1" applyBorder="1" applyAlignment="1" applyProtection="1">
      <alignment horizontal="center" vertical="center" wrapText="1"/>
    </xf>
    <xf numFmtId="0" fontId="126" fillId="0" borderId="0" xfId="0" applyFont="1" applyBorder="1" applyAlignment="1" applyProtection="1">
      <alignment horizontal="center" vertical="center" wrapText="1"/>
    </xf>
    <xf numFmtId="0" fontId="126" fillId="0" borderId="23" xfId="0" applyFont="1" applyBorder="1" applyAlignment="1" applyProtection="1">
      <alignment horizontal="center" vertical="center" wrapText="1"/>
    </xf>
    <xf numFmtId="0" fontId="126" fillId="0" borderId="22" xfId="0" applyFont="1" applyBorder="1" applyAlignment="1" applyProtection="1">
      <alignment horizontal="center" vertical="center" wrapText="1"/>
    </xf>
    <xf numFmtId="0" fontId="126" fillId="0" borderId="14" xfId="0" applyFont="1" applyBorder="1" applyAlignment="1" applyProtection="1">
      <alignment horizontal="center" vertical="center" wrapText="1"/>
    </xf>
    <xf numFmtId="0" fontId="126" fillId="0" borderId="31" xfId="0" applyFont="1" applyBorder="1" applyAlignment="1" applyProtection="1">
      <alignment horizontal="center" vertical="center" wrapText="1"/>
    </xf>
    <xf numFmtId="0" fontId="0" fillId="0" borderId="21" xfId="0" applyFont="1" applyBorder="1" applyAlignment="1" applyProtection="1">
      <alignment horizontal="center" vertical="center" wrapText="1"/>
    </xf>
    <xf numFmtId="0" fontId="0" fillId="0" borderId="0" xfId="0" applyFont="1" applyBorder="1" applyAlignment="1" applyProtection="1">
      <alignment horizontal="center" vertical="center" wrapText="1"/>
    </xf>
    <xf numFmtId="0" fontId="0" fillId="0" borderId="23" xfId="0" applyFont="1" applyBorder="1" applyAlignment="1" applyProtection="1">
      <alignment horizontal="center" vertical="center" wrapText="1"/>
    </xf>
    <xf numFmtId="0" fontId="0" fillId="0" borderId="22" xfId="0" applyFont="1" applyBorder="1" applyAlignment="1" applyProtection="1">
      <alignment horizontal="center" vertical="center" wrapText="1"/>
    </xf>
    <xf numFmtId="0" fontId="0" fillId="0" borderId="14" xfId="0" applyFont="1" applyBorder="1" applyAlignment="1" applyProtection="1">
      <alignment horizontal="center" vertical="center" wrapText="1"/>
    </xf>
    <xf numFmtId="0" fontId="0" fillId="0" borderId="31" xfId="0" applyFont="1" applyBorder="1" applyAlignment="1" applyProtection="1">
      <alignment horizontal="center" vertical="center" wrapText="1"/>
    </xf>
    <xf numFmtId="0" fontId="87" fillId="28" borderId="15" xfId="0" applyFont="1" applyFill="1" applyBorder="1" applyAlignment="1">
      <alignment horizontal="center"/>
    </xf>
    <xf numFmtId="0" fontId="87" fillId="28" borderId="13" xfId="0" applyFont="1" applyFill="1" applyBorder="1" applyAlignment="1">
      <alignment horizontal="center"/>
    </xf>
    <xf numFmtId="0" fontId="87" fillId="28" borderId="16" xfId="0" applyFont="1" applyFill="1" applyBorder="1" applyAlignment="1">
      <alignment horizontal="center"/>
    </xf>
    <xf numFmtId="172" fontId="60" fillId="22" borderId="87" xfId="0" applyNumberFormat="1" applyFont="1" applyFill="1" applyBorder="1" applyAlignment="1">
      <alignment horizontal="center" vertical="center"/>
    </xf>
    <xf numFmtId="172" fontId="60" fillId="22" borderId="90" xfId="0" applyNumberFormat="1" applyFont="1" applyFill="1" applyBorder="1" applyAlignment="1">
      <alignment horizontal="center" vertical="center"/>
    </xf>
    <xf numFmtId="0" fontId="102" fillId="30" borderId="96" xfId="0" applyFont="1" applyFill="1" applyBorder="1" applyAlignment="1">
      <alignment horizontal="center" vertical="center" wrapText="1"/>
    </xf>
    <xf numFmtId="0" fontId="102" fillId="30" borderId="87" xfId="0" applyFont="1" applyFill="1" applyBorder="1" applyAlignment="1">
      <alignment horizontal="center" vertical="center" wrapText="1"/>
    </xf>
    <xf numFmtId="0" fontId="102" fillId="30" borderId="88" xfId="0" applyFont="1" applyFill="1" applyBorder="1" applyAlignment="1">
      <alignment horizontal="center" vertical="center" wrapText="1"/>
    </xf>
    <xf numFmtId="0" fontId="102" fillId="30" borderId="97" xfId="0" applyFont="1" applyFill="1" applyBorder="1" applyAlignment="1">
      <alignment horizontal="center" vertical="center" wrapText="1"/>
    </xf>
    <xf numFmtId="0" fontId="102" fillId="30" borderId="90" xfId="0" applyFont="1" applyFill="1" applyBorder="1" applyAlignment="1">
      <alignment horizontal="center" vertical="center" wrapText="1"/>
    </xf>
    <xf numFmtId="0" fontId="102" fillId="30" borderId="20" xfId="0" applyFont="1" applyFill="1" applyBorder="1" applyAlignment="1">
      <alignment horizontal="center" vertical="center" wrapText="1"/>
    </xf>
    <xf numFmtId="0" fontId="59" fillId="0" borderId="85" xfId="0" applyFont="1" applyBorder="1" applyAlignment="1">
      <alignment horizontal="center"/>
    </xf>
    <xf numFmtId="172" fontId="94" fillId="0" borderId="8" xfId="0" applyNumberFormat="1" applyFont="1" applyBorder="1" applyAlignment="1">
      <alignment horizontal="center"/>
    </xf>
    <xf numFmtId="2" fontId="83" fillId="0" borderId="8" xfId="0" applyNumberFormat="1" applyFont="1" applyBorder="1" applyAlignment="1">
      <alignment horizontal="center"/>
    </xf>
    <xf numFmtId="2" fontId="83" fillId="28" borderId="8" xfId="0" applyNumberFormat="1" applyFont="1" applyFill="1" applyBorder="1" applyAlignment="1">
      <alignment horizontal="center"/>
    </xf>
    <xf numFmtId="172" fontId="58" fillId="0" borderId="8" xfId="0" applyNumberFormat="1" applyFont="1" applyBorder="1" applyAlignment="1">
      <alignment horizontal="center"/>
    </xf>
    <xf numFmtId="164" fontId="83" fillId="28" borderId="8" xfId="1" applyFont="1" applyFill="1" applyBorder="1" applyAlignment="1">
      <alignment horizontal="center"/>
    </xf>
    <xf numFmtId="164" fontId="83" fillId="0" borderId="8" xfId="1" applyFont="1" applyBorder="1" applyAlignment="1">
      <alignment horizontal="center"/>
    </xf>
    <xf numFmtId="2" fontId="58" fillId="0" borderId="8" xfId="0" applyNumberFormat="1" applyFont="1" applyBorder="1" applyAlignment="1">
      <alignment horizontal="center"/>
    </xf>
    <xf numFmtId="172" fontId="83" fillId="0" borderId="8" xfId="0" applyNumberFormat="1" applyFont="1" applyBorder="1" applyAlignment="1">
      <alignment horizontal="center"/>
    </xf>
    <xf numFmtId="0" fontId="59" fillId="0" borderId="8" xfId="0" applyFont="1" applyBorder="1" applyAlignment="1">
      <alignment horizontal="center"/>
    </xf>
    <xf numFmtId="164" fontId="7" fillId="0" borderId="8" xfId="1" applyFont="1" applyBorder="1" applyAlignment="1">
      <alignment horizontal="center"/>
    </xf>
    <xf numFmtId="0" fontId="3" fillId="13" borderId="83" xfId="0" applyFont="1" applyFill="1" applyBorder="1" applyAlignment="1">
      <alignment horizontal="center"/>
    </xf>
    <xf numFmtId="0" fontId="3" fillId="13" borderId="84" xfId="0" applyFont="1" applyFill="1" applyBorder="1" applyAlignment="1">
      <alignment horizontal="center"/>
    </xf>
    <xf numFmtId="0" fontId="3" fillId="13" borderId="7" xfId="0" applyFont="1" applyFill="1" applyBorder="1" applyAlignment="1">
      <alignment horizontal="center"/>
    </xf>
    <xf numFmtId="0" fontId="3" fillId="13" borderId="3" xfId="0" applyFont="1" applyFill="1" applyBorder="1" applyAlignment="1">
      <alignment horizontal="center"/>
    </xf>
    <xf numFmtId="0" fontId="35" fillId="7" borderId="28" xfId="0" applyFont="1" applyFill="1" applyBorder="1" applyAlignment="1">
      <alignment horizontal="center"/>
    </xf>
    <xf numFmtId="0" fontId="56" fillId="0" borderId="0" xfId="0" applyFont="1" applyAlignment="1">
      <alignment horizontal="left"/>
    </xf>
    <xf numFmtId="0" fontId="58" fillId="0" borderId="8" xfId="0" applyFont="1" applyBorder="1" applyAlignment="1">
      <alignment horizontal="center"/>
    </xf>
    <xf numFmtId="2" fontId="58" fillId="28" borderId="8" xfId="0" applyNumberFormat="1" applyFont="1" applyFill="1" applyBorder="1" applyAlignment="1">
      <alignment horizontal="center"/>
    </xf>
    <xf numFmtId="164" fontId="7" fillId="28" borderId="8" xfId="1" applyFont="1" applyFill="1" applyBorder="1" applyAlignment="1">
      <alignment horizontal="center"/>
    </xf>
    <xf numFmtId="0" fontId="83" fillId="0" borderId="8" xfId="0" applyFont="1" applyBorder="1" applyAlignment="1">
      <alignment horizontal="center"/>
    </xf>
    <xf numFmtId="0" fontId="111" fillId="28" borderId="94" xfId="0" applyFont="1" applyFill="1" applyBorder="1" applyAlignment="1">
      <alignment horizontal="right" vertical="center"/>
    </xf>
    <xf numFmtId="172" fontId="56" fillId="0" borderId="0" xfId="1" applyNumberFormat="1" applyFont="1" applyAlignment="1">
      <alignment horizontal="left"/>
    </xf>
    <xf numFmtId="172" fontId="60" fillId="0" borderId="8" xfId="0" applyNumberFormat="1" applyFont="1" applyBorder="1" applyAlignment="1">
      <alignment horizontal="center"/>
    </xf>
    <xf numFmtId="172" fontId="83" fillId="0" borderId="8" xfId="0" applyNumberFormat="1" applyFont="1" applyBorder="1"/>
    <xf numFmtId="0" fontId="61" fillId="0" borderId="0" xfId="0" applyFont="1" applyAlignment="1">
      <alignment horizontal="center"/>
    </xf>
    <xf numFmtId="14" fontId="0" fillId="0" borderId="0" xfId="0" applyNumberFormat="1" applyAlignment="1">
      <alignment horizontal="center"/>
    </xf>
    <xf numFmtId="0" fontId="96" fillId="0" borderId="87" xfId="0" applyFont="1" applyBorder="1" applyAlignment="1">
      <alignment horizontal="center" wrapText="1"/>
    </xf>
    <xf numFmtId="0" fontId="96" fillId="0" borderId="0" xfId="0" applyFont="1" applyAlignment="1">
      <alignment horizontal="center" wrapText="1"/>
    </xf>
    <xf numFmtId="0" fontId="95" fillId="0" borderId="21" xfId="0" applyFont="1" applyBorder="1" applyAlignment="1">
      <alignment horizontal="center" vertical="center" wrapText="1"/>
    </xf>
    <xf numFmtId="14" fontId="102" fillId="22" borderId="86" xfId="0" applyNumberFormat="1" applyFont="1" applyFill="1" applyBorder="1" applyAlignment="1">
      <alignment horizontal="center" vertical="center" wrapText="1"/>
    </xf>
    <xf numFmtId="14" fontId="102" fillId="22" borderId="89" xfId="0" applyNumberFormat="1" applyFont="1" applyFill="1" applyBorder="1" applyAlignment="1">
      <alignment horizontal="center" vertical="center" wrapText="1"/>
    </xf>
    <xf numFmtId="168" fontId="102" fillId="27" borderId="87" xfId="0" applyNumberFormat="1" applyFont="1" applyFill="1" applyBorder="1" applyAlignment="1" applyProtection="1">
      <alignment horizontal="center" vertical="center"/>
      <protection locked="0"/>
    </xf>
    <xf numFmtId="168" fontId="102" fillId="27" borderId="90" xfId="0" applyNumberFormat="1" applyFont="1" applyFill="1" applyBorder="1" applyAlignment="1" applyProtection="1">
      <alignment horizontal="center" vertical="center"/>
      <protection locked="0"/>
    </xf>
    <xf numFmtId="0" fontId="102" fillId="22" borderId="87" xfId="0" applyFont="1" applyFill="1" applyBorder="1" applyAlignment="1">
      <alignment horizontal="center" vertical="center" wrapText="1"/>
    </xf>
    <xf numFmtId="0" fontId="102" fillId="22" borderId="98" xfId="0" applyFont="1" applyFill="1" applyBorder="1" applyAlignment="1">
      <alignment horizontal="center" vertical="center" wrapText="1"/>
    </xf>
    <xf numFmtId="0" fontId="102" fillId="22" borderId="90" xfId="0" applyFont="1" applyFill="1" applyBorder="1" applyAlignment="1">
      <alignment horizontal="center" vertical="center" wrapText="1"/>
    </xf>
    <xf numFmtId="0" fontId="102" fillId="22" borderId="99" xfId="0" applyFont="1" applyFill="1" applyBorder="1" applyAlignment="1">
      <alignment horizontal="center" vertical="center" wrapText="1"/>
    </xf>
    <xf numFmtId="0" fontId="58" fillId="28" borderId="8" xfId="0" applyFont="1" applyFill="1" applyBorder="1" applyAlignment="1">
      <alignment horizontal="center"/>
    </xf>
    <xf numFmtId="0" fontId="83" fillId="28" borderId="8" xfId="0" applyFont="1" applyFill="1" applyBorder="1" applyAlignment="1">
      <alignment horizontal="center"/>
    </xf>
    <xf numFmtId="0" fontId="2" fillId="5" borderId="9" xfId="0" applyFont="1" applyFill="1" applyBorder="1" applyAlignment="1" applyProtection="1">
      <alignment horizontal="center"/>
      <protection locked="0"/>
    </xf>
    <xf numFmtId="0" fontId="2" fillId="5" borderId="7" xfId="0" applyFont="1" applyFill="1" applyBorder="1" applyAlignment="1" applyProtection="1">
      <alignment horizontal="center"/>
      <protection locked="0"/>
    </xf>
    <xf numFmtId="20" fontId="2" fillId="5" borderId="9" xfId="0" applyNumberFormat="1" applyFont="1" applyFill="1" applyBorder="1" applyAlignment="1" applyProtection="1">
      <alignment horizontal="center"/>
      <protection locked="0"/>
    </xf>
    <xf numFmtId="0" fontId="90" fillId="0" borderId="14" xfId="0" applyFont="1" applyBorder="1" applyAlignment="1" applyProtection="1">
      <alignment horizontal="center" vertical="center"/>
    </xf>
    <xf numFmtId="172" fontId="131" fillId="34" borderId="22" xfId="6" applyNumberFormat="1" applyFont="1" applyFill="1" applyBorder="1" applyAlignment="1" applyProtection="1">
      <alignment horizontal="center" vertical="center" wrapText="1"/>
    </xf>
    <xf numFmtId="172" fontId="131" fillId="34" borderId="14" xfId="6" applyNumberFormat="1" applyFont="1" applyFill="1" applyBorder="1" applyAlignment="1" applyProtection="1">
      <alignment horizontal="center" vertical="center" wrapText="1"/>
    </xf>
    <xf numFmtId="172" fontId="131" fillId="34" borderId="31" xfId="6" applyNumberFormat="1" applyFont="1" applyFill="1" applyBorder="1" applyAlignment="1" applyProtection="1">
      <alignment horizontal="center" vertical="center" wrapText="1"/>
    </xf>
    <xf numFmtId="0" fontId="88" fillId="0" borderId="0" xfId="0" applyFont="1" applyAlignment="1" applyProtection="1">
      <alignment horizontal="center" vertical="center"/>
    </xf>
    <xf numFmtId="179" fontId="89" fillId="0" borderId="0" xfId="0" applyNumberFormat="1" applyFont="1" applyAlignment="1" applyProtection="1">
      <alignment horizontal="center" vertical="center"/>
    </xf>
    <xf numFmtId="172" fontId="89" fillId="0" borderId="0" xfId="0" applyNumberFormat="1" applyFont="1" applyAlignment="1" applyProtection="1">
      <alignment horizontal="left" vertical="center"/>
    </xf>
    <xf numFmtId="14" fontId="132" fillId="34" borderId="15" xfId="0" applyNumberFormat="1" applyFont="1" applyFill="1" applyBorder="1" applyAlignment="1" applyProtection="1">
      <alignment horizontal="center" vertical="center"/>
    </xf>
    <xf numFmtId="14" fontId="132" fillId="34" borderId="13" xfId="0" applyNumberFormat="1" applyFont="1" applyFill="1" applyBorder="1" applyAlignment="1" applyProtection="1">
      <alignment horizontal="center" vertical="center"/>
    </xf>
    <xf numFmtId="172" fontId="89" fillId="34" borderId="21" xfId="0" applyNumberFormat="1" applyFont="1" applyFill="1" applyBorder="1" applyAlignment="1" applyProtection="1">
      <alignment horizontal="center" vertical="center"/>
    </xf>
    <xf numFmtId="172" fontId="89" fillId="34" borderId="0" xfId="0" applyNumberFormat="1" applyFont="1" applyFill="1" applyBorder="1" applyAlignment="1" applyProtection="1">
      <alignment horizontal="center" vertical="center"/>
    </xf>
    <xf numFmtId="172" fontId="89" fillId="34" borderId="23" xfId="0" applyNumberFormat="1" applyFont="1" applyFill="1" applyBorder="1" applyAlignment="1" applyProtection="1">
      <alignment horizontal="center" vertical="center"/>
    </xf>
    <xf numFmtId="0" fontId="48" fillId="0" borderId="68" xfId="0" applyFont="1" applyBorder="1" applyAlignment="1">
      <alignment horizontal="center"/>
    </xf>
    <xf numFmtId="0" fontId="48" fillId="0" borderId="72" xfId="0" applyFont="1" applyBorder="1" applyAlignment="1">
      <alignment horizontal="center"/>
    </xf>
    <xf numFmtId="0" fontId="51" fillId="0" borderId="59" xfId="0" applyFont="1" applyBorder="1" applyAlignment="1">
      <alignment horizontal="center"/>
    </xf>
    <xf numFmtId="0" fontId="51" fillId="0" borderId="68" xfId="0" applyFont="1" applyBorder="1" applyAlignment="1">
      <alignment horizontal="center"/>
    </xf>
    <xf numFmtId="175" fontId="52" fillId="0" borderId="68" xfId="0" applyNumberFormat="1" applyFont="1" applyBorder="1" applyAlignment="1">
      <alignment horizontal="center"/>
    </xf>
    <xf numFmtId="175" fontId="52" fillId="0" borderId="60" xfId="0" applyNumberFormat="1" applyFont="1" applyBorder="1" applyAlignment="1">
      <alignment horizontal="center"/>
    </xf>
    <xf numFmtId="175" fontId="47" fillId="0" borderId="59" xfId="0" applyNumberFormat="1" applyFont="1" applyBorder="1" applyAlignment="1">
      <alignment horizontal="center"/>
    </xf>
    <xf numFmtId="175" fontId="47" fillId="0" borderId="68" xfId="0" applyNumberFormat="1" applyFont="1" applyBorder="1" applyAlignment="1">
      <alignment horizontal="center"/>
    </xf>
    <xf numFmtId="175" fontId="47" fillId="0" borderId="60" xfId="0" applyNumberFormat="1" applyFont="1" applyBorder="1" applyAlignment="1">
      <alignment horizontal="center"/>
    </xf>
    <xf numFmtId="0" fontId="0" fillId="0" borderId="68" xfId="0" applyBorder="1"/>
    <xf numFmtId="175" fontId="52" fillId="0" borderId="59" xfId="0" applyNumberFormat="1" applyFont="1" applyBorder="1" applyAlignment="1">
      <alignment horizontal="center"/>
    </xf>
    <xf numFmtId="173" fontId="75" fillId="7" borderId="14" xfId="0" applyNumberFormat="1" applyFont="1" applyFill="1" applyBorder="1" applyAlignment="1">
      <alignment horizontal="center" vertical="center"/>
    </xf>
    <xf numFmtId="173" fontId="75" fillId="7" borderId="31" xfId="0" applyNumberFormat="1" applyFont="1" applyFill="1" applyBorder="1" applyAlignment="1">
      <alignment horizontal="center"/>
    </xf>
    <xf numFmtId="173" fontId="75" fillId="7" borderId="29" xfId="0" applyNumberFormat="1" applyFont="1" applyFill="1" applyBorder="1" applyAlignment="1">
      <alignment horizontal="center"/>
    </xf>
    <xf numFmtId="173" fontId="75" fillId="7" borderId="58" xfId="0" applyNumberFormat="1" applyFont="1" applyFill="1" applyBorder="1" applyAlignment="1">
      <alignment horizontal="center"/>
    </xf>
    <xf numFmtId="0" fontId="49" fillId="15" borderId="59" xfId="0" applyFont="1" applyFill="1" applyBorder="1" applyAlignment="1">
      <alignment horizontal="center"/>
    </xf>
    <xf numFmtId="0" fontId="49" fillId="15" borderId="68" xfId="0" applyFont="1" applyFill="1" applyBorder="1" applyAlignment="1">
      <alignment horizontal="center"/>
    </xf>
    <xf numFmtId="0" fontId="49" fillId="15" borderId="60" xfId="0" applyFont="1" applyFill="1" applyBorder="1" applyAlignment="1">
      <alignment horizontal="center"/>
    </xf>
    <xf numFmtId="174" fontId="74" fillId="12" borderId="48" xfId="0" applyNumberFormat="1" applyFont="1" applyFill="1" applyBorder="1" applyAlignment="1">
      <alignment horizontal="center" vertical="center"/>
    </xf>
    <xf numFmtId="174" fontId="74" fillId="12" borderId="67" xfId="0" applyNumberFormat="1" applyFont="1" applyFill="1" applyBorder="1" applyAlignment="1">
      <alignment horizontal="center" vertical="center"/>
    </xf>
    <xf numFmtId="174" fontId="74" fillId="12" borderId="49" xfId="0" applyNumberFormat="1" applyFont="1" applyFill="1" applyBorder="1" applyAlignment="1">
      <alignment horizontal="center" vertical="center"/>
    </xf>
    <xf numFmtId="174" fontId="74" fillId="12" borderId="51" xfId="0" applyNumberFormat="1" applyFont="1" applyFill="1" applyBorder="1" applyAlignment="1">
      <alignment horizontal="center" vertical="center"/>
    </xf>
    <xf numFmtId="174" fontId="74" fillId="12" borderId="8" xfId="0" applyNumberFormat="1" applyFont="1" applyFill="1" applyBorder="1" applyAlignment="1">
      <alignment horizontal="center" vertical="center"/>
    </xf>
    <xf numFmtId="174" fontId="74" fillId="12" borderId="52" xfId="0" applyNumberFormat="1" applyFont="1" applyFill="1" applyBorder="1" applyAlignment="1">
      <alignment horizontal="center" vertical="center"/>
    </xf>
    <xf numFmtId="0" fontId="73" fillId="7" borderId="64" xfId="0" applyFont="1" applyFill="1" applyBorder="1" applyAlignment="1">
      <alignment horizontal="center"/>
    </xf>
    <xf numFmtId="0" fontId="73" fillId="7" borderId="28" xfId="0" applyFont="1" applyFill="1" applyBorder="1" applyAlignment="1">
      <alignment horizontal="center"/>
    </xf>
    <xf numFmtId="0" fontId="73" fillId="7" borderId="50" xfId="0" applyFont="1" applyFill="1" applyBorder="1" applyAlignment="1">
      <alignment horizontal="center"/>
    </xf>
    <xf numFmtId="174" fontId="74" fillId="12" borderId="54" xfId="0" applyNumberFormat="1" applyFont="1" applyFill="1" applyBorder="1" applyAlignment="1">
      <alignment horizontal="center" vertical="center"/>
    </xf>
    <xf numFmtId="174" fontId="74" fillId="12" borderId="66" xfId="0" applyNumberFormat="1" applyFont="1" applyFill="1" applyBorder="1" applyAlignment="1">
      <alignment horizontal="center" vertical="center"/>
    </xf>
    <xf numFmtId="174" fontId="74" fillId="12" borderId="55" xfId="0" applyNumberFormat="1" applyFont="1" applyFill="1" applyBorder="1" applyAlignment="1">
      <alignment horizontal="center" vertical="center"/>
    </xf>
    <xf numFmtId="0" fontId="73" fillId="7" borderId="82" xfId="0" applyFont="1" applyFill="1" applyBorder="1" applyAlignment="1">
      <alignment horizontal="center"/>
    </xf>
    <xf numFmtId="0" fontId="73" fillId="7" borderId="30" xfId="0" applyFont="1" applyFill="1" applyBorder="1" applyAlignment="1">
      <alignment horizontal="center"/>
    </xf>
    <xf numFmtId="0" fontId="73" fillId="7" borderId="53" xfId="0" applyFont="1" applyFill="1" applyBorder="1" applyAlignment="1">
      <alignment horizontal="center"/>
    </xf>
    <xf numFmtId="2" fontId="73" fillId="7" borderId="30" xfId="0" applyNumberFormat="1" applyFont="1" applyFill="1" applyBorder="1" applyAlignment="1">
      <alignment horizontal="center"/>
    </xf>
    <xf numFmtId="2" fontId="73" fillId="7" borderId="28" xfId="0" applyNumberFormat="1" applyFont="1" applyFill="1" applyBorder="1" applyAlignment="1">
      <alignment horizontal="center"/>
    </xf>
    <xf numFmtId="1" fontId="76" fillId="0" borderId="29" xfId="0" applyNumberFormat="1" applyFont="1" applyBorder="1" applyAlignment="1">
      <alignment horizontal="center" vertical="center"/>
    </xf>
    <xf numFmtId="1" fontId="38" fillId="0" borderId="8" xfId="0" applyNumberFormat="1" applyFont="1" applyBorder="1" applyAlignment="1">
      <alignment horizontal="center" vertical="center"/>
    </xf>
    <xf numFmtId="1" fontId="76" fillId="0" borderId="8" xfId="0" applyNumberFormat="1" applyFont="1" applyBorder="1" applyAlignment="1">
      <alignment horizontal="center" vertical="center"/>
    </xf>
    <xf numFmtId="175" fontId="76" fillId="0" borderId="9" xfId="0" applyNumberFormat="1" applyFont="1" applyBorder="1" applyAlignment="1">
      <alignment horizontal="center" vertical="center"/>
    </xf>
    <xf numFmtId="175" fontId="76" fillId="0" borderId="28" xfId="0" applyNumberFormat="1" applyFont="1" applyBorder="1" applyAlignment="1">
      <alignment horizontal="center" vertical="center"/>
    </xf>
    <xf numFmtId="175" fontId="76" fillId="0" borderId="7" xfId="0" applyNumberFormat="1" applyFont="1" applyBorder="1" applyAlignment="1">
      <alignment horizontal="center" vertical="center"/>
    </xf>
    <xf numFmtId="0" fontId="38" fillId="0" borderId="22" xfId="0" applyFont="1" applyBorder="1" applyAlignment="1">
      <alignment horizontal="right" vertical="center" wrapText="1"/>
    </xf>
    <xf numFmtId="0" fontId="38" fillId="0" borderId="14" xfId="0" applyFont="1" applyBorder="1" applyAlignment="1">
      <alignment horizontal="right" vertical="center" wrapText="1"/>
    </xf>
    <xf numFmtId="172" fontId="76" fillId="0" borderId="9" xfId="0" applyNumberFormat="1" applyFont="1" applyBorder="1" applyAlignment="1">
      <alignment horizontal="center"/>
    </xf>
    <xf numFmtId="172" fontId="76" fillId="0" borderId="28" xfId="0" applyNumberFormat="1" applyFont="1" applyBorder="1" applyAlignment="1">
      <alignment horizontal="center"/>
    </xf>
    <xf numFmtId="172" fontId="76" fillId="0" borderId="7" xfId="0" applyNumberFormat="1" applyFont="1" applyBorder="1" applyAlignment="1">
      <alignment horizontal="center"/>
    </xf>
    <xf numFmtId="0" fontId="73" fillId="7" borderId="74" xfId="0" applyFont="1" applyFill="1" applyBorder="1" applyAlignment="1">
      <alignment horizontal="center"/>
    </xf>
    <xf numFmtId="0" fontId="73" fillId="7" borderId="14" xfId="0" applyFont="1" applyFill="1" applyBorder="1" applyAlignment="1">
      <alignment horizontal="center"/>
    </xf>
    <xf numFmtId="0" fontId="73" fillId="7" borderId="56" xfId="0" applyFont="1" applyFill="1" applyBorder="1" applyAlignment="1">
      <alignment horizontal="center"/>
    </xf>
    <xf numFmtId="2" fontId="73" fillId="7" borderId="14" xfId="0" applyNumberFormat="1" applyFont="1" applyFill="1" applyBorder="1" applyAlignment="1">
      <alignment horizontal="center"/>
    </xf>
    <xf numFmtId="2" fontId="38" fillId="0" borderId="0" xfId="0" applyNumberFormat="1" applyFont="1" applyAlignment="1">
      <alignment horizontal="center" wrapText="1"/>
    </xf>
    <xf numFmtId="2" fontId="38" fillId="0" borderId="14" xfId="0" applyNumberFormat="1" applyFont="1" applyBorder="1" applyAlignment="1">
      <alignment horizontal="center" wrapText="1"/>
    </xf>
    <xf numFmtId="0" fontId="76" fillId="0" borderId="9" xfId="0" applyFont="1" applyBorder="1" applyAlignment="1">
      <alignment horizontal="center"/>
    </xf>
    <xf numFmtId="0" fontId="76" fillId="0" borderId="28" xfId="0" applyFont="1" applyBorder="1" applyAlignment="1">
      <alignment horizontal="center"/>
    </xf>
    <xf numFmtId="0" fontId="76" fillId="0" borderId="7" xfId="0" applyFont="1" applyBorder="1" applyAlignment="1">
      <alignment horizontal="center"/>
    </xf>
    <xf numFmtId="164" fontId="76" fillId="0" borderId="9" xfId="1" applyFont="1" applyBorder="1" applyAlignment="1">
      <alignment horizontal="center"/>
    </xf>
    <xf numFmtId="164" fontId="76" fillId="0" borderId="28" xfId="1" applyFont="1" applyBorder="1" applyAlignment="1">
      <alignment horizontal="center"/>
    </xf>
    <xf numFmtId="164" fontId="76" fillId="0" borderId="7" xfId="1" applyFont="1" applyBorder="1" applyAlignment="1">
      <alignment horizontal="center"/>
    </xf>
    <xf numFmtId="0" fontId="37" fillId="0" borderId="9" xfId="0" applyFont="1" applyBorder="1" applyAlignment="1">
      <alignment horizontal="center"/>
    </xf>
    <xf numFmtId="0" fontId="37" fillId="0" borderId="28" xfId="0" applyFont="1" applyBorder="1" applyAlignment="1">
      <alignment horizontal="center"/>
    </xf>
    <xf numFmtId="0" fontId="37" fillId="0" borderId="7" xfId="0" applyFont="1" applyBorder="1" applyAlignment="1">
      <alignment horizontal="center"/>
    </xf>
    <xf numFmtId="0" fontId="40" fillId="0" borderId="9" xfId="0" applyFont="1" applyBorder="1" applyAlignment="1">
      <alignment horizontal="center"/>
    </xf>
    <xf numFmtId="0" fontId="40" fillId="0" borderId="28" xfId="0" applyFont="1" applyBorder="1" applyAlignment="1">
      <alignment horizontal="center"/>
    </xf>
    <xf numFmtId="0" fontId="40" fillId="0" borderId="7" xfId="0" applyFont="1" applyBorder="1" applyAlignment="1">
      <alignment horizontal="center"/>
    </xf>
    <xf numFmtId="0" fontId="44" fillId="0" borderId="0" xfId="0" applyFont="1" applyAlignment="1">
      <alignment horizontal="left"/>
    </xf>
    <xf numFmtId="0" fontId="62" fillId="5" borderId="0" xfId="0" applyFont="1" applyFill="1" applyAlignment="1" applyProtection="1">
      <alignment horizontal="center"/>
      <protection locked="0"/>
    </xf>
    <xf numFmtId="0" fontId="0" fillId="0" borderId="0" xfId="0" applyProtection="1">
      <protection locked="0"/>
    </xf>
    <xf numFmtId="14" fontId="87" fillId="0" borderId="14" xfId="0" applyNumberFormat="1" applyFont="1" applyBorder="1" applyAlignment="1" applyProtection="1">
      <alignment horizontal="center"/>
      <protection locked="0"/>
    </xf>
    <xf numFmtId="0" fontId="104" fillId="5" borderId="0" xfId="0" applyFont="1" applyFill="1" applyAlignment="1" applyProtection="1">
      <alignment horizontal="center"/>
      <protection locked="0"/>
    </xf>
    <xf numFmtId="0" fontId="62" fillId="5" borderId="0" xfId="0" applyFont="1" applyFill="1" applyAlignment="1" applyProtection="1">
      <alignment horizontal="center"/>
      <protection locked="0"/>
    </xf>
    <xf numFmtId="0" fontId="104" fillId="5" borderId="0" xfId="0" applyFont="1" applyFill="1" applyAlignment="1" applyProtection="1">
      <alignment horizontal="center"/>
      <protection locked="0"/>
    </xf>
    <xf numFmtId="164" fontId="0" fillId="0" borderId="9" xfId="1" applyFont="1" applyBorder="1" applyProtection="1">
      <protection locked="0"/>
    </xf>
    <xf numFmtId="164" fontId="0" fillId="0" borderId="7" xfId="1" applyFont="1" applyBorder="1" applyProtection="1">
      <protection locked="0"/>
    </xf>
    <xf numFmtId="0" fontId="0" fillId="0" borderId="9" xfId="0" applyBorder="1" applyProtection="1">
      <protection locked="0"/>
    </xf>
    <xf numFmtId="0" fontId="0" fillId="0" borderId="28" xfId="0" applyBorder="1" applyProtection="1">
      <protection locked="0"/>
    </xf>
    <xf numFmtId="0" fontId="0" fillId="0" borderId="7" xfId="0" applyBorder="1" applyProtection="1">
      <protection locked="0"/>
    </xf>
    <xf numFmtId="0" fontId="10" fillId="5" borderId="0" xfId="0" applyFont="1" applyFill="1" applyAlignment="1" applyProtection="1">
      <alignment horizontal="center"/>
      <protection locked="0"/>
    </xf>
    <xf numFmtId="14" fontId="26" fillId="5" borderId="14" xfId="0" applyNumberFormat="1" applyFont="1" applyFill="1" applyBorder="1" applyAlignment="1" applyProtection="1">
      <alignment horizontal="center"/>
      <protection locked="0"/>
    </xf>
    <xf numFmtId="0" fontId="26" fillId="5" borderId="0" xfId="0" applyFont="1" applyFill="1" applyAlignment="1" applyProtection="1">
      <alignment horizontal="center"/>
      <protection locked="0"/>
    </xf>
    <xf numFmtId="0" fontId="26" fillId="5" borderId="14" xfId="0" applyFont="1" applyFill="1" applyBorder="1" applyAlignment="1" applyProtection="1">
      <alignment horizontal="center"/>
      <protection locked="0"/>
    </xf>
    <xf numFmtId="0" fontId="10" fillId="5" borderId="0" xfId="0" applyFont="1" applyFill="1" applyAlignment="1" applyProtection="1">
      <alignment horizontal="left"/>
      <protection locked="0"/>
    </xf>
    <xf numFmtId="167" fontId="0" fillId="5" borderId="0" xfId="0" applyNumberFormat="1" applyFill="1" applyAlignment="1" applyProtection="1">
      <alignment horizontal="left"/>
      <protection locked="0"/>
    </xf>
    <xf numFmtId="0" fontId="32" fillId="0" borderId="0" xfId="0" applyFont="1" applyAlignment="1" applyProtection="1">
      <alignment horizontal="center" vertical="center" wrapText="1"/>
      <protection locked="0"/>
    </xf>
    <xf numFmtId="14" fontId="0" fillId="0" borderId="0" xfId="0" applyNumberFormat="1" applyProtection="1">
      <protection locked="0"/>
    </xf>
    <xf numFmtId="0" fontId="18" fillId="0" borderId="0" xfId="0" applyFont="1" applyProtection="1">
      <protection locked="0"/>
    </xf>
    <xf numFmtId="0" fontId="125" fillId="0" borderId="0" xfId="0" applyFont="1" applyAlignment="1" applyProtection="1">
      <alignment horizontal="center" vertical="center" wrapText="1"/>
      <protection locked="0"/>
    </xf>
    <xf numFmtId="0" fontId="12" fillId="5" borderId="0" xfId="0" applyFont="1" applyFill="1" applyAlignment="1" applyProtection="1">
      <alignment horizontal="center"/>
      <protection locked="0"/>
    </xf>
    <xf numFmtId="0" fontId="13" fillId="0" borderId="8" xfId="0" applyFont="1" applyBorder="1" applyAlignment="1" applyProtection="1">
      <alignment horizontal="center" vertical="center"/>
      <protection locked="0"/>
    </xf>
    <xf numFmtId="0" fontId="3" fillId="25" borderId="8" xfId="0" applyFont="1" applyFill="1" applyBorder="1" applyAlignment="1" applyProtection="1">
      <alignment horizontal="center" vertical="center" wrapText="1"/>
      <protection locked="0"/>
    </xf>
    <xf numFmtId="0" fontId="3" fillId="25" borderId="8" xfId="0" quotePrefix="1" applyFont="1" applyFill="1" applyBorder="1" applyAlignment="1" applyProtection="1">
      <alignment horizontal="center" vertical="center" wrapText="1"/>
      <protection locked="0"/>
    </xf>
    <xf numFmtId="0" fontId="27" fillId="25" borderId="9" xfId="0" applyFont="1" applyFill="1" applyBorder="1" applyAlignment="1" applyProtection="1">
      <alignment horizontal="center" vertical="center"/>
      <protection locked="0"/>
    </xf>
    <xf numFmtId="0" fontId="27" fillId="25" borderId="28" xfId="0" applyFont="1" applyFill="1" applyBorder="1" applyAlignment="1" applyProtection="1">
      <alignment horizontal="center" vertical="center"/>
      <protection locked="0"/>
    </xf>
    <xf numFmtId="0" fontId="27" fillId="25" borderId="7" xfId="0" applyFont="1" applyFill="1" applyBorder="1" applyAlignment="1" applyProtection="1">
      <alignment horizontal="center" vertical="center"/>
      <protection locked="0"/>
    </xf>
    <xf numFmtId="0" fontId="14" fillId="8" borderId="8" xfId="0" applyFont="1" applyFill="1" applyBorder="1" applyAlignment="1" applyProtection="1">
      <alignment horizontal="center" vertical="center"/>
      <protection locked="0"/>
    </xf>
    <xf numFmtId="20" fontId="19" fillId="0" borderId="0" xfId="0" applyNumberFormat="1" applyFont="1" applyProtection="1">
      <protection locked="0"/>
    </xf>
    <xf numFmtId="0" fontId="0" fillId="0" borderId="0" xfId="0" applyAlignment="1" applyProtection="1">
      <alignment horizontal="center" vertical="center" wrapText="1"/>
      <protection locked="0"/>
    </xf>
    <xf numFmtId="0" fontId="96" fillId="0" borderId="0" xfId="0" applyFont="1" applyAlignment="1" applyProtection="1">
      <alignment horizontal="center" wrapText="1"/>
      <protection locked="0"/>
    </xf>
    <xf numFmtId="0" fontId="125" fillId="0" borderId="0" xfId="0" applyFont="1" applyAlignment="1" applyProtection="1">
      <alignment vertical="center" wrapText="1"/>
      <protection locked="0"/>
    </xf>
    <xf numFmtId="0" fontId="13" fillId="0" borderId="8" xfId="0" applyFont="1" applyBorder="1" applyAlignment="1" applyProtection="1">
      <alignment horizontal="center" vertical="center"/>
      <protection locked="0"/>
    </xf>
    <xf numFmtId="0" fontId="13" fillId="23" borderId="8" xfId="0" applyFont="1" applyFill="1" applyBorder="1" applyAlignment="1" applyProtection="1">
      <alignment horizontal="center" vertical="center"/>
      <protection locked="0"/>
    </xf>
    <xf numFmtId="0" fontId="3" fillId="25" borderId="8" xfId="0" applyFont="1" applyFill="1" applyBorder="1" applyAlignment="1" applyProtection="1">
      <alignment horizontal="center" vertical="center"/>
      <protection locked="0"/>
    </xf>
    <xf numFmtId="0" fontId="27" fillId="25" borderId="29" xfId="0" applyFont="1" applyFill="1" applyBorder="1" applyAlignment="1" applyProtection="1">
      <alignment horizontal="center" vertical="center"/>
      <protection locked="0"/>
    </xf>
    <xf numFmtId="0" fontId="19" fillId="0" borderId="0" xfId="0" applyFont="1" applyProtection="1">
      <protection locked="0"/>
    </xf>
    <xf numFmtId="0" fontId="125" fillId="0" borderId="0" xfId="0" applyFont="1" applyProtection="1">
      <protection locked="0"/>
    </xf>
    <xf numFmtId="0" fontId="11" fillId="6" borderId="10" xfId="0" applyFont="1" applyFill="1" applyBorder="1" applyAlignment="1" applyProtection="1">
      <alignment horizontal="center"/>
      <protection locked="0"/>
    </xf>
    <xf numFmtId="172" fontId="15" fillId="25" borderId="8" xfId="0" applyNumberFormat="1" applyFont="1" applyFill="1" applyBorder="1" applyAlignment="1" applyProtection="1">
      <alignment horizontal="center"/>
      <protection locked="0"/>
    </xf>
    <xf numFmtId="172" fontId="15" fillId="25" borderId="9" xfId="0" applyNumberFormat="1" applyFont="1" applyFill="1" applyBorder="1" applyAlignment="1" applyProtection="1">
      <alignment horizontal="center"/>
      <protection locked="0"/>
    </xf>
    <xf numFmtId="169" fontId="28" fillId="25" borderId="9" xfId="1" applyNumberFormat="1" applyFont="1" applyFill="1" applyBorder="1" applyAlignment="1" applyProtection="1">
      <alignment horizontal="center"/>
      <protection locked="0"/>
    </xf>
    <xf numFmtId="1" fontId="28" fillId="25" borderId="9" xfId="0" applyNumberFormat="1" applyFont="1" applyFill="1" applyBorder="1" applyAlignment="1" applyProtection="1">
      <alignment horizontal="center"/>
      <protection locked="0"/>
    </xf>
    <xf numFmtId="165" fontId="15" fillId="25" borderId="9" xfId="0" applyNumberFormat="1" applyFont="1" applyFill="1" applyBorder="1" applyAlignment="1" applyProtection="1">
      <alignment horizontal="center"/>
      <protection locked="0"/>
    </xf>
    <xf numFmtId="177" fontId="85" fillId="0" borderId="0" xfId="1" applyNumberFormat="1" applyFont="1" applyProtection="1">
      <protection locked="0"/>
    </xf>
    <xf numFmtId="172" fontId="0" fillId="0" borderId="0" xfId="0" applyNumberFormat="1" applyProtection="1">
      <protection locked="0"/>
    </xf>
    <xf numFmtId="172" fontId="125" fillId="0" borderId="0" xfId="0" applyNumberFormat="1" applyFont="1" applyProtection="1">
      <protection locked="0"/>
    </xf>
    <xf numFmtId="0" fontId="11" fillId="6" borderId="11" xfId="0" applyFont="1" applyFill="1" applyBorder="1" applyAlignment="1" applyProtection="1">
      <alignment horizontal="center"/>
      <protection locked="0"/>
    </xf>
    <xf numFmtId="14" fontId="85" fillId="0" borderId="0" xfId="1" applyNumberFormat="1" applyFont="1" applyProtection="1">
      <protection locked="0"/>
    </xf>
    <xf numFmtId="0" fontId="11" fillId="6" borderId="12" xfId="0" applyFont="1" applyFill="1" applyBorder="1" applyAlignment="1" applyProtection="1">
      <alignment horizontal="center"/>
      <protection locked="0"/>
    </xf>
    <xf numFmtId="166" fontId="85" fillId="0" borderId="0" xfId="2" applyProtection="1">
      <protection locked="0"/>
    </xf>
    <xf numFmtId="164" fontId="85" fillId="0" borderId="0" xfId="1" applyFont="1" applyProtection="1">
      <protection locked="0"/>
    </xf>
    <xf numFmtId="0" fontId="16" fillId="5" borderId="0" xfId="0" applyFont="1" applyFill="1" applyAlignment="1" applyProtection="1">
      <alignment horizontal="center"/>
      <protection locked="0"/>
    </xf>
    <xf numFmtId="0" fontId="17" fillId="5" borderId="0" xfId="0" applyFont="1" applyFill="1" applyAlignment="1" applyProtection="1">
      <alignment horizontal="center"/>
      <protection locked="0"/>
    </xf>
    <xf numFmtId="0" fontId="23" fillId="5" borderId="0" xfId="0" applyFont="1" applyFill="1" applyAlignment="1" applyProtection="1">
      <alignment horizontal="center"/>
      <protection locked="0"/>
    </xf>
    <xf numFmtId="172" fontId="16" fillId="5" borderId="0" xfId="0" applyNumberFormat="1" applyFont="1" applyFill="1" applyAlignment="1" applyProtection="1">
      <alignment horizontal="center"/>
      <protection locked="0"/>
    </xf>
    <xf numFmtId="167" fontId="16" fillId="5" borderId="0" xfId="0" applyNumberFormat="1" applyFont="1" applyFill="1" applyAlignment="1" applyProtection="1">
      <alignment horizontal="center"/>
      <protection locked="0"/>
    </xf>
    <xf numFmtId="1" fontId="17" fillId="5" borderId="0" xfId="0" applyNumberFormat="1" applyFont="1" applyFill="1" applyAlignment="1" applyProtection="1">
      <alignment horizontal="center"/>
      <protection locked="0"/>
    </xf>
    <xf numFmtId="1" fontId="28" fillId="5" borderId="13" xfId="0" applyNumberFormat="1" applyFont="1" applyFill="1" applyBorder="1" applyAlignment="1" applyProtection="1">
      <alignment horizontal="center"/>
      <protection locked="0"/>
    </xf>
    <xf numFmtId="0" fontId="17" fillId="5" borderId="0" xfId="0" applyFont="1" applyFill="1" applyAlignment="1" applyProtection="1">
      <alignment horizontal="left"/>
      <protection locked="0"/>
    </xf>
    <xf numFmtId="172" fontId="18" fillId="5" borderId="0" xfId="0" applyNumberFormat="1" applyFont="1" applyFill="1" applyAlignment="1" applyProtection="1">
      <alignment horizontal="left"/>
      <protection locked="0"/>
    </xf>
    <xf numFmtId="1" fontId="28" fillId="5" borderId="0" xfId="0" applyNumberFormat="1" applyFont="1" applyFill="1" applyAlignment="1" applyProtection="1">
      <alignment horizontal="center"/>
      <protection locked="0"/>
    </xf>
    <xf numFmtId="166" fontId="16" fillId="5" borderId="0" xfId="0" applyNumberFormat="1" applyFont="1" applyFill="1" applyAlignment="1" applyProtection="1">
      <alignment horizontal="center"/>
      <protection locked="0"/>
    </xf>
    <xf numFmtId="0" fontId="18" fillId="5" borderId="0" xfId="0" applyFont="1" applyFill="1" applyAlignment="1" applyProtection="1">
      <alignment horizontal="center"/>
      <protection locked="0"/>
    </xf>
    <xf numFmtId="172" fontId="18" fillId="5" borderId="0" xfId="0" applyNumberFormat="1" applyFont="1" applyFill="1" applyAlignment="1" applyProtection="1">
      <alignment horizontal="center"/>
      <protection locked="0"/>
    </xf>
    <xf numFmtId="0" fontId="0" fillId="5" borderId="0" xfId="0" applyFill="1" applyAlignment="1" applyProtection="1">
      <alignment horizontal="left"/>
      <protection locked="0"/>
    </xf>
    <xf numFmtId="170" fontId="85" fillId="0" borderId="0" xfId="1" applyNumberFormat="1" applyFont="1" applyProtection="1">
      <protection locked="0"/>
    </xf>
    <xf numFmtId="0" fontId="0" fillId="5" borderId="0" xfId="0" applyFill="1" applyAlignment="1" applyProtection="1">
      <alignment horizontal="center"/>
      <protection locked="0"/>
    </xf>
    <xf numFmtId="0" fontId="13" fillId="0" borderId="9"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0" fontId="14" fillId="8" borderId="15" xfId="0" applyFont="1" applyFill="1" applyBorder="1" applyAlignment="1" applyProtection="1">
      <alignment horizontal="center" vertical="center"/>
      <protection locked="0"/>
    </xf>
    <xf numFmtId="0" fontId="14" fillId="8" borderId="16" xfId="0" applyFont="1" applyFill="1" applyBorder="1" applyAlignment="1" applyProtection="1">
      <alignment horizontal="center" vertical="center"/>
      <protection locked="0"/>
    </xf>
    <xf numFmtId="0" fontId="14" fillId="8" borderId="22" xfId="0" applyFont="1" applyFill="1" applyBorder="1" applyAlignment="1" applyProtection="1">
      <alignment horizontal="center" vertical="center"/>
      <protection locked="0"/>
    </xf>
    <xf numFmtId="0" fontId="14" fillId="8" borderId="31" xfId="0" applyFont="1" applyFill="1" applyBorder="1" applyAlignment="1" applyProtection="1">
      <alignment horizontal="center" vertical="center"/>
      <protection locked="0"/>
    </xf>
    <xf numFmtId="171" fontId="11" fillId="6" borderId="10" xfId="0" applyNumberFormat="1" applyFont="1" applyFill="1" applyBorder="1" applyAlignment="1" applyProtection="1">
      <alignment horizontal="center"/>
      <protection locked="0"/>
    </xf>
    <xf numFmtId="171" fontId="11" fillId="6" borderId="11" xfId="0" applyNumberFormat="1" applyFont="1" applyFill="1" applyBorder="1" applyAlignment="1" applyProtection="1">
      <alignment horizontal="center"/>
      <protection locked="0"/>
    </xf>
    <xf numFmtId="171" fontId="11" fillId="6" borderId="12" xfId="0" applyNumberFormat="1" applyFont="1" applyFill="1" applyBorder="1" applyAlignment="1" applyProtection="1">
      <alignment horizontal="center"/>
      <protection locked="0"/>
    </xf>
    <xf numFmtId="0" fontId="0" fillId="5" borderId="0" xfId="0" applyFill="1" applyProtection="1">
      <protection locked="0"/>
    </xf>
    <xf numFmtId="167" fontId="18" fillId="5" borderId="0" xfId="0" applyNumberFormat="1" applyFont="1" applyFill="1" applyAlignment="1" applyProtection="1">
      <alignment horizontal="left"/>
      <protection locked="0"/>
    </xf>
    <xf numFmtId="167" fontId="125" fillId="0" borderId="0" xfId="0" applyNumberFormat="1" applyFont="1" applyProtection="1">
      <protection locked="0"/>
    </xf>
    <xf numFmtId="0" fontId="10" fillId="2" borderId="0" xfId="0" applyFont="1" applyFill="1" applyProtection="1">
      <protection locked="0"/>
    </xf>
    <xf numFmtId="172" fontId="10" fillId="2" borderId="8" xfId="0" applyNumberFormat="1" applyFont="1" applyFill="1" applyBorder="1" applyAlignment="1" applyProtection="1">
      <alignment horizontal="center"/>
      <protection locked="0"/>
    </xf>
    <xf numFmtId="0" fontId="0" fillId="2" borderId="0" xfId="0" applyFill="1" applyProtection="1">
      <protection locked="0"/>
    </xf>
    <xf numFmtId="0" fontId="58" fillId="2" borderId="0" xfId="0" applyFont="1" applyFill="1" applyProtection="1">
      <protection locked="0"/>
    </xf>
    <xf numFmtId="0" fontId="58" fillId="2" borderId="0" xfId="0" applyFont="1" applyFill="1" applyAlignment="1" applyProtection="1">
      <alignment horizontal="left"/>
      <protection locked="0"/>
    </xf>
    <xf numFmtId="167" fontId="58" fillId="2" borderId="0" xfId="0" applyNumberFormat="1" applyFont="1" applyFill="1" applyAlignment="1" applyProtection="1">
      <alignment horizontal="left"/>
      <protection locked="0"/>
    </xf>
    <xf numFmtId="0" fontId="21" fillId="2" borderId="0" xfId="0" applyFont="1" applyFill="1" applyProtection="1">
      <protection locked="0"/>
    </xf>
    <xf numFmtId="172" fontId="21" fillId="2" borderId="8" xfId="0" applyNumberFormat="1" applyFont="1" applyFill="1" applyBorder="1" applyAlignment="1" applyProtection="1">
      <alignment horizontal="center"/>
      <protection locked="0"/>
    </xf>
    <xf numFmtId="0" fontId="77" fillId="2" borderId="0" xfId="0" applyFont="1" applyFill="1" applyAlignment="1" applyProtection="1">
      <alignment horizontal="center"/>
      <protection locked="0"/>
    </xf>
    <xf numFmtId="2" fontId="58" fillId="2" borderId="0" xfId="0" applyNumberFormat="1" applyFont="1" applyFill="1" applyAlignment="1" applyProtection="1">
      <alignment horizontal="center" vertical="center"/>
      <protection locked="0"/>
    </xf>
    <xf numFmtId="0" fontId="59" fillId="2" borderId="15" xfId="0" applyFont="1" applyFill="1" applyBorder="1" applyAlignment="1" applyProtection="1">
      <alignment horizontal="center" vertical="center"/>
      <protection locked="0"/>
    </xf>
    <xf numFmtId="0" fontId="59" fillId="2" borderId="16" xfId="0" applyFont="1" applyFill="1" applyBorder="1" applyAlignment="1" applyProtection="1">
      <alignment horizontal="center" vertical="center"/>
      <protection locked="0"/>
    </xf>
    <xf numFmtId="2" fontId="59" fillId="2" borderId="13" xfId="0" applyNumberFormat="1" applyFont="1" applyFill="1" applyBorder="1" applyAlignment="1" applyProtection="1">
      <alignment horizontal="center" vertical="center" wrapText="1"/>
      <protection locked="0"/>
    </xf>
    <xf numFmtId="2" fontId="59" fillId="2" borderId="16" xfId="0" applyNumberFormat="1" applyFont="1" applyFill="1" applyBorder="1" applyAlignment="1" applyProtection="1">
      <alignment horizontal="center" vertical="center" wrapText="1"/>
      <protection locked="0"/>
    </xf>
    <xf numFmtId="2" fontId="59" fillId="2" borderId="8" xfId="0" applyNumberFormat="1" applyFont="1" applyFill="1" applyBorder="1" applyAlignment="1" applyProtection="1">
      <alignment horizontal="center" vertical="top"/>
      <protection locked="0"/>
    </xf>
    <xf numFmtId="1" fontId="21" fillId="2" borderId="8" xfId="0" applyNumberFormat="1" applyFont="1" applyFill="1" applyBorder="1" applyAlignment="1" applyProtection="1">
      <alignment horizontal="center"/>
      <protection locked="0"/>
    </xf>
    <xf numFmtId="0" fontId="10" fillId="2" borderId="9" xfId="0" applyFont="1" applyFill="1" applyBorder="1" applyAlignment="1" applyProtection="1">
      <alignment horizontal="center"/>
      <protection locked="0"/>
    </xf>
    <xf numFmtId="0" fontId="10" fillId="2" borderId="28" xfId="0" applyFont="1" applyFill="1" applyBorder="1" applyAlignment="1" applyProtection="1">
      <alignment horizontal="center"/>
      <protection locked="0"/>
    </xf>
    <xf numFmtId="1" fontId="10" fillId="2" borderId="28" xfId="0" applyNumberFormat="1" applyFont="1" applyFill="1" applyBorder="1" applyAlignment="1" applyProtection="1">
      <alignment horizontal="center"/>
      <protection locked="0"/>
    </xf>
    <xf numFmtId="1" fontId="10" fillId="2" borderId="7" xfId="0" applyNumberFormat="1" applyFont="1" applyFill="1" applyBorder="1" applyAlignment="1" applyProtection="1">
      <alignment horizontal="center"/>
      <protection locked="0"/>
    </xf>
    <xf numFmtId="0" fontId="59" fillId="2" borderId="21" xfId="0" applyFont="1" applyFill="1" applyBorder="1" applyAlignment="1" applyProtection="1">
      <alignment horizontal="center" vertical="center"/>
      <protection locked="0"/>
    </xf>
    <xf numFmtId="0" fontId="59" fillId="2" borderId="23" xfId="0" applyFont="1" applyFill="1" applyBorder="1" applyAlignment="1" applyProtection="1">
      <alignment horizontal="center" vertical="center"/>
      <protection locked="0"/>
    </xf>
    <xf numFmtId="2" fontId="59" fillId="2" borderId="0" xfId="0" applyNumberFormat="1" applyFont="1" applyFill="1" applyAlignment="1" applyProtection="1">
      <alignment horizontal="center" vertical="center" wrapText="1"/>
      <protection locked="0"/>
    </xf>
    <xf numFmtId="2" fontId="59" fillId="2" borderId="23" xfId="0" applyNumberFormat="1" applyFont="1" applyFill="1" applyBorder="1" applyAlignment="1" applyProtection="1">
      <alignment horizontal="center" vertical="center" wrapText="1"/>
      <protection locked="0"/>
    </xf>
    <xf numFmtId="0" fontId="59" fillId="2" borderId="22" xfId="0" applyFont="1" applyFill="1" applyBorder="1" applyAlignment="1" applyProtection="1">
      <alignment horizontal="center" vertical="center"/>
      <protection locked="0"/>
    </xf>
    <xf numFmtId="0" fontId="59" fillId="2" borderId="31" xfId="0" applyFont="1" applyFill="1" applyBorder="1" applyAlignment="1" applyProtection="1">
      <alignment horizontal="center" vertical="center"/>
      <protection locked="0"/>
    </xf>
    <xf numFmtId="2" fontId="59" fillId="2" borderId="14" xfId="0" applyNumberFormat="1" applyFont="1" applyFill="1" applyBorder="1" applyAlignment="1" applyProtection="1">
      <alignment horizontal="center" vertical="center" wrapText="1"/>
      <protection locked="0"/>
    </xf>
    <xf numFmtId="2" fontId="59" fillId="2" borderId="31" xfId="0" applyNumberFormat="1" applyFont="1" applyFill="1" applyBorder="1" applyAlignment="1" applyProtection="1">
      <alignment horizontal="center" vertical="center" wrapText="1"/>
      <protection locked="0"/>
    </xf>
    <xf numFmtId="2" fontId="59" fillId="2" borderId="8" xfId="0" applyNumberFormat="1" applyFont="1" applyFill="1" applyBorder="1" applyAlignment="1" applyProtection="1">
      <alignment horizontal="center" vertical="center"/>
      <protection locked="0"/>
    </xf>
    <xf numFmtId="0" fontId="10" fillId="2" borderId="15" xfId="0" applyFont="1" applyFill="1" applyBorder="1" applyAlignment="1" applyProtection="1">
      <alignment horizontal="center"/>
      <protection locked="0"/>
    </xf>
    <xf numFmtId="0" fontId="10" fillId="2" borderId="16" xfId="0" applyFont="1" applyFill="1" applyBorder="1" applyAlignment="1" applyProtection="1">
      <alignment horizontal="center"/>
      <protection locked="0"/>
    </xf>
    <xf numFmtId="0" fontId="10" fillId="2" borderId="13" xfId="0" applyFont="1" applyFill="1" applyBorder="1" applyAlignment="1" applyProtection="1">
      <alignment horizontal="center"/>
      <protection locked="0"/>
    </xf>
    <xf numFmtId="2" fontId="58" fillId="2" borderId="15" xfId="0" applyNumberFormat="1" applyFont="1" applyFill="1" applyBorder="1" applyAlignment="1" applyProtection="1">
      <alignment horizontal="center" vertical="center"/>
      <protection locked="0"/>
    </xf>
    <xf numFmtId="2" fontId="58" fillId="2" borderId="16" xfId="0" applyNumberFormat="1" applyFont="1" applyFill="1" applyBorder="1" applyAlignment="1" applyProtection="1">
      <alignment horizontal="center" vertical="center"/>
      <protection locked="0"/>
    </xf>
    <xf numFmtId="0" fontId="10" fillId="2" borderId="22" xfId="0" applyFont="1" applyFill="1" applyBorder="1" applyAlignment="1" applyProtection="1">
      <alignment horizontal="center"/>
      <protection locked="0"/>
    </xf>
    <xf numFmtId="0" fontId="10" fillId="2" borderId="31" xfId="0" applyFont="1" applyFill="1" applyBorder="1" applyAlignment="1" applyProtection="1">
      <alignment horizontal="center"/>
      <protection locked="0"/>
    </xf>
    <xf numFmtId="0" fontId="10" fillId="2" borderId="14" xfId="0" applyFont="1" applyFill="1" applyBorder="1" applyAlignment="1" applyProtection="1">
      <alignment horizontal="center"/>
      <protection locked="0"/>
    </xf>
    <xf numFmtId="2" fontId="58" fillId="2" borderId="22" xfId="0" applyNumberFormat="1" applyFont="1" applyFill="1" applyBorder="1" applyAlignment="1" applyProtection="1">
      <alignment horizontal="center" vertical="center"/>
      <protection locked="0"/>
    </xf>
    <xf numFmtId="2" fontId="58" fillId="2" borderId="31" xfId="0" applyNumberFormat="1" applyFont="1" applyFill="1" applyBorder="1" applyAlignment="1" applyProtection="1">
      <alignment horizontal="center" vertical="center"/>
      <protection locked="0"/>
    </xf>
    <xf numFmtId="165" fontId="58" fillId="2" borderId="0" xfId="0" applyNumberFormat="1" applyFont="1" applyFill="1" applyAlignment="1" applyProtection="1">
      <alignment horizontal="center"/>
      <protection locked="0"/>
    </xf>
    <xf numFmtId="0" fontId="58" fillId="2" borderId="0" xfId="0" applyFont="1" applyFill="1" applyAlignment="1" applyProtection="1">
      <alignment horizontal="center" vertical="top" wrapText="1"/>
      <protection locked="0"/>
    </xf>
    <xf numFmtId="2" fontId="58" fillId="2" borderId="0" xfId="0" applyNumberFormat="1" applyFont="1" applyFill="1" applyAlignment="1" applyProtection="1">
      <alignment horizontal="center" vertical="top"/>
      <protection locked="0"/>
    </xf>
    <xf numFmtId="0" fontId="58" fillId="2" borderId="0" xfId="0" applyFont="1" applyFill="1" applyAlignment="1" applyProtection="1">
      <protection locked="0"/>
    </xf>
    <xf numFmtId="0" fontId="58" fillId="2" borderId="0" xfId="0" applyFont="1" applyFill="1" applyAlignment="1" applyProtection="1">
      <alignment horizontal="right"/>
      <protection locked="0"/>
    </xf>
    <xf numFmtId="0" fontId="20" fillId="14" borderId="86" xfId="0" applyFont="1" applyFill="1" applyBorder="1" applyAlignment="1" applyProtection="1">
      <alignment horizontal="center" vertical="center"/>
      <protection locked="0"/>
    </xf>
    <xf numFmtId="0" fontId="20" fillId="14" borderId="87" xfId="0" applyFont="1" applyFill="1" applyBorder="1" applyAlignment="1" applyProtection="1">
      <alignment horizontal="center" vertical="center"/>
      <protection locked="0"/>
    </xf>
    <xf numFmtId="0" fontId="20" fillId="14" borderId="88" xfId="0" applyFont="1" applyFill="1" applyBorder="1" applyAlignment="1" applyProtection="1">
      <alignment horizontal="center" vertical="center"/>
      <protection locked="0"/>
    </xf>
    <xf numFmtId="0" fontId="20" fillId="14" borderId="89" xfId="0" applyFont="1" applyFill="1" applyBorder="1" applyAlignment="1" applyProtection="1">
      <alignment horizontal="center" vertical="center"/>
      <protection locked="0"/>
    </xf>
    <xf numFmtId="0" fontId="20" fillId="14" borderId="90" xfId="0" applyFont="1" applyFill="1" applyBorder="1" applyAlignment="1" applyProtection="1">
      <alignment horizontal="center" vertical="center"/>
      <protection locked="0"/>
    </xf>
    <xf numFmtId="0" fontId="20" fillId="14" borderId="20" xfId="0" applyFont="1" applyFill="1" applyBorder="1" applyAlignment="1" applyProtection="1">
      <alignment horizontal="center" vertical="center"/>
      <protection locked="0"/>
    </xf>
    <xf numFmtId="0" fontId="0" fillId="0" borderId="0" xfId="0" applyAlignment="1" applyProtection="1">
      <alignment horizontal="left"/>
      <protection locked="0"/>
    </xf>
    <xf numFmtId="167" fontId="0" fillId="0" borderId="0" xfId="0" applyNumberFormat="1" applyAlignment="1" applyProtection="1">
      <alignment horizontal="left"/>
      <protection locked="0"/>
    </xf>
    <xf numFmtId="172" fontId="85" fillId="0" borderId="0" xfId="1" applyNumberFormat="1" applyFont="1" applyProtection="1">
      <protection locked="0"/>
    </xf>
    <xf numFmtId="0" fontId="12" fillId="5" borderId="0" xfId="0" applyFont="1" applyFill="1" applyProtection="1">
      <protection locked="0"/>
    </xf>
    <xf numFmtId="0" fontId="0" fillId="0" borderId="0" xfId="0" applyAlignment="1" applyProtection="1">
      <alignment horizontal="center"/>
      <protection locked="0"/>
    </xf>
    <xf numFmtId="0" fontId="18" fillId="5" borderId="0" xfId="0" applyFont="1" applyFill="1" applyProtection="1">
      <protection locked="0"/>
    </xf>
    <xf numFmtId="0" fontId="17" fillId="5" borderId="0" xfId="0" applyFont="1" applyFill="1" applyProtection="1">
      <protection locked="0"/>
    </xf>
    <xf numFmtId="167" fontId="18" fillId="5" borderId="0" xfId="0" applyNumberFormat="1" applyFont="1" applyFill="1" applyProtection="1">
      <protection locked="0"/>
    </xf>
    <xf numFmtId="172" fontId="18" fillId="5" borderId="0" xfId="0" applyNumberFormat="1" applyFont="1" applyFill="1" applyProtection="1">
      <protection locked="0"/>
    </xf>
    <xf numFmtId="0" fontId="10" fillId="5" borderId="0" xfId="0" applyFont="1" applyFill="1" applyProtection="1">
      <protection locked="0"/>
    </xf>
    <xf numFmtId="20" fontId="29" fillId="0" borderId="0" xfId="0" applyNumberFormat="1" applyFont="1" applyProtection="1">
      <protection locked="0"/>
    </xf>
    <xf numFmtId="0" fontId="25" fillId="2" borderId="0" xfId="0" applyFont="1" applyFill="1" applyProtection="1">
      <protection locked="0"/>
    </xf>
    <xf numFmtId="168" fontId="10" fillId="2" borderId="0" xfId="0" applyNumberFormat="1" applyFont="1" applyFill="1" applyAlignment="1" applyProtection="1">
      <alignment horizontal="center"/>
      <protection locked="0"/>
    </xf>
    <xf numFmtId="167" fontId="0" fillId="0" borderId="0" xfId="0" applyNumberFormat="1" applyProtection="1">
      <protection locked="0"/>
    </xf>
    <xf numFmtId="172" fontId="0" fillId="5" borderId="0" xfId="0" applyNumberFormat="1" applyFill="1" applyProtection="1">
      <protection locked="0"/>
    </xf>
    <xf numFmtId="172" fontId="10" fillId="5" borderId="0" xfId="0" applyNumberFormat="1" applyFont="1" applyFill="1" applyAlignment="1" applyProtection="1">
      <alignment horizontal="center"/>
      <protection locked="0"/>
    </xf>
    <xf numFmtId="0" fontId="13" fillId="0" borderId="8" xfId="0" applyFont="1" applyBorder="1" applyAlignment="1" applyProtection="1">
      <alignment horizontal="center"/>
      <protection locked="0"/>
    </xf>
    <xf numFmtId="0" fontId="13" fillId="0" borderId="8" xfId="0" applyFont="1" applyBorder="1" applyAlignment="1" applyProtection="1">
      <alignment horizontal="center"/>
      <protection locked="0"/>
    </xf>
    <xf numFmtId="0" fontId="13" fillId="23" borderId="8" xfId="0" applyFont="1" applyFill="1" applyBorder="1" applyAlignment="1" applyProtection="1">
      <alignment horizontal="center"/>
      <protection locked="0"/>
    </xf>
    <xf numFmtId="172" fontId="13" fillId="0" borderId="8" xfId="0" applyNumberFormat="1" applyFont="1" applyBorder="1" applyAlignment="1" applyProtection="1">
      <alignment horizontal="center"/>
      <protection locked="0"/>
    </xf>
    <xf numFmtId="172" fontId="13" fillId="0" borderId="8" xfId="0" applyNumberFormat="1" applyFont="1" applyBorder="1" applyAlignment="1" applyProtection="1">
      <alignment horizontal="center"/>
      <protection locked="0"/>
    </xf>
    <xf numFmtId="167" fontId="10" fillId="2" borderId="9" xfId="0" applyNumberFormat="1" applyFont="1" applyFill="1" applyBorder="1" applyAlignment="1" applyProtection="1">
      <alignment horizontal="center"/>
      <protection locked="0"/>
    </xf>
    <xf numFmtId="167" fontId="10" fillId="2" borderId="7" xfId="0" applyNumberFormat="1" applyFont="1" applyFill="1" applyBorder="1" applyAlignment="1" applyProtection="1">
      <alignment horizontal="center"/>
      <protection locked="0"/>
    </xf>
    <xf numFmtId="167" fontId="21" fillId="2" borderId="9" xfId="0" applyNumberFormat="1" applyFont="1" applyFill="1" applyBorder="1" applyAlignment="1" applyProtection="1">
      <alignment horizontal="center"/>
      <protection locked="0"/>
    </xf>
    <xf numFmtId="167" fontId="21" fillId="2" borderId="7" xfId="0" applyNumberFormat="1" applyFont="1" applyFill="1" applyBorder="1" applyAlignment="1" applyProtection="1">
      <alignment horizontal="center"/>
      <protection locked="0"/>
    </xf>
    <xf numFmtId="2" fontId="59" fillId="2" borderId="15" xfId="0" applyNumberFormat="1" applyFont="1" applyFill="1" applyBorder="1" applyAlignment="1" applyProtection="1">
      <alignment horizontal="center" vertical="center" wrapText="1"/>
      <protection locked="0"/>
    </xf>
    <xf numFmtId="2" fontId="59" fillId="2" borderId="15" xfId="0" applyNumberFormat="1" applyFont="1" applyFill="1" applyBorder="1" applyAlignment="1" applyProtection="1">
      <alignment horizontal="center" vertical="top"/>
      <protection locked="0"/>
    </xf>
    <xf numFmtId="2" fontId="59" fillId="2" borderId="16" xfId="0" applyNumberFormat="1" applyFont="1" applyFill="1" applyBorder="1" applyAlignment="1" applyProtection="1">
      <alignment horizontal="center" vertical="top"/>
      <protection locked="0"/>
    </xf>
    <xf numFmtId="1" fontId="21" fillId="2" borderId="9" xfId="0" applyNumberFormat="1" applyFont="1" applyFill="1" applyBorder="1" applyAlignment="1" applyProtection="1">
      <alignment horizontal="center"/>
      <protection locked="0"/>
    </xf>
    <xf numFmtId="1" fontId="21" fillId="2" borderId="7" xfId="0" applyNumberFormat="1" applyFont="1" applyFill="1" applyBorder="1" applyAlignment="1" applyProtection="1">
      <alignment horizontal="center"/>
      <protection locked="0"/>
    </xf>
    <xf numFmtId="2" fontId="59" fillId="2" borderId="21" xfId="0" applyNumberFormat="1" applyFont="1" applyFill="1" applyBorder="1" applyAlignment="1" applyProtection="1">
      <alignment horizontal="center" vertical="center" wrapText="1"/>
      <protection locked="0"/>
    </xf>
    <xf numFmtId="2" fontId="59" fillId="2" borderId="21" xfId="0" applyNumberFormat="1" applyFont="1" applyFill="1" applyBorder="1" applyAlignment="1" applyProtection="1">
      <alignment horizontal="center" vertical="top"/>
      <protection locked="0"/>
    </xf>
    <xf numFmtId="2" fontId="59" fillId="2" borderId="23" xfId="0" applyNumberFormat="1" applyFont="1" applyFill="1" applyBorder="1" applyAlignment="1" applyProtection="1">
      <alignment horizontal="center" vertical="top"/>
      <protection locked="0"/>
    </xf>
    <xf numFmtId="2" fontId="59" fillId="2" borderId="22" xfId="0" applyNumberFormat="1" applyFont="1" applyFill="1" applyBorder="1" applyAlignment="1" applyProtection="1">
      <alignment horizontal="center" vertical="center" wrapText="1"/>
      <protection locked="0"/>
    </xf>
    <xf numFmtId="2" fontId="59" fillId="2" borderId="22" xfId="0" applyNumberFormat="1" applyFont="1" applyFill="1" applyBorder="1" applyAlignment="1" applyProtection="1">
      <alignment horizontal="center" vertical="top"/>
      <protection locked="0"/>
    </xf>
    <xf numFmtId="2" fontId="59" fillId="2" borderId="31" xfId="0" applyNumberFormat="1" applyFont="1" applyFill="1" applyBorder="1" applyAlignment="1" applyProtection="1">
      <alignment horizontal="center" vertical="top"/>
      <protection locked="0"/>
    </xf>
    <xf numFmtId="2" fontId="59" fillId="2" borderId="85" xfId="0" applyNumberFormat="1" applyFont="1" applyFill="1" applyBorder="1" applyAlignment="1" applyProtection="1">
      <alignment horizontal="center" vertical="center"/>
      <protection locked="0"/>
    </xf>
    <xf numFmtId="2" fontId="59" fillId="2" borderId="29" xfId="0" applyNumberFormat="1" applyFont="1" applyFill="1" applyBorder="1" applyAlignment="1" applyProtection="1">
      <alignment horizontal="center" vertical="center"/>
      <protection locked="0"/>
    </xf>
    <xf numFmtId="2" fontId="59" fillId="2" borderId="13" xfId="0" applyNumberFormat="1" applyFont="1" applyFill="1" applyBorder="1" applyAlignment="1" applyProtection="1">
      <alignment horizontal="center" vertical="center"/>
      <protection locked="0"/>
    </xf>
    <xf numFmtId="2" fontId="59" fillId="2" borderId="16" xfId="0" applyNumberFormat="1" applyFont="1" applyFill="1" applyBorder="1" applyAlignment="1" applyProtection="1">
      <alignment horizontal="center" vertical="center"/>
      <protection locked="0"/>
    </xf>
    <xf numFmtId="2" fontId="59" fillId="2" borderId="14" xfId="0" applyNumberFormat="1" applyFont="1" applyFill="1" applyBorder="1" applyAlignment="1" applyProtection="1">
      <alignment horizontal="center" vertical="center"/>
      <protection locked="0"/>
    </xf>
    <xf numFmtId="2" fontId="59" fillId="2" borderId="31" xfId="0" applyNumberFormat="1" applyFont="1" applyFill="1" applyBorder="1" applyAlignment="1" applyProtection="1">
      <alignment horizontal="center" vertical="center"/>
      <protection locked="0"/>
    </xf>
    <xf numFmtId="0" fontId="26" fillId="5" borderId="14" xfId="0" applyFont="1" applyFill="1" applyBorder="1" applyProtection="1">
      <protection locked="0"/>
    </xf>
    <xf numFmtId="0" fontId="11" fillId="25" borderId="11" xfId="0" applyFont="1" applyFill="1" applyBorder="1" applyAlignment="1" applyProtection="1">
      <alignment horizontal="center"/>
      <protection locked="0"/>
    </xf>
    <xf numFmtId="165" fontId="2" fillId="25" borderId="122" xfId="0" applyNumberFormat="1" applyFont="1" applyFill="1" applyBorder="1" applyAlignment="1" applyProtection="1">
      <alignment horizontal="center"/>
      <protection locked="0"/>
    </xf>
    <xf numFmtId="165" fontId="2" fillId="25" borderId="13" xfId="0" applyNumberFormat="1" applyFont="1" applyFill="1" applyBorder="1" applyAlignment="1" applyProtection="1">
      <alignment horizontal="center"/>
      <protection locked="0"/>
    </xf>
    <xf numFmtId="165" fontId="2" fillId="25" borderId="16" xfId="0" applyNumberFormat="1" applyFont="1" applyFill="1" applyBorder="1" applyAlignment="1" applyProtection="1">
      <alignment horizontal="center"/>
      <protection locked="0"/>
    </xf>
    <xf numFmtId="165" fontId="2" fillId="25" borderId="121" xfId="0" applyNumberFormat="1" applyFont="1" applyFill="1" applyBorder="1" applyAlignment="1" applyProtection="1">
      <alignment horizontal="center"/>
      <protection locked="0"/>
    </xf>
    <xf numFmtId="165" fontId="2" fillId="25" borderId="0" xfId="0" applyNumberFormat="1" applyFont="1" applyFill="1" applyBorder="1" applyAlignment="1" applyProtection="1">
      <alignment horizontal="center"/>
      <protection locked="0"/>
    </xf>
    <xf numFmtId="165" fontId="2" fillId="25" borderId="23" xfId="0" applyNumberFormat="1" applyFont="1" applyFill="1" applyBorder="1" applyAlignment="1" applyProtection="1">
      <alignment horizontal="center"/>
      <protection locked="0"/>
    </xf>
    <xf numFmtId="0" fontId="11" fillId="25" borderId="12" xfId="0" applyFont="1" applyFill="1" applyBorder="1" applyAlignment="1" applyProtection="1">
      <alignment horizontal="center"/>
      <protection locked="0"/>
    </xf>
    <xf numFmtId="165" fontId="2" fillId="25" borderId="123" xfId="0" applyNumberFormat="1" applyFont="1" applyFill="1" applyBorder="1" applyAlignment="1" applyProtection="1">
      <alignment horizontal="center"/>
      <protection locked="0"/>
    </xf>
    <xf numFmtId="165" fontId="2" fillId="25" borderId="14" xfId="0" applyNumberFormat="1" applyFont="1" applyFill="1" applyBorder="1" applyAlignment="1" applyProtection="1">
      <alignment horizontal="center"/>
      <protection locked="0"/>
    </xf>
    <xf numFmtId="165" fontId="2" fillId="25" borderId="31" xfId="0" applyNumberFormat="1" applyFont="1" applyFill="1" applyBorder="1" applyAlignment="1" applyProtection="1">
      <alignment horizontal="center"/>
      <protection locked="0"/>
    </xf>
    <xf numFmtId="172" fontId="10" fillId="2" borderId="9" xfId="0" applyNumberFormat="1" applyFont="1" applyFill="1" applyBorder="1" applyAlignment="1" applyProtection="1">
      <alignment horizontal="center"/>
      <protection locked="0"/>
    </xf>
    <xf numFmtId="172" fontId="10" fillId="2" borderId="7" xfId="0" applyNumberFormat="1" applyFont="1" applyFill="1" applyBorder="1" applyAlignment="1" applyProtection="1">
      <alignment horizontal="center"/>
      <protection locked="0"/>
    </xf>
    <xf numFmtId="172" fontId="21" fillId="2" borderId="9" xfId="0" applyNumberFormat="1" applyFont="1" applyFill="1" applyBorder="1" applyAlignment="1" applyProtection="1">
      <alignment horizontal="center"/>
      <protection locked="0"/>
    </xf>
    <xf numFmtId="172" fontId="21" fillId="2" borderId="7" xfId="0" applyNumberFormat="1" applyFont="1" applyFill="1" applyBorder="1" applyAlignment="1" applyProtection="1">
      <alignment horizontal="center"/>
      <protection locked="0"/>
    </xf>
  </cellXfs>
  <cellStyles count="7">
    <cellStyle name="Lien hypertexte" xfId="5" builtinId="8"/>
    <cellStyle name="Milliers" xfId="1" builtinId="3"/>
    <cellStyle name="Neutre" xfId="6" builtinId="28"/>
    <cellStyle name="Normal" xfId="0" builtinId="0"/>
    <cellStyle name="Normal 2" xfId="2" xr:uid="{00000000-0005-0000-0000-000004000000}"/>
    <cellStyle name="Pourcentage" xfId="3" builtinId="5"/>
    <cellStyle name="Satisfaisant" xfId="4" builtinId="26"/>
  </cellStyles>
  <dxfs count="1982">
    <dxf>
      <fill>
        <patternFill>
          <bgColor indexed="43"/>
        </patternFill>
      </fill>
    </dxf>
    <dxf>
      <fill>
        <patternFill>
          <bgColor indexed="42"/>
        </patternFill>
      </fill>
    </dxf>
    <dxf>
      <fill>
        <patternFill>
          <bgColor indexed="31"/>
        </patternFill>
      </fill>
    </dxf>
    <dxf>
      <fill>
        <patternFill>
          <bgColor indexed="43"/>
        </patternFill>
      </fill>
    </dxf>
    <dxf>
      <fill>
        <patternFill>
          <bgColor indexed="42"/>
        </patternFill>
      </fill>
    </dxf>
    <dxf>
      <fill>
        <patternFill>
          <bgColor indexed="31"/>
        </patternFill>
      </fill>
    </dxf>
    <dxf>
      <fill>
        <patternFill>
          <bgColor indexed="43"/>
        </patternFill>
      </fill>
    </dxf>
    <dxf>
      <fill>
        <patternFill>
          <bgColor indexed="42"/>
        </patternFill>
      </fill>
    </dxf>
    <dxf>
      <fill>
        <patternFill>
          <bgColor indexed="31"/>
        </patternFill>
      </fill>
    </dxf>
    <dxf>
      <fill>
        <patternFill>
          <bgColor indexed="42"/>
        </patternFill>
      </fill>
    </dxf>
    <dxf>
      <font>
        <b/>
        <i val="0"/>
        <color rgb="FFFF0000"/>
      </font>
    </dxf>
    <dxf>
      <font>
        <strike val="0"/>
        <condense val="0"/>
        <extend val="0"/>
        <color indexed="26"/>
      </font>
      <border>
        <left/>
        <right/>
        <top/>
        <bottom/>
      </border>
    </dxf>
    <dxf>
      <font>
        <color theme="0"/>
      </font>
    </dxf>
    <dxf>
      <fill>
        <patternFill>
          <bgColor rgb="FFFFFF99"/>
        </patternFill>
      </fill>
    </dxf>
    <dxf>
      <font>
        <condense val="0"/>
        <extend val="0"/>
        <color auto="1"/>
      </font>
      <fill>
        <patternFill patternType="solid">
          <bgColor indexed="15"/>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ont>
        <condense val="0"/>
        <extend val="0"/>
        <color auto="1"/>
      </font>
      <fill>
        <patternFill>
          <bgColor indexed="43"/>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ndense val="0"/>
        <extend val="0"/>
        <color auto="1"/>
      </font>
      <fill>
        <patternFill>
          <bgColor rgb="FFFFFF99"/>
        </patternFill>
      </fill>
    </dxf>
    <dxf>
      <fill>
        <patternFill>
          <bgColor rgb="FFFFFF00"/>
        </patternFill>
      </fill>
    </dxf>
    <dxf>
      <font>
        <b/>
        <i val="0"/>
        <color theme="0"/>
      </font>
      <fill>
        <patternFill>
          <bgColor rgb="FFFF0000"/>
        </patternFill>
      </fill>
    </dxf>
    <dxf>
      <font>
        <b/>
        <i val="0"/>
        <color theme="0"/>
      </font>
      <fill>
        <patternFill>
          <bgColor rgb="FFFF0000"/>
        </patternFill>
      </fill>
    </dxf>
    <dxf>
      <font>
        <color indexed="9"/>
      </font>
      <fill>
        <patternFill>
          <bgColor indexed="10"/>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strike val="0"/>
        <condense val="0"/>
        <extend val="0"/>
        <color indexed="26"/>
      </font>
      <border>
        <left/>
        <right/>
        <top/>
        <bottom/>
      </border>
    </dxf>
    <dxf>
      <font>
        <color theme="0"/>
      </font>
    </dxf>
    <dxf>
      <font>
        <condense val="0"/>
        <extend val="0"/>
        <color auto="1"/>
      </font>
      <fill>
        <patternFill patternType="solid">
          <bgColor indexed="15"/>
        </patternFill>
      </fill>
    </dxf>
    <dxf>
      <fill>
        <patternFill>
          <bgColor rgb="FFFFFF99"/>
        </patternFill>
      </fill>
    </dxf>
    <dxf>
      <font>
        <condense val="0"/>
        <extend val="0"/>
        <color auto="1"/>
      </font>
      <fill>
        <patternFill>
          <bgColor indexed="43"/>
        </patternFill>
      </fill>
    </dxf>
    <dxf>
      <fill>
        <patternFill>
          <bgColor rgb="FFB1A0C7"/>
        </patternFill>
      </fill>
    </dxf>
    <dxf>
      <fill>
        <patternFill>
          <bgColor rgb="FFB1A0C7"/>
        </patternFill>
      </fill>
    </dxf>
    <dxf>
      <fill>
        <patternFill>
          <bgColor rgb="FFB1A0C7"/>
        </patternFill>
      </fill>
    </dxf>
    <dxf>
      <fill>
        <patternFill>
          <bgColor rgb="FFB1A0C7"/>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ndense val="0"/>
        <extend val="0"/>
        <color auto="1"/>
      </font>
      <fill>
        <patternFill>
          <bgColor indexed="43"/>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ill>
        <patternFill>
          <bgColor theme="7" tint="0.39994506668294322"/>
        </patternFill>
      </fill>
    </dxf>
    <dxf>
      <fill>
        <patternFill>
          <bgColor theme="7" tint="0.39994506668294322"/>
        </patternFill>
      </fill>
    </dxf>
    <dxf>
      <fill>
        <patternFill>
          <bgColor theme="7" tint="0.39994506668294322"/>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ont>
        <b/>
        <i val="0"/>
        <color theme="0"/>
      </font>
      <fill>
        <patternFill>
          <bgColor rgb="FFFF0000"/>
        </patternFill>
      </fill>
    </dxf>
    <dxf>
      <font>
        <color indexed="9"/>
      </font>
      <fill>
        <patternFill>
          <bgColor indexed="10"/>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strike val="0"/>
        <condense val="0"/>
        <extend val="0"/>
        <color indexed="26"/>
      </font>
      <border>
        <left/>
        <right/>
        <top/>
        <bottom/>
      </border>
    </dxf>
    <dxf>
      <font>
        <strike val="0"/>
        <condense val="0"/>
        <extend val="0"/>
        <color indexed="9"/>
      </font>
      <border>
        <left/>
        <right/>
        <top/>
        <bottom/>
      </border>
    </dxf>
    <dxf>
      <font>
        <color theme="0"/>
      </font>
    </dxf>
    <dxf>
      <font>
        <condense val="0"/>
        <extend val="0"/>
        <color auto="1"/>
      </font>
      <fill>
        <patternFill>
          <bgColor indexed="43"/>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ont>
        <condense val="0"/>
        <extend val="0"/>
        <color auto="1"/>
      </font>
      <fill>
        <patternFill>
          <bgColor indexed="43"/>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ndense val="0"/>
        <extend val="0"/>
        <color auto="1"/>
      </font>
      <fill>
        <patternFill patternType="solid">
          <bgColor indexed="15"/>
        </patternFill>
      </fill>
    </dxf>
    <dxf>
      <font>
        <condense val="0"/>
        <extend val="0"/>
        <color auto="1"/>
      </font>
      <fill>
        <patternFill>
          <bgColor indexed="43"/>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ill>
        <patternFill>
          <bgColor theme="7" tint="0.39994506668294322"/>
        </patternFill>
      </fill>
    </dxf>
    <dxf>
      <fill>
        <patternFill>
          <bgColor theme="7" tint="0.39994506668294322"/>
        </patternFill>
      </fill>
    </dxf>
    <dxf>
      <font>
        <strike val="0"/>
        <condense val="0"/>
        <extend val="0"/>
        <color indexed="26"/>
      </font>
      <border>
        <left/>
        <right/>
        <top/>
        <bottom/>
      </border>
    </dxf>
    <dxf>
      <font>
        <strike val="0"/>
        <condense val="0"/>
        <extend val="0"/>
        <color indexed="9"/>
      </font>
      <border>
        <left/>
        <right/>
        <top/>
        <bottom/>
      </border>
    </dxf>
    <dxf>
      <font>
        <color theme="0"/>
      </font>
      <fill>
        <patternFill>
          <bgColor rgb="FFFF0000"/>
        </patternFill>
      </fill>
    </dxf>
    <dxf>
      <font>
        <color theme="0"/>
      </font>
      <fill>
        <patternFill>
          <bgColor rgb="FFFF0000"/>
        </patternFill>
      </fill>
    </dxf>
    <dxf>
      <font>
        <condense val="0"/>
        <extend val="0"/>
        <color auto="1"/>
      </font>
      <fill>
        <patternFill patternType="solid">
          <bgColor indexed="15"/>
        </patternFill>
      </fill>
    </dxf>
    <dxf>
      <fill>
        <patternFill>
          <bgColor theme="7" tint="0.39994506668294322"/>
        </patternFill>
      </fill>
    </dxf>
    <dxf>
      <font>
        <condense val="0"/>
        <extend val="0"/>
        <color auto="1"/>
      </font>
      <fill>
        <patternFill>
          <bgColor indexed="43"/>
        </patternFill>
      </fill>
    </dxf>
    <dxf>
      <font>
        <condense val="0"/>
        <extend val="0"/>
        <color auto="1"/>
      </font>
      <fill>
        <patternFill>
          <bgColor indexed="43"/>
        </patternFill>
      </fill>
    </dxf>
    <dxf>
      <font>
        <color theme="0"/>
      </font>
    </dxf>
    <dxf>
      <font>
        <condense val="0"/>
        <extend val="0"/>
        <color auto="1"/>
      </font>
      <fill>
        <patternFill patternType="solid">
          <bgColor indexed="15"/>
        </patternFill>
      </fill>
    </dxf>
    <dxf>
      <fill>
        <patternFill>
          <bgColor theme="7" tint="0.39994506668294322"/>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patternType="solid">
          <bgColor indexed="15"/>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0000"/>
        </patternFill>
      </fill>
    </dxf>
    <dxf>
      <fill>
        <patternFill>
          <bgColor rgb="FFFF0000"/>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b/>
        <i val="0"/>
        <strike val="0"/>
        <u val="double"/>
      </font>
      <fill>
        <patternFill>
          <bgColor rgb="FFFF0000"/>
        </patternFill>
      </fill>
      <border>
        <left style="thin">
          <color indexed="64"/>
        </left>
        <right style="thin">
          <color indexed="64"/>
        </right>
        <top style="thin">
          <color indexed="64"/>
        </top>
        <bottom style="thin">
          <color indexed="64"/>
        </bottom>
      </border>
    </dxf>
    <dxf>
      <font>
        <condense val="0"/>
        <extend val="0"/>
        <color auto="1"/>
      </font>
      <fill>
        <patternFill>
          <bgColor indexed="43"/>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FFFF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ndense val="0"/>
        <extend val="0"/>
        <color auto="1"/>
      </font>
      <fill>
        <patternFill>
          <bgColor indexed="43"/>
        </patternFill>
      </fill>
    </dxf>
    <dxf>
      <font>
        <color theme="0"/>
      </font>
      <fill>
        <patternFill>
          <bgColor rgb="FFFF0000"/>
        </patternFill>
      </fill>
    </dxf>
    <dxf>
      <font>
        <color theme="0"/>
      </font>
      <fill>
        <patternFill>
          <bgColor rgb="FFFF0000"/>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theme="0" tint="-0.34998626667073579"/>
        </patternFill>
      </fill>
    </dxf>
    <dxf>
      <fill>
        <patternFill>
          <bgColor rgb="FFFFFF00"/>
        </patternFill>
      </fill>
    </dxf>
    <dxf>
      <fill>
        <patternFill>
          <bgColor rgb="FF00FFFF"/>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indexed="46"/>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FF0000"/>
      </font>
    </dxf>
    <dxf>
      <font>
        <color rgb="FFFF0000"/>
      </font>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theme="0"/>
        </patternFill>
      </fill>
      <border>
        <left style="thin">
          <color auto="1"/>
        </left>
        <right/>
        <top/>
        <bottom/>
        <vertical/>
        <horizontal/>
      </border>
    </dxf>
    <dxf>
      <font>
        <color theme="0"/>
      </font>
      <fill>
        <patternFill>
          <fgColor theme="0"/>
          <bgColor theme="0"/>
        </patternFill>
      </fill>
      <border>
        <left/>
        <right/>
        <top/>
        <bottom/>
        <vertical/>
        <horizontal/>
      </border>
    </dxf>
    <dxf>
      <font>
        <b/>
        <i val="0"/>
        <strike val="0"/>
        <color rgb="FFFF0000"/>
      </font>
      <fill>
        <patternFill>
          <bgColor rgb="FFFFFF00"/>
        </patternFill>
      </fill>
    </dxf>
    <dxf>
      <font>
        <b/>
        <i val="0"/>
        <color rgb="FFFF000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FF0000"/>
      </font>
    </dxf>
    <dxf>
      <font>
        <color rgb="FFFF0000"/>
      </font>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ont>
        <color theme="0"/>
      </font>
      <fill>
        <patternFill>
          <bgColor theme="0"/>
        </patternFill>
      </fill>
      <border>
        <left style="thin">
          <color auto="1"/>
        </left>
        <right/>
        <top/>
        <bottom/>
        <vertical/>
        <horizontal/>
      </border>
    </dxf>
    <dxf>
      <font>
        <color theme="0"/>
      </font>
      <fill>
        <patternFill>
          <fgColor theme="0"/>
          <bgColor theme="0"/>
        </patternFill>
      </fill>
      <border>
        <left/>
        <right/>
        <top/>
        <bottom/>
        <vertical/>
        <horizontal/>
      </border>
    </dxf>
    <dxf>
      <font>
        <b/>
        <i val="0"/>
        <strike val="0"/>
        <color rgb="FFFF0000"/>
      </font>
      <fill>
        <patternFill>
          <bgColor rgb="FFFFFF00"/>
        </patternFill>
      </fill>
    </dxf>
    <dxf>
      <font>
        <b/>
        <i val="0"/>
        <color rgb="FFFF000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theme="0"/>
        </patternFill>
      </fill>
      <border>
        <left/>
        <right/>
        <top/>
        <bottom/>
        <vertical/>
        <horizontal/>
      </border>
    </dxf>
    <dxf>
      <fill>
        <patternFill>
          <bgColor rgb="FFFFFF00"/>
        </patternFill>
      </fill>
    </dxf>
    <dxf>
      <fill>
        <patternFill>
          <bgColor rgb="FFFFFF00"/>
        </patternFill>
      </fill>
    </dxf>
    <dxf>
      <fill>
        <patternFill>
          <bgColor rgb="FFFFFF00"/>
        </patternFill>
      </fill>
    </dxf>
    <dxf>
      <font>
        <color theme="0"/>
      </font>
      <fill>
        <patternFill>
          <bgColor rgb="FFFF0000"/>
        </patternFill>
      </fill>
    </dxf>
    <dxf>
      <fill>
        <patternFill>
          <bgColor rgb="FFFFFF00"/>
        </patternFill>
      </fill>
    </dxf>
    <dxf>
      <font>
        <color rgb="FFFF000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strike val="0"/>
        <color rgb="FFFF0000"/>
      </font>
      <fill>
        <patternFill>
          <bgColor rgb="FFFFFF00"/>
        </patternFill>
      </fill>
    </dxf>
    <dxf>
      <font>
        <b/>
        <i val="0"/>
        <strike val="0"/>
        <color rgb="FFFF0000"/>
      </font>
      <fill>
        <patternFill>
          <bgColor rgb="FFFFFF00"/>
        </patternFill>
      </fill>
    </dxf>
    <dxf>
      <font>
        <b/>
        <i val="0"/>
        <strike val="0"/>
        <color rgb="FFFF0000"/>
      </font>
      <fill>
        <patternFill>
          <bgColor rgb="FFFFFF00"/>
        </patternFill>
      </fill>
    </dxf>
    <dxf>
      <font>
        <b/>
        <i val="0"/>
        <color rgb="FFFF0000"/>
      </font>
      <fill>
        <patternFill>
          <bgColor rgb="FFFFFF00"/>
        </patternFill>
      </fill>
    </dxf>
    <dxf>
      <fill>
        <patternFill>
          <bgColor rgb="FFFFFF00"/>
        </patternFill>
      </fill>
    </dxf>
    <dxf>
      <font>
        <b/>
        <i val="0"/>
        <strike val="0"/>
        <color rgb="FFFF0000"/>
      </font>
      <fill>
        <patternFill>
          <bgColor rgb="FFFFFF00"/>
        </patternFill>
      </fill>
    </dxf>
    <dxf>
      <font>
        <color rgb="FFFF0000"/>
      </font>
    </dxf>
    <dxf>
      <font>
        <color rgb="FFFF0000"/>
      </font>
    </dxf>
    <dxf>
      <font>
        <color theme="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theme="0"/>
        </patternFill>
      </fill>
      <border>
        <left style="thin">
          <color auto="1"/>
        </left>
        <right/>
        <top/>
        <bottom/>
        <vertical/>
        <horizontal/>
      </border>
    </dxf>
    <dxf>
      <font>
        <color theme="0"/>
      </font>
      <fill>
        <patternFill>
          <fgColor theme="0"/>
          <bgColor theme="0"/>
        </patternFill>
      </fill>
      <border>
        <left/>
        <right/>
        <top/>
        <bottom/>
        <vertical/>
        <horizontal/>
      </border>
    </dxf>
    <dxf>
      <font>
        <b/>
        <i val="0"/>
        <strike val="0"/>
        <color rgb="FFFF0000"/>
      </font>
      <fill>
        <patternFill>
          <bgColor rgb="FFFFFF00"/>
        </patternFill>
      </fill>
    </dxf>
    <dxf>
      <font>
        <b/>
        <i val="0"/>
        <color rgb="FFFF000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CCFFFF"/>
      <color rgb="FFCCECFF"/>
      <color rgb="FFFFFF99"/>
      <color rgb="FF0000FF"/>
      <color rgb="FFFFFFCC"/>
      <color rgb="FF99CC00"/>
      <color rgb="FFB1A0C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47</xdr:col>
      <xdr:colOff>0</xdr:colOff>
      <xdr:row>18</xdr:row>
      <xdr:rowOff>0</xdr:rowOff>
    </xdr:from>
    <xdr:to>
      <xdr:col>47</xdr:col>
      <xdr:colOff>76200</xdr:colOff>
      <xdr:row>19</xdr:row>
      <xdr:rowOff>1</xdr:rowOff>
    </xdr:to>
    <xdr:sp macro="" textlink="">
      <xdr:nvSpPr>
        <xdr:cNvPr id="181419" name="Text Box 1">
          <a:extLst>
            <a:ext uri="{FF2B5EF4-FFF2-40B4-BE49-F238E27FC236}">
              <a16:creationId xmlns:a16="http://schemas.microsoft.com/office/drawing/2014/main" id="{00000000-0008-0000-0100-0000AB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20" name="Text Box 2">
          <a:extLst>
            <a:ext uri="{FF2B5EF4-FFF2-40B4-BE49-F238E27FC236}">
              <a16:creationId xmlns:a16="http://schemas.microsoft.com/office/drawing/2014/main" id="{00000000-0008-0000-0100-0000AC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21" name="Text Box 3">
          <a:extLst>
            <a:ext uri="{FF2B5EF4-FFF2-40B4-BE49-F238E27FC236}">
              <a16:creationId xmlns:a16="http://schemas.microsoft.com/office/drawing/2014/main" id="{00000000-0008-0000-0100-0000AD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22" name="Text Box 4">
          <a:extLst>
            <a:ext uri="{FF2B5EF4-FFF2-40B4-BE49-F238E27FC236}">
              <a16:creationId xmlns:a16="http://schemas.microsoft.com/office/drawing/2014/main" id="{00000000-0008-0000-0100-0000AE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23" name="Text Box 5">
          <a:extLst>
            <a:ext uri="{FF2B5EF4-FFF2-40B4-BE49-F238E27FC236}">
              <a16:creationId xmlns:a16="http://schemas.microsoft.com/office/drawing/2014/main" id="{00000000-0008-0000-0100-0000AF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24" name="Text Box 6">
          <a:extLst>
            <a:ext uri="{FF2B5EF4-FFF2-40B4-BE49-F238E27FC236}">
              <a16:creationId xmlns:a16="http://schemas.microsoft.com/office/drawing/2014/main" id="{00000000-0008-0000-0100-0000B0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25" name="Text Box 7">
          <a:extLst>
            <a:ext uri="{FF2B5EF4-FFF2-40B4-BE49-F238E27FC236}">
              <a16:creationId xmlns:a16="http://schemas.microsoft.com/office/drawing/2014/main" id="{00000000-0008-0000-0100-0000B1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26" name="Text Box 8">
          <a:extLst>
            <a:ext uri="{FF2B5EF4-FFF2-40B4-BE49-F238E27FC236}">
              <a16:creationId xmlns:a16="http://schemas.microsoft.com/office/drawing/2014/main" id="{00000000-0008-0000-0100-0000B2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27" name="Text Box 9">
          <a:extLst>
            <a:ext uri="{FF2B5EF4-FFF2-40B4-BE49-F238E27FC236}">
              <a16:creationId xmlns:a16="http://schemas.microsoft.com/office/drawing/2014/main" id="{00000000-0008-0000-0100-0000B3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28" name="Text Box 10">
          <a:extLst>
            <a:ext uri="{FF2B5EF4-FFF2-40B4-BE49-F238E27FC236}">
              <a16:creationId xmlns:a16="http://schemas.microsoft.com/office/drawing/2014/main" id="{00000000-0008-0000-0100-0000B4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29" name="Text Box 11">
          <a:extLst>
            <a:ext uri="{FF2B5EF4-FFF2-40B4-BE49-F238E27FC236}">
              <a16:creationId xmlns:a16="http://schemas.microsoft.com/office/drawing/2014/main" id="{00000000-0008-0000-0100-0000B5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30" name="Text Box 12">
          <a:extLst>
            <a:ext uri="{FF2B5EF4-FFF2-40B4-BE49-F238E27FC236}">
              <a16:creationId xmlns:a16="http://schemas.microsoft.com/office/drawing/2014/main" id="{00000000-0008-0000-0100-0000B6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31" name="Text Box 13">
          <a:extLst>
            <a:ext uri="{FF2B5EF4-FFF2-40B4-BE49-F238E27FC236}">
              <a16:creationId xmlns:a16="http://schemas.microsoft.com/office/drawing/2014/main" id="{00000000-0008-0000-0100-0000B7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32" name="Text Box 14">
          <a:extLst>
            <a:ext uri="{FF2B5EF4-FFF2-40B4-BE49-F238E27FC236}">
              <a16:creationId xmlns:a16="http://schemas.microsoft.com/office/drawing/2014/main" id="{00000000-0008-0000-0100-0000B8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33" name="Text Box 15">
          <a:extLst>
            <a:ext uri="{FF2B5EF4-FFF2-40B4-BE49-F238E27FC236}">
              <a16:creationId xmlns:a16="http://schemas.microsoft.com/office/drawing/2014/main" id="{00000000-0008-0000-0100-0000B9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34" name="Text Box 16">
          <a:extLst>
            <a:ext uri="{FF2B5EF4-FFF2-40B4-BE49-F238E27FC236}">
              <a16:creationId xmlns:a16="http://schemas.microsoft.com/office/drawing/2014/main" id="{00000000-0008-0000-0100-0000BA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35" name="Text Box 17">
          <a:extLst>
            <a:ext uri="{FF2B5EF4-FFF2-40B4-BE49-F238E27FC236}">
              <a16:creationId xmlns:a16="http://schemas.microsoft.com/office/drawing/2014/main" id="{00000000-0008-0000-0100-0000BB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36" name="Text Box 18">
          <a:extLst>
            <a:ext uri="{FF2B5EF4-FFF2-40B4-BE49-F238E27FC236}">
              <a16:creationId xmlns:a16="http://schemas.microsoft.com/office/drawing/2014/main" id="{00000000-0008-0000-0100-0000BC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37" name="Text Box 19">
          <a:extLst>
            <a:ext uri="{FF2B5EF4-FFF2-40B4-BE49-F238E27FC236}">
              <a16:creationId xmlns:a16="http://schemas.microsoft.com/office/drawing/2014/main" id="{00000000-0008-0000-0100-0000BD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38" name="Text Box 20">
          <a:extLst>
            <a:ext uri="{FF2B5EF4-FFF2-40B4-BE49-F238E27FC236}">
              <a16:creationId xmlns:a16="http://schemas.microsoft.com/office/drawing/2014/main" id="{00000000-0008-0000-0100-0000BE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39" name="Text Box 21">
          <a:extLst>
            <a:ext uri="{FF2B5EF4-FFF2-40B4-BE49-F238E27FC236}">
              <a16:creationId xmlns:a16="http://schemas.microsoft.com/office/drawing/2014/main" id="{00000000-0008-0000-0100-0000BF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40" name="Text Box 22">
          <a:extLst>
            <a:ext uri="{FF2B5EF4-FFF2-40B4-BE49-F238E27FC236}">
              <a16:creationId xmlns:a16="http://schemas.microsoft.com/office/drawing/2014/main" id="{00000000-0008-0000-0100-0000C0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41" name="Text Box 23">
          <a:extLst>
            <a:ext uri="{FF2B5EF4-FFF2-40B4-BE49-F238E27FC236}">
              <a16:creationId xmlns:a16="http://schemas.microsoft.com/office/drawing/2014/main" id="{00000000-0008-0000-0100-0000C1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42" name="Text Box 24">
          <a:extLst>
            <a:ext uri="{FF2B5EF4-FFF2-40B4-BE49-F238E27FC236}">
              <a16:creationId xmlns:a16="http://schemas.microsoft.com/office/drawing/2014/main" id="{00000000-0008-0000-0100-0000C2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43" name="Text Box 25">
          <a:extLst>
            <a:ext uri="{FF2B5EF4-FFF2-40B4-BE49-F238E27FC236}">
              <a16:creationId xmlns:a16="http://schemas.microsoft.com/office/drawing/2014/main" id="{00000000-0008-0000-0100-0000C3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44" name="Text Box 26">
          <a:extLst>
            <a:ext uri="{FF2B5EF4-FFF2-40B4-BE49-F238E27FC236}">
              <a16:creationId xmlns:a16="http://schemas.microsoft.com/office/drawing/2014/main" id="{00000000-0008-0000-0100-0000C4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45" name="Text Box 27">
          <a:extLst>
            <a:ext uri="{FF2B5EF4-FFF2-40B4-BE49-F238E27FC236}">
              <a16:creationId xmlns:a16="http://schemas.microsoft.com/office/drawing/2014/main" id="{00000000-0008-0000-0100-0000C5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46" name="Text Box 28">
          <a:extLst>
            <a:ext uri="{FF2B5EF4-FFF2-40B4-BE49-F238E27FC236}">
              <a16:creationId xmlns:a16="http://schemas.microsoft.com/office/drawing/2014/main" id="{00000000-0008-0000-0100-0000C6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47" name="Text Box 29">
          <a:extLst>
            <a:ext uri="{FF2B5EF4-FFF2-40B4-BE49-F238E27FC236}">
              <a16:creationId xmlns:a16="http://schemas.microsoft.com/office/drawing/2014/main" id="{00000000-0008-0000-0100-0000C7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48" name="Text Box 30">
          <a:extLst>
            <a:ext uri="{FF2B5EF4-FFF2-40B4-BE49-F238E27FC236}">
              <a16:creationId xmlns:a16="http://schemas.microsoft.com/office/drawing/2014/main" id="{00000000-0008-0000-0100-0000C8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49" name="Text Box 31">
          <a:extLst>
            <a:ext uri="{FF2B5EF4-FFF2-40B4-BE49-F238E27FC236}">
              <a16:creationId xmlns:a16="http://schemas.microsoft.com/office/drawing/2014/main" id="{00000000-0008-0000-0100-0000C9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50" name="Text Box 32">
          <a:extLst>
            <a:ext uri="{FF2B5EF4-FFF2-40B4-BE49-F238E27FC236}">
              <a16:creationId xmlns:a16="http://schemas.microsoft.com/office/drawing/2014/main" id="{00000000-0008-0000-0100-0000CA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51" name="Text Box 33">
          <a:extLst>
            <a:ext uri="{FF2B5EF4-FFF2-40B4-BE49-F238E27FC236}">
              <a16:creationId xmlns:a16="http://schemas.microsoft.com/office/drawing/2014/main" id="{00000000-0008-0000-0100-0000CB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52" name="Text Box 34">
          <a:extLst>
            <a:ext uri="{FF2B5EF4-FFF2-40B4-BE49-F238E27FC236}">
              <a16:creationId xmlns:a16="http://schemas.microsoft.com/office/drawing/2014/main" id="{00000000-0008-0000-0100-0000CC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53" name="Text Box 35">
          <a:extLst>
            <a:ext uri="{FF2B5EF4-FFF2-40B4-BE49-F238E27FC236}">
              <a16:creationId xmlns:a16="http://schemas.microsoft.com/office/drawing/2014/main" id="{00000000-0008-0000-0100-0000CD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54" name="Text Box 36">
          <a:extLst>
            <a:ext uri="{FF2B5EF4-FFF2-40B4-BE49-F238E27FC236}">
              <a16:creationId xmlns:a16="http://schemas.microsoft.com/office/drawing/2014/main" id="{00000000-0008-0000-0100-0000CE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55" name="Text Box 37">
          <a:extLst>
            <a:ext uri="{FF2B5EF4-FFF2-40B4-BE49-F238E27FC236}">
              <a16:creationId xmlns:a16="http://schemas.microsoft.com/office/drawing/2014/main" id="{00000000-0008-0000-0100-0000CF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56" name="Text Box 38">
          <a:extLst>
            <a:ext uri="{FF2B5EF4-FFF2-40B4-BE49-F238E27FC236}">
              <a16:creationId xmlns:a16="http://schemas.microsoft.com/office/drawing/2014/main" id="{00000000-0008-0000-0100-0000D0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18</xdr:row>
      <xdr:rowOff>0</xdr:rowOff>
    </xdr:from>
    <xdr:to>
      <xdr:col>47</xdr:col>
      <xdr:colOff>76200</xdr:colOff>
      <xdr:row>19</xdr:row>
      <xdr:rowOff>1</xdr:rowOff>
    </xdr:to>
    <xdr:sp macro="" textlink="">
      <xdr:nvSpPr>
        <xdr:cNvPr id="181457" name="Text Box 39">
          <a:extLst>
            <a:ext uri="{FF2B5EF4-FFF2-40B4-BE49-F238E27FC236}">
              <a16:creationId xmlns:a16="http://schemas.microsoft.com/office/drawing/2014/main" id="{00000000-0008-0000-0100-0000D1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22</xdr:row>
      <xdr:rowOff>0</xdr:rowOff>
    </xdr:from>
    <xdr:to>
      <xdr:col>47</xdr:col>
      <xdr:colOff>76200</xdr:colOff>
      <xdr:row>23</xdr:row>
      <xdr:rowOff>0</xdr:rowOff>
    </xdr:to>
    <xdr:sp macro="" textlink="">
      <xdr:nvSpPr>
        <xdr:cNvPr id="181458" name="Text Box 40">
          <a:extLst>
            <a:ext uri="{FF2B5EF4-FFF2-40B4-BE49-F238E27FC236}">
              <a16:creationId xmlns:a16="http://schemas.microsoft.com/office/drawing/2014/main" id="{00000000-0008-0000-0100-0000D2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59" name="Text Box 1">
          <a:extLst>
            <a:ext uri="{FF2B5EF4-FFF2-40B4-BE49-F238E27FC236}">
              <a16:creationId xmlns:a16="http://schemas.microsoft.com/office/drawing/2014/main" id="{00000000-0008-0000-0100-0000D3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60" name="Text Box 2">
          <a:extLst>
            <a:ext uri="{FF2B5EF4-FFF2-40B4-BE49-F238E27FC236}">
              <a16:creationId xmlns:a16="http://schemas.microsoft.com/office/drawing/2014/main" id="{00000000-0008-0000-0100-0000D4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61" name="Text Box 3">
          <a:extLst>
            <a:ext uri="{FF2B5EF4-FFF2-40B4-BE49-F238E27FC236}">
              <a16:creationId xmlns:a16="http://schemas.microsoft.com/office/drawing/2014/main" id="{00000000-0008-0000-0100-0000D5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62" name="Text Box 4">
          <a:extLst>
            <a:ext uri="{FF2B5EF4-FFF2-40B4-BE49-F238E27FC236}">
              <a16:creationId xmlns:a16="http://schemas.microsoft.com/office/drawing/2014/main" id="{00000000-0008-0000-0100-0000D6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63" name="Text Box 5">
          <a:extLst>
            <a:ext uri="{FF2B5EF4-FFF2-40B4-BE49-F238E27FC236}">
              <a16:creationId xmlns:a16="http://schemas.microsoft.com/office/drawing/2014/main" id="{00000000-0008-0000-0100-0000D7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64" name="Text Box 6">
          <a:extLst>
            <a:ext uri="{FF2B5EF4-FFF2-40B4-BE49-F238E27FC236}">
              <a16:creationId xmlns:a16="http://schemas.microsoft.com/office/drawing/2014/main" id="{00000000-0008-0000-0100-0000D8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65" name="Text Box 7">
          <a:extLst>
            <a:ext uri="{FF2B5EF4-FFF2-40B4-BE49-F238E27FC236}">
              <a16:creationId xmlns:a16="http://schemas.microsoft.com/office/drawing/2014/main" id="{00000000-0008-0000-0100-0000D9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66" name="Text Box 8">
          <a:extLst>
            <a:ext uri="{FF2B5EF4-FFF2-40B4-BE49-F238E27FC236}">
              <a16:creationId xmlns:a16="http://schemas.microsoft.com/office/drawing/2014/main" id="{00000000-0008-0000-0100-0000DA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67" name="Text Box 9">
          <a:extLst>
            <a:ext uri="{FF2B5EF4-FFF2-40B4-BE49-F238E27FC236}">
              <a16:creationId xmlns:a16="http://schemas.microsoft.com/office/drawing/2014/main" id="{00000000-0008-0000-0100-0000DB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68" name="Text Box 10">
          <a:extLst>
            <a:ext uri="{FF2B5EF4-FFF2-40B4-BE49-F238E27FC236}">
              <a16:creationId xmlns:a16="http://schemas.microsoft.com/office/drawing/2014/main" id="{00000000-0008-0000-0100-0000DC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69" name="Text Box 11">
          <a:extLst>
            <a:ext uri="{FF2B5EF4-FFF2-40B4-BE49-F238E27FC236}">
              <a16:creationId xmlns:a16="http://schemas.microsoft.com/office/drawing/2014/main" id="{00000000-0008-0000-0100-0000DD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70" name="Text Box 12">
          <a:extLst>
            <a:ext uri="{FF2B5EF4-FFF2-40B4-BE49-F238E27FC236}">
              <a16:creationId xmlns:a16="http://schemas.microsoft.com/office/drawing/2014/main" id="{00000000-0008-0000-0100-0000DE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71" name="Text Box 13">
          <a:extLst>
            <a:ext uri="{FF2B5EF4-FFF2-40B4-BE49-F238E27FC236}">
              <a16:creationId xmlns:a16="http://schemas.microsoft.com/office/drawing/2014/main" id="{00000000-0008-0000-0100-0000DF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72" name="Text Box 14">
          <a:extLst>
            <a:ext uri="{FF2B5EF4-FFF2-40B4-BE49-F238E27FC236}">
              <a16:creationId xmlns:a16="http://schemas.microsoft.com/office/drawing/2014/main" id="{00000000-0008-0000-0100-0000E0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73" name="Text Box 15">
          <a:extLst>
            <a:ext uri="{FF2B5EF4-FFF2-40B4-BE49-F238E27FC236}">
              <a16:creationId xmlns:a16="http://schemas.microsoft.com/office/drawing/2014/main" id="{00000000-0008-0000-0100-0000E1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74" name="Text Box 16">
          <a:extLst>
            <a:ext uri="{FF2B5EF4-FFF2-40B4-BE49-F238E27FC236}">
              <a16:creationId xmlns:a16="http://schemas.microsoft.com/office/drawing/2014/main" id="{00000000-0008-0000-0100-0000E2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75" name="Text Box 17">
          <a:extLst>
            <a:ext uri="{FF2B5EF4-FFF2-40B4-BE49-F238E27FC236}">
              <a16:creationId xmlns:a16="http://schemas.microsoft.com/office/drawing/2014/main" id="{00000000-0008-0000-0100-0000E3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76" name="Text Box 18">
          <a:extLst>
            <a:ext uri="{FF2B5EF4-FFF2-40B4-BE49-F238E27FC236}">
              <a16:creationId xmlns:a16="http://schemas.microsoft.com/office/drawing/2014/main" id="{00000000-0008-0000-0100-0000E4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77" name="Text Box 19">
          <a:extLst>
            <a:ext uri="{FF2B5EF4-FFF2-40B4-BE49-F238E27FC236}">
              <a16:creationId xmlns:a16="http://schemas.microsoft.com/office/drawing/2014/main" id="{00000000-0008-0000-0100-0000E5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78" name="Text Box 20">
          <a:extLst>
            <a:ext uri="{FF2B5EF4-FFF2-40B4-BE49-F238E27FC236}">
              <a16:creationId xmlns:a16="http://schemas.microsoft.com/office/drawing/2014/main" id="{00000000-0008-0000-0100-0000E6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79" name="Text Box 21">
          <a:extLst>
            <a:ext uri="{FF2B5EF4-FFF2-40B4-BE49-F238E27FC236}">
              <a16:creationId xmlns:a16="http://schemas.microsoft.com/office/drawing/2014/main" id="{00000000-0008-0000-0100-0000E7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80" name="Text Box 22">
          <a:extLst>
            <a:ext uri="{FF2B5EF4-FFF2-40B4-BE49-F238E27FC236}">
              <a16:creationId xmlns:a16="http://schemas.microsoft.com/office/drawing/2014/main" id="{00000000-0008-0000-0100-0000E8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81" name="Text Box 23">
          <a:extLst>
            <a:ext uri="{FF2B5EF4-FFF2-40B4-BE49-F238E27FC236}">
              <a16:creationId xmlns:a16="http://schemas.microsoft.com/office/drawing/2014/main" id="{00000000-0008-0000-0100-0000E9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82" name="Text Box 24">
          <a:extLst>
            <a:ext uri="{FF2B5EF4-FFF2-40B4-BE49-F238E27FC236}">
              <a16:creationId xmlns:a16="http://schemas.microsoft.com/office/drawing/2014/main" id="{00000000-0008-0000-0100-0000EA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83" name="Text Box 25">
          <a:extLst>
            <a:ext uri="{FF2B5EF4-FFF2-40B4-BE49-F238E27FC236}">
              <a16:creationId xmlns:a16="http://schemas.microsoft.com/office/drawing/2014/main" id="{00000000-0008-0000-0100-0000EB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84" name="Text Box 26">
          <a:extLst>
            <a:ext uri="{FF2B5EF4-FFF2-40B4-BE49-F238E27FC236}">
              <a16:creationId xmlns:a16="http://schemas.microsoft.com/office/drawing/2014/main" id="{00000000-0008-0000-0100-0000EC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85" name="Text Box 27">
          <a:extLst>
            <a:ext uri="{FF2B5EF4-FFF2-40B4-BE49-F238E27FC236}">
              <a16:creationId xmlns:a16="http://schemas.microsoft.com/office/drawing/2014/main" id="{00000000-0008-0000-0100-0000ED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86" name="Text Box 28">
          <a:extLst>
            <a:ext uri="{FF2B5EF4-FFF2-40B4-BE49-F238E27FC236}">
              <a16:creationId xmlns:a16="http://schemas.microsoft.com/office/drawing/2014/main" id="{00000000-0008-0000-0100-0000EE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87" name="Text Box 29">
          <a:extLst>
            <a:ext uri="{FF2B5EF4-FFF2-40B4-BE49-F238E27FC236}">
              <a16:creationId xmlns:a16="http://schemas.microsoft.com/office/drawing/2014/main" id="{00000000-0008-0000-0100-0000EF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88" name="Text Box 30">
          <a:extLst>
            <a:ext uri="{FF2B5EF4-FFF2-40B4-BE49-F238E27FC236}">
              <a16:creationId xmlns:a16="http://schemas.microsoft.com/office/drawing/2014/main" id="{00000000-0008-0000-0100-0000F0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89" name="Text Box 31">
          <a:extLst>
            <a:ext uri="{FF2B5EF4-FFF2-40B4-BE49-F238E27FC236}">
              <a16:creationId xmlns:a16="http://schemas.microsoft.com/office/drawing/2014/main" id="{00000000-0008-0000-0100-0000F1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90" name="Text Box 32">
          <a:extLst>
            <a:ext uri="{FF2B5EF4-FFF2-40B4-BE49-F238E27FC236}">
              <a16:creationId xmlns:a16="http://schemas.microsoft.com/office/drawing/2014/main" id="{00000000-0008-0000-0100-0000F2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91" name="Text Box 33">
          <a:extLst>
            <a:ext uri="{FF2B5EF4-FFF2-40B4-BE49-F238E27FC236}">
              <a16:creationId xmlns:a16="http://schemas.microsoft.com/office/drawing/2014/main" id="{00000000-0008-0000-0100-0000F3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92" name="Text Box 34">
          <a:extLst>
            <a:ext uri="{FF2B5EF4-FFF2-40B4-BE49-F238E27FC236}">
              <a16:creationId xmlns:a16="http://schemas.microsoft.com/office/drawing/2014/main" id="{00000000-0008-0000-0100-0000F4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93" name="Text Box 35">
          <a:extLst>
            <a:ext uri="{FF2B5EF4-FFF2-40B4-BE49-F238E27FC236}">
              <a16:creationId xmlns:a16="http://schemas.microsoft.com/office/drawing/2014/main" id="{00000000-0008-0000-0100-0000F5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94" name="Text Box 36">
          <a:extLst>
            <a:ext uri="{FF2B5EF4-FFF2-40B4-BE49-F238E27FC236}">
              <a16:creationId xmlns:a16="http://schemas.microsoft.com/office/drawing/2014/main" id="{00000000-0008-0000-0100-0000F6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1</xdr:rowOff>
    </xdr:to>
    <xdr:sp macro="" textlink="">
      <xdr:nvSpPr>
        <xdr:cNvPr id="181495" name="Text Box 37">
          <a:extLst>
            <a:ext uri="{FF2B5EF4-FFF2-40B4-BE49-F238E27FC236}">
              <a16:creationId xmlns:a16="http://schemas.microsoft.com/office/drawing/2014/main" id="{00000000-0008-0000-0100-0000F7C40200}"/>
            </a:ext>
          </a:extLst>
        </xdr:cNvPr>
        <xdr:cNvSpPr txBox="1">
          <a:spLocks noChangeArrowheads="1"/>
        </xdr:cNvSpPr>
      </xdr:nvSpPr>
      <xdr:spPr bwMode="auto">
        <a:xfrm>
          <a:off x="10753725" y="32099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96" name="Text Box 38">
          <a:extLst>
            <a:ext uri="{FF2B5EF4-FFF2-40B4-BE49-F238E27FC236}">
              <a16:creationId xmlns:a16="http://schemas.microsoft.com/office/drawing/2014/main" id="{00000000-0008-0000-0100-0000F8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85</xdr:col>
      <xdr:colOff>33130</xdr:colOff>
      <xdr:row>18</xdr:row>
      <xdr:rowOff>8282</xdr:rowOff>
    </xdr:from>
    <xdr:to>
      <xdr:col>85</xdr:col>
      <xdr:colOff>109330</xdr:colOff>
      <xdr:row>19</xdr:row>
      <xdr:rowOff>8283</xdr:rowOff>
    </xdr:to>
    <xdr:sp macro="" textlink="">
      <xdr:nvSpPr>
        <xdr:cNvPr id="181497" name="Text Box 39">
          <a:extLst>
            <a:ext uri="{FF2B5EF4-FFF2-40B4-BE49-F238E27FC236}">
              <a16:creationId xmlns:a16="http://schemas.microsoft.com/office/drawing/2014/main" id="{00000000-0008-0000-0100-0000F9C40200}"/>
            </a:ext>
          </a:extLst>
        </xdr:cNvPr>
        <xdr:cNvSpPr txBox="1">
          <a:spLocks noChangeArrowheads="1"/>
        </xdr:cNvSpPr>
      </xdr:nvSpPr>
      <xdr:spPr bwMode="auto">
        <a:xfrm>
          <a:off x="10808804" y="3205369"/>
          <a:ext cx="76200" cy="198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22</xdr:row>
      <xdr:rowOff>0</xdr:rowOff>
    </xdr:from>
    <xdr:to>
      <xdr:col>43</xdr:col>
      <xdr:colOff>76200</xdr:colOff>
      <xdr:row>23</xdr:row>
      <xdr:rowOff>0</xdr:rowOff>
    </xdr:to>
    <xdr:sp macro="" textlink="">
      <xdr:nvSpPr>
        <xdr:cNvPr id="181498" name="Text Box 40">
          <a:extLst>
            <a:ext uri="{FF2B5EF4-FFF2-40B4-BE49-F238E27FC236}">
              <a16:creationId xmlns:a16="http://schemas.microsoft.com/office/drawing/2014/main" id="{00000000-0008-0000-0100-0000FAC40200}"/>
            </a:ext>
          </a:extLst>
        </xdr:cNvPr>
        <xdr:cNvSpPr txBox="1">
          <a:spLocks noChangeArrowheads="1"/>
        </xdr:cNvSpPr>
      </xdr:nvSpPr>
      <xdr:spPr bwMode="auto">
        <a:xfrm>
          <a:off x="10753725" y="4010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499" name="Text Box 1">
          <a:extLst>
            <a:ext uri="{FF2B5EF4-FFF2-40B4-BE49-F238E27FC236}">
              <a16:creationId xmlns:a16="http://schemas.microsoft.com/office/drawing/2014/main" id="{00000000-0008-0000-0100-0000FBC4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00" name="Text Box 2">
          <a:extLst>
            <a:ext uri="{FF2B5EF4-FFF2-40B4-BE49-F238E27FC236}">
              <a16:creationId xmlns:a16="http://schemas.microsoft.com/office/drawing/2014/main" id="{00000000-0008-0000-0100-0000FCC4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01" name="Text Box 3">
          <a:extLst>
            <a:ext uri="{FF2B5EF4-FFF2-40B4-BE49-F238E27FC236}">
              <a16:creationId xmlns:a16="http://schemas.microsoft.com/office/drawing/2014/main" id="{00000000-0008-0000-0100-0000FDC4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02" name="Text Box 4">
          <a:extLst>
            <a:ext uri="{FF2B5EF4-FFF2-40B4-BE49-F238E27FC236}">
              <a16:creationId xmlns:a16="http://schemas.microsoft.com/office/drawing/2014/main" id="{00000000-0008-0000-0100-0000FEC4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03" name="Text Box 5">
          <a:extLst>
            <a:ext uri="{FF2B5EF4-FFF2-40B4-BE49-F238E27FC236}">
              <a16:creationId xmlns:a16="http://schemas.microsoft.com/office/drawing/2014/main" id="{00000000-0008-0000-0100-0000FFC4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04" name="Text Box 6">
          <a:extLst>
            <a:ext uri="{FF2B5EF4-FFF2-40B4-BE49-F238E27FC236}">
              <a16:creationId xmlns:a16="http://schemas.microsoft.com/office/drawing/2014/main" id="{00000000-0008-0000-0100-000000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05" name="Text Box 7">
          <a:extLst>
            <a:ext uri="{FF2B5EF4-FFF2-40B4-BE49-F238E27FC236}">
              <a16:creationId xmlns:a16="http://schemas.microsoft.com/office/drawing/2014/main" id="{00000000-0008-0000-0100-000001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06" name="Text Box 8">
          <a:extLst>
            <a:ext uri="{FF2B5EF4-FFF2-40B4-BE49-F238E27FC236}">
              <a16:creationId xmlns:a16="http://schemas.microsoft.com/office/drawing/2014/main" id="{00000000-0008-0000-0100-000002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07" name="Text Box 9">
          <a:extLst>
            <a:ext uri="{FF2B5EF4-FFF2-40B4-BE49-F238E27FC236}">
              <a16:creationId xmlns:a16="http://schemas.microsoft.com/office/drawing/2014/main" id="{00000000-0008-0000-0100-000003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08" name="Text Box 10">
          <a:extLst>
            <a:ext uri="{FF2B5EF4-FFF2-40B4-BE49-F238E27FC236}">
              <a16:creationId xmlns:a16="http://schemas.microsoft.com/office/drawing/2014/main" id="{00000000-0008-0000-0100-000004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09" name="Text Box 11">
          <a:extLst>
            <a:ext uri="{FF2B5EF4-FFF2-40B4-BE49-F238E27FC236}">
              <a16:creationId xmlns:a16="http://schemas.microsoft.com/office/drawing/2014/main" id="{00000000-0008-0000-0100-000005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10" name="Text Box 12">
          <a:extLst>
            <a:ext uri="{FF2B5EF4-FFF2-40B4-BE49-F238E27FC236}">
              <a16:creationId xmlns:a16="http://schemas.microsoft.com/office/drawing/2014/main" id="{00000000-0008-0000-0100-000006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11" name="Text Box 13">
          <a:extLst>
            <a:ext uri="{FF2B5EF4-FFF2-40B4-BE49-F238E27FC236}">
              <a16:creationId xmlns:a16="http://schemas.microsoft.com/office/drawing/2014/main" id="{00000000-0008-0000-0100-000007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12" name="Text Box 14">
          <a:extLst>
            <a:ext uri="{FF2B5EF4-FFF2-40B4-BE49-F238E27FC236}">
              <a16:creationId xmlns:a16="http://schemas.microsoft.com/office/drawing/2014/main" id="{00000000-0008-0000-0100-000008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13" name="Text Box 15">
          <a:extLst>
            <a:ext uri="{FF2B5EF4-FFF2-40B4-BE49-F238E27FC236}">
              <a16:creationId xmlns:a16="http://schemas.microsoft.com/office/drawing/2014/main" id="{00000000-0008-0000-0100-000009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14" name="Text Box 16">
          <a:extLst>
            <a:ext uri="{FF2B5EF4-FFF2-40B4-BE49-F238E27FC236}">
              <a16:creationId xmlns:a16="http://schemas.microsoft.com/office/drawing/2014/main" id="{00000000-0008-0000-0100-00000A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15" name="Text Box 17">
          <a:extLst>
            <a:ext uri="{FF2B5EF4-FFF2-40B4-BE49-F238E27FC236}">
              <a16:creationId xmlns:a16="http://schemas.microsoft.com/office/drawing/2014/main" id="{00000000-0008-0000-0100-00000B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16" name="Text Box 18">
          <a:extLst>
            <a:ext uri="{FF2B5EF4-FFF2-40B4-BE49-F238E27FC236}">
              <a16:creationId xmlns:a16="http://schemas.microsoft.com/office/drawing/2014/main" id="{00000000-0008-0000-0100-00000C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17" name="Text Box 19">
          <a:extLst>
            <a:ext uri="{FF2B5EF4-FFF2-40B4-BE49-F238E27FC236}">
              <a16:creationId xmlns:a16="http://schemas.microsoft.com/office/drawing/2014/main" id="{00000000-0008-0000-0100-00000D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18" name="Text Box 20">
          <a:extLst>
            <a:ext uri="{FF2B5EF4-FFF2-40B4-BE49-F238E27FC236}">
              <a16:creationId xmlns:a16="http://schemas.microsoft.com/office/drawing/2014/main" id="{00000000-0008-0000-0100-00000E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19" name="Text Box 21">
          <a:extLst>
            <a:ext uri="{FF2B5EF4-FFF2-40B4-BE49-F238E27FC236}">
              <a16:creationId xmlns:a16="http://schemas.microsoft.com/office/drawing/2014/main" id="{00000000-0008-0000-0100-00000F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20" name="Text Box 22">
          <a:extLst>
            <a:ext uri="{FF2B5EF4-FFF2-40B4-BE49-F238E27FC236}">
              <a16:creationId xmlns:a16="http://schemas.microsoft.com/office/drawing/2014/main" id="{00000000-0008-0000-0100-000010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21" name="Text Box 23">
          <a:extLst>
            <a:ext uri="{FF2B5EF4-FFF2-40B4-BE49-F238E27FC236}">
              <a16:creationId xmlns:a16="http://schemas.microsoft.com/office/drawing/2014/main" id="{00000000-0008-0000-0100-000011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22" name="Text Box 24">
          <a:extLst>
            <a:ext uri="{FF2B5EF4-FFF2-40B4-BE49-F238E27FC236}">
              <a16:creationId xmlns:a16="http://schemas.microsoft.com/office/drawing/2014/main" id="{00000000-0008-0000-0100-000012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23" name="Text Box 25">
          <a:extLst>
            <a:ext uri="{FF2B5EF4-FFF2-40B4-BE49-F238E27FC236}">
              <a16:creationId xmlns:a16="http://schemas.microsoft.com/office/drawing/2014/main" id="{00000000-0008-0000-0100-000013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24" name="Text Box 26">
          <a:extLst>
            <a:ext uri="{FF2B5EF4-FFF2-40B4-BE49-F238E27FC236}">
              <a16:creationId xmlns:a16="http://schemas.microsoft.com/office/drawing/2014/main" id="{00000000-0008-0000-0100-000014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25" name="Text Box 27">
          <a:extLst>
            <a:ext uri="{FF2B5EF4-FFF2-40B4-BE49-F238E27FC236}">
              <a16:creationId xmlns:a16="http://schemas.microsoft.com/office/drawing/2014/main" id="{00000000-0008-0000-0100-000015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26" name="Text Box 28">
          <a:extLst>
            <a:ext uri="{FF2B5EF4-FFF2-40B4-BE49-F238E27FC236}">
              <a16:creationId xmlns:a16="http://schemas.microsoft.com/office/drawing/2014/main" id="{00000000-0008-0000-0100-000016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27" name="Text Box 29">
          <a:extLst>
            <a:ext uri="{FF2B5EF4-FFF2-40B4-BE49-F238E27FC236}">
              <a16:creationId xmlns:a16="http://schemas.microsoft.com/office/drawing/2014/main" id="{00000000-0008-0000-0100-000017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28" name="Text Box 30">
          <a:extLst>
            <a:ext uri="{FF2B5EF4-FFF2-40B4-BE49-F238E27FC236}">
              <a16:creationId xmlns:a16="http://schemas.microsoft.com/office/drawing/2014/main" id="{00000000-0008-0000-0100-000018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29" name="Text Box 31">
          <a:extLst>
            <a:ext uri="{FF2B5EF4-FFF2-40B4-BE49-F238E27FC236}">
              <a16:creationId xmlns:a16="http://schemas.microsoft.com/office/drawing/2014/main" id="{00000000-0008-0000-0100-000019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30" name="Text Box 32">
          <a:extLst>
            <a:ext uri="{FF2B5EF4-FFF2-40B4-BE49-F238E27FC236}">
              <a16:creationId xmlns:a16="http://schemas.microsoft.com/office/drawing/2014/main" id="{00000000-0008-0000-0100-00001A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31" name="Text Box 33">
          <a:extLst>
            <a:ext uri="{FF2B5EF4-FFF2-40B4-BE49-F238E27FC236}">
              <a16:creationId xmlns:a16="http://schemas.microsoft.com/office/drawing/2014/main" id="{00000000-0008-0000-0100-00001B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32" name="Text Box 34">
          <a:extLst>
            <a:ext uri="{FF2B5EF4-FFF2-40B4-BE49-F238E27FC236}">
              <a16:creationId xmlns:a16="http://schemas.microsoft.com/office/drawing/2014/main" id="{00000000-0008-0000-0100-00001C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33" name="Text Box 35">
          <a:extLst>
            <a:ext uri="{FF2B5EF4-FFF2-40B4-BE49-F238E27FC236}">
              <a16:creationId xmlns:a16="http://schemas.microsoft.com/office/drawing/2014/main" id="{00000000-0008-0000-0100-00001D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34" name="Text Box 36">
          <a:extLst>
            <a:ext uri="{FF2B5EF4-FFF2-40B4-BE49-F238E27FC236}">
              <a16:creationId xmlns:a16="http://schemas.microsoft.com/office/drawing/2014/main" id="{00000000-0008-0000-0100-00001E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35" name="Text Box 37">
          <a:extLst>
            <a:ext uri="{FF2B5EF4-FFF2-40B4-BE49-F238E27FC236}">
              <a16:creationId xmlns:a16="http://schemas.microsoft.com/office/drawing/2014/main" id="{00000000-0008-0000-0100-00001F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36" name="Text Box 38">
          <a:extLst>
            <a:ext uri="{FF2B5EF4-FFF2-40B4-BE49-F238E27FC236}">
              <a16:creationId xmlns:a16="http://schemas.microsoft.com/office/drawing/2014/main" id="{00000000-0008-0000-0100-000020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12</xdr:row>
      <xdr:rowOff>0</xdr:rowOff>
    </xdr:from>
    <xdr:to>
      <xdr:col>43</xdr:col>
      <xdr:colOff>76200</xdr:colOff>
      <xdr:row>13</xdr:row>
      <xdr:rowOff>955</xdr:rowOff>
    </xdr:to>
    <xdr:sp macro="" textlink="">
      <xdr:nvSpPr>
        <xdr:cNvPr id="181537" name="Text Box 39">
          <a:extLst>
            <a:ext uri="{FF2B5EF4-FFF2-40B4-BE49-F238E27FC236}">
              <a16:creationId xmlns:a16="http://schemas.microsoft.com/office/drawing/2014/main" id="{00000000-0008-0000-0100-000021C5020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19</xdr:row>
      <xdr:rowOff>0</xdr:rowOff>
    </xdr:from>
    <xdr:to>
      <xdr:col>43</xdr:col>
      <xdr:colOff>76200</xdr:colOff>
      <xdr:row>20</xdr:row>
      <xdr:rowOff>955</xdr:rowOff>
    </xdr:to>
    <xdr:sp macro="" textlink="">
      <xdr:nvSpPr>
        <xdr:cNvPr id="181538" name="Text Box 40">
          <a:extLst>
            <a:ext uri="{FF2B5EF4-FFF2-40B4-BE49-F238E27FC236}">
              <a16:creationId xmlns:a16="http://schemas.microsoft.com/office/drawing/2014/main" id="{00000000-0008-0000-0100-000022C50200}"/>
            </a:ext>
          </a:extLst>
        </xdr:cNvPr>
        <xdr:cNvSpPr txBox="1">
          <a:spLocks noChangeArrowheads="1"/>
        </xdr:cNvSpPr>
      </xdr:nvSpPr>
      <xdr:spPr bwMode="auto">
        <a:xfrm>
          <a:off x="10753725" y="3409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47</xdr:col>
      <xdr:colOff>0</xdr:colOff>
      <xdr:row>17</xdr:row>
      <xdr:rowOff>0</xdr:rowOff>
    </xdr:from>
    <xdr:to>
      <xdr:col>47</xdr:col>
      <xdr:colOff>76200</xdr:colOff>
      <xdr:row>18</xdr:row>
      <xdr:rowOff>9525</xdr:rowOff>
    </xdr:to>
    <xdr:sp macro="" textlink="">
      <xdr:nvSpPr>
        <xdr:cNvPr id="2" name="Text Box 1">
          <a:extLst>
            <a:ext uri="{FF2B5EF4-FFF2-40B4-BE49-F238E27FC236}">
              <a16:creationId xmlns:a16="http://schemas.microsoft.com/office/drawing/2014/main" id="{6B6245E5-67CF-46FE-8514-E803CC433ED3}"/>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 name="Text Box 2">
          <a:extLst>
            <a:ext uri="{FF2B5EF4-FFF2-40B4-BE49-F238E27FC236}">
              <a16:creationId xmlns:a16="http://schemas.microsoft.com/office/drawing/2014/main" id="{F1D2AB63-D7F4-436F-AB0C-99A6038089FF}"/>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4" name="Text Box 3">
          <a:extLst>
            <a:ext uri="{FF2B5EF4-FFF2-40B4-BE49-F238E27FC236}">
              <a16:creationId xmlns:a16="http://schemas.microsoft.com/office/drawing/2014/main" id="{B4FD8667-AA0A-45DE-AF05-BD3173DD3FBF}"/>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5" name="Text Box 4">
          <a:extLst>
            <a:ext uri="{FF2B5EF4-FFF2-40B4-BE49-F238E27FC236}">
              <a16:creationId xmlns:a16="http://schemas.microsoft.com/office/drawing/2014/main" id="{55BC376E-E735-4F24-BC02-A4AF2963B3B4}"/>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6" name="Text Box 5">
          <a:extLst>
            <a:ext uri="{FF2B5EF4-FFF2-40B4-BE49-F238E27FC236}">
              <a16:creationId xmlns:a16="http://schemas.microsoft.com/office/drawing/2014/main" id="{A6B91F5E-D33E-4EF0-8FD1-A151A62ED64B}"/>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7" name="Text Box 6">
          <a:extLst>
            <a:ext uri="{FF2B5EF4-FFF2-40B4-BE49-F238E27FC236}">
              <a16:creationId xmlns:a16="http://schemas.microsoft.com/office/drawing/2014/main" id="{178DCB8C-22E1-4AA8-A8D3-9CD8CAC4012C}"/>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8" name="Text Box 7">
          <a:extLst>
            <a:ext uri="{FF2B5EF4-FFF2-40B4-BE49-F238E27FC236}">
              <a16:creationId xmlns:a16="http://schemas.microsoft.com/office/drawing/2014/main" id="{51969755-0EE7-49AB-9C04-1DC949BA51F8}"/>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9" name="Text Box 8">
          <a:extLst>
            <a:ext uri="{FF2B5EF4-FFF2-40B4-BE49-F238E27FC236}">
              <a16:creationId xmlns:a16="http://schemas.microsoft.com/office/drawing/2014/main" id="{26810FE3-45A8-4E0F-B287-C78FEB04C2E7}"/>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10" name="Text Box 9">
          <a:extLst>
            <a:ext uri="{FF2B5EF4-FFF2-40B4-BE49-F238E27FC236}">
              <a16:creationId xmlns:a16="http://schemas.microsoft.com/office/drawing/2014/main" id="{D762D28E-B5BA-4A80-9A96-6CC9D7110C6E}"/>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11" name="Text Box 10">
          <a:extLst>
            <a:ext uri="{FF2B5EF4-FFF2-40B4-BE49-F238E27FC236}">
              <a16:creationId xmlns:a16="http://schemas.microsoft.com/office/drawing/2014/main" id="{DC86514F-1B2B-4B8A-9E2D-7A4E5ED6B5B9}"/>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12" name="Text Box 11">
          <a:extLst>
            <a:ext uri="{FF2B5EF4-FFF2-40B4-BE49-F238E27FC236}">
              <a16:creationId xmlns:a16="http://schemas.microsoft.com/office/drawing/2014/main" id="{0D0276D8-57D9-4BBB-BFDC-C1494C0DE3F8}"/>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13" name="Text Box 12">
          <a:extLst>
            <a:ext uri="{FF2B5EF4-FFF2-40B4-BE49-F238E27FC236}">
              <a16:creationId xmlns:a16="http://schemas.microsoft.com/office/drawing/2014/main" id="{D998AC57-7850-4C49-A30B-CE77C4BD1818}"/>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14" name="Text Box 13">
          <a:extLst>
            <a:ext uri="{FF2B5EF4-FFF2-40B4-BE49-F238E27FC236}">
              <a16:creationId xmlns:a16="http://schemas.microsoft.com/office/drawing/2014/main" id="{9D56C1F2-8BE1-4C91-95F4-A5B1ABE0CC97}"/>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15" name="Text Box 14">
          <a:extLst>
            <a:ext uri="{FF2B5EF4-FFF2-40B4-BE49-F238E27FC236}">
              <a16:creationId xmlns:a16="http://schemas.microsoft.com/office/drawing/2014/main" id="{FD61D83F-C783-4427-A3B7-68444D31DA62}"/>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16" name="Text Box 15">
          <a:extLst>
            <a:ext uri="{FF2B5EF4-FFF2-40B4-BE49-F238E27FC236}">
              <a16:creationId xmlns:a16="http://schemas.microsoft.com/office/drawing/2014/main" id="{8065BD69-1DB7-4F6E-B868-895B79ED996E}"/>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17" name="Text Box 16">
          <a:extLst>
            <a:ext uri="{FF2B5EF4-FFF2-40B4-BE49-F238E27FC236}">
              <a16:creationId xmlns:a16="http://schemas.microsoft.com/office/drawing/2014/main" id="{5589C045-588A-4843-8F4B-7423178C339C}"/>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18" name="Text Box 17">
          <a:extLst>
            <a:ext uri="{FF2B5EF4-FFF2-40B4-BE49-F238E27FC236}">
              <a16:creationId xmlns:a16="http://schemas.microsoft.com/office/drawing/2014/main" id="{B8601C67-C89A-45AA-A4A8-E6ADFE403BA5}"/>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19" name="Text Box 18">
          <a:extLst>
            <a:ext uri="{FF2B5EF4-FFF2-40B4-BE49-F238E27FC236}">
              <a16:creationId xmlns:a16="http://schemas.microsoft.com/office/drawing/2014/main" id="{09A35F62-9A0C-449B-AE3E-6122D2D198F8}"/>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20" name="Text Box 19">
          <a:extLst>
            <a:ext uri="{FF2B5EF4-FFF2-40B4-BE49-F238E27FC236}">
              <a16:creationId xmlns:a16="http://schemas.microsoft.com/office/drawing/2014/main" id="{D40D8681-2C3F-4BF8-901E-2813D1B7195F}"/>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21" name="Text Box 20">
          <a:extLst>
            <a:ext uri="{FF2B5EF4-FFF2-40B4-BE49-F238E27FC236}">
              <a16:creationId xmlns:a16="http://schemas.microsoft.com/office/drawing/2014/main" id="{FF87CA80-D14E-437B-AB3B-1FB29238EB01}"/>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22" name="Text Box 21">
          <a:extLst>
            <a:ext uri="{FF2B5EF4-FFF2-40B4-BE49-F238E27FC236}">
              <a16:creationId xmlns:a16="http://schemas.microsoft.com/office/drawing/2014/main" id="{BF1C8284-A901-4181-B72D-B2A074AD6539}"/>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23" name="Text Box 22">
          <a:extLst>
            <a:ext uri="{FF2B5EF4-FFF2-40B4-BE49-F238E27FC236}">
              <a16:creationId xmlns:a16="http://schemas.microsoft.com/office/drawing/2014/main" id="{BAC4486C-F21E-46FC-A56E-B4F01AFE5607}"/>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24" name="Text Box 23">
          <a:extLst>
            <a:ext uri="{FF2B5EF4-FFF2-40B4-BE49-F238E27FC236}">
              <a16:creationId xmlns:a16="http://schemas.microsoft.com/office/drawing/2014/main" id="{8F2A2752-B66A-4427-8918-24F115E63816}"/>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25" name="Text Box 24">
          <a:extLst>
            <a:ext uri="{FF2B5EF4-FFF2-40B4-BE49-F238E27FC236}">
              <a16:creationId xmlns:a16="http://schemas.microsoft.com/office/drawing/2014/main" id="{7D900210-4209-4549-B8DE-590214C8829B}"/>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26" name="Text Box 25">
          <a:extLst>
            <a:ext uri="{FF2B5EF4-FFF2-40B4-BE49-F238E27FC236}">
              <a16:creationId xmlns:a16="http://schemas.microsoft.com/office/drawing/2014/main" id="{404D8A18-6D4C-45AC-85AB-6CE37A4E238D}"/>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27" name="Text Box 26">
          <a:extLst>
            <a:ext uri="{FF2B5EF4-FFF2-40B4-BE49-F238E27FC236}">
              <a16:creationId xmlns:a16="http://schemas.microsoft.com/office/drawing/2014/main" id="{D9150262-B912-4F37-A752-FD281FD4CE80}"/>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28" name="Text Box 27">
          <a:extLst>
            <a:ext uri="{FF2B5EF4-FFF2-40B4-BE49-F238E27FC236}">
              <a16:creationId xmlns:a16="http://schemas.microsoft.com/office/drawing/2014/main" id="{C1EA2E73-3891-427E-862A-26A502ECA752}"/>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29" name="Text Box 28">
          <a:extLst>
            <a:ext uri="{FF2B5EF4-FFF2-40B4-BE49-F238E27FC236}">
              <a16:creationId xmlns:a16="http://schemas.microsoft.com/office/drawing/2014/main" id="{DD578AA8-6C39-4FF0-B546-2110EDAD627A}"/>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30" name="Text Box 29">
          <a:extLst>
            <a:ext uri="{FF2B5EF4-FFF2-40B4-BE49-F238E27FC236}">
              <a16:creationId xmlns:a16="http://schemas.microsoft.com/office/drawing/2014/main" id="{0E184DD9-BE31-4D8A-BC91-3736AB75411F}"/>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1" name="Text Box 30">
          <a:extLst>
            <a:ext uri="{FF2B5EF4-FFF2-40B4-BE49-F238E27FC236}">
              <a16:creationId xmlns:a16="http://schemas.microsoft.com/office/drawing/2014/main" id="{DF44DC43-CD7F-4E7F-8DD1-4077D5F2CF7E}"/>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32" name="Text Box 31">
          <a:extLst>
            <a:ext uri="{FF2B5EF4-FFF2-40B4-BE49-F238E27FC236}">
              <a16:creationId xmlns:a16="http://schemas.microsoft.com/office/drawing/2014/main" id="{C0A4A8FA-6658-46E0-BE07-71807E435584}"/>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3" name="Text Box 32">
          <a:extLst>
            <a:ext uri="{FF2B5EF4-FFF2-40B4-BE49-F238E27FC236}">
              <a16:creationId xmlns:a16="http://schemas.microsoft.com/office/drawing/2014/main" id="{64039DB8-3175-4C2F-A15B-01912F63A705}"/>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34" name="Text Box 33">
          <a:extLst>
            <a:ext uri="{FF2B5EF4-FFF2-40B4-BE49-F238E27FC236}">
              <a16:creationId xmlns:a16="http://schemas.microsoft.com/office/drawing/2014/main" id="{3357DFBC-5923-4E18-B509-C3D3DD8720E5}"/>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5" name="Text Box 34">
          <a:extLst>
            <a:ext uri="{FF2B5EF4-FFF2-40B4-BE49-F238E27FC236}">
              <a16:creationId xmlns:a16="http://schemas.microsoft.com/office/drawing/2014/main" id="{DB146C16-322D-485F-B5A3-338EA0318C06}"/>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36" name="Text Box 35">
          <a:extLst>
            <a:ext uri="{FF2B5EF4-FFF2-40B4-BE49-F238E27FC236}">
              <a16:creationId xmlns:a16="http://schemas.microsoft.com/office/drawing/2014/main" id="{FCE013B5-FEA2-452F-B2DC-2DA339171008}"/>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7" name="Text Box 36">
          <a:extLst>
            <a:ext uri="{FF2B5EF4-FFF2-40B4-BE49-F238E27FC236}">
              <a16:creationId xmlns:a16="http://schemas.microsoft.com/office/drawing/2014/main" id="{2C93BB92-3755-4427-8BBE-302DFF6452B8}"/>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38" name="Text Box 37">
          <a:extLst>
            <a:ext uri="{FF2B5EF4-FFF2-40B4-BE49-F238E27FC236}">
              <a16:creationId xmlns:a16="http://schemas.microsoft.com/office/drawing/2014/main" id="{EB295C1A-DB09-4989-BB3D-54020BDFA586}"/>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9" name="Text Box 38">
          <a:extLst>
            <a:ext uri="{FF2B5EF4-FFF2-40B4-BE49-F238E27FC236}">
              <a16:creationId xmlns:a16="http://schemas.microsoft.com/office/drawing/2014/main" id="{F8F2AD0F-05CD-4754-BDD4-A2ED044A45A0}"/>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40" name="Text Box 39">
          <a:extLst>
            <a:ext uri="{FF2B5EF4-FFF2-40B4-BE49-F238E27FC236}">
              <a16:creationId xmlns:a16="http://schemas.microsoft.com/office/drawing/2014/main" id="{5BDADEA2-EAFC-4278-BBA5-9D120B114234}"/>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41" name="Text Box 40">
          <a:extLst>
            <a:ext uri="{FF2B5EF4-FFF2-40B4-BE49-F238E27FC236}">
              <a16:creationId xmlns:a16="http://schemas.microsoft.com/office/drawing/2014/main" id="{D3D62DE8-2943-4898-A5DC-BA2792E464B3}"/>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42" name="Text Box 1">
          <a:extLst>
            <a:ext uri="{FF2B5EF4-FFF2-40B4-BE49-F238E27FC236}">
              <a16:creationId xmlns:a16="http://schemas.microsoft.com/office/drawing/2014/main" id="{1B82AA03-16CF-4B9D-96F1-EB3ED05AA53E}"/>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43" name="Text Box 2">
          <a:extLst>
            <a:ext uri="{FF2B5EF4-FFF2-40B4-BE49-F238E27FC236}">
              <a16:creationId xmlns:a16="http://schemas.microsoft.com/office/drawing/2014/main" id="{05170F37-636C-4315-B129-D2AE89A7A7FE}"/>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44" name="Text Box 3">
          <a:extLst>
            <a:ext uri="{FF2B5EF4-FFF2-40B4-BE49-F238E27FC236}">
              <a16:creationId xmlns:a16="http://schemas.microsoft.com/office/drawing/2014/main" id="{4785534F-40BC-4803-B6EA-2D6616E4F834}"/>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45" name="Text Box 4">
          <a:extLst>
            <a:ext uri="{FF2B5EF4-FFF2-40B4-BE49-F238E27FC236}">
              <a16:creationId xmlns:a16="http://schemas.microsoft.com/office/drawing/2014/main" id="{BA3078DE-CB74-41A7-ADEB-768923AFD6C5}"/>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46" name="Text Box 5">
          <a:extLst>
            <a:ext uri="{FF2B5EF4-FFF2-40B4-BE49-F238E27FC236}">
              <a16:creationId xmlns:a16="http://schemas.microsoft.com/office/drawing/2014/main" id="{4D2DD738-7FC1-479F-A9D1-AC806295CC72}"/>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47" name="Text Box 6">
          <a:extLst>
            <a:ext uri="{FF2B5EF4-FFF2-40B4-BE49-F238E27FC236}">
              <a16:creationId xmlns:a16="http://schemas.microsoft.com/office/drawing/2014/main" id="{D12BB425-0152-4136-BC86-259737FDBECC}"/>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48" name="Text Box 7">
          <a:extLst>
            <a:ext uri="{FF2B5EF4-FFF2-40B4-BE49-F238E27FC236}">
              <a16:creationId xmlns:a16="http://schemas.microsoft.com/office/drawing/2014/main" id="{9C55634E-F83F-4E6A-81B3-283E7A01368D}"/>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49" name="Text Box 8">
          <a:extLst>
            <a:ext uri="{FF2B5EF4-FFF2-40B4-BE49-F238E27FC236}">
              <a16:creationId xmlns:a16="http://schemas.microsoft.com/office/drawing/2014/main" id="{FB67E588-9495-461C-AAAB-6141F43F6F40}"/>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50" name="Text Box 9">
          <a:extLst>
            <a:ext uri="{FF2B5EF4-FFF2-40B4-BE49-F238E27FC236}">
              <a16:creationId xmlns:a16="http://schemas.microsoft.com/office/drawing/2014/main" id="{CFFCCD7B-A352-484B-AD20-4EDE21E8B736}"/>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51" name="Text Box 10">
          <a:extLst>
            <a:ext uri="{FF2B5EF4-FFF2-40B4-BE49-F238E27FC236}">
              <a16:creationId xmlns:a16="http://schemas.microsoft.com/office/drawing/2014/main" id="{A242A9A8-0A96-4A16-B771-066C6EE29F43}"/>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52" name="Text Box 11">
          <a:extLst>
            <a:ext uri="{FF2B5EF4-FFF2-40B4-BE49-F238E27FC236}">
              <a16:creationId xmlns:a16="http://schemas.microsoft.com/office/drawing/2014/main" id="{0C3F0E84-928E-4AC4-BECA-C63E5C1C6CB6}"/>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53" name="Text Box 12">
          <a:extLst>
            <a:ext uri="{FF2B5EF4-FFF2-40B4-BE49-F238E27FC236}">
              <a16:creationId xmlns:a16="http://schemas.microsoft.com/office/drawing/2014/main" id="{5E89B12D-3517-420C-BC75-4F9374EC09CA}"/>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54" name="Text Box 13">
          <a:extLst>
            <a:ext uri="{FF2B5EF4-FFF2-40B4-BE49-F238E27FC236}">
              <a16:creationId xmlns:a16="http://schemas.microsoft.com/office/drawing/2014/main" id="{40B4445E-7EAD-4DF6-B0B9-E3C7D5F3ACBA}"/>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55" name="Text Box 14">
          <a:extLst>
            <a:ext uri="{FF2B5EF4-FFF2-40B4-BE49-F238E27FC236}">
              <a16:creationId xmlns:a16="http://schemas.microsoft.com/office/drawing/2014/main" id="{68B9907D-E556-4EF2-89E3-1C676A41D2ED}"/>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56" name="Text Box 15">
          <a:extLst>
            <a:ext uri="{FF2B5EF4-FFF2-40B4-BE49-F238E27FC236}">
              <a16:creationId xmlns:a16="http://schemas.microsoft.com/office/drawing/2014/main" id="{17732F14-03F9-4D30-8A7A-CC95E0C2A9B2}"/>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57" name="Text Box 16">
          <a:extLst>
            <a:ext uri="{FF2B5EF4-FFF2-40B4-BE49-F238E27FC236}">
              <a16:creationId xmlns:a16="http://schemas.microsoft.com/office/drawing/2014/main" id="{7DFE54C2-8A83-4485-93E0-CD04152CD5BB}"/>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58" name="Text Box 17">
          <a:extLst>
            <a:ext uri="{FF2B5EF4-FFF2-40B4-BE49-F238E27FC236}">
              <a16:creationId xmlns:a16="http://schemas.microsoft.com/office/drawing/2014/main" id="{08488FE7-0160-4495-BA7F-1E8141212820}"/>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59" name="Text Box 18">
          <a:extLst>
            <a:ext uri="{FF2B5EF4-FFF2-40B4-BE49-F238E27FC236}">
              <a16:creationId xmlns:a16="http://schemas.microsoft.com/office/drawing/2014/main" id="{87D2E1BB-61D2-4C43-A01D-1AEB36022F78}"/>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60" name="Text Box 19">
          <a:extLst>
            <a:ext uri="{FF2B5EF4-FFF2-40B4-BE49-F238E27FC236}">
              <a16:creationId xmlns:a16="http://schemas.microsoft.com/office/drawing/2014/main" id="{A7835CD8-475E-4D87-8B35-16577D151C09}"/>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61" name="Text Box 20">
          <a:extLst>
            <a:ext uri="{FF2B5EF4-FFF2-40B4-BE49-F238E27FC236}">
              <a16:creationId xmlns:a16="http://schemas.microsoft.com/office/drawing/2014/main" id="{0363BA09-E894-4F4E-BC28-739D09F9F441}"/>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62" name="Text Box 21">
          <a:extLst>
            <a:ext uri="{FF2B5EF4-FFF2-40B4-BE49-F238E27FC236}">
              <a16:creationId xmlns:a16="http://schemas.microsoft.com/office/drawing/2014/main" id="{C8F2BBD5-0512-49EE-8306-93ABD6BF9BB4}"/>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63" name="Text Box 22">
          <a:extLst>
            <a:ext uri="{FF2B5EF4-FFF2-40B4-BE49-F238E27FC236}">
              <a16:creationId xmlns:a16="http://schemas.microsoft.com/office/drawing/2014/main" id="{39B466D4-602D-4471-BFFD-647397028935}"/>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64" name="Text Box 23">
          <a:extLst>
            <a:ext uri="{FF2B5EF4-FFF2-40B4-BE49-F238E27FC236}">
              <a16:creationId xmlns:a16="http://schemas.microsoft.com/office/drawing/2014/main" id="{0B0B2648-855D-4E4F-B239-EF63626EC565}"/>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65" name="Text Box 24">
          <a:extLst>
            <a:ext uri="{FF2B5EF4-FFF2-40B4-BE49-F238E27FC236}">
              <a16:creationId xmlns:a16="http://schemas.microsoft.com/office/drawing/2014/main" id="{9666D180-106E-49CA-8831-9D5735D36617}"/>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66" name="Text Box 25">
          <a:extLst>
            <a:ext uri="{FF2B5EF4-FFF2-40B4-BE49-F238E27FC236}">
              <a16:creationId xmlns:a16="http://schemas.microsoft.com/office/drawing/2014/main" id="{6695BA60-8232-486A-86C3-389F5E2C80D8}"/>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67" name="Text Box 26">
          <a:extLst>
            <a:ext uri="{FF2B5EF4-FFF2-40B4-BE49-F238E27FC236}">
              <a16:creationId xmlns:a16="http://schemas.microsoft.com/office/drawing/2014/main" id="{E6A611C9-E6F7-41E7-8CC6-8CA24F99CC7A}"/>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68" name="Text Box 27">
          <a:extLst>
            <a:ext uri="{FF2B5EF4-FFF2-40B4-BE49-F238E27FC236}">
              <a16:creationId xmlns:a16="http://schemas.microsoft.com/office/drawing/2014/main" id="{C409DE3B-C8C2-4705-8D2A-4410D110E4F8}"/>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69" name="Text Box 28">
          <a:extLst>
            <a:ext uri="{FF2B5EF4-FFF2-40B4-BE49-F238E27FC236}">
              <a16:creationId xmlns:a16="http://schemas.microsoft.com/office/drawing/2014/main" id="{CCE8E043-A883-49C6-87C2-291006069C8F}"/>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70" name="Text Box 29">
          <a:extLst>
            <a:ext uri="{FF2B5EF4-FFF2-40B4-BE49-F238E27FC236}">
              <a16:creationId xmlns:a16="http://schemas.microsoft.com/office/drawing/2014/main" id="{2CB10591-23DA-4D09-8A60-15B5F7BF6B13}"/>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71" name="Text Box 30">
          <a:extLst>
            <a:ext uri="{FF2B5EF4-FFF2-40B4-BE49-F238E27FC236}">
              <a16:creationId xmlns:a16="http://schemas.microsoft.com/office/drawing/2014/main" id="{8E2CC7D1-7FD2-475A-AC47-4B4B98D508D6}"/>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72" name="Text Box 31">
          <a:extLst>
            <a:ext uri="{FF2B5EF4-FFF2-40B4-BE49-F238E27FC236}">
              <a16:creationId xmlns:a16="http://schemas.microsoft.com/office/drawing/2014/main" id="{0F3D8816-74DC-439F-8045-D901C05BDAB1}"/>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73" name="Text Box 32">
          <a:extLst>
            <a:ext uri="{FF2B5EF4-FFF2-40B4-BE49-F238E27FC236}">
              <a16:creationId xmlns:a16="http://schemas.microsoft.com/office/drawing/2014/main" id="{E003C8D9-9BC4-428A-A395-F7562C0017A8}"/>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74" name="Text Box 33">
          <a:extLst>
            <a:ext uri="{FF2B5EF4-FFF2-40B4-BE49-F238E27FC236}">
              <a16:creationId xmlns:a16="http://schemas.microsoft.com/office/drawing/2014/main" id="{846FE95E-CA9F-438A-991D-D60C168F36C5}"/>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75" name="Text Box 34">
          <a:extLst>
            <a:ext uri="{FF2B5EF4-FFF2-40B4-BE49-F238E27FC236}">
              <a16:creationId xmlns:a16="http://schemas.microsoft.com/office/drawing/2014/main" id="{8D9298BB-913B-4C5B-9EE2-867621517AE7}"/>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76" name="Text Box 35">
          <a:extLst>
            <a:ext uri="{FF2B5EF4-FFF2-40B4-BE49-F238E27FC236}">
              <a16:creationId xmlns:a16="http://schemas.microsoft.com/office/drawing/2014/main" id="{428828E8-1301-477F-90B2-99E738751C2F}"/>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77" name="Text Box 36">
          <a:extLst>
            <a:ext uri="{FF2B5EF4-FFF2-40B4-BE49-F238E27FC236}">
              <a16:creationId xmlns:a16="http://schemas.microsoft.com/office/drawing/2014/main" id="{1414CAFA-27B2-47A9-BE1A-DB3F76DD548F}"/>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78" name="Text Box 37">
          <a:extLst>
            <a:ext uri="{FF2B5EF4-FFF2-40B4-BE49-F238E27FC236}">
              <a16:creationId xmlns:a16="http://schemas.microsoft.com/office/drawing/2014/main" id="{300E88B8-E0B7-4644-BBAE-8A27FE305270}"/>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79" name="Text Box 38">
          <a:extLst>
            <a:ext uri="{FF2B5EF4-FFF2-40B4-BE49-F238E27FC236}">
              <a16:creationId xmlns:a16="http://schemas.microsoft.com/office/drawing/2014/main" id="{4B0BD728-A10C-420A-A62B-19C14E89CACA}"/>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85</xdr:col>
      <xdr:colOff>33130</xdr:colOff>
      <xdr:row>17</xdr:row>
      <xdr:rowOff>8282</xdr:rowOff>
    </xdr:from>
    <xdr:to>
      <xdr:col>85</xdr:col>
      <xdr:colOff>109330</xdr:colOff>
      <xdr:row>18</xdr:row>
      <xdr:rowOff>17807</xdr:rowOff>
    </xdr:to>
    <xdr:sp macro="" textlink="">
      <xdr:nvSpPr>
        <xdr:cNvPr id="80" name="Text Box 39">
          <a:extLst>
            <a:ext uri="{FF2B5EF4-FFF2-40B4-BE49-F238E27FC236}">
              <a16:creationId xmlns:a16="http://schemas.microsoft.com/office/drawing/2014/main" id="{C08E4DBA-C890-4695-B8D0-D475F5F69591}"/>
            </a:ext>
          </a:extLst>
        </xdr:cNvPr>
        <xdr:cNvSpPr txBox="1">
          <a:spLocks noChangeArrowheads="1"/>
        </xdr:cNvSpPr>
      </xdr:nvSpPr>
      <xdr:spPr bwMode="auto">
        <a:xfrm>
          <a:off x="13072855" y="3618257"/>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81" name="Text Box 40">
          <a:extLst>
            <a:ext uri="{FF2B5EF4-FFF2-40B4-BE49-F238E27FC236}">
              <a16:creationId xmlns:a16="http://schemas.microsoft.com/office/drawing/2014/main" id="{401C7471-C5BB-4E58-AA66-4A97CC7D7E3F}"/>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82" name="Text Box 1">
          <a:extLst>
            <a:ext uri="{FF2B5EF4-FFF2-40B4-BE49-F238E27FC236}">
              <a16:creationId xmlns:a16="http://schemas.microsoft.com/office/drawing/2014/main" id="{B52F935D-BE98-47A5-91D6-38E51F132642}"/>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83" name="Text Box 2">
          <a:extLst>
            <a:ext uri="{FF2B5EF4-FFF2-40B4-BE49-F238E27FC236}">
              <a16:creationId xmlns:a16="http://schemas.microsoft.com/office/drawing/2014/main" id="{2C0684E0-8D95-44C7-895B-0A5C43548ABA}"/>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84" name="Text Box 3">
          <a:extLst>
            <a:ext uri="{FF2B5EF4-FFF2-40B4-BE49-F238E27FC236}">
              <a16:creationId xmlns:a16="http://schemas.microsoft.com/office/drawing/2014/main" id="{E9726994-EF33-4593-BB71-A18823D7B172}"/>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85" name="Text Box 4">
          <a:extLst>
            <a:ext uri="{FF2B5EF4-FFF2-40B4-BE49-F238E27FC236}">
              <a16:creationId xmlns:a16="http://schemas.microsoft.com/office/drawing/2014/main" id="{88AC0C10-E023-49AD-A821-CE73B176B4CE}"/>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86" name="Text Box 5">
          <a:extLst>
            <a:ext uri="{FF2B5EF4-FFF2-40B4-BE49-F238E27FC236}">
              <a16:creationId xmlns:a16="http://schemas.microsoft.com/office/drawing/2014/main" id="{30969999-8F59-4323-8891-DFCAC1F11931}"/>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87" name="Text Box 6">
          <a:extLst>
            <a:ext uri="{FF2B5EF4-FFF2-40B4-BE49-F238E27FC236}">
              <a16:creationId xmlns:a16="http://schemas.microsoft.com/office/drawing/2014/main" id="{71A384F2-5086-447C-A5AD-64CDDB4AC63C}"/>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88" name="Text Box 7">
          <a:extLst>
            <a:ext uri="{FF2B5EF4-FFF2-40B4-BE49-F238E27FC236}">
              <a16:creationId xmlns:a16="http://schemas.microsoft.com/office/drawing/2014/main" id="{E6FCEFBA-838A-480E-96DB-3F24D4B342E8}"/>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89" name="Text Box 8">
          <a:extLst>
            <a:ext uri="{FF2B5EF4-FFF2-40B4-BE49-F238E27FC236}">
              <a16:creationId xmlns:a16="http://schemas.microsoft.com/office/drawing/2014/main" id="{59A8F0AC-26B1-4367-8D4B-A84684FC40A7}"/>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90" name="Text Box 9">
          <a:extLst>
            <a:ext uri="{FF2B5EF4-FFF2-40B4-BE49-F238E27FC236}">
              <a16:creationId xmlns:a16="http://schemas.microsoft.com/office/drawing/2014/main" id="{734E0CCF-CF73-4202-A07B-1CF230A3AE25}"/>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91" name="Text Box 10">
          <a:extLst>
            <a:ext uri="{FF2B5EF4-FFF2-40B4-BE49-F238E27FC236}">
              <a16:creationId xmlns:a16="http://schemas.microsoft.com/office/drawing/2014/main" id="{763EDA48-0A89-4390-B1BC-A1AA748B592B}"/>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92" name="Text Box 11">
          <a:extLst>
            <a:ext uri="{FF2B5EF4-FFF2-40B4-BE49-F238E27FC236}">
              <a16:creationId xmlns:a16="http://schemas.microsoft.com/office/drawing/2014/main" id="{C4B27B0F-DA71-4D5C-AC03-DA9FE30B3CBA}"/>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93" name="Text Box 12">
          <a:extLst>
            <a:ext uri="{FF2B5EF4-FFF2-40B4-BE49-F238E27FC236}">
              <a16:creationId xmlns:a16="http://schemas.microsoft.com/office/drawing/2014/main" id="{82283D85-657E-4289-921D-1FA4F106F7D8}"/>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94" name="Text Box 13">
          <a:extLst>
            <a:ext uri="{FF2B5EF4-FFF2-40B4-BE49-F238E27FC236}">
              <a16:creationId xmlns:a16="http://schemas.microsoft.com/office/drawing/2014/main" id="{B7020F1F-A6B0-413D-8EA0-F39E2680D02C}"/>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95" name="Text Box 14">
          <a:extLst>
            <a:ext uri="{FF2B5EF4-FFF2-40B4-BE49-F238E27FC236}">
              <a16:creationId xmlns:a16="http://schemas.microsoft.com/office/drawing/2014/main" id="{A9375DDD-F26A-4FBB-BA5C-5B755A94726C}"/>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96" name="Text Box 15">
          <a:extLst>
            <a:ext uri="{FF2B5EF4-FFF2-40B4-BE49-F238E27FC236}">
              <a16:creationId xmlns:a16="http://schemas.microsoft.com/office/drawing/2014/main" id="{AB58CFCD-146F-4AA0-A8F0-272D8F9F46B5}"/>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97" name="Text Box 16">
          <a:extLst>
            <a:ext uri="{FF2B5EF4-FFF2-40B4-BE49-F238E27FC236}">
              <a16:creationId xmlns:a16="http://schemas.microsoft.com/office/drawing/2014/main" id="{9F2EB3F8-9C6C-49C5-85FE-45438863ACBD}"/>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98" name="Text Box 17">
          <a:extLst>
            <a:ext uri="{FF2B5EF4-FFF2-40B4-BE49-F238E27FC236}">
              <a16:creationId xmlns:a16="http://schemas.microsoft.com/office/drawing/2014/main" id="{AB2841CA-1858-4574-A245-CA74F2D71BBF}"/>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99" name="Text Box 18">
          <a:extLst>
            <a:ext uri="{FF2B5EF4-FFF2-40B4-BE49-F238E27FC236}">
              <a16:creationId xmlns:a16="http://schemas.microsoft.com/office/drawing/2014/main" id="{20E7722B-9467-454A-BE31-CA5427F9DD73}"/>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00" name="Text Box 19">
          <a:extLst>
            <a:ext uri="{FF2B5EF4-FFF2-40B4-BE49-F238E27FC236}">
              <a16:creationId xmlns:a16="http://schemas.microsoft.com/office/drawing/2014/main" id="{837121F7-B4FA-46D4-A47F-CB9888C461CF}"/>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01" name="Text Box 20">
          <a:extLst>
            <a:ext uri="{FF2B5EF4-FFF2-40B4-BE49-F238E27FC236}">
              <a16:creationId xmlns:a16="http://schemas.microsoft.com/office/drawing/2014/main" id="{9954F2C1-8C87-4D18-A760-09F6F559F602}"/>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02" name="Text Box 21">
          <a:extLst>
            <a:ext uri="{FF2B5EF4-FFF2-40B4-BE49-F238E27FC236}">
              <a16:creationId xmlns:a16="http://schemas.microsoft.com/office/drawing/2014/main" id="{B8FDB126-7D64-4FBE-A221-402266122A3C}"/>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03" name="Text Box 22">
          <a:extLst>
            <a:ext uri="{FF2B5EF4-FFF2-40B4-BE49-F238E27FC236}">
              <a16:creationId xmlns:a16="http://schemas.microsoft.com/office/drawing/2014/main" id="{3F70AF57-CA38-4C0B-A5F1-98318F69E056}"/>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04" name="Text Box 23">
          <a:extLst>
            <a:ext uri="{FF2B5EF4-FFF2-40B4-BE49-F238E27FC236}">
              <a16:creationId xmlns:a16="http://schemas.microsoft.com/office/drawing/2014/main" id="{FEC46B96-C1F2-4679-8532-F83AB67A619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05" name="Text Box 24">
          <a:extLst>
            <a:ext uri="{FF2B5EF4-FFF2-40B4-BE49-F238E27FC236}">
              <a16:creationId xmlns:a16="http://schemas.microsoft.com/office/drawing/2014/main" id="{A8DDF109-9ACE-40C2-81B2-08FDDA5E5390}"/>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06" name="Text Box 25">
          <a:extLst>
            <a:ext uri="{FF2B5EF4-FFF2-40B4-BE49-F238E27FC236}">
              <a16:creationId xmlns:a16="http://schemas.microsoft.com/office/drawing/2014/main" id="{62E22DCE-EFE4-4A5C-B812-1201E6D0F8DF}"/>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07" name="Text Box 26">
          <a:extLst>
            <a:ext uri="{FF2B5EF4-FFF2-40B4-BE49-F238E27FC236}">
              <a16:creationId xmlns:a16="http://schemas.microsoft.com/office/drawing/2014/main" id="{367CCA41-9BEF-4F2E-B7EA-D96C338B43CA}"/>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08" name="Text Box 27">
          <a:extLst>
            <a:ext uri="{FF2B5EF4-FFF2-40B4-BE49-F238E27FC236}">
              <a16:creationId xmlns:a16="http://schemas.microsoft.com/office/drawing/2014/main" id="{7E303FB7-177C-483D-A788-41201D261989}"/>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09" name="Text Box 28">
          <a:extLst>
            <a:ext uri="{FF2B5EF4-FFF2-40B4-BE49-F238E27FC236}">
              <a16:creationId xmlns:a16="http://schemas.microsoft.com/office/drawing/2014/main" id="{633B09DE-7FCE-45AE-A4DD-FB40A1A212BE}"/>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10" name="Text Box 29">
          <a:extLst>
            <a:ext uri="{FF2B5EF4-FFF2-40B4-BE49-F238E27FC236}">
              <a16:creationId xmlns:a16="http://schemas.microsoft.com/office/drawing/2014/main" id="{5A7D3BE2-386A-4474-98A1-C122E66C0397}"/>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11" name="Text Box 30">
          <a:extLst>
            <a:ext uri="{FF2B5EF4-FFF2-40B4-BE49-F238E27FC236}">
              <a16:creationId xmlns:a16="http://schemas.microsoft.com/office/drawing/2014/main" id="{A0730EFA-390A-4A7A-B70D-0A4C1B3CEC83}"/>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12" name="Text Box 31">
          <a:extLst>
            <a:ext uri="{FF2B5EF4-FFF2-40B4-BE49-F238E27FC236}">
              <a16:creationId xmlns:a16="http://schemas.microsoft.com/office/drawing/2014/main" id="{99EC5122-2A82-4A46-9255-3D75B007195B}"/>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13" name="Text Box 32">
          <a:extLst>
            <a:ext uri="{FF2B5EF4-FFF2-40B4-BE49-F238E27FC236}">
              <a16:creationId xmlns:a16="http://schemas.microsoft.com/office/drawing/2014/main" id="{FA57CCBB-8103-45DF-94B5-69248044FF31}"/>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14" name="Text Box 33">
          <a:extLst>
            <a:ext uri="{FF2B5EF4-FFF2-40B4-BE49-F238E27FC236}">
              <a16:creationId xmlns:a16="http://schemas.microsoft.com/office/drawing/2014/main" id="{1ABA8D2E-6764-4D9F-9C89-33D3A39068E3}"/>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15" name="Text Box 34">
          <a:extLst>
            <a:ext uri="{FF2B5EF4-FFF2-40B4-BE49-F238E27FC236}">
              <a16:creationId xmlns:a16="http://schemas.microsoft.com/office/drawing/2014/main" id="{86F0DDBF-FE9B-4963-BF2E-C651E316DFA6}"/>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16" name="Text Box 35">
          <a:extLst>
            <a:ext uri="{FF2B5EF4-FFF2-40B4-BE49-F238E27FC236}">
              <a16:creationId xmlns:a16="http://schemas.microsoft.com/office/drawing/2014/main" id="{019E6FA6-2CAC-4571-A314-A817867C3D31}"/>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17" name="Text Box 36">
          <a:extLst>
            <a:ext uri="{FF2B5EF4-FFF2-40B4-BE49-F238E27FC236}">
              <a16:creationId xmlns:a16="http://schemas.microsoft.com/office/drawing/2014/main" id="{61FAFC21-AB09-414D-8D7B-6A3F609CD38E}"/>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18" name="Text Box 37">
          <a:extLst>
            <a:ext uri="{FF2B5EF4-FFF2-40B4-BE49-F238E27FC236}">
              <a16:creationId xmlns:a16="http://schemas.microsoft.com/office/drawing/2014/main" id="{CBD43DB7-788F-4FC1-83C9-3AE65AC709F4}"/>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19" name="Text Box 38">
          <a:extLst>
            <a:ext uri="{FF2B5EF4-FFF2-40B4-BE49-F238E27FC236}">
              <a16:creationId xmlns:a16="http://schemas.microsoft.com/office/drawing/2014/main" id="{3A10A628-328C-447C-9B1B-0AF9D5F21E4D}"/>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20" name="Text Box 39">
          <a:extLst>
            <a:ext uri="{FF2B5EF4-FFF2-40B4-BE49-F238E27FC236}">
              <a16:creationId xmlns:a16="http://schemas.microsoft.com/office/drawing/2014/main" id="{EDDDB343-3A09-4812-98C9-3439E7B43577}"/>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21" name="Text Box 40">
          <a:extLst>
            <a:ext uri="{FF2B5EF4-FFF2-40B4-BE49-F238E27FC236}">
              <a16:creationId xmlns:a16="http://schemas.microsoft.com/office/drawing/2014/main" id="{7F98207E-DF67-4510-B533-74F3FAB78E0D}"/>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47</xdr:col>
      <xdr:colOff>0</xdr:colOff>
      <xdr:row>17</xdr:row>
      <xdr:rowOff>0</xdr:rowOff>
    </xdr:from>
    <xdr:to>
      <xdr:col>47</xdr:col>
      <xdr:colOff>76200</xdr:colOff>
      <xdr:row>18</xdr:row>
      <xdr:rowOff>9525</xdr:rowOff>
    </xdr:to>
    <xdr:sp macro="" textlink="">
      <xdr:nvSpPr>
        <xdr:cNvPr id="2" name="Text Box 1">
          <a:extLst>
            <a:ext uri="{FF2B5EF4-FFF2-40B4-BE49-F238E27FC236}">
              <a16:creationId xmlns:a16="http://schemas.microsoft.com/office/drawing/2014/main" id="{8CEF9D09-F98D-4DED-B7A3-84DF76374E3B}"/>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 name="Text Box 2">
          <a:extLst>
            <a:ext uri="{FF2B5EF4-FFF2-40B4-BE49-F238E27FC236}">
              <a16:creationId xmlns:a16="http://schemas.microsoft.com/office/drawing/2014/main" id="{C20E5EEF-A0B5-442D-89FC-137CD13AD644}"/>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4" name="Text Box 3">
          <a:extLst>
            <a:ext uri="{FF2B5EF4-FFF2-40B4-BE49-F238E27FC236}">
              <a16:creationId xmlns:a16="http://schemas.microsoft.com/office/drawing/2014/main" id="{E6962CF8-B555-45C4-B502-2F60806FF2FA}"/>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5" name="Text Box 4">
          <a:extLst>
            <a:ext uri="{FF2B5EF4-FFF2-40B4-BE49-F238E27FC236}">
              <a16:creationId xmlns:a16="http://schemas.microsoft.com/office/drawing/2014/main" id="{8B8ECA64-5973-41B2-B4C5-A5BFC7CEA679}"/>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6" name="Text Box 5">
          <a:extLst>
            <a:ext uri="{FF2B5EF4-FFF2-40B4-BE49-F238E27FC236}">
              <a16:creationId xmlns:a16="http://schemas.microsoft.com/office/drawing/2014/main" id="{05A91442-93A5-49B5-B672-62EC7168E473}"/>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7" name="Text Box 6">
          <a:extLst>
            <a:ext uri="{FF2B5EF4-FFF2-40B4-BE49-F238E27FC236}">
              <a16:creationId xmlns:a16="http://schemas.microsoft.com/office/drawing/2014/main" id="{01E22997-7542-4451-857E-6E7D580D1628}"/>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8" name="Text Box 7">
          <a:extLst>
            <a:ext uri="{FF2B5EF4-FFF2-40B4-BE49-F238E27FC236}">
              <a16:creationId xmlns:a16="http://schemas.microsoft.com/office/drawing/2014/main" id="{4E6716D2-2F75-4FCD-B1B6-1A323B7DF723}"/>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9" name="Text Box 8">
          <a:extLst>
            <a:ext uri="{FF2B5EF4-FFF2-40B4-BE49-F238E27FC236}">
              <a16:creationId xmlns:a16="http://schemas.microsoft.com/office/drawing/2014/main" id="{CCF1CB9D-EA78-4E05-9AE0-5D8663494CAC}"/>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10" name="Text Box 9">
          <a:extLst>
            <a:ext uri="{FF2B5EF4-FFF2-40B4-BE49-F238E27FC236}">
              <a16:creationId xmlns:a16="http://schemas.microsoft.com/office/drawing/2014/main" id="{164DAD71-3F29-49D6-9AC3-61C0F04D3446}"/>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11" name="Text Box 10">
          <a:extLst>
            <a:ext uri="{FF2B5EF4-FFF2-40B4-BE49-F238E27FC236}">
              <a16:creationId xmlns:a16="http://schemas.microsoft.com/office/drawing/2014/main" id="{92985A39-8A03-461C-914B-7F61D30B603F}"/>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12" name="Text Box 11">
          <a:extLst>
            <a:ext uri="{FF2B5EF4-FFF2-40B4-BE49-F238E27FC236}">
              <a16:creationId xmlns:a16="http://schemas.microsoft.com/office/drawing/2014/main" id="{C3BCA600-BAEE-462B-99F7-84D4E2CCE94C}"/>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13" name="Text Box 12">
          <a:extLst>
            <a:ext uri="{FF2B5EF4-FFF2-40B4-BE49-F238E27FC236}">
              <a16:creationId xmlns:a16="http://schemas.microsoft.com/office/drawing/2014/main" id="{ED404E19-BAD9-4C43-AA18-AB2C344B03E0}"/>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14" name="Text Box 13">
          <a:extLst>
            <a:ext uri="{FF2B5EF4-FFF2-40B4-BE49-F238E27FC236}">
              <a16:creationId xmlns:a16="http://schemas.microsoft.com/office/drawing/2014/main" id="{667E1764-377B-4742-8DF7-FA93A8DED427}"/>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15" name="Text Box 14">
          <a:extLst>
            <a:ext uri="{FF2B5EF4-FFF2-40B4-BE49-F238E27FC236}">
              <a16:creationId xmlns:a16="http://schemas.microsoft.com/office/drawing/2014/main" id="{8847F763-60B5-4431-822A-EAEEBF27171C}"/>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16" name="Text Box 15">
          <a:extLst>
            <a:ext uri="{FF2B5EF4-FFF2-40B4-BE49-F238E27FC236}">
              <a16:creationId xmlns:a16="http://schemas.microsoft.com/office/drawing/2014/main" id="{BD548AE3-D715-4C29-8382-14FCA035FD98}"/>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17" name="Text Box 16">
          <a:extLst>
            <a:ext uri="{FF2B5EF4-FFF2-40B4-BE49-F238E27FC236}">
              <a16:creationId xmlns:a16="http://schemas.microsoft.com/office/drawing/2014/main" id="{0AACFD9F-FCBF-468B-AB85-E093024E4F04}"/>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18" name="Text Box 17">
          <a:extLst>
            <a:ext uri="{FF2B5EF4-FFF2-40B4-BE49-F238E27FC236}">
              <a16:creationId xmlns:a16="http://schemas.microsoft.com/office/drawing/2014/main" id="{60319B3C-5F2F-4987-9EB0-2AC0639AA308}"/>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19" name="Text Box 18">
          <a:extLst>
            <a:ext uri="{FF2B5EF4-FFF2-40B4-BE49-F238E27FC236}">
              <a16:creationId xmlns:a16="http://schemas.microsoft.com/office/drawing/2014/main" id="{EE11C629-C26E-42B6-8CB3-6A2A03C9B06C}"/>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20" name="Text Box 19">
          <a:extLst>
            <a:ext uri="{FF2B5EF4-FFF2-40B4-BE49-F238E27FC236}">
              <a16:creationId xmlns:a16="http://schemas.microsoft.com/office/drawing/2014/main" id="{9A515818-F885-4026-AF5F-963E3058162B}"/>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21" name="Text Box 20">
          <a:extLst>
            <a:ext uri="{FF2B5EF4-FFF2-40B4-BE49-F238E27FC236}">
              <a16:creationId xmlns:a16="http://schemas.microsoft.com/office/drawing/2014/main" id="{116D24E3-B2FB-4998-B415-C5AE6A3CA895}"/>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22" name="Text Box 21">
          <a:extLst>
            <a:ext uri="{FF2B5EF4-FFF2-40B4-BE49-F238E27FC236}">
              <a16:creationId xmlns:a16="http://schemas.microsoft.com/office/drawing/2014/main" id="{31D976A4-7C04-4D7A-B568-02EDA35F5BF8}"/>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23" name="Text Box 22">
          <a:extLst>
            <a:ext uri="{FF2B5EF4-FFF2-40B4-BE49-F238E27FC236}">
              <a16:creationId xmlns:a16="http://schemas.microsoft.com/office/drawing/2014/main" id="{13281340-044D-4191-AEAE-D814C5DB583D}"/>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24" name="Text Box 23">
          <a:extLst>
            <a:ext uri="{FF2B5EF4-FFF2-40B4-BE49-F238E27FC236}">
              <a16:creationId xmlns:a16="http://schemas.microsoft.com/office/drawing/2014/main" id="{4394057E-D6DC-47EC-A50C-522EE1AAC45F}"/>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25" name="Text Box 24">
          <a:extLst>
            <a:ext uri="{FF2B5EF4-FFF2-40B4-BE49-F238E27FC236}">
              <a16:creationId xmlns:a16="http://schemas.microsoft.com/office/drawing/2014/main" id="{34B77B54-A357-4726-B8F8-A1A569E73A90}"/>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26" name="Text Box 25">
          <a:extLst>
            <a:ext uri="{FF2B5EF4-FFF2-40B4-BE49-F238E27FC236}">
              <a16:creationId xmlns:a16="http://schemas.microsoft.com/office/drawing/2014/main" id="{1304AC8F-5936-42DA-83C7-1E14A2DF01B6}"/>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27" name="Text Box 26">
          <a:extLst>
            <a:ext uri="{FF2B5EF4-FFF2-40B4-BE49-F238E27FC236}">
              <a16:creationId xmlns:a16="http://schemas.microsoft.com/office/drawing/2014/main" id="{82FB674D-AB3F-4CD8-AB66-76D0F07457AA}"/>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28" name="Text Box 27">
          <a:extLst>
            <a:ext uri="{FF2B5EF4-FFF2-40B4-BE49-F238E27FC236}">
              <a16:creationId xmlns:a16="http://schemas.microsoft.com/office/drawing/2014/main" id="{439A1245-9F7C-4BCF-9B53-9F5D884A77FA}"/>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29" name="Text Box 28">
          <a:extLst>
            <a:ext uri="{FF2B5EF4-FFF2-40B4-BE49-F238E27FC236}">
              <a16:creationId xmlns:a16="http://schemas.microsoft.com/office/drawing/2014/main" id="{F2559B5B-1E98-4AFE-8D54-E30818EF0E10}"/>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30" name="Text Box 29">
          <a:extLst>
            <a:ext uri="{FF2B5EF4-FFF2-40B4-BE49-F238E27FC236}">
              <a16:creationId xmlns:a16="http://schemas.microsoft.com/office/drawing/2014/main" id="{9182A059-D61C-47C2-8F1B-D7E4CF65D917}"/>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1" name="Text Box 30">
          <a:extLst>
            <a:ext uri="{FF2B5EF4-FFF2-40B4-BE49-F238E27FC236}">
              <a16:creationId xmlns:a16="http://schemas.microsoft.com/office/drawing/2014/main" id="{C4039B18-1482-4EBB-B81E-CF1826DDFD25}"/>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32" name="Text Box 31">
          <a:extLst>
            <a:ext uri="{FF2B5EF4-FFF2-40B4-BE49-F238E27FC236}">
              <a16:creationId xmlns:a16="http://schemas.microsoft.com/office/drawing/2014/main" id="{5C45DED2-6ACD-49A7-98DF-74142452D168}"/>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3" name="Text Box 32">
          <a:extLst>
            <a:ext uri="{FF2B5EF4-FFF2-40B4-BE49-F238E27FC236}">
              <a16:creationId xmlns:a16="http://schemas.microsoft.com/office/drawing/2014/main" id="{4C34F710-900F-442B-B51C-7B0F1FFACF39}"/>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34" name="Text Box 33">
          <a:extLst>
            <a:ext uri="{FF2B5EF4-FFF2-40B4-BE49-F238E27FC236}">
              <a16:creationId xmlns:a16="http://schemas.microsoft.com/office/drawing/2014/main" id="{D18E35C4-64BD-4BB8-BC37-170E14F3B672}"/>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5" name="Text Box 34">
          <a:extLst>
            <a:ext uri="{FF2B5EF4-FFF2-40B4-BE49-F238E27FC236}">
              <a16:creationId xmlns:a16="http://schemas.microsoft.com/office/drawing/2014/main" id="{AB09E7A2-C4A4-4441-AF1C-6D2F51285408}"/>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36" name="Text Box 35">
          <a:extLst>
            <a:ext uri="{FF2B5EF4-FFF2-40B4-BE49-F238E27FC236}">
              <a16:creationId xmlns:a16="http://schemas.microsoft.com/office/drawing/2014/main" id="{EB2A20F8-4A66-445A-9DD6-D4C79A432BE0}"/>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7" name="Text Box 36">
          <a:extLst>
            <a:ext uri="{FF2B5EF4-FFF2-40B4-BE49-F238E27FC236}">
              <a16:creationId xmlns:a16="http://schemas.microsoft.com/office/drawing/2014/main" id="{C993AA2B-4A67-40B8-9362-B593B0E1019B}"/>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38" name="Text Box 37">
          <a:extLst>
            <a:ext uri="{FF2B5EF4-FFF2-40B4-BE49-F238E27FC236}">
              <a16:creationId xmlns:a16="http://schemas.microsoft.com/office/drawing/2014/main" id="{020D3B10-2B54-40F2-A105-E0F3CDFD47AB}"/>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39" name="Text Box 38">
          <a:extLst>
            <a:ext uri="{FF2B5EF4-FFF2-40B4-BE49-F238E27FC236}">
              <a16:creationId xmlns:a16="http://schemas.microsoft.com/office/drawing/2014/main" id="{6B4E19BE-CB9E-4A87-BB18-342428B2CA37}"/>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17</xdr:row>
      <xdr:rowOff>0</xdr:rowOff>
    </xdr:from>
    <xdr:to>
      <xdr:col>47</xdr:col>
      <xdr:colOff>76200</xdr:colOff>
      <xdr:row>18</xdr:row>
      <xdr:rowOff>9525</xdr:rowOff>
    </xdr:to>
    <xdr:sp macro="" textlink="">
      <xdr:nvSpPr>
        <xdr:cNvPr id="40" name="Text Box 39">
          <a:extLst>
            <a:ext uri="{FF2B5EF4-FFF2-40B4-BE49-F238E27FC236}">
              <a16:creationId xmlns:a16="http://schemas.microsoft.com/office/drawing/2014/main" id="{6E3633FF-93B2-4B8B-9214-6CBA79EE2305}"/>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47</xdr:col>
      <xdr:colOff>0</xdr:colOff>
      <xdr:row>21</xdr:row>
      <xdr:rowOff>0</xdr:rowOff>
    </xdr:from>
    <xdr:to>
      <xdr:col>47</xdr:col>
      <xdr:colOff>76200</xdr:colOff>
      <xdr:row>22</xdr:row>
      <xdr:rowOff>9526</xdr:rowOff>
    </xdr:to>
    <xdr:sp macro="" textlink="">
      <xdr:nvSpPr>
        <xdr:cNvPr id="41" name="Text Box 40">
          <a:extLst>
            <a:ext uri="{FF2B5EF4-FFF2-40B4-BE49-F238E27FC236}">
              <a16:creationId xmlns:a16="http://schemas.microsoft.com/office/drawing/2014/main" id="{9625C4BC-A673-4A85-AD0A-A7D8C1FC6507}"/>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42" name="Text Box 1">
          <a:extLst>
            <a:ext uri="{FF2B5EF4-FFF2-40B4-BE49-F238E27FC236}">
              <a16:creationId xmlns:a16="http://schemas.microsoft.com/office/drawing/2014/main" id="{94BFC2B5-65CE-4214-80DB-CD8CCDADB656}"/>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43" name="Text Box 2">
          <a:extLst>
            <a:ext uri="{FF2B5EF4-FFF2-40B4-BE49-F238E27FC236}">
              <a16:creationId xmlns:a16="http://schemas.microsoft.com/office/drawing/2014/main" id="{C0F2058B-0D5A-436F-9ACF-572BF1C60D47}"/>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44" name="Text Box 3">
          <a:extLst>
            <a:ext uri="{FF2B5EF4-FFF2-40B4-BE49-F238E27FC236}">
              <a16:creationId xmlns:a16="http://schemas.microsoft.com/office/drawing/2014/main" id="{D713C0A0-C997-477D-8FAA-E55740EA167A}"/>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45" name="Text Box 4">
          <a:extLst>
            <a:ext uri="{FF2B5EF4-FFF2-40B4-BE49-F238E27FC236}">
              <a16:creationId xmlns:a16="http://schemas.microsoft.com/office/drawing/2014/main" id="{E583D3B5-994B-45B4-83BC-70A1E909F258}"/>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46" name="Text Box 5">
          <a:extLst>
            <a:ext uri="{FF2B5EF4-FFF2-40B4-BE49-F238E27FC236}">
              <a16:creationId xmlns:a16="http://schemas.microsoft.com/office/drawing/2014/main" id="{573F938E-6C37-4805-8D76-70E5C7A37C15}"/>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47" name="Text Box 6">
          <a:extLst>
            <a:ext uri="{FF2B5EF4-FFF2-40B4-BE49-F238E27FC236}">
              <a16:creationId xmlns:a16="http://schemas.microsoft.com/office/drawing/2014/main" id="{515C5895-7533-4C88-B8ED-AFA75F76556B}"/>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48" name="Text Box 7">
          <a:extLst>
            <a:ext uri="{FF2B5EF4-FFF2-40B4-BE49-F238E27FC236}">
              <a16:creationId xmlns:a16="http://schemas.microsoft.com/office/drawing/2014/main" id="{64821F30-AF36-43FA-BC67-2636BB98578D}"/>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49" name="Text Box 8">
          <a:extLst>
            <a:ext uri="{FF2B5EF4-FFF2-40B4-BE49-F238E27FC236}">
              <a16:creationId xmlns:a16="http://schemas.microsoft.com/office/drawing/2014/main" id="{3D106931-6891-4AE5-A615-2894D99D426C}"/>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50" name="Text Box 9">
          <a:extLst>
            <a:ext uri="{FF2B5EF4-FFF2-40B4-BE49-F238E27FC236}">
              <a16:creationId xmlns:a16="http://schemas.microsoft.com/office/drawing/2014/main" id="{AFB1F7F3-A32F-490B-980B-C5E168040959}"/>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51" name="Text Box 10">
          <a:extLst>
            <a:ext uri="{FF2B5EF4-FFF2-40B4-BE49-F238E27FC236}">
              <a16:creationId xmlns:a16="http://schemas.microsoft.com/office/drawing/2014/main" id="{195021D6-6E7D-4287-BB6E-0EFEB04ABE51}"/>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52" name="Text Box 11">
          <a:extLst>
            <a:ext uri="{FF2B5EF4-FFF2-40B4-BE49-F238E27FC236}">
              <a16:creationId xmlns:a16="http://schemas.microsoft.com/office/drawing/2014/main" id="{72E937D0-3AD5-40F9-85EC-C1F560B5EC82}"/>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53" name="Text Box 12">
          <a:extLst>
            <a:ext uri="{FF2B5EF4-FFF2-40B4-BE49-F238E27FC236}">
              <a16:creationId xmlns:a16="http://schemas.microsoft.com/office/drawing/2014/main" id="{930489A1-2549-4222-8678-86FF4FA21A6C}"/>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54" name="Text Box 13">
          <a:extLst>
            <a:ext uri="{FF2B5EF4-FFF2-40B4-BE49-F238E27FC236}">
              <a16:creationId xmlns:a16="http://schemas.microsoft.com/office/drawing/2014/main" id="{44323580-D7BB-4D85-B808-8CB5C3BCB484}"/>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55" name="Text Box 14">
          <a:extLst>
            <a:ext uri="{FF2B5EF4-FFF2-40B4-BE49-F238E27FC236}">
              <a16:creationId xmlns:a16="http://schemas.microsoft.com/office/drawing/2014/main" id="{D6463144-0675-439A-BF05-AD44BA774923}"/>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56" name="Text Box 15">
          <a:extLst>
            <a:ext uri="{FF2B5EF4-FFF2-40B4-BE49-F238E27FC236}">
              <a16:creationId xmlns:a16="http://schemas.microsoft.com/office/drawing/2014/main" id="{47E0DB48-36B5-48E5-8FA7-39E2F7ECC565}"/>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57" name="Text Box 16">
          <a:extLst>
            <a:ext uri="{FF2B5EF4-FFF2-40B4-BE49-F238E27FC236}">
              <a16:creationId xmlns:a16="http://schemas.microsoft.com/office/drawing/2014/main" id="{43C4680C-DD58-4DA4-A1F7-9FC2D4BD1F96}"/>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58" name="Text Box 17">
          <a:extLst>
            <a:ext uri="{FF2B5EF4-FFF2-40B4-BE49-F238E27FC236}">
              <a16:creationId xmlns:a16="http://schemas.microsoft.com/office/drawing/2014/main" id="{DDA7D522-B958-404A-AFCD-AE1673F62174}"/>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59" name="Text Box 18">
          <a:extLst>
            <a:ext uri="{FF2B5EF4-FFF2-40B4-BE49-F238E27FC236}">
              <a16:creationId xmlns:a16="http://schemas.microsoft.com/office/drawing/2014/main" id="{AF5C95EA-48AF-4204-AE25-4B48F75B85B0}"/>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60" name="Text Box 19">
          <a:extLst>
            <a:ext uri="{FF2B5EF4-FFF2-40B4-BE49-F238E27FC236}">
              <a16:creationId xmlns:a16="http://schemas.microsoft.com/office/drawing/2014/main" id="{9C4BF120-1AFA-4EC0-AF81-EEA4EAC06869}"/>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61" name="Text Box 20">
          <a:extLst>
            <a:ext uri="{FF2B5EF4-FFF2-40B4-BE49-F238E27FC236}">
              <a16:creationId xmlns:a16="http://schemas.microsoft.com/office/drawing/2014/main" id="{813E1F7B-AFF0-4523-B7AF-C3D6F7801101}"/>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62" name="Text Box 21">
          <a:extLst>
            <a:ext uri="{FF2B5EF4-FFF2-40B4-BE49-F238E27FC236}">
              <a16:creationId xmlns:a16="http://schemas.microsoft.com/office/drawing/2014/main" id="{145A1EC4-DE74-445F-9455-AF13E47E1663}"/>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63" name="Text Box 22">
          <a:extLst>
            <a:ext uri="{FF2B5EF4-FFF2-40B4-BE49-F238E27FC236}">
              <a16:creationId xmlns:a16="http://schemas.microsoft.com/office/drawing/2014/main" id="{04A5F7C3-109A-40E3-8161-FCB4D0071E05}"/>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64" name="Text Box 23">
          <a:extLst>
            <a:ext uri="{FF2B5EF4-FFF2-40B4-BE49-F238E27FC236}">
              <a16:creationId xmlns:a16="http://schemas.microsoft.com/office/drawing/2014/main" id="{45829DCE-E367-48ED-8EC2-33FC9B2CD1BE}"/>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65" name="Text Box 24">
          <a:extLst>
            <a:ext uri="{FF2B5EF4-FFF2-40B4-BE49-F238E27FC236}">
              <a16:creationId xmlns:a16="http://schemas.microsoft.com/office/drawing/2014/main" id="{2B982540-AAD9-4658-B035-F4022CA74850}"/>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66" name="Text Box 25">
          <a:extLst>
            <a:ext uri="{FF2B5EF4-FFF2-40B4-BE49-F238E27FC236}">
              <a16:creationId xmlns:a16="http://schemas.microsoft.com/office/drawing/2014/main" id="{C3034B4E-AAF3-409D-AB2B-7CFC46F9230E}"/>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67" name="Text Box 26">
          <a:extLst>
            <a:ext uri="{FF2B5EF4-FFF2-40B4-BE49-F238E27FC236}">
              <a16:creationId xmlns:a16="http://schemas.microsoft.com/office/drawing/2014/main" id="{BC5C3FDC-9FE5-47A0-A852-3ECE79883DC4}"/>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68" name="Text Box 27">
          <a:extLst>
            <a:ext uri="{FF2B5EF4-FFF2-40B4-BE49-F238E27FC236}">
              <a16:creationId xmlns:a16="http://schemas.microsoft.com/office/drawing/2014/main" id="{8B63B840-5D2B-4F96-A180-1CADD79710DF}"/>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69" name="Text Box 28">
          <a:extLst>
            <a:ext uri="{FF2B5EF4-FFF2-40B4-BE49-F238E27FC236}">
              <a16:creationId xmlns:a16="http://schemas.microsoft.com/office/drawing/2014/main" id="{BD9FA4BD-A444-4C38-BFE4-FFC5FC1BC70B}"/>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70" name="Text Box 29">
          <a:extLst>
            <a:ext uri="{FF2B5EF4-FFF2-40B4-BE49-F238E27FC236}">
              <a16:creationId xmlns:a16="http://schemas.microsoft.com/office/drawing/2014/main" id="{B08EA244-EF9A-48B2-B574-E7AB7B0CE13F}"/>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71" name="Text Box 30">
          <a:extLst>
            <a:ext uri="{FF2B5EF4-FFF2-40B4-BE49-F238E27FC236}">
              <a16:creationId xmlns:a16="http://schemas.microsoft.com/office/drawing/2014/main" id="{31A05790-42C5-47E7-A578-F7D86D73CF2D}"/>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72" name="Text Box 31">
          <a:extLst>
            <a:ext uri="{FF2B5EF4-FFF2-40B4-BE49-F238E27FC236}">
              <a16:creationId xmlns:a16="http://schemas.microsoft.com/office/drawing/2014/main" id="{1AA107C2-8E91-4E22-9978-148E2AAECC89}"/>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73" name="Text Box 32">
          <a:extLst>
            <a:ext uri="{FF2B5EF4-FFF2-40B4-BE49-F238E27FC236}">
              <a16:creationId xmlns:a16="http://schemas.microsoft.com/office/drawing/2014/main" id="{82A089BB-3921-4CA1-8E2B-90720ED80675}"/>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74" name="Text Box 33">
          <a:extLst>
            <a:ext uri="{FF2B5EF4-FFF2-40B4-BE49-F238E27FC236}">
              <a16:creationId xmlns:a16="http://schemas.microsoft.com/office/drawing/2014/main" id="{E0BB625F-32B3-41BE-B7B4-EF9782FD8F0C}"/>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75" name="Text Box 34">
          <a:extLst>
            <a:ext uri="{FF2B5EF4-FFF2-40B4-BE49-F238E27FC236}">
              <a16:creationId xmlns:a16="http://schemas.microsoft.com/office/drawing/2014/main" id="{B479C2FF-EFF2-4DBC-8C8F-D9EF23040D83}"/>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76" name="Text Box 35">
          <a:extLst>
            <a:ext uri="{FF2B5EF4-FFF2-40B4-BE49-F238E27FC236}">
              <a16:creationId xmlns:a16="http://schemas.microsoft.com/office/drawing/2014/main" id="{8DD2A8F5-55FC-4EF7-994B-E6768942F6C8}"/>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77" name="Text Box 36">
          <a:extLst>
            <a:ext uri="{FF2B5EF4-FFF2-40B4-BE49-F238E27FC236}">
              <a16:creationId xmlns:a16="http://schemas.microsoft.com/office/drawing/2014/main" id="{3ABE3157-9889-4152-9BA0-26DC8BCD3901}"/>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17</xdr:row>
      <xdr:rowOff>0</xdr:rowOff>
    </xdr:from>
    <xdr:to>
      <xdr:col>43</xdr:col>
      <xdr:colOff>76200</xdr:colOff>
      <xdr:row>18</xdr:row>
      <xdr:rowOff>9525</xdr:rowOff>
    </xdr:to>
    <xdr:sp macro="" textlink="">
      <xdr:nvSpPr>
        <xdr:cNvPr id="78" name="Text Box 37">
          <a:extLst>
            <a:ext uri="{FF2B5EF4-FFF2-40B4-BE49-F238E27FC236}">
              <a16:creationId xmlns:a16="http://schemas.microsoft.com/office/drawing/2014/main" id="{5D95496E-76D8-47A0-B90C-528B15CB3E16}"/>
            </a:ext>
          </a:extLst>
        </xdr:cNvPr>
        <xdr:cNvSpPr txBox="1">
          <a:spLocks noChangeArrowheads="1"/>
        </xdr:cNvSpPr>
      </xdr:nvSpPr>
      <xdr:spPr bwMode="auto">
        <a:xfrm>
          <a:off x="10753725" y="36099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79" name="Text Box 38">
          <a:extLst>
            <a:ext uri="{FF2B5EF4-FFF2-40B4-BE49-F238E27FC236}">
              <a16:creationId xmlns:a16="http://schemas.microsoft.com/office/drawing/2014/main" id="{9C57DEF5-ED89-4781-86F8-1E972FCF9C55}"/>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85</xdr:col>
      <xdr:colOff>33130</xdr:colOff>
      <xdr:row>17</xdr:row>
      <xdr:rowOff>8282</xdr:rowOff>
    </xdr:from>
    <xdr:to>
      <xdr:col>85</xdr:col>
      <xdr:colOff>109330</xdr:colOff>
      <xdr:row>18</xdr:row>
      <xdr:rowOff>17807</xdr:rowOff>
    </xdr:to>
    <xdr:sp macro="" textlink="">
      <xdr:nvSpPr>
        <xdr:cNvPr id="80" name="Text Box 39">
          <a:extLst>
            <a:ext uri="{FF2B5EF4-FFF2-40B4-BE49-F238E27FC236}">
              <a16:creationId xmlns:a16="http://schemas.microsoft.com/office/drawing/2014/main" id="{849129AA-CF44-429C-99F4-09A6EB7EC55F}"/>
            </a:ext>
          </a:extLst>
        </xdr:cNvPr>
        <xdr:cNvSpPr txBox="1">
          <a:spLocks noChangeArrowheads="1"/>
        </xdr:cNvSpPr>
      </xdr:nvSpPr>
      <xdr:spPr bwMode="auto">
        <a:xfrm>
          <a:off x="13072855" y="3618257"/>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21</xdr:row>
      <xdr:rowOff>0</xdr:rowOff>
    </xdr:from>
    <xdr:to>
      <xdr:col>43</xdr:col>
      <xdr:colOff>76200</xdr:colOff>
      <xdr:row>22</xdr:row>
      <xdr:rowOff>9526</xdr:rowOff>
    </xdr:to>
    <xdr:sp macro="" textlink="">
      <xdr:nvSpPr>
        <xdr:cNvPr id="81" name="Text Box 40">
          <a:extLst>
            <a:ext uri="{FF2B5EF4-FFF2-40B4-BE49-F238E27FC236}">
              <a16:creationId xmlns:a16="http://schemas.microsoft.com/office/drawing/2014/main" id="{9FDA7A78-F177-428A-938F-422C750C3251}"/>
            </a:ext>
          </a:extLst>
        </xdr:cNvPr>
        <xdr:cNvSpPr txBox="1">
          <a:spLocks noChangeArrowheads="1"/>
        </xdr:cNvSpPr>
      </xdr:nvSpPr>
      <xdr:spPr bwMode="auto">
        <a:xfrm>
          <a:off x="10753725" y="4410075"/>
          <a:ext cx="76200" cy="200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82" name="Text Box 1">
          <a:extLst>
            <a:ext uri="{FF2B5EF4-FFF2-40B4-BE49-F238E27FC236}">
              <a16:creationId xmlns:a16="http://schemas.microsoft.com/office/drawing/2014/main" id="{960A789F-5109-4F77-81EC-40C863944BBE}"/>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83" name="Text Box 2">
          <a:extLst>
            <a:ext uri="{FF2B5EF4-FFF2-40B4-BE49-F238E27FC236}">
              <a16:creationId xmlns:a16="http://schemas.microsoft.com/office/drawing/2014/main" id="{0CB62C4B-9B49-43E3-B586-01583508645A}"/>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84" name="Text Box 3">
          <a:extLst>
            <a:ext uri="{FF2B5EF4-FFF2-40B4-BE49-F238E27FC236}">
              <a16:creationId xmlns:a16="http://schemas.microsoft.com/office/drawing/2014/main" id="{11F587C3-C433-4257-8808-516463C6683D}"/>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85" name="Text Box 4">
          <a:extLst>
            <a:ext uri="{FF2B5EF4-FFF2-40B4-BE49-F238E27FC236}">
              <a16:creationId xmlns:a16="http://schemas.microsoft.com/office/drawing/2014/main" id="{B4FBF6CA-4D79-4480-8D41-64AE2E31FE37}"/>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86" name="Text Box 5">
          <a:extLst>
            <a:ext uri="{FF2B5EF4-FFF2-40B4-BE49-F238E27FC236}">
              <a16:creationId xmlns:a16="http://schemas.microsoft.com/office/drawing/2014/main" id="{AAC86ADF-3AEB-4518-A657-A7F09034C77D}"/>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87" name="Text Box 6">
          <a:extLst>
            <a:ext uri="{FF2B5EF4-FFF2-40B4-BE49-F238E27FC236}">
              <a16:creationId xmlns:a16="http://schemas.microsoft.com/office/drawing/2014/main" id="{44510AD5-D349-40F9-94AF-EE554D694151}"/>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88" name="Text Box 7">
          <a:extLst>
            <a:ext uri="{FF2B5EF4-FFF2-40B4-BE49-F238E27FC236}">
              <a16:creationId xmlns:a16="http://schemas.microsoft.com/office/drawing/2014/main" id="{764DE6C6-C91B-4154-A53E-13B2278EB878}"/>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89" name="Text Box 8">
          <a:extLst>
            <a:ext uri="{FF2B5EF4-FFF2-40B4-BE49-F238E27FC236}">
              <a16:creationId xmlns:a16="http://schemas.microsoft.com/office/drawing/2014/main" id="{F3E1D4D5-582F-44E8-8BE1-81BA79B719A8}"/>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90" name="Text Box 9">
          <a:extLst>
            <a:ext uri="{FF2B5EF4-FFF2-40B4-BE49-F238E27FC236}">
              <a16:creationId xmlns:a16="http://schemas.microsoft.com/office/drawing/2014/main" id="{72B962C5-E1C0-45A8-AD12-8F188C8A8821}"/>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91" name="Text Box 10">
          <a:extLst>
            <a:ext uri="{FF2B5EF4-FFF2-40B4-BE49-F238E27FC236}">
              <a16:creationId xmlns:a16="http://schemas.microsoft.com/office/drawing/2014/main" id="{3ED97846-A0F5-4367-BB14-B3303C60220F}"/>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92" name="Text Box 11">
          <a:extLst>
            <a:ext uri="{FF2B5EF4-FFF2-40B4-BE49-F238E27FC236}">
              <a16:creationId xmlns:a16="http://schemas.microsoft.com/office/drawing/2014/main" id="{0B18C572-6C22-4AD3-A39D-FCBF9F1D19FF}"/>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93" name="Text Box 12">
          <a:extLst>
            <a:ext uri="{FF2B5EF4-FFF2-40B4-BE49-F238E27FC236}">
              <a16:creationId xmlns:a16="http://schemas.microsoft.com/office/drawing/2014/main" id="{102967D9-8020-4DCD-92C9-126DAB81B5F8}"/>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94" name="Text Box 13">
          <a:extLst>
            <a:ext uri="{FF2B5EF4-FFF2-40B4-BE49-F238E27FC236}">
              <a16:creationId xmlns:a16="http://schemas.microsoft.com/office/drawing/2014/main" id="{5F2A3200-BEE9-4DD2-9CC3-7C2CB90A120E}"/>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95" name="Text Box 14">
          <a:extLst>
            <a:ext uri="{FF2B5EF4-FFF2-40B4-BE49-F238E27FC236}">
              <a16:creationId xmlns:a16="http://schemas.microsoft.com/office/drawing/2014/main" id="{6560686E-BC44-44E9-8806-4241C47CFF69}"/>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96" name="Text Box 15">
          <a:extLst>
            <a:ext uri="{FF2B5EF4-FFF2-40B4-BE49-F238E27FC236}">
              <a16:creationId xmlns:a16="http://schemas.microsoft.com/office/drawing/2014/main" id="{B9730F5D-E29F-4CEF-9AC1-0DD1E444190E}"/>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97" name="Text Box 16">
          <a:extLst>
            <a:ext uri="{FF2B5EF4-FFF2-40B4-BE49-F238E27FC236}">
              <a16:creationId xmlns:a16="http://schemas.microsoft.com/office/drawing/2014/main" id="{A67741CD-B48B-4653-8550-9ACC2BE9E0E9}"/>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98" name="Text Box 17">
          <a:extLst>
            <a:ext uri="{FF2B5EF4-FFF2-40B4-BE49-F238E27FC236}">
              <a16:creationId xmlns:a16="http://schemas.microsoft.com/office/drawing/2014/main" id="{F2F1A1EE-8BFC-45DB-BE6F-4D15B1A8F224}"/>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99" name="Text Box 18">
          <a:extLst>
            <a:ext uri="{FF2B5EF4-FFF2-40B4-BE49-F238E27FC236}">
              <a16:creationId xmlns:a16="http://schemas.microsoft.com/office/drawing/2014/main" id="{4E569601-68AB-4AB2-903D-2717C7326B4D}"/>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00" name="Text Box 19">
          <a:extLst>
            <a:ext uri="{FF2B5EF4-FFF2-40B4-BE49-F238E27FC236}">
              <a16:creationId xmlns:a16="http://schemas.microsoft.com/office/drawing/2014/main" id="{9B9F82BD-05B8-487C-A8EE-BC2FD748D219}"/>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01" name="Text Box 20">
          <a:extLst>
            <a:ext uri="{FF2B5EF4-FFF2-40B4-BE49-F238E27FC236}">
              <a16:creationId xmlns:a16="http://schemas.microsoft.com/office/drawing/2014/main" id="{60AE7174-E369-47DF-A4EE-551C92E84420}"/>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02" name="Text Box 21">
          <a:extLst>
            <a:ext uri="{FF2B5EF4-FFF2-40B4-BE49-F238E27FC236}">
              <a16:creationId xmlns:a16="http://schemas.microsoft.com/office/drawing/2014/main" id="{8F8A6597-767D-4610-BE42-5435CFDF5B27}"/>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03" name="Text Box 22">
          <a:extLst>
            <a:ext uri="{FF2B5EF4-FFF2-40B4-BE49-F238E27FC236}">
              <a16:creationId xmlns:a16="http://schemas.microsoft.com/office/drawing/2014/main" id="{75FFE4B5-128C-4D2D-B9A0-72A9D9DBF885}"/>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04" name="Text Box 23">
          <a:extLst>
            <a:ext uri="{FF2B5EF4-FFF2-40B4-BE49-F238E27FC236}">
              <a16:creationId xmlns:a16="http://schemas.microsoft.com/office/drawing/2014/main" id="{AB3CE84D-41DF-47E4-B814-CFFF7A670F2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05" name="Text Box 24">
          <a:extLst>
            <a:ext uri="{FF2B5EF4-FFF2-40B4-BE49-F238E27FC236}">
              <a16:creationId xmlns:a16="http://schemas.microsoft.com/office/drawing/2014/main" id="{AFB4E72E-B802-4722-83E9-65812FA20772}"/>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06" name="Text Box 25">
          <a:extLst>
            <a:ext uri="{FF2B5EF4-FFF2-40B4-BE49-F238E27FC236}">
              <a16:creationId xmlns:a16="http://schemas.microsoft.com/office/drawing/2014/main" id="{4A75E8BC-70E3-405B-B5AB-5B59CCB9D7F2}"/>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07" name="Text Box 26">
          <a:extLst>
            <a:ext uri="{FF2B5EF4-FFF2-40B4-BE49-F238E27FC236}">
              <a16:creationId xmlns:a16="http://schemas.microsoft.com/office/drawing/2014/main" id="{36996A6F-0012-49D1-88CE-C080E637A3F1}"/>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08" name="Text Box 27">
          <a:extLst>
            <a:ext uri="{FF2B5EF4-FFF2-40B4-BE49-F238E27FC236}">
              <a16:creationId xmlns:a16="http://schemas.microsoft.com/office/drawing/2014/main" id="{F27D8758-8728-4A33-BE5C-1A9CAF2DE2A2}"/>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09" name="Text Box 28">
          <a:extLst>
            <a:ext uri="{FF2B5EF4-FFF2-40B4-BE49-F238E27FC236}">
              <a16:creationId xmlns:a16="http://schemas.microsoft.com/office/drawing/2014/main" id="{7997BDCB-E5DC-486D-A00A-877D437E5F22}"/>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10" name="Text Box 29">
          <a:extLst>
            <a:ext uri="{FF2B5EF4-FFF2-40B4-BE49-F238E27FC236}">
              <a16:creationId xmlns:a16="http://schemas.microsoft.com/office/drawing/2014/main" id="{C7D55E9C-05FE-4926-932F-2D6524A13A61}"/>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11" name="Text Box 30">
          <a:extLst>
            <a:ext uri="{FF2B5EF4-FFF2-40B4-BE49-F238E27FC236}">
              <a16:creationId xmlns:a16="http://schemas.microsoft.com/office/drawing/2014/main" id="{4E9B1767-6A23-41B1-BE5B-1E14FB5CBC88}"/>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12" name="Text Box 31">
          <a:extLst>
            <a:ext uri="{FF2B5EF4-FFF2-40B4-BE49-F238E27FC236}">
              <a16:creationId xmlns:a16="http://schemas.microsoft.com/office/drawing/2014/main" id="{4373762E-9972-4BC3-9071-4ECD8BE7C680}"/>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13" name="Text Box 32">
          <a:extLst>
            <a:ext uri="{FF2B5EF4-FFF2-40B4-BE49-F238E27FC236}">
              <a16:creationId xmlns:a16="http://schemas.microsoft.com/office/drawing/2014/main" id="{E24BCE73-4EA8-4C1C-85E1-FABE82E3809C}"/>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14" name="Text Box 33">
          <a:extLst>
            <a:ext uri="{FF2B5EF4-FFF2-40B4-BE49-F238E27FC236}">
              <a16:creationId xmlns:a16="http://schemas.microsoft.com/office/drawing/2014/main" id="{DC993484-B0FF-4F55-BD1A-8EB2215C652B}"/>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15" name="Text Box 34">
          <a:extLst>
            <a:ext uri="{FF2B5EF4-FFF2-40B4-BE49-F238E27FC236}">
              <a16:creationId xmlns:a16="http://schemas.microsoft.com/office/drawing/2014/main" id="{78F50F87-A3F4-4FFD-B2F5-875AF2278740}"/>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16" name="Text Box 35">
          <a:extLst>
            <a:ext uri="{FF2B5EF4-FFF2-40B4-BE49-F238E27FC236}">
              <a16:creationId xmlns:a16="http://schemas.microsoft.com/office/drawing/2014/main" id="{A52A7DF6-3626-4392-801D-76A817997466}"/>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17" name="Text Box 36">
          <a:extLst>
            <a:ext uri="{FF2B5EF4-FFF2-40B4-BE49-F238E27FC236}">
              <a16:creationId xmlns:a16="http://schemas.microsoft.com/office/drawing/2014/main" id="{F2F6CBC7-4D84-40A9-9F7E-F8152A5B8FE6}"/>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18" name="Text Box 37">
          <a:extLst>
            <a:ext uri="{FF2B5EF4-FFF2-40B4-BE49-F238E27FC236}">
              <a16:creationId xmlns:a16="http://schemas.microsoft.com/office/drawing/2014/main" id="{3683B2FA-EF53-46D5-A193-722152415BC1}"/>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19" name="Text Box 38">
          <a:extLst>
            <a:ext uri="{FF2B5EF4-FFF2-40B4-BE49-F238E27FC236}">
              <a16:creationId xmlns:a16="http://schemas.microsoft.com/office/drawing/2014/main" id="{56DD82AA-8D87-42BA-A480-10C8116C0D66}"/>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11</xdr:row>
      <xdr:rowOff>0</xdr:rowOff>
    </xdr:from>
    <xdr:to>
      <xdr:col>43</xdr:col>
      <xdr:colOff>76200</xdr:colOff>
      <xdr:row>12</xdr:row>
      <xdr:rowOff>9525</xdr:rowOff>
    </xdr:to>
    <xdr:sp macro="" textlink="">
      <xdr:nvSpPr>
        <xdr:cNvPr id="120" name="Text Box 39">
          <a:extLst>
            <a:ext uri="{FF2B5EF4-FFF2-40B4-BE49-F238E27FC236}">
              <a16:creationId xmlns:a16="http://schemas.microsoft.com/office/drawing/2014/main" id="{13BF357C-C435-4F08-8873-C8BE107EBADF}"/>
            </a:ext>
          </a:extLst>
        </xdr:cNvPr>
        <xdr:cNvSpPr txBox="1">
          <a:spLocks noChangeArrowheads="1"/>
        </xdr:cNvSpPr>
      </xdr:nvSpPr>
      <xdr:spPr bwMode="auto">
        <a:xfrm>
          <a:off x="10753725" y="2409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43</xdr:col>
      <xdr:colOff>0</xdr:colOff>
      <xdr:row>18</xdr:row>
      <xdr:rowOff>0</xdr:rowOff>
    </xdr:from>
    <xdr:to>
      <xdr:col>43</xdr:col>
      <xdr:colOff>76200</xdr:colOff>
      <xdr:row>19</xdr:row>
      <xdr:rowOff>9525</xdr:rowOff>
    </xdr:to>
    <xdr:sp macro="" textlink="">
      <xdr:nvSpPr>
        <xdr:cNvPr id="121" name="Text Box 40">
          <a:extLst>
            <a:ext uri="{FF2B5EF4-FFF2-40B4-BE49-F238E27FC236}">
              <a16:creationId xmlns:a16="http://schemas.microsoft.com/office/drawing/2014/main" id="{5FECE85F-0106-4515-AD93-A1AADEBEADEA}"/>
            </a:ext>
          </a:extLst>
        </xdr:cNvPr>
        <xdr:cNvSpPr txBox="1">
          <a:spLocks noChangeArrowheads="1"/>
        </xdr:cNvSpPr>
      </xdr:nvSpPr>
      <xdr:spPr bwMode="auto">
        <a:xfrm>
          <a:off x="10753725" y="3810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217714</xdr:colOff>
      <xdr:row>3</xdr:row>
      <xdr:rowOff>5341</xdr:rowOff>
    </xdr:to>
    <xdr:pic>
      <xdr:nvPicPr>
        <xdr:cNvPr id="5" name="Image 4">
          <a:extLst>
            <a:ext uri="{FF2B5EF4-FFF2-40B4-BE49-F238E27FC236}">
              <a16:creationId xmlns:a16="http://schemas.microsoft.com/office/drawing/2014/main" id="{17401060-3635-45EF-AB37-E967DD0DC67E}"/>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1714500" cy="128441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217714</xdr:colOff>
      <xdr:row>3</xdr:row>
      <xdr:rowOff>5341</xdr:rowOff>
    </xdr:to>
    <xdr:pic>
      <xdr:nvPicPr>
        <xdr:cNvPr id="5" name="Image 4">
          <a:extLst>
            <a:ext uri="{FF2B5EF4-FFF2-40B4-BE49-F238E27FC236}">
              <a16:creationId xmlns:a16="http://schemas.microsoft.com/office/drawing/2014/main" id="{EC516524-FEF8-4312-92DB-45092D08087D}"/>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1714500" cy="128441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217714</xdr:colOff>
      <xdr:row>3</xdr:row>
      <xdr:rowOff>5341</xdr:rowOff>
    </xdr:to>
    <xdr:pic>
      <xdr:nvPicPr>
        <xdr:cNvPr id="6" name="Image 5">
          <a:extLst>
            <a:ext uri="{FF2B5EF4-FFF2-40B4-BE49-F238E27FC236}">
              <a16:creationId xmlns:a16="http://schemas.microsoft.com/office/drawing/2014/main" id="{7EF2F758-9ED3-46F1-A3F3-B9C099E1AAB8}"/>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1714500" cy="128441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217714</xdr:colOff>
      <xdr:row>3</xdr:row>
      <xdr:rowOff>5341</xdr:rowOff>
    </xdr:to>
    <xdr:pic>
      <xdr:nvPicPr>
        <xdr:cNvPr id="6" name="Image 5">
          <a:extLst>
            <a:ext uri="{FF2B5EF4-FFF2-40B4-BE49-F238E27FC236}">
              <a16:creationId xmlns:a16="http://schemas.microsoft.com/office/drawing/2014/main" id="{3B8F5F6E-6738-4812-BA45-8248DD50DA71}"/>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1714500" cy="128441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41</xdr:col>
      <xdr:colOff>0</xdr:colOff>
      <xdr:row>13</xdr:row>
      <xdr:rowOff>0</xdr:rowOff>
    </xdr:from>
    <xdr:to>
      <xdr:col>43</xdr:col>
      <xdr:colOff>76200</xdr:colOff>
      <xdr:row>14</xdr:row>
      <xdr:rowOff>47625</xdr:rowOff>
    </xdr:to>
    <xdr:sp macro="" textlink="">
      <xdr:nvSpPr>
        <xdr:cNvPr id="183963" name="Text Box 1">
          <a:extLst>
            <a:ext uri="{FF2B5EF4-FFF2-40B4-BE49-F238E27FC236}">
              <a16:creationId xmlns:a16="http://schemas.microsoft.com/office/drawing/2014/main" id="{00000000-0008-0000-0800-00009BCE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3964" name="Text Box 2">
          <a:extLst>
            <a:ext uri="{FF2B5EF4-FFF2-40B4-BE49-F238E27FC236}">
              <a16:creationId xmlns:a16="http://schemas.microsoft.com/office/drawing/2014/main" id="{00000000-0008-0000-0800-00009CCE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3965" name="Text Box 3">
          <a:extLst>
            <a:ext uri="{FF2B5EF4-FFF2-40B4-BE49-F238E27FC236}">
              <a16:creationId xmlns:a16="http://schemas.microsoft.com/office/drawing/2014/main" id="{00000000-0008-0000-0800-00009DCE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3966" name="Text Box 4">
          <a:extLst>
            <a:ext uri="{FF2B5EF4-FFF2-40B4-BE49-F238E27FC236}">
              <a16:creationId xmlns:a16="http://schemas.microsoft.com/office/drawing/2014/main" id="{00000000-0008-0000-0800-00009ECE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3967" name="Text Box 5">
          <a:extLst>
            <a:ext uri="{FF2B5EF4-FFF2-40B4-BE49-F238E27FC236}">
              <a16:creationId xmlns:a16="http://schemas.microsoft.com/office/drawing/2014/main" id="{00000000-0008-0000-0800-00009FCE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3968" name="Text Box 6">
          <a:extLst>
            <a:ext uri="{FF2B5EF4-FFF2-40B4-BE49-F238E27FC236}">
              <a16:creationId xmlns:a16="http://schemas.microsoft.com/office/drawing/2014/main" id="{00000000-0008-0000-0800-0000A0CE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3969" name="Text Box 7">
          <a:extLst>
            <a:ext uri="{FF2B5EF4-FFF2-40B4-BE49-F238E27FC236}">
              <a16:creationId xmlns:a16="http://schemas.microsoft.com/office/drawing/2014/main" id="{00000000-0008-0000-0800-0000A1CE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3970" name="Text Box 8">
          <a:extLst>
            <a:ext uri="{FF2B5EF4-FFF2-40B4-BE49-F238E27FC236}">
              <a16:creationId xmlns:a16="http://schemas.microsoft.com/office/drawing/2014/main" id="{00000000-0008-0000-0800-0000A2CE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3971" name="Text Box 9">
          <a:extLst>
            <a:ext uri="{FF2B5EF4-FFF2-40B4-BE49-F238E27FC236}">
              <a16:creationId xmlns:a16="http://schemas.microsoft.com/office/drawing/2014/main" id="{00000000-0008-0000-0800-0000A3CE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3972" name="Text Box 10">
          <a:extLst>
            <a:ext uri="{FF2B5EF4-FFF2-40B4-BE49-F238E27FC236}">
              <a16:creationId xmlns:a16="http://schemas.microsoft.com/office/drawing/2014/main" id="{00000000-0008-0000-0800-0000A4CE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3973" name="Text Box 11">
          <a:extLst>
            <a:ext uri="{FF2B5EF4-FFF2-40B4-BE49-F238E27FC236}">
              <a16:creationId xmlns:a16="http://schemas.microsoft.com/office/drawing/2014/main" id="{00000000-0008-0000-0800-0000A5CE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3974" name="Text Box 12">
          <a:extLst>
            <a:ext uri="{FF2B5EF4-FFF2-40B4-BE49-F238E27FC236}">
              <a16:creationId xmlns:a16="http://schemas.microsoft.com/office/drawing/2014/main" id="{00000000-0008-0000-0800-0000A6CE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3975" name="Text Box 13">
          <a:extLst>
            <a:ext uri="{FF2B5EF4-FFF2-40B4-BE49-F238E27FC236}">
              <a16:creationId xmlns:a16="http://schemas.microsoft.com/office/drawing/2014/main" id="{00000000-0008-0000-0800-0000A7CE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3976" name="Text Box 14">
          <a:extLst>
            <a:ext uri="{FF2B5EF4-FFF2-40B4-BE49-F238E27FC236}">
              <a16:creationId xmlns:a16="http://schemas.microsoft.com/office/drawing/2014/main" id="{00000000-0008-0000-0800-0000A8CE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3977" name="Text Box 15">
          <a:extLst>
            <a:ext uri="{FF2B5EF4-FFF2-40B4-BE49-F238E27FC236}">
              <a16:creationId xmlns:a16="http://schemas.microsoft.com/office/drawing/2014/main" id="{00000000-0008-0000-0800-0000A9CE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3978" name="Text Box 16">
          <a:extLst>
            <a:ext uri="{FF2B5EF4-FFF2-40B4-BE49-F238E27FC236}">
              <a16:creationId xmlns:a16="http://schemas.microsoft.com/office/drawing/2014/main" id="{00000000-0008-0000-0800-0000AACE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3979" name="Text Box 17">
          <a:extLst>
            <a:ext uri="{FF2B5EF4-FFF2-40B4-BE49-F238E27FC236}">
              <a16:creationId xmlns:a16="http://schemas.microsoft.com/office/drawing/2014/main" id="{00000000-0008-0000-0800-0000ABCE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3980" name="Text Box 18">
          <a:extLst>
            <a:ext uri="{FF2B5EF4-FFF2-40B4-BE49-F238E27FC236}">
              <a16:creationId xmlns:a16="http://schemas.microsoft.com/office/drawing/2014/main" id="{00000000-0008-0000-0800-0000ACCE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3981" name="Text Box 19">
          <a:extLst>
            <a:ext uri="{FF2B5EF4-FFF2-40B4-BE49-F238E27FC236}">
              <a16:creationId xmlns:a16="http://schemas.microsoft.com/office/drawing/2014/main" id="{00000000-0008-0000-0800-0000ADCE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3982" name="Text Box 20">
          <a:extLst>
            <a:ext uri="{FF2B5EF4-FFF2-40B4-BE49-F238E27FC236}">
              <a16:creationId xmlns:a16="http://schemas.microsoft.com/office/drawing/2014/main" id="{00000000-0008-0000-0800-0000AECE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3983" name="Text Box 21">
          <a:extLst>
            <a:ext uri="{FF2B5EF4-FFF2-40B4-BE49-F238E27FC236}">
              <a16:creationId xmlns:a16="http://schemas.microsoft.com/office/drawing/2014/main" id="{00000000-0008-0000-0800-0000AFCE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3984" name="Text Box 22">
          <a:extLst>
            <a:ext uri="{FF2B5EF4-FFF2-40B4-BE49-F238E27FC236}">
              <a16:creationId xmlns:a16="http://schemas.microsoft.com/office/drawing/2014/main" id="{00000000-0008-0000-0800-0000B0CE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3985" name="Text Box 23">
          <a:extLst>
            <a:ext uri="{FF2B5EF4-FFF2-40B4-BE49-F238E27FC236}">
              <a16:creationId xmlns:a16="http://schemas.microsoft.com/office/drawing/2014/main" id="{00000000-0008-0000-0800-0000B1CE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3986" name="Text Box 24">
          <a:extLst>
            <a:ext uri="{FF2B5EF4-FFF2-40B4-BE49-F238E27FC236}">
              <a16:creationId xmlns:a16="http://schemas.microsoft.com/office/drawing/2014/main" id="{00000000-0008-0000-0800-0000B2CE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3987" name="Text Box 25">
          <a:extLst>
            <a:ext uri="{FF2B5EF4-FFF2-40B4-BE49-F238E27FC236}">
              <a16:creationId xmlns:a16="http://schemas.microsoft.com/office/drawing/2014/main" id="{00000000-0008-0000-0800-0000B3CE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3988" name="Text Box 26">
          <a:extLst>
            <a:ext uri="{FF2B5EF4-FFF2-40B4-BE49-F238E27FC236}">
              <a16:creationId xmlns:a16="http://schemas.microsoft.com/office/drawing/2014/main" id="{00000000-0008-0000-0800-0000B4CE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3989" name="Text Box 27">
          <a:extLst>
            <a:ext uri="{FF2B5EF4-FFF2-40B4-BE49-F238E27FC236}">
              <a16:creationId xmlns:a16="http://schemas.microsoft.com/office/drawing/2014/main" id="{00000000-0008-0000-0800-0000B5CE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3990" name="Text Box 28">
          <a:extLst>
            <a:ext uri="{FF2B5EF4-FFF2-40B4-BE49-F238E27FC236}">
              <a16:creationId xmlns:a16="http://schemas.microsoft.com/office/drawing/2014/main" id="{00000000-0008-0000-0800-0000B6CE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3991" name="Text Box 29">
          <a:extLst>
            <a:ext uri="{FF2B5EF4-FFF2-40B4-BE49-F238E27FC236}">
              <a16:creationId xmlns:a16="http://schemas.microsoft.com/office/drawing/2014/main" id="{00000000-0008-0000-0800-0000B7CE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3992" name="Text Box 30">
          <a:extLst>
            <a:ext uri="{FF2B5EF4-FFF2-40B4-BE49-F238E27FC236}">
              <a16:creationId xmlns:a16="http://schemas.microsoft.com/office/drawing/2014/main" id="{00000000-0008-0000-0800-0000B8CE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3993" name="Text Box 31">
          <a:extLst>
            <a:ext uri="{FF2B5EF4-FFF2-40B4-BE49-F238E27FC236}">
              <a16:creationId xmlns:a16="http://schemas.microsoft.com/office/drawing/2014/main" id="{00000000-0008-0000-0800-0000B9CE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3994" name="Text Box 32">
          <a:extLst>
            <a:ext uri="{FF2B5EF4-FFF2-40B4-BE49-F238E27FC236}">
              <a16:creationId xmlns:a16="http://schemas.microsoft.com/office/drawing/2014/main" id="{00000000-0008-0000-0800-0000BACE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3995" name="Text Box 33">
          <a:extLst>
            <a:ext uri="{FF2B5EF4-FFF2-40B4-BE49-F238E27FC236}">
              <a16:creationId xmlns:a16="http://schemas.microsoft.com/office/drawing/2014/main" id="{00000000-0008-0000-0800-0000BBCE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3996" name="Text Box 34">
          <a:extLst>
            <a:ext uri="{FF2B5EF4-FFF2-40B4-BE49-F238E27FC236}">
              <a16:creationId xmlns:a16="http://schemas.microsoft.com/office/drawing/2014/main" id="{00000000-0008-0000-0800-0000BCCE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3997" name="Text Box 35">
          <a:extLst>
            <a:ext uri="{FF2B5EF4-FFF2-40B4-BE49-F238E27FC236}">
              <a16:creationId xmlns:a16="http://schemas.microsoft.com/office/drawing/2014/main" id="{00000000-0008-0000-0800-0000BDCE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3998" name="Text Box 36">
          <a:extLst>
            <a:ext uri="{FF2B5EF4-FFF2-40B4-BE49-F238E27FC236}">
              <a16:creationId xmlns:a16="http://schemas.microsoft.com/office/drawing/2014/main" id="{00000000-0008-0000-0800-0000BECE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3999" name="Text Box 37">
          <a:extLst>
            <a:ext uri="{FF2B5EF4-FFF2-40B4-BE49-F238E27FC236}">
              <a16:creationId xmlns:a16="http://schemas.microsoft.com/office/drawing/2014/main" id="{00000000-0008-0000-0800-0000BFCE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000" name="Text Box 38">
          <a:extLst>
            <a:ext uri="{FF2B5EF4-FFF2-40B4-BE49-F238E27FC236}">
              <a16:creationId xmlns:a16="http://schemas.microsoft.com/office/drawing/2014/main" id="{00000000-0008-0000-0800-0000C0CE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001" name="Text Box 39">
          <a:extLst>
            <a:ext uri="{FF2B5EF4-FFF2-40B4-BE49-F238E27FC236}">
              <a16:creationId xmlns:a16="http://schemas.microsoft.com/office/drawing/2014/main" id="{00000000-0008-0000-0800-0000C1CE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002" name="Text Box 40">
          <a:extLst>
            <a:ext uri="{FF2B5EF4-FFF2-40B4-BE49-F238E27FC236}">
              <a16:creationId xmlns:a16="http://schemas.microsoft.com/office/drawing/2014/main" id="{00000000-0008-0000-0800-0000C2CE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003" name="Text Box 51">
          <a:extLst>
            <a:ext uri="{FF2B5EF4-FFF2-40B4-BE49-F238E27FC236}">
              <a16:creationId xmlns:a16="http://schemas.microsoft.com/office/drawing/2014/main" id="{00000000-0008-0000-0800-0000C3CE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004" name="Text Box 52">
          <a:extLst>
            <a:ext uri="{FF2B5EF4-FFF2-40B4-BE49-F238E27FC236}">
              <a16:creationId xmlns:a16="http://schemas.microsoft.com/office/drawing/2014/main" id="{00000000-0008-0000-0800-0000C4CE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005" name="Text Box 53">
          <a:extLst>
            <a:ext uri="{FF2B5EF4-FFF2-40B4-BE49-F238E27FC236}">
              <a16:creationId xmlns:a16="http://schemas.microsoft.com/office/drawing/2014/main" id="{00000000-0008-0000-0800-0000C5CE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006" name="Text Box 54">
          <a:extLst>
            <a:ext uri="{FF2B5EF4-FFF2-40B4-BE49-F238E27FC236}">
              <a16:creationId xmlns:a16="http://schemas.microsoft.com/office/drawing/2014/main" id="{00000000-0008-0000-0800-0000C6CE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007" name="Text Box 55">
          <a:extLst>
            <a:ext uri="{FF2B5EF4-FFF2-40B4-BE49-F238E27FC236}">
              <a16:creationId xmlns:a16="http://schemas.microsoft.com/office/drawing/2014/main" id="{00000000-0008-0000-0800-0000C7CE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008" name="Text Box 56">
          <a:extLst>
            <a:ext uri="{FF2B5EF4-FFF2-40B4-BE49-F238E27FC236}">
              <a16:creationId xmlns:a16="http://schemas.microsoft.com/office/drawing/2014/main" id="{00000000-0008-0000-0800-0000C8CE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009" name="Text Box 57">
          <a:extLst>
            <a:ext uri="{FF2B5EF4-FFF2-40B4-BE49-F238E27FC236}">
              <a16:creationId xmlns:a16="http://schemas.microsoft.com/office/drawing/2014/main" id="{00000000-0008-0000-0800-0000C9CE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010" name="Text Box 58">
          <a:extLst>
            <a:ext uri="{FF2B5EF4-FFF2-40B4-BE49-F238E27FC236}">
              <a16:creationId xmlns:a16="http://schemas.microsoft.com/office/drawing/2014/main" id="{00000000-0008-0000-0800-0000CACE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011" name="Text Box 59">
          <a:extLst>
            <a:ext uri="{FF2B5EF4-FFF2-40B4-BE49-F238E27FC236}">
              <a16:creationId xmlns:a16="http://schemas.microsoft.com/office/drawing/2014/main" id="{00000000-0008-0000-0800-0000CBCE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012" name="Text Box 60">
          <a:extLst>
            <a:ext uri="{FF2B5EF4-FFF2-40B4-BE49-F238E27FC236}">
              <a16:creationId xmlns:a16="http://schemas.microsoft.com/office/drawing/2014/main" id="{00000000-0008-0000-0800-0000CCCE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013" name="Text Box 61">
          <a:extLst>
            <a:ext uri="{FF2B5EF4-FFF2-40B4-BE49-F238E27FC236}">
              <a16:creationId xmlns:a16="http://schemas.microsoft.com/office/drawing/2014/main" id="{00000000-0008-0000-0800-0000CDCE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014" name="Text Box 62">
          <a:extLst>
            <a:ext uri="{FF2B5EF4-FFF2-40B4-BE49-F238E27FC236}">
              <a16:creationId xmlns:a16="http://schemas.microsoft.com/office/drawing/2014/main" id="{00000000-0008-0000-0800-0000CECE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015" name="Text Box 63">
          <a:extLst>
            <a:ext uri="{FF2B5EF4-FFF2-40B4-BE49-F238E27FC236}">
              <a16:creationId xmlns:a16="http://schemas.microsoft.com/office/drawing/2014/main" id="{00000000-0008-0000-0800-0000CFCE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016" name="Text Box 64">
          <a:extLst>
            <a:ext uri="{FF2B5EF4-FFF2-40B4-BE49-F238E27FC236}">
              <a16:creationId xmlns:a16="http://schemas.microsoft.com/office/drawing/2014/main" id="{00000000-0008-0000-0800-0000D0CE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017" name="Text Box 65">
          <a:extLst>
            <a:ext uri="{FF2B5EF4-FFF2-40B4-BE49-F238E27FC236}">
              <a16:creationId xmlns:a16="http://schemas.microsoft.com/office/drawing/2014/main" id="{00000000-0008-0000-0800-0000D1CE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018" name="Text Box 66">
          <a:extLst>
            <a:ext uri="{FF2B5EF4-FFF2-40B4-BE49-F238E27FC236}">
              <a16:creationId xmlns:a16="http://schemas.microsoft.com/office/drawing/2014/main" id="{00000000-0008-0000-0800-0000D2CE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019" name="Text Box 67">
          <a:extLst>
            <a:ext uri="{FF2B5EF4-FFF2-40B4-BE49-F238E27FC236}">
              <a16:creationId xmlns:a16="http://schemas.microsoft.com/office/drawing/2014/main" id="{00000000-0008-0000-0800-0000D3CE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020" name="Text Box 68">
          <a:extLst>
            <a:ext uri="{FF2B5EF4-FFF2-40B4-BE49-F238E27FC236}">
              <a16:creationId xmlns:a16="http://schemas.microsoft.com/office/drawing/2014/main" id="{00000000-0008-0000-0800-0000D4CE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021" name="Text Box 69">
          <a:extLst>
            <a:ext uri="{FF2B5EF4-FFF2-40B4-BE49-F238E27FC236}">
              <a16:creationId xmlns:a16="http://schemas.microsoft.com/office/drawing/2014/main" id="{00000000-0008-0000-0800-0000D5CE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022" name="Text Box 70">
          <a:extLst>
            <a:ext uri="{FF2B5EF4-FFF2-40B4-BE49-F238E27FC236}">
              <a16:creationId xmlns:a16="http://schemas.microsoft.com/office/drawing/2014/main" id="{00000000-0008-0000-0800-0000D6CE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023" name="Text Box 71">
          <a:extLst>
            <a:ext uri="{FF2B5EF4-FFF2-40B4-BE49-F238E27FC236}">
              <a16:creationId xmlns:a16="http://schemas.microsoft.com/office/drawing/2014/main" id="{00000000-0008-0000-0800-0000D7CE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024" name="Text Box 72">
          <a:extLst>
            <a:ext uri="{FF2B5EF4-FFF2-40B4-BE49-F238E27FC236}">
              <a16:creationId xmlns:a16="http://schemas.microsoft.com/office/drawing/2014/main" id="{00000000-0008-0000-0800-0000D8CE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025" name="Text Box 73">
          <a:extLst>
            <a:ext uri="{FF2B5EF4-FFF2-40B4-BE49-F238E27FC236}">
              <a16:creationId xmlns:a16="http://schemas.microsoft.com/office/drawing/2014/main" id="{00000000-0008-0000-0800-0000D9CE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026" name="Text Box 74">
          <a:extLst>
            <a:ext uri="{FF2B5EF4-FFF2-40B4-BE49-F238E27FC236}">
              <a16:creationId xmlns:a16="http://schemas.microsoft.com/office/drawing/2014/main" id="{00000000-0008-0000-0800-0000DACE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027" name="Text Box 75">
          <a:extLst>
            <a:ext uri="{FF2B5EF4-FFF2-40B4-BE49-F238E27FC236}">
              <a16:creationId xmlns:a16="http://schemas.microsoft.com/office/drawing/2014/main" id="{00000000-0008-0000-0800-0000DBCE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028" name="Text Box 76">
          <a:extLst>
            <a:ext uri="{FF2B5EF4-FFF2-40B4-BE49-F238E27FC236}">
              <a16:creationId xmlns:a16="http://schemas.microsoft.com/office/drawing/2014/main" id="{00000000-0008-0000-0800-0000DCCE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029" name="Text Box 77">
          <a:extLst>
            <a:ext uri="{FF2B5EF4-FFF2-40B4-BE49-F238E27FC236}">
              <a16:creationId xmlns:a16="http://schemas.microsoft.com/office/drawing/2014/main" id="{00000000-0008-0000-0800-0000DDCE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030" name="Text Box 78">
          <a:extLst>
            <a:ext uri="{FF2B5EF4-FFF2-40B4-BE49-F238E27FC236}">
              <a16:creationId xmlns:a16="http://schemas.microsoft.com/office/drawing/2014/main" id="{00000000-0008-0000-0800-0000DECE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031" name="Text Box 79">
          <a:extLst>
            <a:ext uri="{FF2B5EF4-FFF2-40B4-BE49-F238E27FC236}">
              <a16:creationId xmlns:a16="http://schemas.microsoft.com/office/drawing/2014/main" id="{00000000-0008-0000-0800-0000DFCE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032" name="Text Box 80">
          <a:extLst>
            <a:ext uri="{FF2B5EF4-FFF2-40B4-BE49-F238E27FC236}">
              <a16:creationId xmlns:a16="http://schemas.microsoft.com/office/drawing/2014/main" id="{00000000-0008-0000-0800-0000E0CE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033" name="Text Box 81">
          <a:extLst>
            <a:ext uri="{FF2B5EF4-FFF2-40B4-BE49-F238E27FC236}">
              <a16:creationId xmlns:a16="http://schemas.microsoft.com/office/drawing/2014/main" id="{00000000-0008-0000-0800-0000E1CE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034" name="Text Box 82">
          <a:extLst>
            <a:ext uri="{FF2B5EF4-FFF2-40B4-BE49-F238E27FC236}">
              <a16:creationId xmlns:a16="http://schemas.microsoft.com/office/drawing/2014/main" id="{00000000-0008-0000-0800-0000E2CE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035" name="Text Box 83">
          <a:extLst>
            <a:ext uri="{FF2B5EF4-FFF2-40B4-BE49-F238E27FC236}">
              <a16:creationId xmlns:a16="http://schemas.microsoft.com/office/drawing/2014/main" id="{00000000-0008-0000-0800-0000E3CE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036" name="Text Box 84">
          <a:extLst>
            <a:ext uri="{FF2B5EF4-FFF2-40B4-BE49-F238E27FC236}">
              <a16:creationId xmlns:a16="http://schemas.microsoft.com/office/drawing/2014/main" id="{00000000-0008-0000-0800-0000E4CE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037" name="Text Box 85">
          <a:extLst>
            <a:ext uri="{FF2B5EF4-FFF2-40B4-BE49-F238E27FC236}">
              <a16:creationId xmlns:a16="http://schemas.microsoft.com/office/drawing/2014/main" id="{00000000-0008-0000-0800-0000E5CE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038" name="Text Box 86">
          <a:extLst>
            <a:ext uri="{FF2B5EF4-FFF2-40B4-BE49-F238E27FC236}">
              <a16:creationId xmlns:a16="http://schemas.microsoft.com/office/drawing/2014/main" id="{00000000-0008-0000-0800-0000E6CE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039" name="Text Box 87">
          <a:extLst>
            <a:ext uri="{FF2B5EF4-FFF2-40B4-BE49-F238E27FC236}">
              <a16:creationId xmlns:a16="http://schemas.microsoft.com/office/drawing/2014/main" id="{00000000-0008-0000-0800-0000E7CE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040" name="Text Box 88">
          <a:extLst>
            <a:ext uri="{FF2B5EF4-FFF2-40B4-BE49-F238E27FC236}">
              <a16:creationId xmlns:a16="http://schemas.microsoft.com/office/drawing/2014/main" id="{00000000-0008-0000-0800-0000E8CE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041" name="Text Box 89">
          <a:extLst>
            <a:ext uri="{FF2B5EF4-FFF2-40B4-BE49-F238E27FC236}">
              <a16:creationId xmlns:a16="http://schemas.microsoft.com/office/drawing/2014/main" id="{00000000-0008-0000-0800-0000E9CE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042" name="Text Box 90">
          <a:extLst>
            <a:ext uri="{FF2B5EF4-FFF2-40B4-BE49-F238E27FC236}">
              <a16:creationId xmlns:a16="http://schemas.microsoft.com/office/drawing/2014/main" id="{00000000-0008-0000-0800-0000EACE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043" name="Text Box 91">
          <a:extLst>
            <a:ext uri="{FF2B5EF4-FFF2-40B4-BE49-F238E27FC236}">
              <a16:creationId xmlns:a16="http://schemas.microsoft.com/office/drawing/2014/main" id="{00000000-0008-0000-0800-0000EBCE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044" name="Text Box 92">
          <a:extLst>
            <a:ext uri="{FF2B5EF4-FFF2-40B4-BE49-F238E27FC236}">
              <a16:creationId xmlns:a16="http://schemas.microsoft.com/office/drawing/2014/main" id="{00000000-0008-0000-0800-0000ECCE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045" name="Text Box 93">
          <a:extLst>
            <a:ext uri="{FF2B5EF4-FFF2-40B4-BE49-F238E27FC236}">
              <a16:creationId xmlns:a16="http://schemas.microsoft.com/office/drawing/2014/main" id="{00000000-0008-0000-0800-0000EDCE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046" name="Text Box 94">
          <a:extLst>
            <a:ext uri="{FF2B5EF4-FFF2-40B4-BE49-F238E27FC236}">
              <a16:creationId xmlns:a16="http://schemas.microsoft.com/office/drawing/2014/main" id="{00000000-0008-0000-0800-0000EECE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047" name="Text Box 95">
          <a:extLst>
            <a:ext uri="{FF2B5EF4-FFF2-40B4-BE49-F238E27FC236}">
              <a16:creationId xmlns:a16="http://schemas.microsoft.com/office/drawing/2014/main" id="{00000000-0008-0000-0800-0000EFCE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048" name="Text Box 96">
          <a:extLst>
            <a:ext uri="{FF2B5EF4-FFF2-40B4-BE49-F238E27FC236}">
              <a16:creationId xmlns:a16="http://schemas.microsoft.com/office/drawing/2014/main" id="{00000000-0008-0000-0800-0000F0CE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049" name="Text Box 97">
          <a:extLst>
            <a:ext uri="{FF2B5EF4-FFF2-40B4-BE49-F238E27FC236}">
              <a16:creationId xmlns:a16="http://schemas.microsoft.com/office/drawing/2014/main" id="{00000000-0008-0000-0800-0000F1CE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050" name="Text Box 98">
          <a:extLst>
            <a:ext uri="{FF2B5EF4-FFF2-40B4-BE49-F238E27FC236}">
              <a16:creationId xmlns:a16="http://schemas.microsoft.com/office/drawing/2014/main" id="{00000000-0008-0000-0800-0000F2CE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051" name="Text Box 99">
          <a:extLst>
            <a:ext uri="{FF2B5EF4-FFF2-40B4-BE49-F238E27FC236}">
              <a16:creationId xmlns:a16="http://schemas.microsoft.com/office/drawing/2014/main" id="{00000000-0008-0000-0800-0000F3CE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052" name="Text Box 100">
          <a:extLst>
            <a:ext uri="{FF2B5EF4-FFF2-40B4-BE49-F238E27FC236}">
              <a16:creationId xmlns:a16="http://schemas.microsoft.com/office/drawing/2014/main" id="{00000000-0008-0000-0800-0000F4CE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053" name="Text Box 101">
          <a:extLst>
            <a:ext uri="{FF2B5EF4-FFF2-40B4-BE49-F238E27FC236}">
              <a16:creationId xmlns:a16="http://schemas.microsoft.com/office/drawing/2014/main" id="{00000000-0008-0000-0800-0000F5CE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054" name="Text Box 102">
          <a:extLst>
            <a:ext uri="{FF2B5EF4-FFF2-40B4-BE49-F238E27FC236}">
              <a16:creationId xmlns:a16="http://schemas.microsoft.com/office/drawing/2014/main" id="{00000000-0008-0000-0800-0000F6CE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055" name="Text Box 103">
          <a:extLst>
            <a:ext uri="{FF2B5EF4-FFF2-40B4-BE49-F238E27FC236}">
              <a16:creationId xmlns:a16="http://schemas.microsoft.com/office/drawing/2014/main" id="{00000000-0008-0000-0800-0000F7CE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056" name="Text Box 104">
          <a:extLst>
            <a:ext uri="{FF2B5EF4-FFF2-40B4-BE49-F238E27FC236}">
              <a16:creationId xmlns:a16="http://schemas.microsoft.com/office/drawing/2014/main" id="{00000000-0008-0000-0800-0000F8CE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057" name="Text Box 105">
          <a:extLst>
            <a:ext uri="{FF2B5EF4-FFF2-40B4-BE49-F238E27FC236}">
              <a16:creationId xmlns:a16="http://schemas.microsoft.com/office/drawing/2014/main" id="{00000000-0008-0000-0800-0000F9CE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058" name="Text Box 106">
          <a:extLst>
            <a:ext uri="{FF2B5EF4-FFF2-40B4-BE49-F238E27FC236}">
              <a16:creationId xmlns:a16="http://schemas.microsoft.com/office/drawing/2014/main" id="{00000000-0008-0000-0800-0000FACE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059" name="Text Box 107">
          <a:extLst>
            <a:ext uri="{FF2B5EF4-FFF2-40B4-BE49-F238E27FC236}">
              <a16:creationId xmlns:a16="http://schemas.microsoft.com/office/drawing/2014/main" id="{00000000-0008-0000-0800-0000FBCE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060" name="Text Box 108">
          <a:extLst>
            <a:ext uri="{FF2B5EF4-FFF2-40B4-BE49-F238E27FC236}">
              <a16:creationId xmlns:a16="http://schemas.microsoft.com/office/drawing/2014/main" id="{00000000-0008-0000-0800-0000FCCE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061" name="Text Box 109">
          <a:extLst>
            <a:ext uri="{FF2B5EF4-FFF2-40B4-BE49-F238E27FC236}">
              <a16:creationId xmlns:a16="http://schemas.microsoft.com/office/drawing/2014/main" id="{00000000-0008-0000-0800-0000FDCE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062" name="Text Box 110">
          <a:extLst>
            <a:ext uri="{FF2B5EF4-FFF2-40B4-BE49-F238E27FC236}">
              <a16:creationId xmlns:a16="http://schemas.microsoft.com/office/drawing/2014/main" id="{00000000-0008-0000-0800-0000FECE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063" name="Text Box 111">
          <a:extLst>
            <a:ext uri="{FF2B5EF4-FFF2-40B4-BE49-F238E27FC236}">
              <a16:creationId xmlns:a16="http://schemas.microsoft.com/office/drawing/2014/main" id="{00000000-0008-0000-0800-0000FFCE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064" name="Text Box 112">
          <a:extLst>
            <a:ext uri="{FF2B5EF4-FFF2-40B4-BE49-F238E27FC236}">
              <a16:creationId xmlns:a16="http://schemas.microsoft.com/office/drawing/2014/main" id="{00000000-0008-0000-0800-000000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065" name="Text Box 113">
          <a:extLst>
            <a:ext uri="{FF2B5EF4-FFF2-40B4-BE49-F238E27FC236}">
              <a16:creationId xmlns:a16="http://schemas.microsoft.com/office/drawing/2014/main" id="{00000000-0008-0000-0800-000001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066" name="Text Box 114">
          <a:extLst>
            <a:ext uri="{FF2B5EF4-FFF2-40B4-BE49-F238E27FC236}">
              <a16:creationId xmlns:a16="http://schemas.microsoft.com/office/drawing/2014/main" id="{00000000-0008-0000-0800-000002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067" name="Text Box 115">
          <a:extLst>
            <a:ext uri="{FF2B5EF4-FFF2-40B4-BE49-F238E27FC236}">
              <a16:creationId xmlns:a16="http://schemas.microsoft.com/office/drawing/2014/main" id="{00000000-0008-0000-0800-000003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068" name="Text Box 116">
          <a:extLst>
            <a:ext uri="{FF2B5EF4-FFF2-40B4-BE49-F238E27FC236}">
              <a16:creationId xmlns:a16="http://schemas.microsoft.com/office/drawing/2014/main" id="{00000000-0008-0000-0800-000004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069" name="Text Box 117">
          <a:extLst>
            <a:ext uri="{FF2B5EF4-FFF2-40B4-BE49-F238E27FC236}">
              <a16:creationId xmlns:a16="http://schemas.microsoft.com/office/drawing/2014/main" id="{00000000-0008-0000-0800-000005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070" name="Text Box 118">
          <a:extLst>
            <a:ext uri="{FF2B5EF4-FFF2-40B4-BE49-F238E27FC236}">
              <a16:creationId xmlns:a16="http://schemas.microsoft.com/office/drawing/2014/main" id="{00000000-0008-0000-0800-000006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071" name="Text Box 119">
          <a:extLst>
            <a:ext uri="{FF2B5EF4-FFF2-40B4-BE49-F238E27FC236}">
              <a16:creationId xmlns:a16="http://schemas.microsoft.com/office/drawing/2014/main" id="{00000000-0008-0000-0800-000007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072" name="Text Box 120">
          <a:extLst>
            <a:ext uri="{FF2B5EF4-FFF2-40B4-BE49-F238E27FC236}">
              <a16:creationId xmlns:a16="http://schemas.microsoft.com/office/drawing/2014/main" id="{00000000-0008-0000-0800-000008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073" name="Text Box 121">
          <a:extLst>
            <a:ext uri="{FF2B5EF4-FFF2-40B4-BE49-F238E27FC236}">
              <a16:creationId xmlns:a16="http://schemas.microsoft.com/office/drawing/2014/main" id="{00000000-0008-0000-0800-000009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074" name="Text Box 122">
          <a:extLst>
            <a:ext uri="{FF2B5EF4-FFF2-40B4-BE49-F238E27FC236}">
              <a16:creationId xmlns:a16="http://schemas.microsoft.com/office/drawing/2014/main" id="{00000000-0008-0000-0800-00000A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075" name="Text Box 123">
          <a:extLst>
            <a:ext uri="{FF2B5EF4-FFF2-40B4-BE49-F238E27FC236}">
              <a16:creationId xmlns:a16="http://schemas.microsoft.com/office/drawing/2014/main" id="{00000000-0008-0000-0800-00000B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076" name="Text Box 124">
          <a:extLst>
            <a:ext uri="{FF2B5EF4-FFF2-40B4-BE49-F238E27FC236}">
              <a16:creationId xmlns:a16="http://schemas.microsoft.com/office/drawing/2014/main" id="{00000000-0008-0000-0800-00000C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077" name="Text Box 125">
          <a:extLst>
            <a:ext uri="{FF2B5EF4-FFF2-40B4-BE49-F238E27FC236}">
              <a16:creationId xmlns:a16="http://schemas.microsoft.com/office/drawing/2014/main" id="{00000000-0008-0000-0800-00000D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078" name="Text Box 126">
          <a:extLst>
            <a:ext uri="{FF2B5EF4-FFF2-40B4-BE49-F238E27FC236}">
              <a16:creationId xmlns:a16="http://schemas.microsoft.com/office/drawing/2014/main" id="{00000000-0008-0000-0800-00000E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079" name="Text Box 127">
          <a:extLst>
            <a:ext uri="{FF2B5EF4-FFF2-40B4-BE49-F238E27FC236}">
              <a16:creationId xmlns:a16="http://schemas.microsoft.com/office/drawing/2014/main" id="{00000000-0008-0000-0800-00000F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080" name="Text Box 128">
          <a:extLst>
            <a:ext uri="{FF2B5EF4-FFF2-40B4-BE49-F238E27FC236}">
              <a16:creationId xmlns:a16="http://schemas.microsoft.com/office/drawing/2014/main" id="{00000000-0008-0000-0800-000010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081" name="Text Box 129">
          <a:extLst>
            <a:ext uri="{FF2B5EF4-FFF2-40B4-BE49-F238E27FC236}">
              <a16:creationId xmlns:a16="http://schemas.microsoft.com/office/drawing/2014/main" id="{00000000-0008-0000-0800-000011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082" name="Text Box 130">
          <a:extLst>
            <a:ext uri="{FF2B5EF4-FFF2-40B4-BE49-F238E27FC236}">
              <a16:creationId xmlns:a16="http://schemas.microsoft.com/office/drawing/2014/main" id="{00000000-0008-0000-0800-000012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083" name="Text Box 131">
          <a:extLst>
            <a:ext uri="{FF2B5EF4-FFF2-40B4-BE49-F238E27FC236}">
              <a16:creationId xmlns:a16="http://schemas.microsoft.com/office/drawing/2014/main" id="{00000000-0008-0000-0800-000013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084" name="Text Box 132">
          <a:extLst>
            <a:ext uri="{FF2B5EF4-FFF2-40B4-BE49-F238E27FC236}">
              <a16:creationId xmlns:a16="http://schemas.microsoft.com/office/drawing/2014/main" id="{00000000-0008-0000-0800-000014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085" name="Text Box 133">
          <a:extLst>
            <a:ext uri="{FF2B5EF4-FFF2-40B4-BE49-F238E27FC236}">
              <a16:creationId xmlns:a16="http://schemas.microsoft.com/office/drawing/2014/main" id="{00000000-0008-0000-0800-000015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086" name="Text Box 134">
          <a:extLst>
            <a:ext uri="{FF2B5EF4-FFF2-40B4-BE49-F238E27FC236}">
              <a16:creationId xmlns:a16="http://schemas.microsoft.com/office/drawing/2014/main" id="{00000000-0008-0000-0800-000016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087" name="Text Box 135">
          <a:extLst>
            <a:ext uri="{FF2B5EF4-FFF2-40B4-BE49-F238E27FC236}">
              <a16:creationId xmlns:a16="http://schemas.microsoft.com/office/drawing/2014/main" id="{00000000-0008-0000-0800-000017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088" name="Text Box 136">
          <a:extLst>
            <a:ext uri="{FF2B5EF4-FFF2-40B4-BE49-F238E27FC236}">
              <a16:creationId xmlns:a16="http://schemas.microsoft.com/office/drawing/2014/main" id="{00000000-0008-0000-0800-000018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089" name="Text Box 137">
          <a:extLst>
            <a:ext uri="{FF2B5EF4-FFF2-40B4-BE49-F238E27FC236}">
              <a16:creationId xmlns:a16="http://schemas.microsoft.com/office/drawing/2014/main" id="{00000000-0008-0000-0800-000019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090" name="Text Box 138">
          <a:extLst>
            <a:ext uri="{FF2B5EF4-FFF2-40B4-BE49-F238E27FC236}">
              <a16:creationId xmlns:a16="http://schemas.microsoft.com/office/drawing/2014/main" id="{00000000-0008-0000-0800-00001A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091" name="Text Box 139">
          <a:extLst>
            <a:ext uri="{FF2B5EF4-FFF2-40B4-BE49-F238E27FC236}">
              <a16:creationId xmlns:a16="http://schemas.microsoft.com/office/drawing/2014/main" id="{00000000-0008-0000-0800-00001B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092" name="Text Box 140">
          <a:extLst>
            <a:ext uri="{FF2B5EF4-FFF2-40B4-BE49-F238E27FC236}">
              <a16:creationId xmlns:a16="http://schemas.microsoft.com/office/drawing/2014/main" id="{00000000-0008-0000-0800-00001C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093" name="Text Box 141">
          <a:extLst>
            <a:ext uri="{FF2B5EF4-FFF2-40B4-BE49-F238E27FC236}">
              <a16:creationId xmlns:a16="http://schemas.microsoft.com/office/drawing/2014/main" id="{00000000-0008-0000-0800-00001D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094" name="Text Box 142">
          <a:extLst>
            <a:ext uri="{FF2B5EF4-FFF2-40B4-BE49-F238E27FC236}">
              <a16:creationId xmlns:a16="http://schemas.microsoft.com/office/drawing/2014/main" id="{00000000-0008-0000-0800-00001E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095" name="Text Box 143">
          <a:extLst>
            <a:ext uri="{FF2B5EF4-FFF2-40B4-BE49-F238E27FC236}">
              <a16:creationId xmlns:a16="http://schemas.microsoft.com/office/drawing/2014/main" id="{00000000-0008-0000-0800-00001F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096" name="Text Box 144">
          <a:extLst>
            <a:ext uri="{FF2B5EF4-FFF2-40B4-BE49-F238E27FC236}">
              <a16:creationId xmlns:a16="http://schemas.microsoft.com/office/drawing/2014/main" id="{00000000-0008-0000-0800-000020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097" name="Text Box 145">
          <a:extLst>
            <a:ext uri="{FF2B5EF4-FFF2-40B4-BE49-F238E27FC236}">
              <a16:creationId xmlns:a16="http://schemas.microsoft.com/office/drawing/2014/main" id="{00000000-0008-0000-0800-000021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098" name="Text Box 146">
          <a:extLst>
            <a:ext uri="{FF2B5EF4-FFF2-40B4-BE49-F238E27FC236}">
              <a16:creationId xmlns:a16="http://schemas.microsoft.com/office/drawing/2014/main" id="{00000000-0008-0000-0800-000022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099" name="Text Box 147">
          <a:extLst>
            <a:ext uri="{FF2B5EF4-FFF2-40B4-BE49-F238E27FC236}">
              <a16:creationId xmlns:a16="http://schemas.microsoft.com/office/drawing/2014/main" id="{00000000-0008-0000-0800-000023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100" name="Text Box 148">
          <a:extLst>
            <a:ext uri="{FF2B5EF4-FFF2-40B4-BE49-F238E27FC236}">
              <a16:creationId xmlns:a16="http://schemas.microsoft.com/office/drawing/2014/main" id="{00000000-0008-0000-0800-000024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101" name="Text Box 149">
          <a:extLst>
            <a:ext uri="{FF2B5EF4-FFF2-40B4-BE49-F238E27FC236}">
              <a16:creationId xmlns:a16="http://schemas.microsoft.com/office/drawing/2014/main" id="{00000000-0008-0000-0800-000025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102" name="Text Box 150">
          <a:extLst>
            <a:ext uri="{FF2B5EF4-FFF2-40B4-BE49-F238E27FC236}">
              <a16:creationId xmlns:a16="http://schemas.microsoft.com/office/drawing/2014/main" id="{00000000-0008-0000-0800-000026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103" name="Text Box 151">
          <a:extLst>
            <a:ext uri="{FF2B5EF4-FFF2-40B4-BE49-F238E27FC236}">
              <a16:creationId xmlns:a16="http://schemas.microsoft.com/office/drawing/2014/main" id="{00000000-0008-0000-0800-000027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104" name="Text Box 152">
          <a:extLst>
            <a:ext uri="{FF2B5EF4-FFF2-40B4-BE49-F238E27FC236}">
              <a16:creationId xmlns:a16="http://schemas.microsoft.com/office/drawing/2014/main" id="{00000000-0008-0000-0800-000028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105" name="Text Box 153">
          <a:extLst>
            <a:ext uri="{FF2B5EF4-FFF2-40B4-BE49-F238E27FC236}">
              <a16:creationId xmlns:a16="http://schemas.microsoft.com/office/drawing/2014/main" id="{00000000-0008-0000-0800-000029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106" name="Text Box 154">
          <a:extLst>
            <a:ext uri="{FF2B5EF4-FFF2-40B4-BE49-F238E27FC236}">
              <a16:creationId xmlns:a16="http://schemas.microsoft.com/office/drawing/2014/main" id="{00000000-0008-0000-0800-00002A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107" name="Text Box 155">
          <a:extLst>
            <a:ext uri="{FF2B5EF4-FFF2-40B4-BE49-F238E27FC236}">
              <a16:creationId xmlns:a16="http://schemas.microsoft.com/office/drawing/2014/main" id="{00000000-0008-0000-0800-00002B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108" name="Text Box 156">
          <a:extLst>
            <a:ext uri="{FF2B5EF4-FFF2-40B4-BE49-F238E27FC236}">
              <a16:creationId xmlns:a16="http://schemas.microsoft.com/office/drawing/2014/main" id="{00000000-0008-0000-0800-00002C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109" name="Text Box 157">
          <a:extLst>
            <a:ext uri="{FF2B5EF4-FFF2-40B4-BE49-F238E27FC236}">
              <a16:creationId xmlns:a16="http://schemas.microsoft.com/office/drawing/2014/main" id="{00000000-0008-0000-0800-00002D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110" name="Text Box 158">
          <a:extLst>
            <a:ext uri="{FF2B5EF4-FFF2-40B4-BE49-F238E27FC236}">
              <a16:creationId xmlns:a16="http://schemas.microsoft.com/office/drawing/2014/main" id="{00000000-0008-0000-0800-00002E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111" name="Text Box 159">
          <a:extLst>
            <a:ext uri="{FF2B5EF4-FFF2-40B4-BE49-F238E27FC236}">
              <a16:creationId xmlns:a16="http://schemas.microsoft.com/office/drawing/2014/main" id="{00000000-0008-0000-0800-00002F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112" name="Text Box 160">
          <a:extLst>
            <a:ext uri="{FF2B5EF4-FFF2-40B4-BE49-F238E27FC236}">
              <a16:creationId xmlns:a16="http://schemas.microsoft.com/office/drawing/2014/main" id="{00000000-0008-0000-0800-000030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113" name="Text Box 161">
          <a:extLst>
            <a:ext uri="{FF2B5EF4-FFF2-40B4-BE49-F238E27FC236}">
              <a16:creationId xmlns:a16="http://schemas.microsoft.com/office/drawing/2014/main" id="{00000000-0008-0000-0800-000031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114" name="Text Box 162">
          <a:extLst>
            <a:ext uri="{FF2B5EF4-FFF2-40B4-BE49-F238E27FC236}">
              <a16:creationId xmlns:a16="http://schemas.microsoft.com/office/drawing/2014/main" id="{00000000-0008-0000-0800-000032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115" name="Text Box 163">
          <a:extLst>
            <a:ext uri="{FF2B5EF4-FFF2-40B4-BE49-F238E27FC236}">
              <a16:creationId xmlns:a16="http://schemas.microsoft.com/office/drawing/2014/main" id="{00000000-0008-0000-0800-000033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116" name="Text Box 164">
          <a:extLst>
            <a:ext uri="{FF2B5EF4-FFF2-40B4-BE49-F238E27FC236}">
              <a16:creationId xmlns:a16="http://schemas.microsoft.com/office/drawing/2014/main" id="{00000000-0008-0000-0800-000034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117" name="Text Box 165">
          <a:extLst>
            <a:ext uri="{FF2B5EF4-FFF2-40B4-BE49-F238E27FC236}">
              <a16:creationId xmlns:a16="http://schemas.microsoft.com/office/drawing/2014/main" id="{00000000-0008-0000-0800-000035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118" name="Text Box 166">
          <a:extLst>
            <a:ext uri="{FF2B5EF4-FFF2-40B4-BE49-F238E27FC236}">
              <a16:creationId xmlns:a16="http://schemas.microsoft.com/office/drawing/2014/main" id="{00000000-0008-0000-0800-000036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119" name="Text Box 167">
          <a:extLst>
            <a:ext uri="{FF2B5EF4-FFF2-40B4-BE49-F238E27FC236}">
              <a16:creationId xmlns:a16="http://schemas.microsoft.com/office/drawing/2014/main" id="{00000000-0008-0000-0800-000037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120" name="Text Box 168">
          <a:extLst>
            <a:ext uri="{FF2B5EF4-FFF2-40B4-BE49-F238E27FC236}">
              <a16:creationId xmlns:a16="http://schemas.microsoft.com/office/drawing/2014/main" id="{00000000-0008-0000-0800-000038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121" name="Text Box 169">
          <a:extLst>
            <a:ext uri="{FF2B5EF4-FFF2-40B4-BE49-F238E27FC236}">
              <a16:creationId xmlns:a16="http://schemas.microsoft.com/office/drawing/2014/main" id="{00000000-0008-0000-0800-000039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122" name="Text Box 170">
          <a:extLst>
            <a:ext uri="{FF2B5EF4-FFF2-40B4-BE49-F238E27FC236}">
              <a16:creationId xmlns:a16="http://schemas.microsoft.com/office/drawing/2014/main" id="{00000000-0008-0000-0800-00003A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123" name="Text Box 171">
          <a:extLst>
            <a:ext uri="{FF2B5EF4-FFF2-40B4-BE49-F238E27FC236}">
              <a16:creationId xmlns:a16="http://schemas.microsoft.com/office/drawing/2014/main" id="{00000000-0008-0000-0800-00003B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124" name="Text Box 172">
          <a:extLst>
            <a:ext uri="{FF2B5EF4-FFF2-40B4-BE49-F238E27FC236}">
              <a16:creationId xmlns:a16="http://schemas.microsoft.com/office/drawing/2014/main" id="{00000000-0008-0000-0800-00003C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125" name="Text Box 173">
          <a:extLst>
            <a:ext uri="{FF2B5EF4-FFF2-40B4-BE49-F238E27FC236}">
              <a16:creationId xmlns:a16="http://schemas.microsoft.com/office/drawing/2014/main" id="{00000000-0008-0000-0800-00003D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126" name="Text Box 174">
          <a:extLst>
            <a:ext uri="{FF2B5EF4-FFF2-40B4-BE49-F238E27FC236}">
              <a16:creationId xmlns:a16="http://schemas.microsoft.com/office/drawing/2014/main" id="{00000000-0008-0000-0800-00003E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127" name="Text Box 175">
          <a:extLst>
            <a:ext uri="{FF2B5EF4-FFF2-40B4-BE49-F238E27FC236}">
              <a16:creationId xmlns:a16="http://schemas.microsoft.com/office/drawing/2014/main" id="{00000000-0008-0000-0800-00003F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128" name="Text Box 176">
          <a:extLst>
            <a:ext uri="{FF2B5EF4-FFF2-40B4-BE49-F238E27FC236}">
              <a16:creationId xmlns:a16="http://schemas.microsoft.com/office/drawing/2014/main" id="{00000000-0008-0000-0800-000040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129" name="Text Box 177">
          <a:extLst>
            <a:ext uri="{FF2B5EF4-FFF2-40B4-BE49-F238E27FC236}">
              <a16:creationId xmlns:a16="http://schemas.microsoft.com/office/drawing/2014/main" id="{00000000-0008-0000-0800-000041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130" name="Text Box 178">
          <a:extLst>
            <a:ext uri="{FF2B5EF4-FFF2-40B4-BE49-F238E27FC236}">
              <a16:creationId xmlns:a16="http://schemas.microsoft.com/office/drawing/2014/main" id="{00000000-0008-0000-0800-000042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131" name="Text Box 179">
          <a:extLst>
            <a:ext uri="{FF2B5EF4-FFF2-40B4-BE49-F238E27FC236}">
              <a16:creationId xmlns:a16="http://schemas.microsoft.com/office/drawing/2014/main" id="{00000000-0008-0000-0800-000043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132" name="Text Box 180">
          <a:extLst>
            <a:ext uri="{FF2B5EF4-FFF2-40B4-BE49-F238E27FC236}">
              <a16:creationId xmlns:a16="http://schemas.microsoft.com/office/drawing/2014/main" id="{00000000-0008-0000-0800-000044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133" name="Text Box 181">
          <a:extLst>
            <a:ext uri="{FF2B5EF4-FFF2-40B4-BE49-F238E27FC236}">
              <a16:creationId xmlns:a16="http://schemas.microsoft.com/office/drawing/2014/main" id="{00000000-0008-0000-0800-000045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134" name="Text Box 182">
          <a:extLst>
            <a:ext uri="{FF2B5EF4-FFF2-40B4-BE49-F238E27FC236}">
              <a16:creationId xmlns:a16="http://schemas.microsoft.com/office/drawing/2014/main" id="{00000000-0008-0000-0800-000046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135" name="Text Box 183">
          <a:extLst>
            <a:ext uri="{FF2B5EF4-FFF2-40B4-BE49-F238E27FC236}">
              <a16:creationId xmlns:a16="http://schemas.microsoft.com/office/drawing/2014/main" id="{00000000-0008-0000-0800-000047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136" name="Text Box 184">
          <a:extLst>
            <a:ext uri="{FF2B5EF4-FFF2-40B4-BE49-F238E27FC236}">
              <a16:creationId xmlns:a16="http://schemas.microsoft.com/office/drawing/2014/main" id="{00000000-0008-0000-0800-000048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137" name="Text Box 185">
          <a:extLst>
            <a:ext uri="{FF2B5EF4-FFF2-40B4-BE49-F238E27FC236}">
              <a16:creationId xmlns:a16="http://schemas.microsoft.com/office/drawing/2014/main" id="{00000000-0008-0000-0800-000049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138" name="Text Box 186">
          <a:extLst>
            <a:ext uri="{FF2B5EF4-FFF2-40B4-BE49-F238E27FC236}">
              <a16:creationId xmlns:a16="http://schemas.microsoft.com/office/drawing/2014/main" id="{00000000-0008-0000-0800-00004A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139" name="Text Box 187">
          <a:extLst>
            <a:ext uri="{FF2B5EF4-FFF2-40B4-BE49-F238E27FC236}">
              <a16:creationId xmlns:a16="http://schemas.microsoft.com/office/drawing/2014/main" id="{00000000-0008-0000-0800-00004B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140" name="Text Box 188">
          <a:extLst>
            <a:ext uri="{FF2B5EF4-FFF2-40B4-BE49-F238E27FC236}">
              <a16:creationId xmlns:a16="http://schemas.microsoft.com/office/drawing/2014/main" id="{00000000-0008-0000-0800-00004C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141" name="Text Box 189">
          <a:extLst>
            <a:ext uri="{FF2B5EF4-FFF2-40B4-BE49-F238E27FC236}">
              <a16:creationId xmlns:a16="http://schemas.microsoft.com/office/drawing/2014/main" id="{00000000-0008-0000-0800-00004D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142" name="Text Box 190">
          <a:extLst>
            <a:ext uri="{FF2B5EF4-FFF2-40B4-BE49-F238E27FC236}">
              <a16:creationId xmlns:a16="http://schemas.microsoft.com/office/drawing/2014/main" id="{00000000-0008-0000-0800-00004E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143" name="Text Box 191">
          <a:extLst>
            <a:ext uri="{FF2B5EF4-FFF2-40B4-BE49-F238E27FC236}">
              <a16:creationId xmlns:a16="http://schemas.microsoft.com/office/drawing/2014/main" id="{00000000-0008-0000-0800-00004F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144" name="Text Box 192">
          <a:extLst>
            <a:ext uri="{FF2B5EF4-FFF2-40B4-BE49-F238E27FC236}">
              <a16:creationId xmlns:a16="http://schemas.microsoft.com/office/drawing/2014/main" id="{00000000-0008-0000-0800-000050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145" name="Text Box 193">
          <a:extLst>
            <a:ext uri="{FF2B5EF4-FFF2-40B4-BE49-F238E27FC236}">
              <a16:creationId xmlns:a16="http://schemas.microsoft.com/office/drawing/2014/main" id="{00000000-0008-0000-0800-000051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146" name="Text Box 194">
          <a:extLst>
            <a:ext uri="{FF2B5EF4-FFF2-40B4-BE49-F238E27FC236}">
              <a16:creationId xmlns:a16="http://schemas.microsoft.com/office/drawing/2014/main" id="{00000000-0008-0000-0800-000052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147" name="Text Box 195">
          <a:extLst>
            <a:ext uri="{FF2B5EF4-FFF2-40B4-BE49-F238E27FC236}">
              <a16:creationId xmlns:a16="http://schemas.microsoft.com/office/drawing/2014/main" id="{00000000-0008-0000-0800-000053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148" name="Text Box 196">
          <a:extLst>
            <a:ext uri="{FF2B5EF4-FFF2-40B4-BE49-F238E27FC236}">
              <a16:creationId xmlns:a16="http://schemas.microsoft.com/office/drawing/2014/main" id="{00000000-0008-0000-0800-000054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149" name="Text Box 197">
          <a:extLst>
            <a:ext uri="{FF2B5EF4-FFF2-40B4-BE49-F238E27FC236}">
              <a16:creationId xmlns:a16="http://schemas.microsoft.com/office/drawing/2014/main" id="{00000000-0008-0000-0800-000055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150" name="Text Box 198">
          <a:extLst>
            <a:ext uri="{FF2B5EF4-FFF2-40B4-BE49-F238E27FC236}">
              <a16:creationId xmlns:a16="http://schemas.microsoft.com/office/drawing/2014/main" id="{00000000-0008-0000-0800-000056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151" name="Text Box 199">
          <a:extLst>
            <a:ext uri="{FF2B5EF4-FFF2-40B4-BE49-F238E27FC236}">
              <a16:creationId xmlns:a16="http://schemas.microsoft.com/office/drawing/2014/main" id="{00000000-0008-0000-0800-000057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152" name="Text Box 200">
          <a:extLst>
            <a:ext uri="{FF2B5EF4-FFF2-40B4-BE49-F238E27FC236}">
              <a16:creationId xmlns:a16="http://schemas.microsoft.com/office/drawing/2014/main" id="{00000000-0008-0000-0800-000058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153" name="Text Box 201">
          <a:extLst>
            <a:ext uri="{FF2B5EF4-FFF2-40B4-BE49-F238E27FC236}">
              <a16:creationId xmlns:a16="http://schemas.microsoft.com/office/drawing/2014/main" id="{00000000-0008-0000-0800-000059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154" name="Text Box 202">
          <a:extLst>
            <a:ext uri="{FF2B5EF4-FFF2-40B4-BE49-F238E27FC236}">
              <a16:creationId xmlns:a16="http://schemas.microsoft.com/office/drawing/2014/main" id="{00000000-0008-0000-0800-00005A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155" name="Text Box 203">
          <a:extLst>
            <a:ext uri="{FF2B5EF4-FFF2-40B4-BE49-F238E27FC236}">
              <a16:creationId xmlns:a16="http://schemas.microsoft.com/office/drawing/2014/main" id="{00000000-0008-0000-0800-00005B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156" name="Text Box 204">
          <a:extLst>
            <a:ext uri="{FF2B5EF4-FFF2-40B4-BE49-F238E27FC236}">
              <a16:creationId xmlns:a16="http://schemas.microsoft.com/office/drawing/2014/main" id="{00000000-0008-0000-0800-00005C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157" name="Text Box 205">
          <a:extLst>
            <a:ext uri="{FF2B5EF4-FFF2-40B4-BE49-F238E27FC236}">
              <a16:creationId xmlns:a16="http://schemas.microsoft.com/office/drawing/2014/main" id="{00000000-0008-0000-0800-00005D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158" name="Text Box 206">
          <a:extLst>
            <a:ext uri="{FF2B5EF4-FFF2-40B4-BE49-F238E27FC236}">
              <a16:creationId xmlns:a16="http://schemas.microsoft.com/office/drawing/2014/main" id="{00000000-0008-0000-0800-00005E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159" name="Text Box 207">
          <a:extLst>
            <a:ext uri="{FF2B5EF4-FFF2-40B4-BE49-F238E27FC236}">
              <a16:creationId xmlns:a16="http://schemas.microsoft.com/office/drawing/2014/main" id="{00000000-0008-0000-0800-00005F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160" name="Text Box 208">
          <a:extLst>
            <a:ext uri="{FF2B5EF4-FFF2-40B4-BE49-F238E27FC236}">
              <a16:creationId xmlns:a16="http://schemas.microsoft.com/office/drawing/2014/main" id="{00000000-0008-0000-0800-000060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161" name="Text Box 209">
          <a:extLst>
            <a:ext uri="{FF2B5EF4-FFF2-40B4-BE49-F238E27FC236}">
              <a16:creationId xmlns:a16="http://schemas.microsoft.com/office/drawing/2014/main" id="{00000000-0008-0000-0800-000061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162" name="Text Box 210">
          <a:extLst>
            <a:ext uri="{FF2B5EF4-FFF2-40B4-BE49-F238E27FC236}">
              <a16:creationId xmlns:a16="http://schemas.microsoft.com/office/drawing/2014/main" id="{00000000-0008-0000-0800-000062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163" name="Text Box 211">
          <a:extLst>
            <a:ext uri="{FF2B5EF4-FFF2-40B4-BE49-F238E27FC236}">
              <a16:creationId xmlns:a16="http://schemas.microsoft.com/office/drawing/2014/main" id="{00000000-0008-0000-0800-000063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164" name="Text Box 212">
          <a:extLst>
            <a:ext uri="{FF2B5EF4-FFF2-40B4-BE49-F238E27FC236}">
              <a16:creationId xmlns:a16="http://schemas.microsoft.com/office/drawing/2014/main" id="{00000000-0008-0000-0800-000064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165" name="Text Box 213">
          <a:extLst>
            <a:ext uri="{FF2B5EF4-FFF2-40B4-BE49-F238E27FC236}">
              <a16:creationId xmlns:a16="http://schemas.microsoft.com/office/drawing/2014/main" id="{00000000-0008-0000-0800-000065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166" name="Text Box 214">
          <a:extLst>
            <a:ext uri="{FF2B5EF4-FFF2-40B4-BE49-F238E27FC236}">
              <a16:creationId xmlns:a16="http://schemas.microsoft.com/office/drawing/2014/main" id="{00000000-0008-0000-0800-000066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167" name="Text Box 215">
          <a:extLst>
            <a:ext uri="{FF2B5EF4-FFF2-40B4-BE49-F238E27FC236}">
              <a16:creationId xmlns:a16="http://schemas.microsoft.com/office/drawing/2014/main" id="{00000000-0008-0000-0800-000067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168" name="Text Box 216">
          <a:extLst>
            <a:ext uri="{FF2B5EF4-FFF2-40B4-BE49-F238E27FC236}">
              <a16:creationId xmlns:a16="http://schemas.microsoft.com/office/drawing/2014/main" id="{00000000-0008-0000-0800-000068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169" name="Text Box 217">
          <a:extLst>
            <a:ext uri="{FF2B5EF4-FFF2-40B4-BE49-F238E27FC236}">
              <a16:creationId xmlns:a16="http://schemas.microsoft.com/office/drawing/2014/main" id="{00000000-0008-0000-0800-000069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170" name="Text Box 218">
          <a:extLst>
            <a:ext uri="{FF2B5EF4-FFF2-40B4-BE49-F238E27FC236}">
              <a16:creationId xmlns:a16="http://schemas.microsoft.com/office/drawing/2014/main" id="{00000000-0008-0000-0800-00006A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171" name="Text Box 219">
          <a:extLst>
            <a:ext uri="{FF2B5EF4-FFF2-40B4-BE49-F238E27FC236}">
              <a16:creationId xmlns:a16="http://schemas.microsoft.com/office/drawing/2014/main" id="{00000000-0008-0000-0800-00006B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172" name="Text Box 220">
          <a:extLst>
            <a:ext uri="{FF2B5EF4-FFF2-40B4-BE49-F238E27FC236}">
              <a16:creationId xmlns:a16="http://schemas.microsoft.com/office/drawing/2014/main" id="{00000000-0008-0000-0800-00006C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173" name="Text Box 221">
          <a:extLst>
            <a:ext uri="{FF2B5EF4-FFF2-40B4-BE49-F238E27FC236}">
              <a16:creationId xmlns:a16="http://schemas.microsoft.com/office/drawing/2014/main" id="{00000000-0008-0000-0800-00006D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174" name="Text Box 222">
          <a:extLst>
            <a:ext uri="{FF2B5EF4-FFF2-40B4-BE49-F238E27FC236}">
              <a16:creationId xmlns:a16="http://schemas.microsoft.com/office/drawing/2014/main" id="{00000000-0008-0000-0800-00006E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175" name="Text Box 223">
          <a:extLst>
            <a:ext uri="{FF2B5EF4-FFF2-40B4-BE49-F238E27FC236}">
              <a16:creationId xmlns:a16="http://schemas.microsoft.com/office/drawing/2014/main" id="{00000000-0008-0000-0800-00006F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176" name="Text Box 224">
          <a:extLst>
            <a:ext uri="{FF2B5EF4-FFF2-40B4-BE49-F238E27FC236}">
              <a16:creationId xmlns:a16="http://schemas.microsoft.com/office/drawing/2014/main" id="{00000000-0008-0000-0800-000070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177" name="Text Box 225">
          <a:extLst>
            <a:ext uri="{FF2B5EF4-FFF2-40B4-BE49-F238E27FC236}">
              <a16:creationId xmlns:a16="http://schemas.microsoft.com/office/drawing/2014/main" id="{00000000-0008-0000-0800-000071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178" name="Text Box 226">
          <a:extLst>
            <a:ext uri="{FF2B5EF4-FFF2-40B4-BE49-F238E27FC236}">
              <a16:creationId xmlns:a16="http://schemas.microsoft.com/office/drawing/2014/main" id="{00000000-0008-0000-0800-000072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179" name="Text Box 227">
          <a:extLst>
            <a:ext uri="{FF2B5EF4-FFF2-40B4-BE49-F238E27FC236}">
              <a16:creationId xmlns:a16="http://schemas.microsoft.com/office/drawing/2014/main" id="{00000000-0008-0000-0800-000073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180" name="Text Box 228">
          <a:extLst>
            <a:ext uri="{FF2B5EF4-FFF2-40B4-BE49-F238E27FC236}">
              <a16:creationId xmlns:a16="http://schemas.microsoft.com/office/drawing/2014/main" id="{00000000-0008-0000-0800-000074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181" name="Text Box 229">
          <a:extLst>
            <a:ext uri="{FF2B5EF4-FFF2-40B4-BE49-F238E27FC236}">
              <a16:creationId xmlns:a16="http://schemas.microsoft.com/office/drawing/2014/main" id="{00000000-0008-0000-0800-000075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182" name="Text Box 230">
          <a:extLst>
            <a:ext uri="{FF2B5EF4-FFF2-40B4-BE49-F238E27FC236}">
              <a16:creationId xmlns:a16="http://schemas.microsoft.com/office/drawing/2014/main" id="{00000000-0008-0000-0800-000076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183" name="Text Box 231">
          <a:extLst>
            <a:ext uri="{FF2B5EF4-FFF2-40B4-BE49-F238E27FC236}">
              <a16:creationId xmlns:a16="http://schemas.microsoft.com/office/drawing/2014/main" id="{00000000-0008-0000-0800-000077CF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184" name="Text Box 232">
          <a:extLst>
            <a:ext uri="{FF2B5EF4-FFF2-40B4-BE49-F238E27FC236}">
              <a16:creationId xmlns:a16="http://schemas.microsoft.com/office/drawing/2014/main" id="{00000000-0008-0000-0800-000078CF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185" name="Text Box 233">
          <a:extLst>
            <a:ext uri="{FF2B5EF4-FFF2-40B4-BE49-F238E27FC236}">
              <a16:creationId xmlns:a16="http://schemas.microsoft.com/office/drawing/2014/main" id="{00000000-0008-0000-0800-000079CF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186" name="Text Box 234">
          <a:extLst>
            <a:ext uri="{FF2B5EF4-FFF2-40B4-BE49-F238E27FC236}">
              <a16:creationId xmlns:a16="http://schemas.microsoft.com/office/drawing/2014/main" id="{00000000-0008-0000-0800-00007ACF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187" name="Text Box 235">
          <a:extLst>
            <a:ext uri="{FF2B5EF4-FFF2-40B4-BE49-F238E27FC236}">
              <a16:creationId xmlns:a16="http://schemas.microsoft.com/office/drawing/2014/main" id="{00000000-0008-0000-0800-00007BCF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188" name="Text Box 236">
          <a:extLst>
            <a:ext uri="{FF2B5EF4-FFF2-40B4-BE49-F238E27FC236}">
              <a16:creationId xmlns:a16="http://schemas.microsoft.com/office/drawing/2014/main" id="{00000000-0008-0000-0800-00007CCF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189" name="Text Box 237">
          <a:extLst>
            <a:ext uri="{FF2B5EF4-FFF2-40B4-BE49-F238E27FC236}">
              <a16:creationId xmlns:a16="http://schemas.microsoft.com/office/drawing/2014/main" id="{00000000-0008-0000-0800-00007DCF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190" name="Text Box 238">
          <a:extLst>
            <a:ext uri="{FF2B5EF4-FFF2-40B4-BE49-F238E27FC236}">
              <a16:creationId xmlns:a16="http://schemas.microsoft.com/office/drawing/2014/main" id="{00000000-0008-0000-0800-00007ECF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191" name="Text Box 239">
          <a:extLst>
            <a:ext uri="{FF2B5EF4-FFF2-40B4-BE49-F238E27FC236}">
              <a16:creationId xmlns:a16="http://schemas.microsoft.com/office/drawing/2014/main" id="{00000000-0008-0000-0800-00007FCF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192" name="Text Box 240">
          <a:extLst>
            <a:ext uri="{FF2B5EF4-FFF2-40B4-BE49-F238E27FC236}">
              <a16:creationId xmlns:a16="http://schemas.microsoft.com/office/drawing/2014/main" id="{00000000-0008-0000-0800-000080CF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193" name="Text Box 241">
          <a:extLst>
            <a:ext uri="{FF2B5EF4-FFF2-40B4-BE49-F238E27FC236}">
              <a16:creationId xmlns:a16="http://schemas.microsoft.com/office/drawing/2014/main" id="{00000000-0008-0000-0800-000081CF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194" name="Text Box 242">
          <a:extLst>
            <a:ext uri="{FF2B5EF4-FFF2-40B4-BE49-F238E27FC236}">
              <a16:creationId xmlns:a16="http://schemas.microsoft.com/office/drawing/2014/main" id="{00000000-0008-0000-0800-000082CF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195" name="Text Box 243">
          <a:extLst>
            <a:ext uri="{FF2B5EF4-FFF2-40B4-BE49-F238E27FC236}">
              <a16:creationId xmlns:a16="http://schemas.microsoft.com/office/drawing/2014/main" id="{00000000-0008-0000-0800-000083CF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196" name="Text Box 244">
          <a:extLst>
            <a:ext uri="{FF2B5EF4-FFF2-40B4-BE49-F238E27FC236}">
              <a16:creationId xmlns:a16="http://schemas.microsoft.com/office/drawing/2014/main" id="{00000000-0008-0000-0800-000084CF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197" name="Text Box 245">
          <a:extLst>
            <a:ext uri="{FF2B5EF4-FFF2-40B4-BE49-F238E27FC236}">
              <a16:creationId xmlns:a16="http://schemas.microsoft.com/office/drawing/2014/main" id="{00000000-0008-0000-0800-000085CF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198" name="Text Box 246">
          <a:extLst>
            <a:ext uri="{FF2B5EF4-FFF2-40B4-BE49-F238E27FC236}">
              <a16:creationId xmlns:a16="http://schemas.microsoft.com/office/drawing/2014/main" id="{00000000-0008-0000-0800-000086CF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199" name="Text Box 247">
          <a:extLst>
            <a:ext uri="{FF2B5EF4-FFF2-40B4-BE49-F238E27FC236}">
              <a16:creationId xmlns:a16="http://schemas.microsoft.com/office/drawing/2014/main" id="{00000000-0008-0000-0800-000087CF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200" name="Text Box 248">
          <a:extLst>
            <a:ext uri="{FF2B5EF4-FFF2-40B4-BE49-F238E27FC236}">
              <a16:creationId xmlns:a16="http://schemas.microsoft.com/office/drawing/2014/main" id="{00000000-0008-0000-0800-000088CF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201" name="Text Box 249">
          <a:extLst>
            <a:ext uri="{FF2B5EF4-FFF2-40B4-BE49-F238E27FC236}">
              <a16:creationId xmlns:a16="http://schemas.microsoft.com/office/drawing/2014/main" id="{00000000-0008-0000-0800-000089CF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202" name="Text Box 250">
          <a:extLst>
            <a:ext uri="{FF2B5EF4-FFF2-40B4-BE49-F238E27FC236}">
              <a16:creationId xmlns:a16="http://schemas.microsoft.com/office/drawing/2014/main" id="{00000000-0008-0000-0800-00008ACF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203" name="Text Box 251">
          <a:extLst>
            <a:ext uri="{FF2B5EF4-FFF2-40B4-BE49-F238E27FC236}">
              <a16:creationId xmlns:a16="http://schemas.microsoft.com/office/drawing/2014/main" id="{00000000-0008-0000-0800-00008B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204" name="Text Box 252">
          <a:extLst>
            <a:ext uri="{FF2B5EF4-FFF2-40B4-BE49-F238E27FC236}">
              <a16:creationId xmlns:a16="http://schemas.microsoft.com/office/drawing/2014/main" id="{00000000-0008-0000-0800-00008C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205" name="Text Box 253">
          <a:extLst>
            <a:ext uri="{FF2B5EF4-FFF2-40B4-BE49-F238E27FC236}">
              <a16:creationId xmlns:a16="http://schemas.microsoft.com/office/drawing/2014/main" id="{00000000-0008-0000-0800-00008D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206" name="Text Box 254">
          <a:extLst>
            <a:ext uri="{FF2B5EF4-FFF2-40B4-BE49-F238E27FC236}">
              <a16:creationId xmlns:a16="http://schemas.microsoft.com/office/drawing/2014/main" id="{00000000-0008-0000-0800-00008E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207" name="Text Box 255">
          <a:extLst>
            <a:ext uri="{FF2B5EF4-FFF2-40B4-BE49-F238E27FC236}">
              <a16:creationId xmlns:a16="http://schemas.microsoft.com/office/drawing/2014/main" id="{00000000-0008-0000-0800-00008F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208" name="Text Box 256">
          <a:extLst>
            <a:ext uri="{FF2B5EF4-FFF2-40B4-BE49-F238E27FC236}">
              <a16:creationId xmlns:a16="http://schemas.microsoft.com/office/drawing/2014/main" id="{00000000-0008-0000-0800-000090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209" name="Text Box 257">
          <a:extLst>
            <a:ext uri="{FF2B5EF4-FFF2-40B4-BE49-F238E27FC236}">
              <a16:creationId xmlns:a16="http://schemas.microsoft.com/office/drawing/2014/main" id="{00000000-0008-0000-0800-000091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210" name="Text Box 258">
          <a:extLst>
            <a:ext uri="{FF2B5EF4-FFF2-40B4-BE49-F238E27FC236}">
              <a16:creationId xmlns:a16="http://schemas.microsoft.com/office/drawing/2014/main" id="{00000000-0008-0000-0800-000092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211" name="Text Box 259">
          <a:extLst>
            <a:ext uri="{FF2B5EF4-FFF2-40B4-BE49-F238E27FC236}">
              <a16:creationId xmlns:a16="http://schemas.microsoft.com/office/drawing/2014/main" id="{00000000-0008-0000-0800-000093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212" name="Text Box 260">
          <a:extLst>
            <a:ext uri="{FF2B5EF4-FFF2-40B4-BE49-F238E27FC236}">
              <a16:creationId xmlns:a16="http://schemas.microsoft.com/office/drawing/2014/main" id="{00000000-0008-0000-0800-000094CF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213" name="Text Box 261">
          <a:extLst>
            <a:ext uri="{FF2B5EF4-FFF2-40B4-BE49-F238E27FC236}">
              <a16:creationId xmlns:a16="http://schemas.microsoft.com/office/drawing/2014/main" id="{00000000-0008-0000-0800-000095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214" name="Text Box 262">
          <a:extLst>
            <a:ext uri="{FF2B5EF4-FFF2-40B4-BE49-F238E27FC236}">
              <a16:creationId xmlns:a16="http://schemas.microsoft.com/office/drawing/2014/main" id="{00000000-0008-0000-0800-000096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215" name="Text Box 263">
          <a:extLst>
            <a:ext uri="{FF2B5EF4-FFF2-40B4-BE49-F238E27FC236}">
              <a16:creationId xmlns:a16="http://schemas.microsoft.com/office/drawing/2014/main" id="{00000000-0008-0000-0800-000097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216" name="Text Box 264">
          <a:extLst>
            <a:ext uri="{FF2B5EF4-FFF2-40B4-BE49-F238E27FC236}">
              <a16:creationId xmlns:a16="http://schemas.microsoft.com/office/drawing/2014/main" id="{00000000-0008-0000-0800-000098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217" name="Text Box 265">
          <a:extLst>
            <a:ext uri="{FF2B5EF4-FFF2-40B4-BE49-F238E27FC236}">
              <a16:creationId xmlns:a16="http://schemas.microsoft.com/office/drawing/2014/main" id="{00000000-0008-0000-0800-000099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218" name="Text Box 266">
          <a:extLst>
            <a:ext uri="{FF2B5EF4-FFF2-40B4-BE49-F238E27FC236}">
              <a16:creationId xmlns:a16="http://schemas.microsoft.com/office/drawing/2014/main" id="{00000000-0008-0000-0800-00009A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219" name="Text Box 267">
          <a:extLst>
            <a:ext uri="{FF2B5EF4-FFF2-40B4-BE49-F238E27FC236}">
              <a16:creationId xmlns:a16="http://schemas.microsoft.com/office/drawing/2014/main" id="{00000000-0008-0000-0800-00009B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220" name="Text Box 268">
          <a:extLst>
            <a:ext uri="{FF2B5EF4-FFF2-40B4-BE49-F238E27FC236}">
              <a16:creationId xmlns:a16="http://schemas.microsoft.com/office/drawing/2014/main" id="{00000000-0008-0000-0800-00009C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221" name="Text Box 269">
          <a:extLst>
            <a:ext uri="{FF2B5EF4-FFF2-40B4-BE49-F238E27FC236}">
              <a16:creationId xmlns:a16="http://schemas.microsoft.com/office/drawing/2014/main" id="{00000000-0008-0000-0800-00009D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222" name="Text Box 270">
          <a:extLst>
            <a:ext uri="{FF2B5EF4-FFF2-40B4-BE49-F238E27FC236}">
              <a16:creationId xmlns:a16="http://schemas.microsoft.com/office/drawing/2014/main" id="{00000000-0008-0000-0800-00009ECF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223" name="Text Box 271">
          <a:extLst>
            <a:ext uri="{FF2B5EF4-FFF2-40B4-BE49-F238E27FC236}">
              <a16:creationId xmlns:a16="http://schemas.microsoft.com/office/drawing/2014/main" id="{00000000-0008-0000-0800-00009F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224" name="Text Box 272">
          <a:extLst>
            <a:ext uri="{FF2B5EF4-FFF2-40B4-BE49-F238E27FC236}">
              <a16:creationId xmlns:a16="http://schemas.microsoft.com/office/drawing/2014/main" id="{00000000-0008-0000-0800-0000A0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225" name="Text Box 273">
          <a:extLst>
            <a:ext uri="{FF2B5EF4-FFF2-40B4-BE49-F238E27FC236}">
              <a16:creationId xmlns:a16="http://schemas.microsoft.com/office/drawing/2014/main" id="{00000000-0008-0000-0800-0000A1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226" name="Text Box 274">
          <a:extLst>
            <a:ext uri="{FF2B5EF4-FFF2-40B4-BE49-F238E27FC236}">
              <a16:creationId xmlns:a16="http://schemas.microsoft.com/office/drawing/2014/main" id="{00000000-0008-0000-0800-0000A2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227" name="Text Box 275">
          <a:extLst>
            <a:ext uri="{FF2B5EF4-FFF2-40B4-BE49-F238E27FC236}">
              <a16:creationId xmlns:a16="http://schemas.microsoft.com/office/drawing/2014/main" id="{00000000-0008-0000-0800-0000A3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228" name="Text Box 276">
          <a:extLst>
            <a:ext uri="{FF2B5EF4-FFF2-40B4-BE49-F238E27FC236}">
              <a16:creationId xmlns:a16="http://schemas.microsoft.com/office/drawing/2014/main" id="{00000000-0008-0000-0800-0000A4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229" name="Text Box 277">
          <a:extLst>
            <a:ext uri="{FF2B5EF4-FFF2-40B4-BE49-F238E27FC236}">
              <a16:creationId xmlns:a16="http://schemas.microsoft.com/office/drawing/2014/main" id="{00000000-0008-0000-0800-0000A5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230" name="Text Box 278">
          <a:extLst>
            <a:ext uri="{FF2B5EF4-FFF2-40B4-BE49-F238E27FC236}">
              <a16:creationId xmlns:a16="http://schemas.microsoft.com/office/drawing/2014/main" id="{00000000-0008-0000-0800-0000A6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231" name="Text Box 279">
          <a:extLst>
            <a:ext uri="{FF2B5EF4-FFF2-40B4-BE49-F238E27FC236}">
              <a16:creationId xmlns:a16="http://schemas.microsoft.com/office/drawing/2014/main" id="{00000000-0008-0000-0800-0000A7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232" name="Text Box 280">
          <a:extLst>
            <a:ext uri="{FF2B5EF4-FFF2-40B4-BE49-F238E27FC236}">
              <a16:creationId xmlns:a16="http://schemas.microsoft.com/office/drawing/2014/main" id="{00000000-0008-0000-0800-0000A8CF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233" name="Text Box 281">
          <a:extLst>
            <a:ext uri="{FF2B5EF4-FFF2-40B4-BE49-F238E27FC236}">
              <a16:creationId xmlns:a16="http://schemas.microsoft.com/office/drawing/2014/main" id="{00000000-0008-0000-0800-0000A9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234" name="Text Box 282">
          <a:extLst>
            <a:ext uri="{FF2B5EF4-FFF2-40B4-BE49-F238E27FC236}">
              <a16:creationId xmlns:a16="http://schemas.microsoft.com/office/drawing/2014/main" id="{00000000-0008-0000-0800-0000AA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235" name="Text Box 283">
          <a:extLst>
            <a:ext uri="{FF2B5EF4-FFF2-40B4-BE49-F238E27FC236}">
              <a16:creationId xmlns:a16="http://schemas.microsoft.com/office/drawing/2014/main" id="{00000000-0008-0000-0800-0000AB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236" name="Text Box 284">
          <a:extLst>
            <a:ext uri="{FF2B5EF4-FFF2-40B4-BE49-F238E27FC236}">
              <a16:creationId xmlns:a16="http://schemas.microsoft.com/office/drawing/2014/main" id="{00000000-0008-0000-0800-0000AC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237" name="Text Box 285">
          <a:extLst>
            <a:ext uri="{FF2B5EF4-FFF2-40B4-BE49-F238E27FC236}">
              <a16:creationId xmlns:a16="http://schemas.microsoft.com/office/drawing/2014/main" id="{00000000-0008-0000-0800-0000AD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238" name="Text Box 286">
          <a:extLst>
            <a:ext uri="{FF2B5EF4-FFF2-40B4-BE49-F238E27FC236}">
              <a16:creationId xmlns:a16="http://schemas.microsoft.com/office/drawing/2014/main" id="{00000000-0008-0000-0800-0000AE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239" name="Text Box 287">
          <a:extLst>
            <a:ext uri="{FF2B5EF4-FFF2-40B4-BE49-F238E27FC236}">
              <a16:creationId xmlns:a16="http://schemas.microsoft.com/office/drawing/2014/main" id="{00000000-0008-0000-0800-0000AF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240" name="Text Box 288">
          <a:extLst>
            <a:ext uri="{FF2B5EF4-FFF2-40B4-BE49-F238E27FC236}">
              <a16:creationId xmlns:a16="http://schemas.microsoft.com/office/drawing/2014/main" id="{00000000-0008-0000-0800-0000B0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241" name="Text Box 289">
          <a:extLst>
            <a:ext uri="{FF2B5EF4-FFF2-40B4-BE49-F238E27FC236}">
              <a16:creationId xmlns:a16="http://schemas.microsoft.com/office/drawing/2014/main" id="{00000000-0008-0000-0800-0000B1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242" name="Text Box 290">
          <a:extLst>
            <a:ext uri="{FF2B5EF4-FFF2-40B4-BE49-F238E27FC236}">
              <a16:creationId xmlns:a16="http://schemas.microsoft.com/office/drawing/2014/main" id="{00000000-0008-0000-0800-0000B2CF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243" name="Text Box 291">
          <a:extLst>
            <a:ext uri="{FF2B5EF4-FFF2-40B4-BE49-F238E27FC236}">
              <a16:creationId xmlns:a16="http://schemas.microsoft.com/office/drawing/2014/main" id="{00000000-0008-0000-0800-0000B3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244" name="Text Box 292">
          <a:extLst>
            <a:ext uri="{FF2B5EF4-FFF2-40B4-BE49-F238E27FC236}">
              <a16:creationId xmlns:a16="http://schemas.microsoft.com/office/drawing/2014/main" id="{00000000-0008-0000-0800-0000B4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245" name="Text Box 293">
          <a:extLst>
            <a:ext uri="{FF2B5EF4-FFF2-40B4-BE49-F238E27FC236}">
              <a16:creationId xmlns:a16="http://schemas.microsoft.com/office/drawing/2014/main" id="{00000000-0008-0000-0800-0000B5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246" name="Text Box 294">
          <a:extLst>
            <a:ext uri="{FF2B5EF4-FFF2-40B4-BE49-F238E27FC236}">
              <a16:creationId xmlns:a16="http://schemas.microsoft.com/office/drawing/2014/main" id="{00000000-0008-0000-0800-0000B6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247" name="Text Box 295">
          <a:extLst>
            <a:ext uri="{FF2B5EF4-FFF2-40B4-BE49-F238E27FC236}">
              <a16:creationId xmlns:a16="http://schemas.microsoft.com/office/drawing/2014/main" id="{00000000-0008-0000-0800-0000B7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248" name="Text Box 296">
          <a:extLst>
            <a:ext uri="{FF2B5EF4-FFF2-40B4-BE49-F238E27FC236}">
              <a16:creationId xmlns:a16="http://schemas.microsoft.com/office/drawing/2014/main" id="{00000000-0008-0000-0800-0000B8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249" name="Text Box 297">
          <a:extLst>
            <a:ext uri="{FF2B5EF4-FFF2-40B4-BE49-F238E27FC236}">
              <a16:creationId xmlns:a16="http://schemas.microsoft.com/office/drawing/2014/main" id="{00000000-0008-0000-0800-0000B9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250" name="Text Box 298">
          <a:extLst>
            <a:ext uri="{FF2B5EF4-FFF2-40B4-BE49-F238E27FC236}">
              <a16:creationId xmlns:a16="http://schemas.microsoft.com/office/drawing/2014/main" id="{00000000-0008-0000-0800-0000BA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251" name="Text Box 299">
          <a:extLst>
            <a:ext uri="{FF2B5EF4-FFF2-40B4-BE49-F238E27FC236}">
              <a16:creationId xmlns:a16="http://schemas.microsoft.com/office/drawing/2014/main" id="{00000000-0008-0000-0800-0000BB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252" name="Text Box 300">
          <a:extLst>
            <a:ext uri="{FF2B5EF4-FFF2-40B4-BE49-F238E27FC236}">
              <a16:creationId xmlns:a16="http://schemas.microsoft.com/office/drawing/2014/main" id="{00000000-0008-0000-0800-0000BC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253" name="Text Box 301">
          <a:extLst>
            <a:ext uri="{FF2B5EF4-FFF2-40B4-BE49-F238E27FC236}">
              <a16:creationId xmlns:a16="http://schemas.microsoft.com/office/drawing/2014/main" id="{00000000-0008-0000-0800-0000BD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254" name="Text Box 302">
          <a:extLst>
            <a:ext uri="{FF2B5EF4-FFF2-40B4-BE49-F238E27FC236}">
              <a16:creationId xmlns:a16="http://schemas.microsoft.com/office/drawing/2014/main" id="{00000000-0008-0000-0800-0000BE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255" name="Text Box 303">
          <a:extLst>
            <a:ext uri="{FF2B5EF4-FFF2-40B4-BE49-F238E27FC236}">
              <a16:creationId xmlns:a16="http://schemas.microsoft.com/office/drawing/2014/main" id="{00000000-0008-0000-0800-0000BF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256" name="Text Box 304">
          <a:extLst>
            <a:ext uri="{FF2B5EF4-FFF2-40B4-BE49-F238E27FC236}">
              <a16:creationId xmlns:a16="http://schemas.microsoft.com/office/drawing/2014/main" id="{00000000-0008-0000-0800-0000C0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257" name="Text Box 305">
          <a:extLst>
            <a:ext uri="{FF2B5EF4-FFF2-40B4-BE49-F238E27FC236}">
              <a16:creationId xmlns:a16="http://schemas.microsoft.com/office/drawing/2014/main" id="{00000000-0008-0000-0800-0000C1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258" name="Text Box 306">
          <a:extLst>
            <a:ext uri="{FF2B5EF4-FFF2-40B4-BE49-F238E27FC236}">
              <a16:creationId xmlns:a16="http://schemas.microsoft.com/office/drawing/2014/main" id="{00000000-0008-0000-0800-0000C2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259" name="Text Box 307">
          <a:extLst>
            <a:ext uri="{FF2B5EF4-FFF2-40B4-BE49-F238E27FC236}">
              <a16:creationId xmlns:a16="http://schemas.microsoft.com/office/drawing/2014/main" id="{00000000-0008-0000-0800-0000C3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260" name="Text Box 308">
          <a:extLst>
            <a:ext uri="{FF2B5EF4-FFF2-40B4-BE49-F238E27FC236}">
              <a16:creationId xmlns:a16="http://schemas.microsoft.com/office/drawing/2014/main" id="{00000000-0008-0000-0800-0000C4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261" name="Text Box 309">
          <a:extLst>
            <a:ext uri="{FF2B5EF4-FFF2-40B4-BE49-F238E27FC236}">
              <a16:creationId xmlns:a16="http://schemas.microsoft.com/office/drawing/2014/main" id="{00000000-0008-0000-0800-0000C5CF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262" name="Text Box 310">
          <a:extLst>
            <a:ext uri="{FF2B5EF4-FFF2-40B4-BE49-F238E27FC236}">
              <a16:creationId xmlns:a16="http://schemas.microsoft.com/office/drawing/2014/main" id="{00000000-0008-0000-0800-0000C6CF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263" name="Text Box 311">
          <a:extLst>
            <a:ext uri="{FF2B5EF4-FFF2-40B4-BE49-F238E27FC236}">
              <a16:creationId xmlns:a16="http://schemas.microsoft.com/office/drawing/2014/main" id="{00000000-0008-0000-0800-0000C7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264" name="Text Box 312">
          <a:extLst>
            <a:ext uri="{FF2B5EF4-FFF2-40B4-BE49-F238E27FC236}">
              <a16:creationId xmlns:a16="http://schemas.microsoft.com/office/drawing/2014/main" id="{00000000-0008-0000-0800-0000C8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265" name="Text Box 313">
          <a:extLst>
            <a:ext uri="{FF2B5EF4-FFF2-40B4-BE49-F238E27FC236}">
              <a16:creationId xmlns:a16="http://schemas.microsoft.com/office/drawing/2014/main" id="{00000000-0008-0000-0800-0000C9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266" name="Text Box 314">
          <a:extLst>
            <a:ext uri="{FF2B5EF4-FFF2-40B4-BE49-F238E27FC236}">
              <a16:creationId xmlns:a16="http://schemas.microsoft.com/office/drawing/2014/main" id="{00000000-0008-0000-0800-0000CA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267" name="Text Box 315">
          <a:extLst>
            <a:ext uri="{FF2B5EF4-FFF2-40B4-BE49-F238E27FC236}">
              <a16:creationId xmlns:a16="http://schemas.microsoft.com/office/drawing/2014/main" id="{00000000-0008-0000-0800-0000CB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268" name="Text Box 316">
          <a:extLst>
            <a:ext uri="{FF2B5EF4-FFF2-40B4-BE49-F238E27FC236}">
              <a16:creationId xmlns:a16="http://schemas.microsoft.com/office/drawing/2014/main" id="{00000000-0008-0000-0800-0000CC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269" name="Text Box 317">
          <a:extLst>
            <a:ext uri="{FF2B5EF4-FFF2-40B4-BE49-F238E27FC236}">
              <a16:creationId xmlns:a16="http://schemas.microsoft.com/office/drawing/2014/main" id="{00000000-0008-0000-0800-0000CD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270" name="Text Box 318">
          <a:extLst>
            <a:ext uri="{FF2B5EF4-FFF2-40B4-BE49-F238E27FC236}">
              <a16:creationId xmlns:a16="http://schemas.microsoft.com/office/drawing/2014/main" id="{00000000-0008-0000-0800-0000CE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271" name="Text Box 319">
          <a:extLst>
            <a:ext uri="{FF2B5EF4-FFF2-40B4-BE49-F238E27FC236}">
              <a16:creationId xmlns:a16="http://schemas.microsoft.com/office/drawing/2014/main" id="{00000000-0008-0000-0800-0000CF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272" name="Text Box 320">
          <a:extLst>
            <a:ext uri="{FF2B5EF4-FFF2-40B4-BE49-F238E27FC236}">
              <a16:creationId xmlns:a16="http://schemas.microsoft.com/office/drawing/2014/main" id="{00000000-0008-0000-0800-0000D0CF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273" name="Text Box 321">
          <a:extLst>
            <a:ext uri="{FF2B5EF4-FFF2-40B4-BE49-F238E27FC236}">
              <a16:creationId xmlns:a16="http://schemas.microsoft.com/office/drawing/2014/main" id="{00000000-0008-0000-0800-0000D1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274" name="Text Box 322">
          <a:extLst>
            <a:ext uri="{FF2B5EF4-FFF2-40B4-BE49-F238E27FC236}">
              <a16:creationId xmlns:a16="http://schemas.microsoft.com/office/drawing/2014/main" id="{00000000-0008-0000-0800-0000D2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275" name="Text Box 323">
          <a:extLst>
            <a:ext uri="{FF2B5EF4-FFF2-40B4-BE49-F238E27FC236}">
              <a16:creationId xmlns:a16="http://schemas.microsoft.com/office/drawing/2014/main" id="{00000000-0008-0000-0800-0000D3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276" name="Text Box 324">
          <a:extLst>
            <a:ext uri="{FF2B5EF4-FFF2-40B4-BE49-F238E27FC236}">
              <a16:creationId xmlns:a16="http://schemas.microsoft.com/office/drawing/2014/main" id="{00000000-0008-0000-0800-0000D4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277" name="Text Box 325">
          <a:extLst>
            <a:ext uri="{FF2B5EF4-FFF2-40B4-BE49-F238E27FC236}">
              <a16:creationId xmlns:a16="http://schemas.microsoft.com/office/drawing/2014/main" id="{00000000-0008-0000-0800-0000D5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278" name="Text Box 326">
          <a:extLst>
            <a:ext uri="{FF2B5EF4-FFF2-40B4-BE49-F238E27FC236}">
              <a16:creationId xmlns:a16="http://schemas.microsoft.com/office/drawing/2014/main" id="{00000000-0008-0000-0800-0000D6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279" name="Text Box 327">
          <a:extLst>
            <a:ext uri="{FF2B5EF4-FFF2-40B4-BE49-F238E27FC236}">
              <a16:creationId xmlns:a16="http://schemas.microsoft.com/office/drawing/2014/main" id="{00000000-0008-0000-0800-0000D7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280" name="Text Box 328">
          <a:extLst>
            <a:ext uri="{FF2B5EF4-FFF2-40B4-BE49-F238E27FC236}">
              <a16:creationId xmlns:a16="http://schemas.microsoft.com/office/drawing/2014/main" id="{00000000-0008-0000-0800-0000D8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281" name="Text Box 329">
          <a:extLst>
            <a:ext uri="{FF2B5EF4-FFF2-40B4-BE49-F238E27FC236}">
              <a16:creationId xmlns:a16="http://schemas.microsoft.com/office/drawing/2014/main" id="{00000000-0008-0000-0800-0000D9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282" name="Text Box 330">
          <a:extLst>
            <a:ext uri="{FF2B5EF4-FFF2-40B4-BE49-F238E27FC236}">
              <a16:creationId xmlns:a16="http://schemas.microsoft.com/office/drawing/2014/main" id="{00000000-0008-0000-0800-0000DACF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283" name="Text Box 331">
          <a:extLst>
            <a:ext uri="{FF2B5EF4-FFF2-40B4-BE49-F238E27FC236}">
              <a16:creationId xmlns:a16="http://schemas.microsoft.com/office/drawing/2014/main" id="{00000000-0008-0000-0800-0000DB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284" name="Text Box 332">
          <a:extLst>
            <a:ext uri="{FF2B5EF4-FFF2-40B4-BE49-F238E27FC236}">
              <a16:creationId xmlns:a16="http://schemas.microsoft.com/office/drawing/2014/main" id="{00000000-0008-0000-0800-0000DC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285" name="Text Box 333">
          <a:extLst>
            <a:ext uri="{FF2B5EF4-FFF2-40B4-BE49-F238E27FC236}">
              <a16:creationId xmlns:a16="http://schemas.microsoft.com/office/drawing/2014/main" id="{00000000-0008-0000-0800-0000DD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286" name="Text Box 334">
          <a:extLst>
            <a:ext uri="{FF2B5EF4-FFF2-40B4-BE49-F238E27FC236}">
              <a16:creationId xmlns:a16="http://schemas.microsoft.com/office/drawing/2014/main" id="{00000000-0008-0000-0800-0000DE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287" name="Text Box 335">
          <a:extLst>
            <a:ext uri="{FF2B5EF4-FFF2-40B4-BE49-F238E27FC236}">
              <a16:creationId xmlns:a16="http://schemas.microsoft.com/office/drawing/2014/main" id="{00000000-0008-0000-0800-0000DF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288" name="Text Box 336">
          <a:extLst>
            <a:ext uri="{FF2B5EF4-FFF2-40B4-BE49-F238E27FC236}">
              <a16:creationId xmlns:a16="http://schemas.microsoft.com/office/drawing/2014/main" id="{00000000-0008-0000-0800-0000E0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289" name="Text Box 337">
          <a:extLst>
            <a:ext uri="{FF2B5EF4-FFF2-40B4-BE49-F238E27FC236}">
              <a16:creationId xmlns:a16="http://schemas.microsoft.com/office/drawing/2014/main" id="{00000000-0008-0000-0800-0000E1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290" name="Text Box 338">
          <a:extLst>
            <a:ext uri="{FF2B5EF4-FFF2-40B4-BE49-F238E27FC236}">
              <a16:creationId xmlns:a16="http://schemas.microsoft.com/office/drawing/2014/main" id="{00000000-0008-0000-0800-0000E2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291" name="Text Box 339">
          <a:extLst>
            <a:ext uri="{FF2B5EF4-FFF2-40B4-BE49-F238E27FC236}">
              <a16:creationId xmlns:a16="http://schemas.microsoft.com/office/drawing/2014/main" id="{00000000-0008-0000-0800-0000E3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292" name="Text Box 340">
          <a:extLst>
            <a:ext uri="{FF2B5EF4-FFF2-40B4-BE49-F238E27FC236}">
              <a16:creationId xmlns:a16="http://schemas.microsoft.com/office/drawing/2014/main" id="{00000000-0008-0000-0800-0000E4CF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293" name="Text Box 341">
          <a:extLst>
            <a:ext uri="{FF2B5EF4-FFF2-40B4-BE49-F238E27FC236}">
              <a16:creationId xmlns:a16="http://schemas.microsoft.com/office/drawing/2014/main" id="{00000000-0008-0000-0800-0000E5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294" name="Text Box 342">
          <a:extLst>
            <a:ext uri="{FF2B5EF4-FFF2-40B4-BE49-F238E27FC236}">
              <a16:creationId xmlns:a16="http://schemas.microsoft.com/office/drawing/2014/main" id="{00000000-0008-0000-0800-0000E6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295" name="Text Box 343">
          <a:extLst>
            <a:ext uri="{FF2B5EF4-FFF2-40B4-BE49-F238E27FC236}">
              <a16:creationId xmlns:a16="http://schemas.microsoft.com/office/drawing/2014/main" id="{00000000-0008-0000-0800-0000E7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296" name="Text Box 344">
          <a:extLst>
            <a:ext uri="{FF2B5EF4-FFF2-40B4-BE49-F238E27FC236}">
              <a16:creationId xmlns:a16="http://schemas.microsoft.com/office/drawing/2014/main" id="{00000000-0008-0000-0800-0000E8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297" name="Text Box 345">
          <a:extLst>
            <a:ext uri="{FF2B5EF4-FFF2-40B4-BE49-F238E27FC236}">
              <a16:creationId xmlns:a16="http://schemas.microsoft.com/office/drawing/2014/main" id="{00000000-0008-0000-0800-0000E9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298" name="Text Box 346">
          <a:extLst>
            <a:ext uri="{FF2B5EF4-FFF2-40B4-BE49-F238E27FC236}">
              <a16:creationId xmlns:a16="http://schemas.microsoft.com/office/drawing/2014/main" id="{00000000-0008-0000-0800-0000EA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299" name="Text Box 347">
          <a:extLst>
            <a:ext uri="{FF2B5EF4-FFF2-40B4-BE49-F238E27FC236}">
              <a16:creationId xmlns:a16="http://schemas.microsoft.com/office/drawing/2014/main" id="{00000000-0008-0000-0800-0000EB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300" name="Text Box 348">
          <a:extLst>
            <a:ext uri="{FF2B5EF4-FFF2-40B4-BE49-F238E27FC236}">
              <a16:creationId xmlns:a16="http://schemas.microsoft.com/office/drawing/2014/main" id="{00000000-0008-0000-0800-0000EC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301" name="Text Box 349">
          <a:extLst>
            <a:ext uri="{FF2B5EF4-FFF2-40B4-BE49-F238E27FC236}">
              <a16:creationId xmlns:a16="http://schemas.microsoft.com/office/drawing/2014/main" id="{00000000-0008-0000-0800-0000ED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302" name="Text Box 350">
          <a:extLst>
            <a:ext uri="{FF2B5EF4-FFF2-40B4-BE49-F238E27FC236}">
              <a16:creationId xmlns:a16="http://schemas.microsoft.com/office/drawing/2014/main" id="{00000000-0008-0000-0800-0000EECF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303" name="Text Box 351">
          <a:extLst>
            <a:ext uri="{FF2B5EF4-FFF2-40B4-BE49-F238E27FC236}">
              <a16:creationId xmlns:a16="http://schemas.microsoft.com/office/drawing/2014/main" id="{00000000-0008-0000-0800-0000EF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304" name="Text Box 352">
          <a:extLst>
            <a:ext uri="{FF2B5EF4-FFF2-40B4-BE49-F238E27FC236}">
              <a16:creationId xmlns:a16="http://schemas.microsoft.com/office/drawing/2014/main" id="{00000000-0008-0000-0800-0000F0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305" name="Text Box 353">
          <a:extLst>
            <a:ext uri="{FF2B5EF4-FFF2-40B4-BE49-F238E27FC236}">
              <a16:creationId xmlns:a16="http://schemas.microsoft.com/office/drawing/2014/main" id="{00000000-0008-0000-0800-0000F1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306" name="Text Box 354">
          <a:extLst>
            <a:ext uri="{FF2B5EF4-FFF2-40B4-BE49-F238E27FC236}">
              <a16:creationId xmlns:a16="http://schemas.microsoft.com/office/drawing/2014/main" id="{00000000-0008-0000-0800-0000F2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307" name="Text Box 355">
          <a:extLst>
            <a:ext uri="{FF2B5EF4-FFF2-40B4-BE49-F238E27FC236}">
              <a16:creationId xmlns:a16="http://schemas.microsoft.com/office/drawing/2014/main" id="{00000000-0008-0000-0800-0000F3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308" name="Text Box 356">
          <a:extLst>
            <a:ext uri="{FF2B5EF4-FFF2-40B4-BE49-F238E27FC236}">
              <a16:creationId xmlns:a16="http://schemas.microsoft.com/office/drawing/2014/main" id="{00000000-0008-0000-0800-0000F4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309" name="Text Box 357">
          <a:extLst>
            <a:ext uri="{FF2B5EF4-FFF2-40B4-BE49-F238E27FC236}">
              <a16:creationId xmlns:a16="http://schemas.microsoft.com/office/drawing/2014/main" id="{00000000-0008-0000-0800-0000F5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310" name="Text Box 358">
          <a:extLst>
            <a:ext uri="{FF2B5EF4-FFF2-40B4-BE49-F238E27FC236}">
              <a16:creationId xmlns:a16="http://schemas.microsoft.com/office/drawing/2014/main" id="{00000000-0008-0000-0800-0000F6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311" name="Text Box 359">
          <a:extLst>
            <a:ext uri="{FF2B5EF4-FFF2-40B4-BE49-F238E27FC236}">
              <a16:creationId xmlns:a16="http://schemas.microsoft.com/office/drawing/2014/main" id="{00000000-0008-0000-0800-0000F7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312" name="Text Box 360">
          <a:extLst>
            <a:ext uri="{FF2B5EF4-FFF2-40B4-BE49-F238E27FC236}">
              <a16:creationId xmlns:a16="http://schemas.microsoft.com/office/drawing/2014/main" id="{00000000-0008-0000-0800-0000F8CF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313" name="Text Box 361">
          <a:extLst>
            <a:ext uri="{FF2B5EF4-FFF2-40B4-BE49-F238E27FC236}">
              <a16:creationId xmlns:a16="http://schemas.microsoft.com/office/drawing/2014/main" id="{00000000-0008-0000-0800-0000F9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314" name="Text Box 362">
          <a:extLst>
            <a:ext uri="{FF2B5EF4-FFF2-40B4-BE49-F238E27FC236}">
              <a16:creationId xmlns:a16="http://schemas.microsoft.com/office/drawing/2014/main" id="{00000000-0008-0000-0800-0000FA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315" name="Text Box 363">
          <a:extLst>
            <a:ext uri="{FF2B5EF4-FFF2-40B4-BE49-F238E27FC236}">
              <a16:creationId xmlns:a16="http://schemas.microsoft.com/office/drawing/2014/main" id="{00000000-0008-0000-0800-0000FB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316" name="Text Box 364">
          <a:extLst>
            <a:ext uri="{FF2B5EF4-FFF2-40B4-BE49-F238E27FC236}">
              <a16:creationId xmlns:a16="http://schemas.microsoft.com/office/drawing/2014/main" id="{00000000-0008-0000-0800-0000FC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317" name="Text Box 365">
          <a:extLst>
            <a:ext uri="{FF2B5EF4-FFF2-40B4-BE49-F238E27FC236}">
              <a16:creationId xmlns:a16="http://schemas.microsoft.com/office/drawing/2014/main" id="{00000000-0008-0000-0800-0000FD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318" name="Text Box 366">
          <a:extLst>
            <a:ext uri="{FF2B5EF4-FFF2-40B4-BE49-F238E27FC236}">
              <a16:creationId xmlns:a16="http://schemas.microsoft.com/office/drawing/2014/main" id="{00000000-0008-0000-0800-0000FE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319" name="Text Box 367">
          <a:extLst>
            <a:ext uri="{FF2B5EF4-FFF2-40B4-BE49-F238E27FC236}">
              <a16:creationId xmlns:a16="http://schemas.microsoft.com/office/drawing/2014/main" id="{00000000-0008-0000-0800-0000FFCF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320" name="Text Box 368">
          <a:extLst>
            <a:ext uri="{FF2B5EF4-FFF2-40B4-BE49-F238E27FC236}">
              <a16:creationId xmlns:a16="http://schemas.microsoft.com/office/drawing/2014/main" id="{00000000-0008-0000-0800-000000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321" name="Text Box 369">
          <a:extLst>
            <a:ext uri="{FF2B5EF4-FFF2-40B4-BE49-F238E27FC236}">
              <a16:creationId xmlns:a16="http://schemas.microsoft.com/office/drawing/2014/main" id="{00000000-0008-0000-0800-000001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322" name="Text Box 370">
          <a:extLst>
            <a:ext uri="{FF2B5EF4-FFF2-40B4-BE49-F238E27FC236}">
              <a16:creationId xmlns:a16="http://schemas.microsoft.com/office/drawing/2014/main" id="{00000000-0008-0000-0800-000002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323" name="Text Box 371">
          <a:extLst>
            <a:ext uri="{FF2B5EF4-FFF2-40B4-BE49-F238E27FC236}">
              <a16:creationId xmlns:a16="http://schemas.microsoft.com/office/drawing/2014/main" id="{00000000-0008-0000-0800-000003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324" name="Text Box 372">
          <a:extLst>
            <a:ext uri="{FF2B5EF4-FFF2-40B4-BE49-F238E27FC236}">
              <a16:creationId xmlns:a16="http://schemas.microsoft.com/office/drawing/2014/main" id="{00000000-0008-0000-0800-000004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325" name="Text Box 373">
          <a:extLst>
            <a:ext uri="{FF2B5EF4-FFF2-40B4-BE49-F238E27FC236}">
              <a16:creationId xmlns:a16="http://schemas.microsoft.com/office/drawing/2014/main" id="{00000000-0008-0000-0800-000005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326" name="Text Box 374">
          <a:extLst>
            <a:ext uri="{FF2B5EF4-FFF2-40B4-BE49-F238E27FC236}">
              <a16:creationId xmlns:a16="http://schemas.microsoft.com/office/drawing/2014/main" id="{00000000-0008-0000-0800-000006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327" name="Text Box 375">
          <a:extLst>
            <a:ext uri="{FF2B5EF4-FFF2-40B4-BE49-F238E27FC236}">
              <a16:creationId xmlns:a16="http://schemas.microsoft.com/office/drawing/2014/main" id="{00000000-0008-0000-0800-000007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328" name="Text Box 376">
          <a:extLst>
            <a:ext uri="{FF2B5EF4-FFF2-40B4-BE49-F238E27FC236}">
              <a16:creationId xmlns:a16="http://schemas.microsoft.com/office/drawing/2014/main" id="{00000000-0008-0000-0800-000008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329" name="Text Box 377">
          <a:extLst>
            <a:ext uri="{FF2B5EF4-FFF2-40B4-BE49-F238E27FC236}">
              <a16:creationId xmlns:a16="http://schemas.microsoft.com/office/drawing/2014/main" id="{00000000-0008-0000-0800-000009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330" name="Text Box 378">
          <a:extLst>
            <a:ext uri="{FF2B5EF4-FFF2-40B4-BE49-F238E27FC236}">
              <a16:creationId xmlns:a16="http://schemas.microsoft.com/office/drawing/2014/main" id="{00000000-0008-0000-0800-00000A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331" name="Text Box 379">
          <a:extLst>
            <a:ext uri="{FF2B5EF4-FFF2-40B4-BE49-F238E27FC236}">
              <a16:creationId xmlns:a16="http://schemas.microsoft.com/office/drawing/2014/main" id="{00000000-0008-0000-0800-00000B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332" name="Text Box 380">
          <a:extLst>
            <a:ext uri="{FF2B5EF4-FFF2-40B4-BE49-F238E27FC236}">
              <a16:creationId xmlns:a16="http://schemas.microsoft.com/office/drawing/2014/main" id="{00000000-0008-0000-0800-00000C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333" name="Text Box 381">
          <a:extLst>
            <a:ext uri="{FF2B5EF4-FFF2-40B4-BE49-F238E27FC236}">
              <a16:creationId xmlns:a16="http://schemas.microsoft.com/office/drawing/2014/main" id="{00000000-0008-0000-0800-00000D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334" name="Text Box 382">
          <a:extLst>
            <a:ext uri="{FF2B5EF4-FFF2-40B4-BE49-F238E27FC236}">
              <a16:creationId xmlns:a16="http://schemas.microsoft.com/office/drawing/2014/main" id="{00000000-0008-0000-0800-00000E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335" name="Text Box 383">
          <a:extLst>
            <a:ext uri="{FF2B5EF4-FFF2-40B4-BE49-F238E27FC236}">
              <a16:creationId xmlns:a16="http://schemas.microsoft.com/office/drawing/2014/main" id="{00000000-0008-0000-0800-00000F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336" name="Text Box 384">
          <a:extLst>
            <a:ext uri="{FF2B5EF4-FFF2-40B4-BE49-F238E27FC236}">
              <a16:creationId xmlns:a16="http://schemas.microsoft.com/office/drawing/2014/main" id="{00000000-0008-0000-0800-000010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337" name="Text Box 385">
          <a:extLst>
            <a:ext uri="{FF2B5EF4-FFF2-40B4-BE49-F238E27FC236}">
              <a16:creationId xmlns:a16="http://schemas.microsoft.com/office/drawing/2014/main" id="{00000000-0008-0000-0800-000011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338" name="Text Box 386">
          <a:extLst>
            <a:ext uri="{FF2B5EF4-FFF2-40B4-BE49-F238E27FC236}">
              <a16:creationId xmlns:a16="http://schemas.microsoft.com/office/drawing/2014/main" id="{00000000-0008-0000-0800-000012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339" name="Text Box 387">
          <a:extLst>
            <a:ext uri="{FF2B5EF4-FFF2-40B4-BE49-F238E27FC236}">
              <a16:creationId xmlns:a16="http://schemas.microsoft.com/office/drawing/2014/main" id="{00000000-0008-0000-0800-000013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340" name="Text Box 388">
          <a:extLst>
            <a:ext uri="{FF2B5EF4-FFF2-40B4-BE49-F238E27FC236}">
              <a16:creationId xmlns:a16="http://schemas.microsoft.com/office/drawing/2014/main" id="{00000000-0008-0000-0800-000014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341" name="Text Box 389">
          <a:extLst>
            <a:ext uri="{FF2B5EF4-FFF2-40B4-BE49-F238E27FC236}">
              <a16:creationId xmlns:a16="http://schemas.microsoft.com/office/drawing/2014/main" id="{00000000-0008-0000-0800-000015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342" name="Text Box 390">
          <a:extLst>
            <a:ext uri="{FF2B5EF4-FFF2-40B4-BE49-F238E27FC236}">
              <a16:creationId xmlns:a16="http://schemas.microsoft.com/office/drawing/2014/main" id="{00000000-0008-0000-0800-000016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343" name="Text Box 391">
          <a:extLst>
            <a:ext uri="{FF2B5EF4-FFF2-40B4-BE49-F238E27FC236}">
              <a16:creationId xmlns:a16="http://schemas.microsoft.com/office/drawing/2014/main" id="{00000000-0008-0000-0800-000017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344" name="Text Box 392">
          <a:extLst>
            <a:ext uri="{FF2B5EF4-FFF2-40B4-BE49-F238E27FC236}">
              <a16:creationId xmlns:a16="http://schemas.microsoft.com/office/drawing/2014/main" id="{00000000-0008-0000-0800-000018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345" name="Text Box 393">
          <a:extLst>
            <a:ext uri="{FF2B5EF4-FFF2-40B4-BE49-F238E27FC236}">
              <a16:creationId xmlns:a16="http://schemas.microsoft.com/office/drawing/2014/main" id="{00000000-0008-0000-0800-000019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346" name="Text Box 394">
          <a:extLst>
            <a:ext uri="{FF2B5EF4-FFF2-40B4-BE49-F238E27FC236}">
              <a16:creationId xmlns:a16="http://schemas.microsoft.com/office/drawing/2014/main" id="{00000000-0008-0000-0800-00001A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347" name="Text Box 395">
          <a:extLst>
            <a:ext uri="{FF2B5EF4-FFF2-40B4-BE49-F238E27FC236}">
              <a16:creationId xmlns:a16="http://schemas.microsoft.com/office/drawing/2014/main" id="{00000000-0008-0000-0800-00001B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348" name="Text Box 396">
          <a:extLst>
            <a:ext uri="{FF2B5EF4-FFF2-40B4-BE49-F238E27FC236}">
              <a16:creationId xmlns:a16="http://schemas.microsoft.com/office/drawing/2014/main" id="{00000000-0008-0000-0800-00001C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349" name="Text Box 397">
          <a:extLst>
            <a:ext uri="{FF2B5EF4-FFF2-40B4-BE49-F238E27FC236}">
              <a16:creationId xmlns:a16="http://schemas.microsoft.com/office/drawing/2014/main" id="{00000000-0008-0000-0800-00001D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350" name="Text Box 398">
          <a:extLst>
            <a:ext uri="{FF2B5EF4-FFF2-40B4-BE49-F238E27FC236}">
              <a16:creationId xmlns:a16="http://schemas.microsoft.com/office/drawing/2014/main" id="{00000000-0008-0000-0800-00001E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351" name="Text Box 399">
          <a:extLst>
            <a:ext uri="{FF2B5EF4-FFF2-40B4-BE49-F238E27FC236}">
              <a16:creationId xmlns:a16="http://schemas.microsoft.com/office/drawing/2014/main" id="{00000000-0008-0000-0800-00001F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352" name="Text Box 400">
          <a:extLst>
            <a:ext uri="{FF2B5EF4-FFF2-40B4-BE49-F238E27FC236}">
              <a16:creationId xmlns:a16="http://schemas.microsoft.com/office/drawing/2014/main" id="{00000000-0008-0000-0800-000020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353" name="Text Box 401">
          <a:extLst>
            <a:ext uri="{FF2B5EF4-FFF2-40B4-BE49-F238E27FC236}">
              <a16:creationId xmlns:a16="http://schemas.microsoft.com/office/drawing/2014/main" id="{00000000-0008-0000-0800-000021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354" name="Text Box 402">
          <a:extLst>
            <a:ext uri="{FF2B5EF4-FFF2-40B4-BE49-F238E27FC236}">
              <a16:creationId xmlns:a16="http://schemas.microsoft.com/office/drawing/2014/main" id="{00000000-0008-0000-0800-000022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355" name="Text Box 403">
          <a:extLst>
            <a:ext uri="{FF2B5EF4-FFF2-40B4-BE49-F238E27FC236}">
              <a16:creationId xmlns:a16="http://schemas.microsoft.com/office/drawing/2014/main" id="{00000000-0008-0000-0800-000023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356" name="Text Box 404">
          <a:extLst>
            <a:ext uri="{FF2B5EF4-FFF2-40B4-BE49-F238E27FC236}">
              <a16:creationId xmlns:a16="http://schemas.microsoft.com/office/drawing/2014/main" id="{00000000-0008-0000-0800-000024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357" name="Text Box 405">
          <a:extLst>
            <a:ext uri="{FF2B5EF4-FFF2-40B4-BE49-F238E27FC236}">
              <a16:creationId xmlns:a16="http://schemas.microsoft.com/office/drawing/2014/main" id="{00000000-0008-0000-0800-000025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358" name="Text Box 406">
          <a:extLst>
            <a:ext uri="{FF2B5EF4-FFF2-40B4-BE49-F238E27FC236}">
              <a16:creationId xmlns:a16="http://schemas.microsoft.com/office/drawing/2014/main" id="{00000000-0008-0000-0800-000026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359" name="Text Box 407">
          <a:extLst>
            <a:ext uri="{FF2B5EF4-FFF2-40B4-BE49-F238E27FC236}">
              <a16:creationId xmlns:a16="http://schemas.microsoft.com/office/drawing/2014/main" id="{00000000-0008-0000-0800-000027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360" name="Text Box 408">
          <a:extLst>
            <a:ext uri="{FF2B5EF4-FFF2-40B4-BE49-F238E27FC236}">
              <a16:creationId xmlns:a16="http://schemas.microsoft.com/office/drawing/2014/main" id="{00000000-0008-0000-0800-000028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361" name="Text Box 409">
          <a:extLst>
            <a:ext uri="{FF2B5EF4-FFF2-40B4-BE49-F238E27FC236}">
              <a16:creationId xmlns:a16="http://schemas.microsoft.com/office/drawing/2014/main" id="{00000000-0008-0000-0800-000029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362" name="Text Box 410">
          <a:extLst>
            <a:ext uri="{FF2B5EF4-FFF2-40B4-BE49-F238E27FC236}">
              <a16:creationId xmlns:a16="http://schemas.microsoft.com/office/drawing/2014/main" id="{00000000-0008-0000-0800-00002A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363" name="Text Box 411">
          <a:extLst>
            <a:ext uri="{FF2B5EF4-FFF2-40B4-BE49-F238E27FC236}">
              <a16:creationId xmlns:a16="http://schemas.microsoft.com/office/drawing/2014/main" id="{00000000-0008-0000-0800-00002B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364" name="Text Box 412">
          <a:extLst>
            <a:ext uri="{FF2B5EF4-FFF2-40B4-BE49-F238E27FC236}">
              <a16:creationId xmlns:a16="http://schemas.microsoft.com/office/drawing/2014/main" id="{00000000-0008-0000-0800-00002C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365" name="Text Box 413">
          <a:extLst>
            <a:ext uri="{FF2B5EF4-FFF2-40B4-BE49-F238E27FC236}">
              <a16:creationId xmlns:a16="http://schemas.microsoft.com/office/drawing/2014/main" id="{00000000-0008-0000-0800-00002D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366" name="Text Box 414">
          <a:extLst>
            <a:ext uri="{FF2B5EF4-FFF2-40B4-BE49-F238E27FC236}">
              <a16:creationId xmlns:a16="http://schemas.microsoft.com/office/drawing/2014/main" id="{00000000-0008-0000-0800-00002E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367" name="Text Box 415">
          <a:extLst>
            <a:ext uri="{FF2B5EF4-FFF2-40B4-BE49-F238E27FC236}">
              <a16:creationId xmlns:a16="http://schemas.microsoft.com/office/drawing/2014/main" id="{00000000-0008-0000-0800-00002F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368" name="Text Box 416">
          <a:extLst>
            <a:ext uri="{FF2B5EF4-FFF2-40B4-BE49-F238E27FC236}">
              <a16:creationId xmlns:a16="http://schemas.microsoft.com/office/drawing/2014/main" id="{00000000-0008-0000-0800-000030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369" name="Text Box 417">
          <a:extLst>
            <a:ext uri="{FF2B5EF4-FFF2-40B4-BE49-F238E27FC236}">
              <a16:creationId xmlns:a16="http://schemas.microsoft.com/office/drawing/2014/main" id="{00000000-0008-0000-0800-000031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370" name="Text Box 418">
          <a:extLst>
            <a:ext uri="{FF2B5EF4-FFF2-40B4-BE49-F238E27FC236}">
              <a16:creationId xmlns:a16="http://schemas.microsoft.com/office/drawing/2014/main" id="{00000000-0008-0000-0800-000032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371" name="Text Box 419">
          <a:extLst>
            <a:ext uri="{FF2B5EF4-FFF2-40B4-BE49-F238E27FC236}">
              <a16:creationId xmlns:a16="http://schemas.microsoft.com/office/drawing/2014/main" id="{00000000-0008-0000-0800-000033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372" name="Text Box 420">
          <a:extLst>
            <a:ext uri="{FF2B5EF4-FFF2-40B4-BE49-F238E27FC236}">
              <a16:creationId xmlns:a16="http://schemas.microsoft.com/office/drawing/2014/main" id="{00000000-0008-0000-0800-000034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373" name="Text Box 421">
          <a:extLst>
            <a:ext uri="{FF2B5EF4-FFF2-40B4-BE49-F238E27FC236}">
              <a16:creationId xmlns:a16="http://schemas.microsoft.com/office/drawing/2014/main" id="{00000000-0008-0000-0800-000035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374" name="Text Box 422">
          <a:extLst>
            <a:ext uri="{FF2B5EF4-FFF2-40B4-BE49-F238E27FC236}">
              <a16:creationId xmlns:a16="http://schemas.microsoft.com/office/drawing/2014/main" id="{00000000-0008-0000-0800-000036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375" name="Text Box 423">
          <a:extLst>
            <a:ext uri="{FF2B5EF4-FFF2-40B4-BE49-F238E27FC236}">
              <a16:creationId xmlns:a16="http://schemas.microsoft.com/office/drawing/2014/main" id="{00000000-0008-0000-0800-000037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376" name="Text Box 424">
          <a:extLst>
            <a:ext uri="{FF2B5EF4-FFF2-40B4-BE49-F238E27FC236}">
              <a16:creationId xmlns:a16="http://schemas.microsoft.com/office/drawing/2014/main" id="{00000000-0008-0000-0800-000038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377" name="Text Box 425">
          <a:extLst>
            <a:ext uri="{FF2B5EF4-FFF2-40B4-BE49-F238E27FC236}">
              <a16:creationId xmlns:a16="http://schemas.microsoft.com/office/drawing/2014/main" id="{00000000-0008-0000-0800-000039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378" name="Text Box 426">
          <a:extLst>
            <a:ext uri="{FF2B5EF4-FFF2-40B4-BE49-F238E27FC236}">
              <a16:creationId xmlns:a16="http://schemas.microsoft.com/office/drawing/2014/main" id="{00000000-0008-0000-0800-00003A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379" name="Text Box 427">
          <a:extLst>
            <a:ext uri="{FF2B5EF4-FFF2-40B4-BE49-F238E27FC236}">
              <a16:creationId xmlns:a16="http://schemas.microsoft.com/office/drawing/2014/main" id="{00000000-0008-0000-0800-00003B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380" name="Text Box 428">
          <a:extLst>
            <a:ext uri="{FF2B5EF4-FFF2-40B4-BE49-F238E27FC236}">
              <a16:creationId xmlns:a16="http://schemas.microsoft.com/office/drawing/2014/main" id="{00000000-0008-0000-0800-00003C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381" name="Text Box 429">
          <a:extLst>
            <a:ext uri="{FF2B5EF4-FFF2-40B4-BE49-F238E27FC236}">
              <a16:creationId xmlns:a16="http://schemas.microsoft.com/office/drawing/2014/main" id="{00000000-0008-0000-0800-00003D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382" name="Text Box 430">
          <a:extLst>
            <a:ext uri="{FF2B5EF4-FFF2-40B4-BE49-F238E27FC236}">
              <a16:creationId xmlns:a16="http://schemas.microsoft.com/office/drawing/2014/main" id="{00000000-0008-0000-0800-00003E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383" name="Text Box 711">
          <a:extLst>
            <a:ext uri="{FF2B5EF4-FFF2-40B4-BE49-F238E27FC236}">
              <a16:creationId xmlns:a16="http://schemas.microsoft.com/office/drawing/2014/main" id="{00000000-0008-0000-0800-00003F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384" name="Text Box 712">
          <a:extLst>
            <a:ext uri="{FF2B5EF4-FFF2-40B4-BE49-F238E27FC236}">
              <a16:creationId xmlns:a16="http://schemas.microsoft.com/office/drawing/2014/main" id="{00000000-0008-0000-0800-000040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385" name="Text Box 713">
          <a:extLst>
            <a:ext uri="{FF2B5EF4-FFF2-40B4-BE49-F238E27FC236}">
              <a16:creationId xmlns:a16="http://schemas.microsoft.com/office/drawing/2014/main" id="{00000000-0008-0000-0800-000041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386" name="Text Box 714">
          <a:extLst>
            <a:ext uri="{FF2B5EF4-FFF2-40B4-BE49-F238E27FC236}">
              <a16:creationId xmlns:a16="http://schemas.microsoft.com/office/drawing/2014/main" id="{00000000-0008-0000-0800-000042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387" name="Text Box 715">
          <a:extLst>
            <a:ext uri="{FF2B5EF4-FFF2-40B4-BE49-F238E27FC236}">
              <a16:creationId xmlns:a16="http://schemas.microsoft.com/office/drawing/2014/main" id="{00000000-0008-0000-0800-000043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388" name="Text Box 716">
          <a:extLst>
            <a:ext uri="{FF2B5EF4-FFF2-40B4-BE49-F238E27FC236}">
              <a16:creationId xmlns:a16="http://schemas.microsoft.com/office/drawing/2014/main" id="{00000000-0008-0000-0800-000044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389" name="Text Box 717">
          <a:extLst>
            <a:ext uri="{FF2B5EF4-FFF2-40B4-BE49-F238E27FC236}">
              <a16:creationId xmlns:a16="http://schemas.microsoft.com/office/drawing/2014/main" id="{00000000-0008-0000-0800-000045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390" name="Text Box 718">
          <a:extLst>
            <a:ext uri="{FF2B5EF4-FFF2-40B4-BE49-F238E27FC236}">
              <a16:creationId xmlns:a16="http://schemas.microsoft.com/office/drawing/2014/main" id="{00000000-0008-0000-0800-000046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391" name="Text Box 719">
          <a:extLst>
            <a:ext uri="{FF2B5EF4-FFF2-40B4-BE49-F238E27FC236}">
              <a16:creationId xmlns:a16="http://schemas.microsoft.com/office/drawing/2014/main" id="{00000000-0008-0000-0800-000047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392" name="Text Box 720">
          <a:extLst>
            <a:ext uri="{FF2B5EF4-FFF2-40B4-BE49-F238E27FC236}">
              <a16:creationId xmlns:a16="http://schemas.microsoft.com/office/drawing/2014/main" id="{00000000-0008-0000-0800-000048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393" name="Text Box 721">
          <a:extLst>
            <a:ext uri="{FF2B5EF4-FFF2-40B4-BE49-F238E27FC236}">
              <a16:creationId xmlns:a16="http://schemas.microsoft.com/office/drawing/2014/main" id="{00000000-0008-0000-0800-000049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394" name="Text Box 722">
          <a:extLst>
            <a:ext uri="{FF2B5EF4-FFF2-40B4-BE49-F238E27FC236}">
              <a16:creationId xmlns:a16="http://schemas.microsoft.com/office/drawing/2014/main" id="{00000000-0008-0000-0800-00004A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395" name="Text Box 723">
          <a:extLst>
            <a:ext uri="{FF2B5EF4-FFF2-40B4-BE49-F238E27FC236}">
              <a16:creationId xmlns:a16="http://schemas.microsoft.com/office/drawing/2014/main" id="{00000000-0008-0000-0800-00004B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396" name="Text Box 724">
          <a:extLst>
            <a:ext uri="{FF2B5EF4-FFF2-40B4-BE49-F238E27FC236}">
              <a16:creationId xmlns:a16="http://schemas.microsoft.com/office/drawing/2014/main" id="{00000000-0008-0000-0800-00004C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397" name="Text Box 725">
          <a:extLst>
            <a:ext uri="{FF2B5EF4-FFF2-40B4-BE49-F238E27FC236}">
              <a16:creationId xmlns:a16="http://schemas.microsoft.com/office/drawing/2014/main" id="{00000000-0008-0000-0800-00004D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398" name="Text Box 726">
          <a:extLst>
            <a:ext uri="{FF2B5EF4-FFF2-40B4-BE49-F238E27FC236}">
              <a16:creationId xmlns:a16="http://schemas.microsoft.com/office/drawing/2014/main" id="{00000000-0008-0000-0800-00004E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399" name="Text Box 727">
          <a:extLst>
            <a:ext uri="{FF2B5EF4-FFF2-40B4-BE49-F238E27FC236}">
              <a16:creationId xmlns:a16="http://schemas.microsoft.com/office/drawing/2014/main" id="{00000000-0008-0000-0800-00004F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400" name="Text Box 728">
          <a:extLst>
            <a:ext uri="{FF2B5EF4-FFF2-40B4-BE49-F238E27FC236}">
              <a16:creationId xmlns:a16="http://schemas.microsoft.com/office/drawing/2014/main" id="{00000000-0008-0000-0800-000050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401" name="Text Box 729">
          <a:extLst>
            <a:ext uri="{FF2B5EF4-FFF2-40B4-BE49-F238E27FC236}">
              <a16:creationId xmlns:a16="http://schemas.microsoft.com/office/drawing/2014/main" id="{00000000-0008-0000-0800-000051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402" name="Text Box 730">
          <a:extLst>
            <a:ext uri="{FF2B5EF4-FFF2-40B4-BE49-F238E27FC236}">
              <a16:creationId xmlns:a16="http://schemas.microsoft.com/office/drawing/2014/main" id="{00000000-0008-0000-0800-000052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403" name="Text Box 731">
          <a:extLst>
            <a:ext uri="{FF2B5EF4-FFF2-40B4-BE49-F238E27FC236}">
              <a16:creationId xmlns:a16="http://schemas.microsoft.com/office/drawing/2014/main" id="{00000000-0008-0000-0800-000053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404" name="Text Box 732">
          <a:extLst>
            <a:ext uri="{FF2B5EF4-FFF2-40B4-BE49-F238E27FC236}">
              <a16:creationId xmlns:a16="http://schemas.microsoft.com/office/drawing/2014/main" id="{00000000-0008-0000-0800-000054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405" name="Text Box 733">
          <a:extLst>
            <a:ext uri="{FF2B5EF4-FFF2-40B4-BE49-F238E27FC236}">
              <a16:creationId xmlns:a16="http://schemas.microsoft.com/office/drawing/2014/main" id="{00000000-0008-0000-0800-000055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406" name="Text Box 734">
          <a:extLst>
            <a:ext uri="{FF2B5EF4-FFF2-40B4-BE49-F238E27FC236}">
              <a16:creationId xmlns:a16="http://schemas.microsoft.com/office/drawing/2014/main" id="{00000000-0008-0000-0800-000056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407" name="Text Box 735">
          <a:extLst>
            <a:ext uri="{FF2B5EF4-FFF2-40B4-BE49-F238E27FC236}">
              <a16:creationId xmlns:a16="http://schemas.microsoft.com/office/drawing/2014/main" id="{00000000-0008-0000-0800-000057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408" name="Text Box 736">
          <a:extLst>
            <a:ext uri="{FF2B5EF4-FFF2-40B4-BE49-F238E27FC236}">
              <a16:creationId xmlns:a16="http://schemas.microsoft.com/office/drawing/2014/main" id="{00000000-0008-0000-0800-000058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409" name="Text Box 737">
          <a:extLst>
            <a:ext uri="{FF2B5EF4-FFF2-40B4-BE49-F238E27FC236}">
              <a16:creationId xmlns:a16="http://schemas.microsoft.com/office/drawing/2014/main" id="{00000000-0008-0000-0800-000059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410" name="Text Box 738">
          <a:extLst>
            <a:ext uri="{FF2B5EF4-FFF2-40B4-BE49-F238E27FC236}">
              <a16:creationId xmlns:a16="http://schemas.microsoft.com/office/drawing/2014/main" id="{00000000-0008-0000-0800-00005A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411" name="Text Box 739">
          <a:extLst>
            <a:ext uri="{FF2B5EF4-FFF2-40B4-BE49-F238E27FC236}">
              <a16:creationId xmlns:a16="http://schemas.microsoft.com/office/drawing/2014/main" id="{00000000-0008-0000-0800-00005B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412" name="Text Box 740">
          <a:extLst>
            <a:ext uri="{FF2B5EF4-FFF2-40B4-BE49-F238E27FC236}">
              <a16:creationId xmlns:a16="http://schemas.microsoft.com/office/drawing/2014/main" id="{00000000-0008-0000-0800-00005C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413" name="Text Box 741">
          <a:extLst>
            <a:ext uri="{FF2B5EF4-FFF2-40B4-BE49-F238E27FC236}">
              <a16:creationId xmlns:a16="http://schemas.microsoft.com/office/drawing/2014/main" id="{00000000-0008-0000-0800-00005D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414" name="Text Box 742">
          <a:extLst>
            <a:ext uri="{FF2B5EF4-FFF2-40B4-BE49-F238E27FC236}">
              <a16:creationId xmlns:a16="http://schemas.microsoft.com/office/drawing/2014/main" id="{00000000-0008-0000-0800-00005E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415" name="Text Box 743">
          <a:extLst>
            <a:ext uri="{FF2B5EF4-FFF2-40B4-BE49-F238E27FC236}">
              <a16:creationId xmlns:a16="http://schemas.microsoft.com/office/drawing/2014/main" id="{00000000-0008-0000-0800-00005F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416" name="Text Box 744">
          <a:extLst>
            <a:ext uri="{FF2B5EF4-FFF2-40B4-BE49-F238E27FC236}">
              <a16:creationId xmlns:a16="http://schemas.microsoft.com/office/drawing/2014/main" id="{00000000-0008-0000-0800-000060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417" name="Text Box 745">
          <a:extLst>
            <a:ext uri="{FF2B5EF4-FFF2-40B4-BE49-F238E27FC236}">
              <a16:creationId xmlns:a16="http://schemas.microsoft.com/office/drawing/2014/main" id="{00000000-0008-0000-0800-000061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418" name="Text Box 746">
          <a:extLst>
            <a:ext uri="{FF2B5EF4-FFF2-40B4-BE49-F238E27FC236}">
              <a16:creationId xmlns:a16="http://schemas.microsoft.com/office/drawing/2014/main" id="{00000000-0008-0000-0800-000062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419" name="Text Box 747">
          <a:extLst>
            <a:ext uri="{FF2B5EF4-FFF2-40B4-BE49-F238E27FC236}">
              <a16:creationId xmlns:a16="http://schemas.microsoft.com/office/drawing/2014/main" id="{00000000-0008-0000-0800-000063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420" name="Text Box 748">
          <a:extLst>
            <a:ext uri="{FF2B5EF4-FFF2-40B4-BE49-F238E27FC236}">
              <a16:creationId xmlns:a16="http://schemas.microsoft.com/office/drawing/2014/main" id="{00000000-0008-0000-0800-000064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421" name="Text Box 749">
          <a:extLst>
            <a:ext uri="{FF2B5EF4-FFF2-40B4-BE49-F238E27FC236}">
              <a16:creationId xmlns:a16="http://schemas.microsoft.com/office/drawing/2014/main" id="{00000000-0008-0000-0800-000065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422" name="Text Box 750">
          <a:extLst>
            <a:ext uri="{FF2B5EF4-FFF2-40B4-BE49-F238E27FC236}">
              <a16:creationId xmlns:a16="http://schemas.microsoft.com/office/drawing/2014/main" id="{00000000-0008-0000-0800-000066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423" name="Text Box 751">
          <a:extLst>
            <a:ext uri="{FF2B5EF4-FFF2-40B4-BE49-F238E27FC236}">
              <a16:creationId xmlns:a16="http://schemas.microsoft.com/office/drawing/2014/main" id="{00000000-0008-0000-0800-000067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424" name="Text Box 752">
          <a:extLst>
            <a:ext uri="{FF2B5EF4-FFF2-40B4-BE49-F238E27FC236}">
              <a16:creationId xmlns:a16="http://schemas.microsoft.com/office/drawing/2014/main" id="{00000000-0008-0000-0800-000068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425" name="Text Box 753">
          <a:extLst>
            <a:ext uri="{FF2B5EF4-FFF2-40B4-BE49-F238E27FC236}">
              <a16:creationId xmlns:a16="http://schemas.microsoft.com/office/drawing/2014/main" id="{00000000-0008-0000-0800-000069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426" name="Text Box 754">
          <a:extLst>
            <a:ext uri="{FF2B5EF4-FFF2-40B4-BE49-F238E27FC236}">
              <a16:creationId xmlns:a16="http://schemas.microsoft.com/office/drawing/2014/main" id="{00000000-0008-0000-0800-00006A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427" name="Text Box 755">
          <a:extLst>
            <a:ext uri="{FF2B5EF4-FFF2-40B4-BE49-F238E27FC236}">
              <a16:creationId xmlns:a16="http://schemas.microsoft.com/office/drawing/2014/main" id="{00000000-0008-0000-0800-00006B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428" name="Text Box 756">
          <a:extLst>
            <a:ext uri="{FF2B5EF4-FFF2-40B4-BE49-F238E27FC236}">
              <a16:creationId xmlns:a16="http://schemas.microsoft.com/office/drawing/2014/main" id="{00000000-0008-0000-0800-00006C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429" name="Text Box 757">
          <a:extLst>
            <a:ext uri="{FF2B5EF4-FFF2-40B4-BE49-F238E27FC236}">
              <a16:creationId xmlns:a16="http://schemas.microsoft.com/office/drawing/2014/main" id="{00000000-0008-0000-0800-00006D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430" name="Text Box 758">
          <a:extLst>
            <a:ext uri="{FF2B5EF4-FFF2-40B4-BE49-F238E27FC236}">
              <a16:creationId xmlns:a16="http://schemas.microsoft.com/office/drawing/2014/main" id="{00000000-0008-0000-0800-00006E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431" name="Text Box 759">
          <a:extLst>
            <a:ext uri="{FF2B5EF4-FFF2-40B4-BE49-F238E27FC236}">
              <a16:creationId xmlns:a16="http://schemas.microsoft.com/office/drawing/2014/main" id="{00000000-0008-0000-0800-00006F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432" name="Text Box 760">
          <a:extLst>
            <a:ext uri="{FF2B5EF4-FFF2-40B4-BE49-F238E27FC236}">
              <a16:creationId xmlns:a16="http://schemas.microsoft.com/office/drawing/2014/main" id="{00000000-0008-0000-0800-000070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433" name="Text Box 761">
          <a:extLst>
            <a:ext uri="{FF2B5EF4-FFF2-40B4-BE49-F238E27FC236}">
              <a16:creationId xmlns:a16="http://schemas.microsoft.com/office/drawing/2014/main" id="{00000000-0008-0000-0800-000071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434" name="Text Box 762">
          <a:extLst>
            <a:ext uri="{FF2B5EF4-FFF2-40B4-BE49-F238E27FC236}">
              <a16:creationId xmlns:a16="http://schemas.microsoft.com/office/drawing/2014/main" id="{00000000-0008-0000-0800-000072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435" name="Text Box 763">
          <a:extLst>
            <a:ext uri="{FF2B5EF4-FFF2-40B4-BE49-F238E27FC236}">
              <a16:creationId xmlns:a16="http://schemas.microsoft.com/office/drawing/2014/main" id="{00000000-0008-0000-0800-000073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436" name="Text Box 764">
          <a:extLst>
            <a:ext uri="{FF2B5EF4-FFF2-40B4-BE49-F238E27FC236}">
              <a16:creationId xmlns:a16="http://schemas.microsoft.com/office/drawing/2014/main" id="{00000000-0008-0000-0800-000074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437" name="Text Box 765">
          <a:extLst>
            <a:ext uri="{FF2B5EF4-FFF2-40B4-BE49-F238E27FC236}">
              <a16:creationId xmlns:a16="http://schemas.microsoft.com/office/drawing/2014/main" id="{00000000-0008-0000-0800-000075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438" name="Text Box 766">
          <a:extLst>
            <a:ext uri="{FF2B5EF4-FFF2-40B4-BE49-F238E27FC236}">
              <a16:creationId xmlns:a16="http://schemas.microsoft.com/office/drawing/2014/main" id="{00000000-0008-0000-0800-000076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439" name="Text Box 767">
          <a:extLst>
            <a:ext uri="{FF2B5EF4-FFF2-40B4-BE49-F238E27FC236}">
              <a16:creationId xmlns:a16="http://schemas.microsoft.com/office/drawing/2014/main" id="{00000000-0008-0000-0800-000077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440" name="Text Box 768">
          <a:extLst>
            <a:ext uri="{FF2B5EF4-FFF2-40B4-BE49-F238E27FC236}">
              <a16:creationId xmlns:a16="http://schemas.microsoft.com/office/drawing/2014/main" id="{00000000-0008-0000-0800-000078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441" name="Text Box 769">
          <a:extLst>
            <a:ext uri="{FF2B5EF4-FFF2-40B4-BE49-F238E27FC236}">
              <a16:creationId xmlns:a16="http://schemas.microsoft.com/office/drawing/2014/main" id="{00000000-0008-0000-0800-000079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442" name="Text Box 770">
          <a:extLst>
            <a:ext uri="{FF2B5EF4-FFF2-40B4-BE49-F238E27FC236}">
              <a16:creationId xmlns:a16="http://schemas.microsoft.com/office/drawing/2014/main" id="{00000000-0008-0000-0800-00007A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443" name="Text Box 771">
          <a:extLst>
            <a:ext uri="{FF2B5EF4-FFF2-40B4-BE49-F238E27FC236}">
              <a16:creationId xmlns:a16="http://schemas.microsoft.com/office/drawing/2014/main" id="{00000000-0008-0000-0800-00007BD0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444" name="Text Box 772">
          <a:extLst>
            <a:ext uri="{FF2B5EF4-FFF2-40B4-BE49-F238E27FC236}">
              <a16:creationId xmlns:a16="http://schemas.microsoft.com/office/drawing/2014/main" id="{00000000-0008-0000-0800-00007CD0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445" name="Text Box 773">
          <a:extLst>
            <a:ext uri="{FF2B5EF4-FFF2-40B4-BE49-F238E27FC236}">
              <a16:creationId xmlns:a16="http://schemas.microsoft.com/office/drawing/2014/main" id="{00000000-0008-0000-0800-00007DD0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446" name="Text Box 774">
          <a:extLst>
            <a:ext uri="{FF2B5EF4-FFF2-40B4-BE49-F238E27FC236}">
              <a16:creationId xmlns:a16="http://schemas.microsoft.com/office/drawing/2014/main" id="{00000000-0008-0000-0800-00007ED0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447" name="Text Box 775">
          <a:extLst>
            <a:ext uri="{FF2B5EF4-FFF2-40B4-BE49-F238E27FC236}">
              <a16:creationId xmlns:a16="http://schemas.microsoft.com/office/drawing/2014/main" id="{00000000-0008-0000-0800-00007FD0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448" name="Text Box 776">
          <a:extLst>
            <a:ext uri="{FF2B5EF4-FFF2-40B4-BE49-F238E27FC236}">
              <a16:creationId xmlns:a16="http://schemas.microsoft.com/office/drawing/2014/main" id="{00000000-0008-0000-0800-000080D0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449" name="Text Box 777">
          <a:extLst>
            <a:ext uri="{FF2B5EF4-FFF2-40B4-BE49-F238E27FC236}">
              <a16:creationId xmlns:a16="http://schemas.microsoft.com/office/drawing/2014/main" id="{00000000-0008-0000-0800-000081D0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450" name="Text Box 778">
          <a:extLst>
            <a:ext uri="{FF2B5EF4-FFF2-40B4-BE49-F238E27FC236}">
              <a16:creationId xmlns:a16="http://schemas.microsoft.com/office/drawing/2014/main" id="{00000000-0008-0000-0800-000082D0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451" name="Text Box 779">
          <a:extLst>
            <a:ext uri="{FF2B5EF4-FFF2-40B4-BE49-F238E27FC236}">
              <a16:creationId xmlns:a16="http://schemas.microsoft.com/office/drawing/2014/main" id="{00000000-0008-0000-0800-000083D0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452" name="Text Box 780">
          <a:extLst>
            <a:ext uri="{FF2B5EF4-FFF2-40B4-BE49-F238E27FC236}">
              <a16:creationId xmlns:a16="http://schemas.microsoft.com/office/drawing/2014/main" id="{00000000-0008-0000-0800-000084D0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453" name="Text Box 781">
          <a:extLst>
            <a:ext uri="{FF2B5EF4-FFF2-40B4-BE49-F238E27FC236}">
              <a16:creationId xmlns:a16="http://schemas.microsoft.com/office/drawing/2014/main" id="{00000000-0008-0000-0800-000085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454" name="Text Box 782">
          <a:extLst>
            <a:ext uri="{FF2B5EF4-FFF2-40B4-BE49-F238E27FC236}">
              <a16:creationId xmlns:a16="http://schemas.microsoft.com/office/drawing/2014/main" id="{00000000-0008-0000-0800-000086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455" name="Text Box 783">
          <a:extLst>
            <a:ext uri="{FF2B5EF4-FFF2-40B4-BE49-F238E27FC236}">
              <a16:creationId xmlns:a16="http://schemas.microsoft.com/office/drawing/2014/main" id="{00000000-0008-0000-0800-000087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456" name="Text Box 784">
          <a:extLst>
            <a:ext uri="{FF2B5EF4-FFF2-40B4-BE49-F238E27FC236}">
              <a16:creationId xmlns:a16="http://schemas.microsoft.com/office/drawing/2014/main" id="{00000000-0008-0000-0800-000088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457" name="Text Box 785">
          <a:extLst>
            <a:ext uri="{FF2B5EF4-FFF2-40B4-BE49-F238E27FC236}">
              <a16:creationId xmlns:a16="http://schemas.microsoft.com/office/drawing/2014/main" id="{00000000-0008-0000-0800-000089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458" name="Text Box 786">
          <a:extLst>
            <a:ext uri="{FF2B5EF4-FFF2-40B4-BE49-F238E27FC236}">
              <a16:creationId xmlns:a16="http://schemas.microsoft.com/office/drawing/2014/main" id="{00000000-0008-0000-0800-00008A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459" name="Text Box 787">
          <a:extLst>
            <a:ext uri="{FF2B5EF4-FFF2-40B4-BE49-F238E27FC236}">
              <a16:creationId xmlns:a16="http://schemas.microsoft.com/office/drawing/2014/main" id="{00000000-0008-0000-0800-00008B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460" name="Text Box 788">
          <a:extLst>
            <a:ext uri="{FF2B5EF4-FFF2-40B4-BE49-F238E27FC236}">
              <a16:creationId xmlns:a16="http://schemas.microsoft.com/office/drawing/2014/main" id="{00000000-0008-0000-0800-00008C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461" name="Text Box 789">
          <a:extLst>
            <a:ext uri="{FF2B5EF4-FFF2-40B4-BE49-F238E27FC236}">
              <a16:creationId xmlns:a16="http://schemas.microsoft.com/office/drawing/2014/main" id="{00000000-0008-0000-0800-00008D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462" name="Text Box 790">
          <a:extLst>
            <a:ext uri="{FF2B5EF4-FFF2-40B4-BE49-F238E27FC236}">
              <a16:creationId xmlns:a16="http://schemas.microsoft.com/office/drawing/2014/main" id="{00000000-0008-0000-0800-00008ED0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463" name="Text Box 791">
          <a:extLst>
            <a:ext uri="{FF2B5EF4-FFF2-40B4-BE49-F238E27FC236}">
              <a16:creationId xmlns:a16="http://schemas.microsoft.com/office/drawing/2014/main" id="{00000000-0008-0000-0800-00008F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464" name="Text Box 792">
          <a:extLst>
            <a:ext uri="{FF2B5EF4-FFF2-40B4-BE49-F238E27FC236}">
              <a16:creationId xmlns:a16="http://schemas.microsoft.com/office/drawing/2014/main" id="{00000000-0008-0000-0800-000090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465" name="Text Box 793">
          <a:extLst>
            <a:ext uri="{FF2B5EF4-FFF2-40B4-BE49-F238E27FC236}">
              <a16:creationId xmlns:a16="http://schemas.microsoft.com/office/drawing/2014/main" id="{00000000-0008-0000-0800-000091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466" name="Text Box 794">
          <a:extLst>
            <a:ext uri="{FF2B5EF4-FFF2-40B4-BE49-F238E27FC236}">
              <a16:creationId xmlns:a16="http://schemas.microsoft.com/office/drawing/2014/main" id="{00000000-0008-0000-0800-000092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467" name="Text Box 795">
          <a:extLst>
            <a:ext uri="{FF2B5EF4-FFF2-40B4-BE49-F238E27FC236}">
              <a16:creationId xmlns:a16="http://schemas.microsoft.com/office/drawing/2014/main" id="{00000000-0008-0000-0800-000093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468" name="Text Box 796">
          <a:extLst>
            <a:ext uri="{FF2B5EF4-FFF2-40B4-BE49-F238E27FC236}">
              <a16:creationId xmlns:a16="http://schemas.microsoft.com/office/drawing/2014/main" id="{00000000-0008-0000-0800-000094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469" name="Text Box 797">
          <a:extLst>
            <a:ext uri="{FF2B5EF4-FFF2-40B4-BE49-F238E27FC236}">
              <a16:creationId xmlns:a16="http://schemas.microsoft.com/office/drawing/2014/main" id="{00000000-0008-0000-0800-000095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470" name="Text Box 798">
          <a:extLst>
            <a:ext uri="{FF2B5EF4-FFF2-40B4-BE49-F238E27FC236}">
              <a16:creationId xmlns:a16="http://schemas.microsoft.com/office/drawing/2014/main" id="{00000000-0008-0000-0800-000096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471" name="Text Box 799">
          <a:extLst>
            <a:ext uri="{FF2B5EF4-FFF2-40B4-BE49-F238E27FC236}">
              <a16:creationId xmlns:a16="http://schemas.microsoft.com/office/drawing/2014/main" id="{00000000-0008-0000-0800-000097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472" name="Text Box 800">
          <a:extLst>
            <a:ext uri="{FF2B5EF4-FFF2-40B4-BE49-F238E27FC236}">
              <a16:creationId xmlns:a16="http://schemas.microsoft.com/office/drawing/2014/main" id="{00000000-0008-0000-0800-000098D0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473" name="Text Box 801">
          <a:extLst>
            <a:ext uri="{FF2B5EF4-FFF2-40B4-BE49-F238E27FC236}">
              <a16:creationId xmlns:a16="http://schemas.microsoft.com/office/drawing/2014/main" id="{00000000-0008-0000-0800-000099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474" name="Text Box 802">
          <a:extLst>
            <a:ext uri="{FF2B5EF4-FFF2-40B4-BE49-F238E27FC236}">
              <a16:creationId xmlns:a16="http://schemas.microsoft.com/office/drawing/2014/main" id="{00000000-0008-0000-0800-00009A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475" name="Text Box 803">
          <a:extLst>
            <a:ext uri="{FF2B5EF4-FFF2-40B4-BE49-F238E27FC236}">
              <a16:creationId xmlns:a16="http://schemas.microsoft.com/office/drawing/2014/main" id="{00000000-0008-0000-0800-00009B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476" name="Text Box 804">
          <a:extLst>
            <a:ext uri="{FF2B5EF4-FFF2-40B4-BE49-F238E27FC236}">
              <a16:creationId xmlns:a16="http://schemas.microsoft.com/office/drawing/2014/main" id="{00000000-0008-0000-0800-00009C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477" name="Text Box 805">
          <a:extLst>
            <a:ext uri="{FF2B5EF4-FFF2-40B4-BE49-F238E27FC236}">
              <a16:creationId xmlns:a16="http://schemas.microsoft.com/office/drawing/2014/main" id="{00000000-0008-0000-0800-00009D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478" name="Text Box 806">
          <a:extLst>
            <a:ext uri="{FF2B5EF4-FFF2-40B4-BE49-F238E27FC236}">
              <a16:creationId xmlns:a16="http://schemas.microsoft.com/office/drawing/2014/main" id="{00000000-0008-0000-0800-00009E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479" name="Text Box 807">
          <a:extLst>
            <a:ext uri="{FF2B5EF4-FFF2-40B4-BE49-F238E27FC236}">
              <a16:creationId xmlns:a16="http://schemas.microsoft.com/office/drawing/2014/main" id="{00000000-0008-0000-0800-00009F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480" name="Text Box 808">
          <a:extLst>
            <a:ext uri="{FF2B5EF4-FFF2-40B4-BE49-F238E27FC236}">
              <a16:creationId xmlns:a16="http://schemas.microsoft.com/office/drawing/2014/main" id="{00000000-0008-0000-0800-0000A0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481" name="Text Box 809">
          <a:extLst>
            <a:ext uri="{FF2B5EF4-FFF2-40B4-BE49-F238E27FC236}">
              <a16:creationId xmlns:a16="http://schemas.microsoft.com/office/drawing/2014/main" id="{00000000-0008-0000-0800-0000A1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482" name="Text Box 810">
          <a:extLst>
            <a:ext uri="{FF2B5EF4-FFF2-40B4-BE49-F238E27FC236}">
              <a16:creationId xmlns:a16="http://schemas.microsoft.com/office/drawing/2014/main" id="{00000000-0008-0000-0800-0000A2D0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483" name="Text Box 811">
          <a:extLst>
            <a:ext uri="{FF2B5EF4-FFF2-40B4-BE49-F238E27FC236}">
              <a16:creationId xmlns:a16="http://schemas.microsoft.com/office/drawing/2014/main" id="{00000000-0008-0000-0800-0000A3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484" name="Text Box 812">
          <a:extLst>
            <a:ext uri="{FF2B5EF4-FFF2-40B4-BE49-F238E27FC236}">
              <a16:creationId xmlns:a16="http://schemas.microsoft.com/office/drawing/2014/main" id="{00000000-0008-0000-0800-0000A4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485" name="Text Box 813">
          <a:extLst>
            <a:ext uri="{FF2B5EF4-FFF2-40B4-BE49-F238E27FC236}">
              <a16:creationId xmlns:a16="http://schemas.microsoft.com/office/drawing/2014/main" id="{00000000-0008-0000-0800-0000A5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486" name="Text Box 814">
          <a:extLst>
            <a:ext uri="{FF2B5EF4-FFF2-40B4-BE49-F238E27FC236}">
              <a16:creationId xmlns:a16="http://schemas.microsoft.com/office/drawing/2014/main" id="{00000000-0008-0000-0800-0000A6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487" name="Text Box 815">
          <a:extLst>
            <a:ext uri="{FF2B5EF4-FFF2-40B4-BE49-F238E27FC236}">
              <a16:creationId xmlns:a16="http://schemas.microsoft.com/office/drawing/2014/main" id="{00000000-0008-0000-0800-0000A7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488" name="Text Box 816">
          <a:extLst>
            <a:ext uri="{FF2B5EF4-FFF2-40B4-BE49-F238E27FC236}">
              <a16:creationId xmlns:a16="http://schemas.microsoft.com/office/drawing/2014/main" id="{00000000-0008-0000-0800-0000A8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489" name="Text Box 817">
          <a:extLst>
            <a:ext uri="{FF2B5EF4-FFF2-40B4-BE49-F238E27FC236}">
              <a16:creationId xmlns:a16="http://schemas.microsoft.com/office/drawing/2014/main" id="{00000000-0008-0000-0800-0000A9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490" name="Text Box 818">
          <a:extLst>
            <a:ext uri="{FF2B5EF4-FFF2-40B4-BE49-F238E27FC236}">
              <a16:creationId xmlns:a16="http://schemas.microsoft.com/office/drawing/2014/main" id="{00000000-0008-0000-0800-0000AA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491" name="Text Box 819">
          <a:extLst>
            <a:ext uri="{FF2B5EF4-FFF2-40B4-BE49-F238E27FC236}">
              <a16:creationId xmlns:a16="http://schemas.microsoft.com/office/drawing/2014/main" id="{00000000-0008-0000-0800-0000AB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492" name="Text Box 820">
          <a:extLst>
            <a:ext uri="{FF2B5EF4-FFF2-40B4-BE49-F238E27FC236}">
              <a16:creationId xmlns:a16="http://schemas.microsoft.com/office/drawing/2014/main" id="{00000000-0008-0000-0800-0000ACD0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493" name="Text Box 821">
          <a:extLst>
            <a:ext uri="{FF2B5EF4-FFF2-40B4-BE49-F238E27FC236}">
              <a16:creationId xmlns:a16="http://schemas.microsoft.com/office/drawing/2014/main" id="{00000000-0008-0000-0800-0000AD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494" name="Text Box 822">
          <a:extLst>
            <a:ext uri="{FF2B5EF4-FFF2-40B4-BE49-F238E27FC236}">
              <a16:creationId xmlns:a16="http://schemas.microsoft.com/office/drawing/2014/main" id="{00000000-0008-0000-0800-0000AE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495" name="Text Box 823">
          <a:extLst>
            <a:ext uri="{FF2B5EF4-FFF2-40B4-BE49-F238E27FC236}">
              <a16:creationId xmlns:a16="http://schemas.microsoft.com/office/drawing/2014/main" id="{00000000-0008-0000-0800-0000AF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496" name="Text Box 824">
          <a:extLst>
            <a:ext uri="{FF2B5EF4-FFF2-40B4-BE49-F238E27FC236}">
              <a16:creationId xmlns:a16="http://schemas.microsoft.com/office/drawing/2014/main" id="{00000000-0008-0000-0800-0000B0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497" name="Text Box 825">
          <a:extLst>
            <a:ext uri="{FF2B5EF4-FFF2-40B4-BE49-F238E27FC236}">
              <a16:creationId xmlns:a16="http://schemas.microsoft.com/office/drawing/2014/main" id="{00000000-0008-0000-0800-0000B1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498" name="Text Box 826">
          <a:extLst>
            <a:ext uri="{FF2B5EF4-FFF2-40B4-BE49-F238E27FC236}">
              <a16:creationId xmlns:a16="http://schemas.microsoft.com/office/drawing/2014/main" id="{00000000-0008-0000-0800-0000B2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499" name="Text Box 827">
          <a:extLst>
            <a:ext uri="{FF2B5EF4-FFF2-40B4-BE49-F238E27FC236}">
              <a16:creationId xmlns:a16="http://schemas.microsoft.com/office/drawing/2014/main" id="{00000000-0008-0000-0800-0000B3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500" name="Text Box 828">
          <a:extLst>
            <a:ext uri="{FF2B5EF4-FFF2-40B4-BE49-F238E27FC236}">
              <a16:creationId xmlns:a16="http://schemas.microsoft.com/office/drawing/2014/main" id="{00000000-0008-0000-0800-0000B4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501" name="Text Box 829">
          <a:extLst>
            <a:ext uri="{FF2B5EF4-FFF2-40B4-BE49-F238E27FC236}">
              <a16:creationId xmlns:a16="http://schemas.microsoft.com/office/drawing/2014/main" id="{00000000-0008-0000-0800-0000B5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502" name="Text Box 830">
          <a:extLst>
            <a:ext uri="{FF2B5EF4-FFF2-40B4-BE49-F238E27FC236}">
              <a16:creationId xmlns:a16="http://schemas.microsoft.com/office/drawing/2014/main" id="{00000000-0008-0000-0800-0000B6D0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503" name="Text Box 831">
          <a:extLst>
            <a:ext uri="{FF2B5EF4-FFF2-40B4-BE49-F238E27FC236}">
              <a16:creationId xmlns:a16="http://schemas.microsoft.com/office/drawing/2014/main" id="{00000000-0008-0000-0800-0000B7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504" name="Text Box 832">
          <a:extLst>
            <a:ext uri="{FF2B5EF4-FFF2-40B4-BE49-F238E27FC236}">
              <a16:creationId xmlns:a16="http://schemas.microsoft.com/office/drawing/2014/main" id="{00000000-0008-0000-0800-0000B8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505" name="Text Box 833">
          <a:extLst>
            <a:ext uri="{FF2B5EF4-FFF2-40B4-BE49-F238E27FC236}">
              <a16:creationId xmlns:a16="http://schemas.microsoft.com/office/drawing/2014/main" id="{00000000-0008-0000-0800-0000B9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506" name="Text Box 834">
          <a:extLst>
            <a:ext uri="{FF2B5EF4-FFF2-40B4-BE49-F238E27FC236}">
              <a16:creationId xmlns:a16="http://schemas.microsoft.com/office/drawing/2014/main" id="{00000000-0008-0000-0800-0000BA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507" name="Text Box 835">
          <a:extLst>
            <a:ext uri="{FF2B5EF4-FFF2-40B4-BE49-F238E27FC236}">
              <a16:creationId xmlns:a16="http://schemas.microsoft.com/office/drawing/2014/main" id="{00000000-0008-0000-0800-0000BB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508" name="Text Box 836">
          <a:extLst>
            <a:ext uri="{FF2B5EF4-FFF2-40B4-BE49-F238E27FC236}">
              <a16:creationId xmlns:a16="http://schemas.microsoft.com/office/drawing/2014/main" id="{00000000-0008-0000-0800-0000BC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509" name="Text Box 837">
          <a:extLst>
            <a:ext uri="{FF2B5EF4-FFF2-40B4-BE49-F238E27FC236}">
              <a16:creationId xmlns:a16="http://schemas.microsoft.com/office/drawing/2014/main" id="{00000000-0008-0000-0800-0000BD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510" name="Text Box 838">
          <a:extLst>
            <a:ext uri="{FF2B5EF4-FFF2-40B4-BE49-F238E27FC236}">
              <a16:creationId xmlns:a16="http://schemas.microsoft.com/office/drawing/2014/main" id="{00000000-0008-0000-0800-0000BE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511" name="Text Box 839">
          <a:extLst>
            <a:ext uri="{FF2B5EF4-FFF2-40B4-BE49-F238E27FC236}">
              <a16:creationId xmlns:a16="http://schemas.microsoft.com/office/drawing/2014/main" id="{00000000-0008-0000-0800-0000BF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512" name="Text Box 840">
          <a:extLst>
            <a:ext uri="{FF2B5EF4-FFF2-40B4-BE49-F238E27FC236}">
              <a16:creationId xmlns:a16="http://schemas.microsoft.com/office/drawing/2014/main" id="{00000000-0008-0000-0800-0000C0D0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513" name="Text Box 841">
          <a:extLst>
            <a:ext uri="{FF2B5EF4-FFF2-40B4-BE49-F238E27FC236}">
              <a16:creationId xmlns:a16="http://schemas.microsoft.com/office/drawing/2014/main" id="{00000000-0008-0000-0800-0000C1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514" name="Text Box 842">
          <a:extLst>
            <a:ext uri="{FF2B5EF4-FFF2-40B4-BE49-F238E27FC236}">
              <a16:creationId xmlns:a16="http://schemas.microsoft.com/office/drawing/2014/main" id="{00000000-0008-0000-0800-0000C2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515" name="Text Box 843">
          <a:extLst>
            <a:ext uri="{FF2B5EF4-FFF2-40B4-BE49-F238E27FC236}">
              <a16:creationId xmlns:a16="http://schemas.microsoft.com/office/drawing/2014/main" id="{00000000-0008-0000-0800-0000C3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516" name="Text Box 844">
          <a:extLst>
            <a:ext uri="{FF2B5EF4-FFF2-40B4-BE49-F238E27FC236}">
              <a16:creationId xmlns:a16="http://schemas.microsoft.com/office/drawing/2014/main" id="{00000000-0008-0000-0800-0000C4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517" name="Text Box 845">
          <a:extLst>
            <a:ext uri="{FF2B5EF4-FFF2-40B4-BE49-F238E27FC236}">
              <a16:creationId xmlns:a16="http://schemas.microsoft.com/office/drawing/2014/main" id="{00000000-0008-0000-0800-0000C5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518" name="Text Box 846">
          <a:extLst>
            <a:ext uri="{FF2B5EF4-FFF2-40B4-BE49-F238E27FC236}">
              <a16:creationId xmlns:a16="http://schemas.microsoft.com/office/drawing/2014/main" id="{00000000-0008-0000-0800-0000C6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519" name="Text Box 847">
          <a:extLst>
            <a:ext uri="{FF2B5EF4-FFF2-40B4-BE49-F238E27FC236}">
              <a16:creationId xmlns:a16="http://schemas.microsoft.com/office/drawing/2014/main" id="{00000000-0008-0000-0800-0000C7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520" name="Text Box 848">
          <a:extLst>
            <a:ext uri="{FF2B5EF4-FFF2-40B4-BE49-F238E27FC236}">
              <a16:creationId xmlns:a16="http://schemas.microsoft.com/office/drawing/2014/main" id="{00000000-0008-0000-0800-0000C8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521" name="Text Box 849">
          <a:extLst>
            <a:ext uri="{FF2B5EF4-FFF2-40B4-BE49-F238E27FC236}">
              <a16:creationId xmlns:a16="http://schemas.microsoft.com/office/drawing/2014/main" id="{00000000-0008-0000-0800-0000C9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522" name="Text Box 850">
          <a:extLst>
            <a:ext uri="{FF2B5EF4-FFF2-40B4-BE49-F238E27FC236}">
              <a16:creationId xmlns:a16="http://schemas.microsoft.com/office/drawing/2014/main" id="{00000000-0008-0000-0800-0000CAD0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523" name="Text Box 851">
          <a:extLst>
            <a:ext uri="{FF2B5EF4-FFF2-40B4-BE49-F238E27FC236}">
              <a16:creationId xmlns:a16="http://schemas.microsoft.com/office/drawing/2014/main" id="{00000000-0008-0000-0800-0000CB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524" name="Text Box 852">
          <a:extLst>
            <a:ext uri="{FF2B5EF4-FFF2-40B4-BE49-F238E27FC236}">
              <a16:creationId xmlns:a16="http://schemas.microsoft.com/office/drawing/2014/main" id="{00000000-0008-0000-0800-0000CC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525" name="Text Box 853">
          <a:extLst>
            <a:ext uri="{FF2B5EF4-FFF2-40B4-BE49-F238E27FC236}">
              <a16:creationId xmlns:a16="http://schemas.microsoft.com/office/drawing/2014/main" id="{00000000-0008-0000-0800-0000CD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526" name="Text Box 854">
          <a:extLst>
            <a:ext uri="{FF2B5EF4-FFF2-40B4-BE49-F238E27FC236}">
              <a16:creationId xmlns:a16="http://schemas.microsoft.com/office/drawing/2014/main" id="{00000000-0008-0000-0800-0000CE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527" name="Text Box 855">
          <a:extLst>
            <a:ext uri="{FF2B5EF4-FFF2-40B4-BE49-F238E27FC236}">
              <a16:creationId xmlns:a16="http://schemas.microsoft.com/office/drawing/2014/main" id="{00000000-0008-0000-0800-0000CF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528" name="Text Box 856">
          <a:extLst>
            <a:ext uri="{FF2B5EF4-FFF2-40B4-BE49-F238E27FC236}">
              <a16:creationId xmlns:a16="http://schemas.microsoft.com/office/drawing/2014/main" id="{00000000-0008-0000-0800-0000D0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529" name="Text Box 857">
          <a:extLst>
            <a:ext uri="{FF2B5EF4-FFF2-40B4-BE49-F238E27FC236}">
              <a16:creationId xmlns:a16="http://schemas.microsoft.com/office/drawing/2014/main" id="{00000000-0008-0000-0800-0000D1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530" name="Text Box 858">
          <a:extLst>
            <a:ext uri="{FF2B5EF4-FFF2-40B4-BE49-F238E27FC236}">
              <a16:creationId xmlns:a16="http://schemas.microsoft.com/office/drawing/2014/main" id="{00000000-0008-0000-0800-0000D2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531" name="Text Box 859">
          <a:extLst>
            <a:ext uri="{FF2B5EF4-FFF2-40B4-BE49-F238E27FC236}">
              <a16:creationId xmlns:a16="http://schemas.microsoft.com/office/drawing/2014/main" id="{00000000-0008-0000-0800-0000D3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532" name="Text Box 860">
          <a:extLst>
            <a:ext uri="{FF2B5EF4-FFF2-40B4-BE49-F238E27FC236}">
              <a16:creationId xmlns:a16="http://schemas.microsoft.com/office/drawing/2014/main" id="{00000000-0008-0000-0800-0000D4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533" name="Text Box 861">
          <a:extLst>
            <a:ext uri="{FF2B5EF4-FFF2-40B4-BE49-F238E27FC236}">
              <a16:creationId xmlns:a16="http://schemas.microsoft.com/office/drawing/2014/main" id="{00000000-0008-0000-0800-0000D5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534" name="Text Box 862">
          <a:extLst>
            <a:ext uri="{FF2B5EF4-FFF2-40B4-BE49-F238E27FC236}">
              <a16:creationId xmlns:a16="http://schemas.microsoft.com/office/drawing/2014/main" id="{00000000-0008-0000-0800-0000D6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535" name="Text Box 863">
          <a:extLst>
            <a:ext uri="{FF2B5EF4-FFF2-40B4-BE49-F238E27FC236}">
              <a16:creationId xmlns:a16="http://schemas.microsoft.com/office/drawing/2014/main" id="{00000000-0008-0000-0800-0000D7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536" name="Text Box 864">
          <a:extLst>
            <a:ext uri="{FF2B5EF4-FFF2-40B4-BE49-F238E27FC236}">
              <a16:creationId xmlns:a16="http://schemas.microsoft.com/office/drawing/2014/main" id="{00000000-0008-0000-0800-0000D8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537" name="Text Box 865">
          <a:extLst>
            <a:ext uri="{FF2B5EF4-FFF2-40B4-BE49-F238E27FC236}">
              <a16:creationId xmlns:a16="http://schemas.microsoft.com/office/drawing/2014/main" id="{00000000-0008-0000-0800-0000D9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538" name="Text Box 866">
          <a:extLst>
            <a:ext uri="{FF2B5EF4-FFF2-40B4-BE49-F238E27FC236}">
              <a16:creationId xmlns:a16="http://schemas.microsoft.com/office/drawing/2014/main" id="{00000000-0008-0000-0800-0000DA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539" name="Text Box 867">
          <a:extLst>
            <a:ext uri="{FF2B5EF4-FFF2-40B4-BE49-F238E27FC236}">
              <a16:creationId xmlns:a16="http://schemas.microsoft.com/office/drawing/2014/main" id="{00000000-0008-0000-0800-0000DB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540" name="Text Box 868">
          <a:extLst>
            <a:ext uri="{FF2B5EF4-FFF2-40B4-BE49-F238E27FC236}">
              <a16:creationId xmlns:a16="http://schemas.microsoft.com/office/drawing/2014/main" id="{00000000-0008-0000-0800-0000DC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541" name="Text Box 869">
          <a:extLst>
            <a:ext uri="{FF2B5EF4-FFF2-40B4-BE49-F238E27FC236}">
              <a16:creationId xmlns:a16="http://schemas.microsoft.com/office/drawing/2014/main" id="{00000000-0008-0000-0800-0000DDD0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542" name="Text Box 870">
          <a:extLst>
            <a:ext uri="{FF2B5EF4-FFF2-40B4-BE49-F238E27FC236}">
              <a16:creationId xmlns:a16="http://schemas.microsoft.com/office/drawing/2014/main" id="{00000000-0008-0000-0800-0000DED0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543" name="Text Box 871">
          <a:extLst>
            <a:ext uri="{FF2B5EF4-FFF2-40B4-BE49-F238E27FC236}">
              <a16:creationId xmlns:a16="http://schemas.microsoft.com/office/drawing/2014/main" id="{00000000-0008-0000-0800-0000DF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544" name="Text Box 872">
          <a:extLst>
            <a:ext uri="{FF2B5EF4-FFF2-40B4-BE49-F238E27FC236}">
              <a16:creationId xmlns:a16="http://schemas.microsoft.com/office/drawing/2014/main" id="{00000000-0008-0000-0800-0000E0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545" name="Text Box 873">
          <a:extLst>
            <a:ext uri="{FF2B5EF4-FFF2-40B4-BE49-F238E27FC236}">
              <a16:creationId xmlns:a16="http://schemas.microsoft.com/office/drawing/2014/main" id="{00000000-0008-0000-0800-0000E1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546" name="Text Box 874">
          <a:extLst>
            <a:ext uri="{FF2B5EF4-FFF2-40B4-BE49-F238E27FC236}">
              <a16:creationId xmlns:a16="http://schemas.microsoft.com/office/drawing/2014/main" id="{00000000-0008-0000-0800-0000E2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547" name="Text Box 875">
          <a:extLst>
            <a:ext uri="{FF2B5EF4-FFF2-40B4-BE49-F238E27FC236}">
              <a16:creationId xmlns:a16="http://schemas.microsoft.com/office/drawing/2014/main" id="{00000000-0008-0000-0800-0000E3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548" name="Text Box 876">
          <a:extLst>
            <a:ext uri="{FF2B5EF4-FFF2-40B4-BE49-F238E27FC236}">
              <a16:creationId xmlns:a16="http://schemas.microsoft.com/office/drawing/2014/main" id="{00000000-0008-0000-0800-0000E4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549" name="Text Box 877">
          <a:extLst>
            <a:ext uri="{FF2B5EF4-FFF2-40B4-BE49-F238E27FC236}">
              <a16:creationId xmlns:a16="http://schemas.microsoft.com/office/drawing/2014/main" id="{00000000-0008-0000-0800-0000E5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550" name="Text Box 878">
          <a:extLst>
            <a:ext uri="{FF2B5EF4-FFF2-40B4-BE49-F238E27FC236}">
              <a16:creationId xmlns:a16="http://schemas.microsoft.com/office/drawing/2014/main" id="{00000000-0008-0000-0800-0000E6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551" name="Text Box 879">
          <a:extLst>
            <a:ext uri="{FF2B5EF4-FFF2-40B4-BE49-F238E27FC236}">
              <a16:creationId xmlns:a16="http://schemas.microsoft.com/office/drawing/2014/main" id="{00000000-0008-0000-0800-0000E7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552" name="Text Box 880">
          <a:extLst>
            <a:ext uri="{FF2B5EF4-FFF2-40B4-BE49-F238E27FC236}">
              <a16:creationId xmlns:a16="http://schemas.microsoft.com/office/drawing/2014/main" id="{00000000-0008-0000-0800-0000E8D0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553" name="Text Box 881">
          <a:extLst>
            <a:ext uri="{FF2B5EF4-FFF2-40B4-BE49-F238E27FC236}">
              <a16:creationId xmlns:a16="http://schemas.microsoft.com/office/drawing/2014/main" id="{00000000-0008-0000-0800-0000E9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554" name="Text Box 882">
          <a:extLst>
            <a:ext uri="{FF2B5EF4-FFF2-40B4-BE49-F238E27FC236}">
              <a16:creationId xmlns:a16="http://schemas.microsoft.com/office/drawing/2014/main" id="{00000000-0008-0000-0800-0000EA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555" name="Text Box 883">
          <a:extLst>
            <a:ext uri="{FF2B5EF4-FFF2-40B4-BE49-F238E27FC236}">
              <a16:creationId xmlns:a16="http://schemas.microsoft.com/office/drawing/2014/main" id="{00000000-0008-0000-0800-0000EB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556" name="Text Box 884">
          <a:extLst>
            <a:ext uri="{FF2B5EF4-FFF2-40B4-BE49-F238E27FC236}">
              <a16:creationId xmlns:a16="http://schemas.microsoft.com/office/drawing/2014/main" id="{00000000-0008-0000-0800-0000EC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557" name="Text Box 885">
          <a:extLst>
            <a:ext uri="{FF2B5EF4-FFF2-40B4-BE49-F238E27FC236}">
              <a16:creationId xmlns:a16="http://schemas.microsoft.com/office/drawing/2014/main" id="{00000000-0008-0000-0800-0000ED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558" name="Text Box 886">
          <a:extLst>
            <a:ext uri="{FF2B5EF4-FFF2-40B4-BE49-F238E27FC236}">
              <a16:creationId xmlns:a16="http://schemas.microsoft.com/office/drawing/2014/main" id="{00000000-0008-0000-0800-0000EE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559" name="Text Box 887">
          <a:extLst>
            <a:ext uri="{FF2B5EF4-FFF2-40B4-BE49-F238E27FC236}">
              <a16:creationId xmlns:a16="http://schemas.microsoft.com/office/drawing/2014/main" id="{00000000-0008-0000-0800-0000EF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560" name="Text Box 888">
          <a:extLst>
            <a:ext uri="{FF2B5EF4-FFF2-40B4-BE49-F238E27FC236}">
              <a16:creationId xmlns:a16="http://schemas.microsoft.com/office/drawing/2014/main" id="{00000000-0008-0000-0800-0000F0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561" name="Text Box 889">
          <a:extLst>
            <a:ext uri="{FF2B5EF4-FFF2-40B4-BE49-F238E27FC236}">
              <a16:creationId xmlns:a16="http://schemas.microsoft.com/office/drawing/2014/main" id="{00000000-0008-0000-0800-0000F1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562" name="Text Box 890">
          <a:extLst>
            <a:ext uri="{FF2B5EF4-FFF2-40B4-BE49-F238E27FC236}">
              <a16:creationId xmlns:a16="http://schemas.microsoft.com/office/drawing/2014/main" id="{00000000-0008-0000-0800-0000F2D0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563" name="Text Box 891">
          <a:extLst>
            <a:ext uri="{FF2B5EF4-FFF2-40B4-BE49-F238E27FC236}">
              <a16:creationId xmlns:a16="http://schemas.microsoft.com/office/drawing/2014/main" id="{00000000-0008-0000-0800-0000F3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564" name="Text Box 892">
          <a:extLst>
            <a:ext uri="{FF2B5EF4-FFF2-40B4-BE49-F238E27FC236}">
              <a16:creationId xmlns:a16="http://schemas.microsoft.com/office/drawing/2014/main" id="{00000000-0008-0000-0800-0000F4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565" name="Text Box 893">
          <a:extLst>
            <a:ext uri="{FF2B5EF4-FFF2-40B4-BE49-F238E27FC236}">
              <a16:creationId xmlns:a16="http://schemas.microsoft.com/office/drawing/2014/main" id="{00000000-0008-0000-0800-0000F5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566" name="Text Box 894">
          <a:extLst>
            <a:ext uri="{FF2B5EF4-FFF2-40B4-BE49-F238E27FC236}">
              <a16:creationId xmlns:a16="http://schemas.microsoft.com/office/drawing/2014/main" id="{00000000-0008-0000-0800-0000F6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567" name="Text Box 895">
          <a:extLst>
            <a:ext uri="{FF2B5EF4-FFF2-40B4-BE49-F238E27FC236}">
              <a16:creationId xmlns:a16="http://schemas.microsoft.com/office/drawing/2014/main" id="{00000000-0008-0000-0800-0000F7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568" name="Text Box 896">
          <a:extLst>
            <a:ext uri="{FF2B5EF4-FFF2-40B4-BE49-F238E27FC236}">
              <a16:creationId xmlns:a16="http://schemas.microsoft.com/office/drawing/2014/main" id="{00000000-0008-0000-0800-0000F8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569" name="Text Box 897">
          <a:extLst>
            <a:ext uri="{FF2B5EF4-FFF2-40B4-BE49-F238E27FC236}">
              <a16:creationId xmlns:a16="http://schemas.microsoft.com/office/drawing/2014/main" id="{00000000-0008-0000-0800-0000F9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570" name="Text Box 898">
          <a:extLst>
            <a:ext uri="{FF2B5EF4-FFF2-40B4-BE49-F238E27FC236}">
              <a16:creationId xmlns:a16="http://schemas.microsoft.com/office/drawing/2014/main" id="{00000000-0008-0000-0800-0000FA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571" name="Text Box 899">
          <a:extLst>
            <a:ext uri="{FF2B5EF4-FFF2-40B4-BE49-F238E27FC236}">
              <a16:creationId xmlns:a16="http://schemas.microsoft.com/office/drawing/2014/main" id="{00000000-0008-0000-0800-0000FB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572" name="Text Box 900">
          <a:extLst>
            <a:ext uri="{FF2B5EF4-FFF2-40B4-BE49-F238E27FC236}">
              <a16:creationId xmlns:a16="http://schemas.microsoft.com/office/drawing/2014/main" id="{00000000-0008-0000-0800-0000FCD0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573" name="Text Box 901">
          <a:extLst>
            <a:ext uri="{FF2B5EF4-FFF2-40B4-BE49-F238E27FC236}">
              <a16:creationId xmlns:a16="http://schemas.microsoft.com/office/drawing/2014/main" id="{00000000-0008-0000-0800-0000FD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574" name="Text Box 902">
          <a:extLst>
            <a:ext uri="{FF2B5EF4-FFF2-40B4-BE49-F238E27FC236}">
              <a16:creationId xmlns:a16="http://schemas.microsoft.com/office/drawing/2014/main" id="{00000000-0008-0000-0800-0000FE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575" name="Text Box 903">
          <a:extLst>
            <a:ext uri="{FF2B5EF4-FFF2-40B4-BE49-F238E27FC236}">
              <a16:creationId xmlns:a16="http://schemas.microsoft.com/office/drawing/2014/main" id="{00000000-0008-0000-0800-0000FFD0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576" name="Text Box 904">
          <a:extLst>
            <a:ext uri="{FF2B5EF4-FFF2-40B4-BE49-F238E27FC236}">
              <a16:creationId xmlns:a16="http://schemas.microsoft.com/office/drawing/2014/main" id="{00000000-0008-0000-0800-000000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577" name="Text Box 905">
          <a:extLst>
            <a:ext uri="{FF2B5EF4-FFF2-40B4-BE49-F238E27FC236}">
              <a16:creationId xmlns:a16="http://schemas.microsoft.com/office/drawing/2014/main" id="{00000000-0008-0000-0800-000001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578" name="Text Box 906">
          <a:extLst>
            <a:ext uri="{FF2B5EF4-FFF2-40B4-BE49-F238E27FC236}">
              <a16:creationId xmlns:a16="http://schemas.microsoft.com/office/drawing/2014/main" id="{00000000-0008-0000-0800-000002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579" name="Text Box 907">
          <a:extLst>
            <a:ext uri="{FF2B5EF4-FFF2-40B4-BE49-F238E27FC236}">
              <a16:creationId xmlns:a16="http://schemas.microsoft.com/office/drawing/2014/main" id="{00000000-0008-0000-0800-000003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580" name="Text Box 908">
          <a:extLst>
            <a:ext uri="{FF2B5EF4-FFF2-40B4-BE49-F238E27FC236}">
              <a16:creationId xmlns:a16="http://schemas.microsoft.com/office/drawing/2014/main" id="{00000000-0008-0000-0800-000004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581" name="Text Box 909">
          <a:extLst>
            <a:ext uri="{FF2B5EF4-FFF2-40B4-BE49-F238E27FC236}">
              <a16:creationId xmlns:a16="http://schemas.microsoft.com/office/drawing/2014/main" id="{00000000-0008-0000-0800-000005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582" name="Text Box 910">
          <a:extLst>
            <a:ext uri="{FF2B5EF4-FFF2-40B4-BE49-F238E27FC236}">
              <a16:creationId xmlns:a16="http://schemas.microsoft.com/office/drawing/2014/main" id="{00000000-0008-0000-0800-000006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583" name="Text Box 911">
          <a:extLst>
            <a:ext uri="{FF2B5EF4-FFF2-40B4-BE49-F238E27FC236}">
              <a16:creationId xmlns:a16="http://schemas.microsoft.com/office/drawing/2014/main" id="{00000000-0008-0000-0800-000007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584" name="Text Box 912">
          <a:extLst>
            <a:ext uri="{FF2B5EF4-FFF2-40B4-BE49-F238E27FC236}">
              <a16:creationId xmlns:a16="http://schemas.microsoft.com/office/drawing/2014/main" id="{00000000-0008-0000-0800-000008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585" name="Text Box 913">
          <a:extLst>
            <a:ext uri="{FF2B5EF4-FFF2-40B4-BE49-F238E27FC236}">
              <a16:creationId xmlns:a16="http://schemas.microsoft.com/office/drawing/2014/main" id="{00000000-0008-0000-0800-000009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586" name="Text Box 914">
          <a:extLst>
            <a:ext uri="{FF2B5EF4-FFF2-40B4-BE49-F238E27FC236}">
              <a16:creationId xmlns:a16="http://schemas.microsoft.com/office/drawing/2014/main" id="{00000000-0008-0000-0800-00000A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587" name="Text Box 915">
          <a:extLst>
            <a:ext uri="{FF2B5EF4-FFF2-40B4-BE49-F238E27FC236}">
              <a16:creationId xmlns:a16="http://schemas.microsoft.com/office/drawing/2014/main" id="{00000000-0008-0000-0800-00000B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588" name="Text Box 916">
          <a:extLst>
            <a:ext uri="{FF2B5EF4-FFF2-40B4-BE49-F238E27FC236}">
              <a16:creationId xmlns:a16="http://schemas.microsoft.com/office/drawing/2014/main" id="{00000000-0008-0000-0800-00000C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589" name="Text Box 917">
          <a:extLst>
            <a:ext uri="{FF2B5EF4-FFF2-40B4-BE49-F238E27FC236}">
              <a16:creationId xmlns:a16="http://schemas.microsoft.com/office/drawing/2014/main" id="{00000000-0008-0000-0800-00000D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590" name="Text Box 918">
          <a:extLst>
            <a:ext uri="{FF2B5EF4-FFF2-40B4-BE49-F238E27FC236}">
              <a16:creationId xmlns:a16="http://schemas.microsoft.com/office/drawing/2014/main" id="{00000000-0008-0000-0800-00000E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591" name="Text Box 919">
          <a:extLst>
            <a:ext uri="{FF2B5EF4-FFF2-40B4-BE49-F238E27FC236}">
              <a16:creationId xmlns:a16="http://schemas.microsoft.com/office/drawing/2014/main" id="{00000000-0008-0000-0800-00000F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592" name="Text Box 920">
          <a:extLst>
            <a:ext uri="{FF2B5EF4-FFF2-40B4-BE49-F238E27FC236}">
              <a16:creationId xmlns:a16="http://schemas.microsoft.com/office/drawing/2014/main" id="{00000000-0008-0000-0800-000010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593" name="Text Box 921">
          <a:extLst>
            <a:ext uri="{FF2B5EF4-FFF2-40B4-BE49-F238E27FC236}">
              <a16:creationId xmlns:a16="http://schemas.microsoft.com/office/drawing/2014/main" id="{00000000-0008-0000-0800-000011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594" name="Text Box 922">
          <a:extLst>
            <a:ext uri="{FF2B5EF4-FFF2-40B4-BE49-F238E27FC236}">
              <a16:creationId xmlns:a16="http://schemas.microsoft.com/office/drawing/2014/main" id="{00000000-0008-0000-0800-000012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595" name="Text Box 923">
          <a:extLst>
            <a:ext uri="{FF2B5EF4-FFF2-40B4-BE49-F238E27FC236}">
              <a16:creationId xmlns:a16="http://schemas.microsoft.com/office/drawing/2014/main" id="{00000000-0008-0000-0800-000013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596" name="Text Box 924">
          <a:extLst>
            <a:ext uri="{FF2B5EF4-FFF2-40B4-BE49-F238E27FC236}">
              <a16:creationId xmlns:a16="http://schemas.microsoft.com/office/drawing/2014/main" id="{00000000-0008-0000-0800-000014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597" name="Text Box 925">
          <a:extLst>
            <a:ext uri="{FF2B5EF4-FFF2-40B4-BE49-F238E27FC236}">
              <a16:creationId xmlns:a16="http://schemas.microsoft.com/office/drawing/2014/main" id="{00000000-0008-0000-0800-000015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598" name="Text Box 926">
          <a:extLst>
            <a:ext uri="{FF2B5EF4-FFF2-40B4-BE49-F238E27FC236}">
              <a16:creationId xmlns:a16="http://schemas.microsoft.com/office/drawing/2014/main" id="{00000000-0008-0000-0800-000016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599" name="Text Box 927">
          <a:extLst>
            <a:ext uri="{FF2B5EF4-FFF2-40B4-BE49-F238E27FC236}">
              <a16:creationId xmlns:a16="http://schemas.microsoft.com/office/drawing/2014/main" id="{00000000-0008-0000-0800-000017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600" name="Text Box 928">
          <a:extLst>
            <a:ext uri="{FF2B5EF4-FFF2-40B4-BE49-F238E27FC236}">
              <a16:creationId xmlns:a16="http://schemas.microsoft.com/office/drawing/2014/main" id="{00000000-0008-0000-0800-000018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601" name="Text Box 929">
          <a:extLst>
            <a:ext uri="{FF2B5EF4-FFF2-40B4-BE49-F238E27FC236}">
              <a16:creationId xmlns:a16="http://schemas.microsoft.com/office/drawing/2014/main" id="{00000000-0008-0000-0800-000019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602" name="Text Box 930">
          <a:extLst>
            <a:ext uri="{FF2B5EF4-FFF2-40B4-BE49-F238E27FC236}">
              <a16:creationId xmlns:a16="http://schemas.microsoft.com/office/drawing/2014/main" id="{00000000-0008-0000-0800-00001A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603" name="Text Box 931">
          <a:extLst>
            <a:ext uri="{FF2B5EF4-FFF2-40B4-BE49-F238E27FC236}">
              <a16:creationId xmlns:a16="http://schemas.microsoft.com/office/drawing/2014/main" id="{00000000-0008-0000-0800-00001B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604" name="Text Box 932">
          <a:extLst>
            <a:ext uri="{FF2B5EF4-FFF2-40B4-BE49-F238E27FC236}">
              <a16:creationId xmlns:a16="http://schemas.microsoft.com/office/drawing/2014/main" id="{00000000-0008-0000-0800-00001C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605" name="Text Box 933">
          <a:extLst>
            <a:ext uri="{FF2B5EF4-FFF2-40B4-BE49-F238E27FC236}">
              <a16:creationId xmlns:a16="http://schemas.microsoft.com/office/drawing/2014/main" id="{00000000-0008-0000-0800-00001D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606" name="Text Box 934">
          <a:extLst>
            <a:ext uri="{FF2B5EF4-FFF2-40B4-BE49-F238E27FC236}">
              <a16:creationId xmlns:a16="http://schemas.microsoft.com/office/drawing/2014/main" id="{00000000-0008-0000-0800-00001E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607" name="Text Box 935">
          <a:extLst>
            <a:ext uri="{FF2B5EF4-FFF2-40B4-BE49-F238E27FC236}">
              <a16:creationId xmlns:a16="http://schemas.microsoft.com/office/drawing/2014/main" id="{00000000-0008-0000-0800-00001F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608" name="Text Box 936">
          <a:extLst>
            <a:ext uri="{FF2B5EF4-FFF2-40B4-BE49-F238E27FC236}">
              <a16:creationId xmlns:a16="http://schemas.microsoft.com/office/drawing/2014/main" id="{00000000-0008-0000-0800-000020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609" name="Text Box 937">
          <a:extLst>
            <a:ext uri="{FF2B5EF4-FFF2-40B4-BE49-F238E27FC236}">
              <a16:creationId xmlns:a16="http://schemas.microsoft.com/office/drawing/2014/main" id="{00000000-0008-0000-0800-000021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610" name="Text Box 938">
          <a:extLst>
            <a:ext uri="{FF2B5EF4-FFF2-40B4-BE49-F238E27FC236}">
              <a16:creationId xmlns:a16="http://schemas.microsoft.com/office/drawing/2014/main" id="{00000000-0008-0000-0800-000022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611" name="Text Box 939">
          <a:extLst>
            <a:ext uri="{FF2B5EF4-FFF2-40B4-BE49-F238E27FC236}">
              <a16:creationId xmlns:a16="http://schemas.microsoft.com/office/drawing/2014/main" id="{00000000-0008-0000-0800-000023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612" name="Text Box 940">
          <a:extLst>
            <a:ext uri="{FF2B5EF4-FFF2-40B4-BE49-F238E27FC236}">
              <a16:creationId xmlns:a16="http://schemas.microsoft.com/office/drawing/2014/main" id="{00000000-0008-0000-0800-000024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613" name="Text Box 941">
          <a:extLst>
            <a:ext uri="{FF2B5EF4-FFF2-40B4-BE49-F238E27FC236}">
              <a16:creationId xmlns:a16="http://schemas.microsoft.com/office/drawing/2014/main" id="{00000000-0008-0000-0800-000025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614" name="Text Box 942">
          <a:extLst>
            <a:ext uri="{FF2B5EF4-FFF2-40B4-BE49-F238E27FC236}">
              <a16:creationId xmlns:a16="http://schemas.microsoft.com/office/drawing/2014/main" id="{00000000-0008-0000-0800-000026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615" name="Text Box 943">
          <a:extLst>
            <a:ext uri="{FF2B5EF4-FFF2-40B4-BE49-F238E27FC236}">
              <a16:creationId xmlns:a16="http://schemas.microsoft.com/office/drawing/2014/main" id="{00000000-0008-0000-0800-000027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616" name="Text Box 944">
          <a:extLst>
            <a:ext uri="{FF2B5EF4-FFF2-40B4-BE49-F238E27FC236}">
              <a16:creationId xmlns:a16="http://schemas.microsoft.com/office/drawing/2014/main" id="{00000000-0008-0000-0800-000028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617" name="Text Box 945">
          <a:extLst>
            <a:ext uri="{FF2B5EF4-FFF2-40B4-BE49-F238E27FC236}">
              <a16:creationId xmlns:a16="http://schemas.microsoft.com/office/drawing/2014/main" id="{00000000-0008-0000-0800-000029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618" name="Text Box 946">
          <a:extLst>
            <a:ext uri="{FF2B5EF4-FFF2-40B4-BE49-F238E27FC236}">
              <a16:creationId xmlns:a16="http://schemas.microsoft.com/office/drawing/2014/main" id="{00000000-0008-0000-0800-00002A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619" name="Text Box 947">
          <a:extLst>
            <a:ext uri="{FF2B5EF4-FFF2-40B4-BE49-F238E27FC236}">
              <a16:creationId xmlns:a16="http://schemas.microsoft.com/office/drawing/2014/main" id="{00000000-0008-0000-0800-00002B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620" name="Text Box 948">
          <a:extLst>
            <a:ext uri="{FF2B5EF4-FFF2-40B4-BE49-F238E27FC236}">
              <a16:creationId xmlns:a16="http://schemas.microsoft.com/office/drawing/2014/main" id="{00000000-0008-0000-0800-00002C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621" name="Text Box 949">
          <a:extLst>
            <a:ext uri="{FF2B5EF4-FFF2-40B4-BE49-F238E27FC236}">
              <a16:creationId xmlns:a16="http://schemas.microsoft.com/office/drawing/2014/main" id="{00000000-0008-0000-0800-00002D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622" name="Text Box 950">
          <a:extLst>
            <a:ext uri="{FF2B5EF4-FFF2-40B4-BE49-F238E27FC236}">
              <a16:creationId xmlns:a16="http://schemas.microsoft.com/office/drawing/2014/main" id="{00000000-0008-0000-0800-00002E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623" name="Text Box 951">
          <a:extLst>
            <a:ext uri="{FF2B5EF4-FFF2-40B4-BE49-F238E27FC236}">
              <a16:creationId xmlns:a16="http://schemas.microsoft.com/office/drawing/2014/main" id="{00000000-0008-0000-0800-00002F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624" name="Text Box 952">
          <a:extLst>
            <a:ext uri="{FF2B5EF4-FFF2-40B4-BE49-F238E27FC236}">
              <a16:creationId xmlns:a16="http://schemas.microsoft.com/office/drawing/2014/main" id="{00000000-0008-0000-0800-000030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625" name="Text Box 953">
          <a:extLst>
            <a:ext uri="{FF2B5EF4-FFF2-40B4-BE49-F238E27FC236}">
              <a16:creationId xmlns:a16="http://schemas.microsoft.com/office/drawing/2014/main" id="{00000000-0008-0000-0800-000031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626" name="Text Box 954">
          <a:extLst>
            <a:ext uri="{FF2B5EF4-FFF2-40B4-BE49-F238E27FC236}">
              <a16:creationId xmlns:a16="http://schemas.microsoft.com/office/drawing/2014/main" id="{00000000-0008-0000-0800-000032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627" name="Text Box 955">
          <a:extLst>
            <a:ext uri="{FF2B5EF4-FFF2-40B4-BE49-F238E27FC236}">
              <a16:creationId xmlns:a16="http://schemas.microsoft.com/office/drawing/2014/main" id="{00000000-0008-0000-0800-000033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628" name="Text Box 956">
          <a:extLst>
            <a:ext uri="{FF2B5EF4-FFF2-40B4-BE49-F238E27FC236}">
              <a16:creationId xmlns:a16="http://schemas.microsoft.com/office/drawing/2014/main" id="{00000000-0008-0000-0800-000034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629" name="Text Box 957">
          <a:extLst>
            <a:ext uri="{FF2B5EF4-FFF2-40B4-BE49-F238E27FC236}">
              <a16:creationId xmlns:a16="http://schemas.microsoft.com/office/drawing/2014/main" id="{00000000-0008-0000-0800-000035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630" name="Text Box 958">
          <a:extLst>
            <a:ext uri="{FF2B5EF4-FFF2-40B4-BE49-F238E27FC236}">
              <a16:creationId xmlns:a16="http://schemas.microsoft.com/office/drawing/2014/main" id="{00000000-0008-0000-0800-000036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631" name="Text Box 959">
          <a:extLst>
            <a:ext uri="{FF2B5EF4-FFF2-40B4-BE49-F238E27FC236}">
              <a16:creationId xmlns:a16="http://schemas.microsoft.com/office/drawing/2014/main" id="{00000000-0008-0000-0800-000037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632" name="Text Box 960">
          <a:extLst>
            <a:ext uri="{FF2B5EF4-FFF2-40B4-BE49-F238E27FC236}">
              <a16:creationId xmlns:a16="http://schemas.microsoft.com/office/drawing/2014/main" id="{00000000-0008-0000-0800-000038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633" name="Text Box 961">
          <a:extLst>
            <a:ext uri="{FF2B5EF4-FFF2-40B4-BE49-F238E27FC236}">
              <a16:creationId xmlns:a16="http://schemas.microsoft.com/office/drawing/2014/main" id="{00000000-0008-0000-0800-000039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634" name="Text Box 962">
          <a:extLst>
            <a:ext uri="{FF2B5EF4-FFF2-40B4-BE49-F238E27FC236}">
              <a16:creationId xmlns:a16="http://schemas.microsoft.com/office/drawing/2014/main" id="{00000000-0008-0000-0800-00003A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635" name="Text Box 963">
          <a:extLst>
            <a:ext uri="{FF2B5EF4-FFF2-40B4-BE49-F238E27FC236}">
              <a16:creationId xmlns:a16="http://schemas.microsoft.com/office/drawing/2014/main" id="{00000000-0008-0000-0800-00003B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636" name="Text Box 964">
          <a:extLst>
            <a:ext uri="{FF2B5EF4-FFF2-40B4-BE49-F238E27FC236}">
              <a16:creationId xmlns:a16="http://schemas.microsoft.com/office/drawing/2014/main" id="{00000000-0008-0000-0800-00003C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637" name="Text Box 965">
          <a:extLst>
            <a:ext uri="{FF2B5EF4-FFF2-40B4-BE49-F238E27FC236}">
              <a16:creationId xmlns:a16="http://schemas.microsoft.com/office/drawing/2014/main" id="{00000000-0008-0000-0800-00003D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638" name="Text Box 966">
          <a:extLst>
            <a:ext uri="{FF2B5EF4-FFF2-40B4-BE49-F238E27FC236}">
              <a16:creationId xmlns:a16="http://schemas.microsoft.com/office/drawing/2014/main" id="{00000000-0008-0000-0800-00003E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639" name="Text Box 967">
          <a:extLst>
            <a:ext uri="{FF2B5EF4-FFF2-40B4-BE49-F238E27FC236}">
              <a16:creationId xmlns:a16="http://schemas.microsoft.com/office/drawing/2014/main" id="{00000000-0008-0000-0800-00003F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640" name="Text Box 968">
          <a:extLst>
            <a:ext uri="{FF2B5EF4-FFF2-40B4-BE49-F238E27FC236}">
              <a16:creationId xmlns:a16="http://schemas.microsoft.com/office/drawing/2014/main" id="{00000000-0008-0000-0800-000040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641" name="Text Box 969">
          <a:extLst>
            <a:ext uri="{FF2B5EF4-FFF2-40B4-BE49-F238E27FC236}">
              <a16:creationId xmlns:a16="http://schemas.microsoft.com/office/drawing/2014/main" id="{00000000-0008-0000-0800-000041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642" name="Text Box 970">
          <a:extLst>
            <a:ext uri="{FF2B5EF4-FFF2-40B4-BE49-F238E27FC236}">
              <a16:creationId xmlns:a16="http://schemas.microsoft.com/office/drawing/2014/main" id="{00000000-0008-0000-0800-000042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643" name="Text Box 971">
          <a:extLst>
            <a:ext uri="{FF2B5EF4-FFF2-40B4-BE49-F238E27FC236}">
              <a16:creationId xmlns:a16="http://schemas.microsoft.com/office/drawing/2014/main" id="{00000000-0008-0000-0800-000043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644" name="Text Box 972">
          <a:extLst>
            <a:ext uri="{FF2B5EF4-FFF2-40B4-BE49-F238E27FC236}">
              <a16:creationId xmlns:a16="http://schemas.microsoft.com/office/drawing/2014/main" id="{00000000-0008-0000-0800-000044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645" name="Text Box 973">
          <a:extLst>
            <a:ext uri="{FF2B5EF4-FFF2-40B4-BE49-F238E27FC236}">
              <a16:creationId xmlns:a16="http://schemas.microsoft.com/office/drawing/2014/main" id="{00000000-0008-0000-0800-000045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646" name="Text Box 974">
          <a:extLst>
            <a:ext uri="{FF2B5EF4-FFF2-40B4-BE49-F238E27FC236}">
              <a16:creationId xmlns:a16="http://schemas.microsoft.com/office/drawing/2014/main" id="{00000000-0008-0000-0800-000046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647" name="Text Box 975">
          <a:extLst>
            <a:ext uri="{FF2B5EF4-FFF2-40B4-BE49-F238E27FC236}">
              <a16:creationId xmlns:a16="http://schemas.microsoft.com/office/drawing/2014/main" id="{00000000-0008-0000-0800-000047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648" name="Text Box 976">
          <a:extLst>
            <a:ext uri="{FF2B5EF4-FFF2-40B4-BE49-F238E27FC236}">
              <a16:creationId xmlns:a16="http://schemas.microsoft.com/office/drawing/2014/main" id="{00000000-0008-0000-0800-000048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649" name="Text Box 977">
          <a:extLst>
            <a:ext uri="{FF2B5EF4-FFF2-40B4-BE49-F238E27FC236}">
              <a16:creationId xmlns:a16="http://schemas.microsoft.com/office/drawing/2014/main" id="{00000000-0008-0000-0800-000049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650" name="Text Box 978">
          <a:extLst>
            <a:ext uri="{FF2B5EF4-FFF2-40B4-BE49-F238E27FC236}">
              <a16:creationId xmlns:a16="http://schemas.microsoft.com/office/drawing/2014/main" id="{00000000-0008-0000-0800-00004A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651" name="Text Box 979">
          <a:extLst>
            <a:ext uri="{FF2B5EF4-FFF2-40B4-BE49-F238E27FC236}">
              <a16:creationId xmlns:a16="http://schemas.microsoft.com/office/drawing/2014/main" id="{00000000-0008-0000-0800-00004B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652" name="Text Box 980">
          <a:extLst>
            <a:ext uri="{FF2B5EF4-FFF2-40B4-BE49-F238E27FC236}">
              <a16:creationId xmlns:a16="http://schemas.microsoft.com/office/drawing/2014/main" id="{00000000-0008-0000-0800-00004C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653" name="Text Box 981">
          <a:extLst>
            <a:ext uri="{FF2B5EF4-FFF2-40B4-BE49-F238E27FC236}">
              <a16:creationId xmlns:a16="http://schemas.microsoft.com/office/drawing/2014/main" id="{00000000-0008-0000-0800-00004D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654" name="Text Box 982">
          <a:extLst>
            <a:ext uri="{FF2B5EF4-FFF2-40B4-BE49-F238E27FC236}">
              <a16:creationId xmlns:a16="http://schemas.microsoft.com/office/drawing/2014/main" id="{00000000-0008-0000-0800-00004E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655" name="Text Box 983">
          <a:extLst>
            <a:ext uri="{FF2B5EF4-FFF2-40B4-BE49-F238E27FC236}">
              <a16:creationId xmlns:a16="http://schemas.microsoft.com/office/drawing/2014/main" id="{00000000-0008-0000-0800-00004F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656" name="Text Box 984">
          <a:extLst>
            <a:ext uri="{FF2B5EF4-FFF2-40B4-BE49-F238E27FC236}">
              <a16:creationId xmlns:a16="http://schemas.microsoft.com/office/drawing/2014/main" id="{00000000-0008-0000-0800-000050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657" name="Text Box 985">
          <a:extLst>
            <a:ext uri="{FF2B5EF4-FFF2-40B4-BE49-F238E27FC236}">
              <a16:creationId xmlns:a16="http://schemas.microsoft.com/office/drawing/2014/main" id="{00000000-0008-0000-0800-000051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658" name="Text Box 986">
          <a:extLst>
            <a:ext uri="{FF2B5EF4-FFF2-40B4-BE49-F238E27FC236}">
              <a16:creationId xmlns:a16="http://schemas.microsoft.com/office/drawing/2014/main" id="{00000000-0008-0000-0800-000052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659" name="Text Box 987">
          <a:extLst>
            <a:ext uri="{FF2B5EF4-FFF2-40B4-BE49-F238E27FC236}">
              <a16:creationId xmlns:a16="http://schemas.microsoft.com/office/drawing/2014/main" id="{00000000-0008-0000-0800-000053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660" name="Text Box 988">
          <a:extLst>
            <a:ext uri="{FF2B5EF4-FFF2-40B4-BE49-F238E27FC236}">
              <a16:creationId xmlns:a16="http://schemas.microsoft.com/office/drawing/2014/main" id="{00000000-0008-0000-0800-000054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661" name="Text Box 989">
          <a:extLst>
            <a:ext uri="{FF2B5EF4-FFF2-40B4-BE49-F238E27FC236}">
              <a16:creationId xmlns:a16="http://schemas.microsoft.com/office/drawing/2014/main" id="{00000000-0008-0000-0800-000055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662" name="Text Box 990">
          <a:extLst>
            <a:ext uri="{FF2B5EF4-FFF2-40B4-BE49-F238E27FC236}">
              <a16:creationId xmlns:a16="http://schemas.microsoft.com/office/drawing/2014/main" id="{00000000-0008-0000-0800-000056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663" name="Text Box 991">
          <a:extLst>
            <a:ext uri="{FF2B5EF4-FFF2-40B4-BE49-F238E27FC236}">
              <a16:creationId xmlns:a16="http://schemas.microsoft.com/office/drawing/2014/main" id="{00000000-0008-0000-0800-000057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664" name="Text Box 992">
          <a:extLst>
            <a:ext uri="{FF2B5EF4-FFF2-40B4-BE49-F238E27FC236}">
              <a16:creationId xmlns:a16="http://schemas.microsoft.com/office/drawing/2014/main" id="{00000000-0008-0000-0800-000058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665" name="Text Box 993">
          <a:extLst>
            <a:ext uri="{FF2B5EF4-FFF2-40B4-BE49-F238E27FC236}">
              <a16:creationId xmlns:a16="http://schemas.microsoft.com/office/drawing/2014/main" id="{00000000-0008-0000-0800-000059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666" name="Text Box 994">
          <a:extLst>
            <a:ext uri="{FF2B5EF4-FFF2-40B4-BE49-F238E27FC236}">
              <a16:creationId xmlns:a16="http://schemas.microsoft.com/office/drawing/2014/main" id="{00000000-0008-0000-0800-00005A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667" name="Text Box 995">
          <a:extLst>
            <a:ext uri="{FF2B5EF4-FFF2-40B4-BE49-F238E27FC236}">
              <a16:creationId xmlns:a16="http://schemas.microsoft.com/office/drawing/2014/main" id="{00000000-0008-0000-0800-00005B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668" name="Text Box 996">
          <a:extLst>
            <a:ext uri="{FF2B5EF4-FFF2-40B4-BE49-F238E27FC236}">
              <a16:creationId xmlns:a16="http://schemas.microsoft.com/office/drawing/2014/main" id="{00000000-0008-0000-0800-00005C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669" name="Text Box 997">
          <a:extLst>
            <a:ext uri="{FF2B5EF4-FFF2-40B4-BE49-F238E27FC236}">
              <a16:creationId xmlns:a16="http://schemas.microsoft.com/office/drawing/2014/main" id="{00000000-0008-0000-0800-00005D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670" name="Text Box 998">
          <a:extLst>
            <a:ext uri="{FF2B5EF4-FFF2-40B4-BE49-F238E27FC236}">
              <a16:creationId xmlns:a16="http://schemas.microsoft.com/office/drawing/2014/main" id="{00000000-0008-0000-0800-00005E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671" name="Text Box 999">
          <a:extLst>
            <a:ext uri="{FF2B5EF4-FFF2-40B4-BE49-F238E27FC236}">
              <a16:creationId xmlns:a16="http://schemas.microsoft.com/office/drawing/2014/main" id="{00000000-0008-0000-0800-00005F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672" name="Text Box 1000">
          <a:extLst>
            <a:ext uri="{FF2B5EF4-FFF2-40B4-BE49-F238E27FC236}">
              <a16:creationId xmlns:a16="http://schemas.microsoft.com/office/drawing/2014/main" id="{00000000-0008-0000-0800-000060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673" name="Text Box 1001">
          <a:extLst>
            <a:ext uri="{FF2B5EF4-FFF2-40B4-BE49-F238E27FC236}">
              <a16:creationId xmlns:a16="http://schemas.microsoft.com/office/drawing/2014/main" id="{00000000-0008-0000-0800-000061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674" name="Text Box 1002">
          <a:extLst>
            <a:ext uri="{FF2B5EF4-FFF2-40B4-BE49-F238E27FC236}">
              <a16:creationId xmlns:a16="http://schemas.microsoft.com/office/drawing/2014/main" id="{00000000-0008-0000-0800-000062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675" name="Text Box 1003">
          <a:extLst>
            <a:ext uri="{FF2B5EF4-FFF2-40B4-BE49-F238E27FC236}">
              <a16:creationId xmlns:a16="http://schemas.microsoft.com/office/drawing/2014/main" id="{00000000-0008-0000-0800-000063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676" name="Text Box 1004">
          <a:extLst>
            <a:ext uri="{FF2B5EF4-FFF2-40B4-BE49-F238E27FC236}">
              <a16:creationId xmlns:a16="http://schemas.microsoft.com/office/drawing/2014/main" id="{00000000-0008-0000-0800-000064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677" name="Text Box 1005">
          <a:extLst>
            <a:ext uri="{FF2B5EF4-FFF2-40B4-BE49-F238E27FC236}">
              <a16:creationId xmlns:a16="http://schemas.microsoft.com/office/drawing/2014/main" id="{00000000-0008-0000-0800-000065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678" name="Text Box 1006">
          <a:extLst>
            <a:ext uri="{FF2B5EF4-FFF2-40B4-BE49-F238E27FC236}">
              <a16:creationId xmlns:a16="http://schemas.microsoft.com/office/drawing/2014/main" id="{00000000-0008-0000-0800-000066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679" name="Text Box 1007">
          <a:extLst>
            <a:ext uri="{FF2B5EF4-FFF2-40B4-BE49-F238E27FC236}">
              <a16:creationId xmlns:a16="http://schemas.microsoft.com/office/drawing/2014/main" id="{00000000-0008-0000-0800-000067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680" name="Text Box 1008">
          <a:extLst>
            <a:ext uri="{FF2B5EF4-FFF2-40B4-BE49-F238E27FC236}">
              <a16:creationId xmlns:a16="http://schemas.microsoft.com/office/drawing/2014/main" id="{00000000-0008-0000-0800-000068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681" name="Text Box 1009">
          <a:extLst>
            <a:ext uri="{FF2B5EF4-FFF2-40B4-BE49-F238E27FC236}">
              <a16:creationId xmlns:a16="http://schemas.microsoft.com/office/drawing/2014/main" id="{00000000-0008-0000-0800-000069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682" name="Text Box 1010">
          <a:extLst>
            <a:ext uri="{FF2B5EF4-FFF2-40B4-BE49-F238E27FC236}">
              <a16:creationId xmlns:a16="http://schemas.microsoft.com/office/drawing/2014/main" id="{00000000-0008-0000-0800-00006A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683" name="Text Box 1011">
          <a:extLst>
            <a:ext uri="{FF2B5EF4-FFF2-40B4-BE49-F238E27FC236}">
              <a16:creationId xmlns:a16="http://schemas.microsoft.com/office/drawing/2014/main" id="{00000000-0008-0000-0800-00006B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684" name="Text Box 1012">
          <a:extLst>
            <a:ext uri="{FF2B5EF4-FFF2-40B4-BE49-F238E27FC236}">
              <a16:creationId xmlns:a16="http://schemas.microsoft.com/office/drawing/2014/main" id="{00000000-0008-0000-0800-00006C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685" name="Text Box 1013">
          <a:extLst>
            <a:ext uri="{FF2B5EF4-FFF2-40B4-BE49-F238E27FC236}">
              <a16:creationId xmlns:a16="http://schemas.microsoft.com/office/drawing/2014/main" id="{00000000-0008-0000-0800-00006D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686" name="Text Box 1014">
          <a:extLst>
            <a:ext uri="{FF2B5EF4-FFF2-40B4-BE49-F238E27FC236}">
              <a16:creationId xmlns:a16="http://schemas.microsoft.com/office/drawing/2014/main" id="{00000000-0008-0000-0800-00006E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687" name="Text Box 1015">
          <a:extLst>
            <a:ext uri="{FF2B5EF4-FFF2-40B4-BE49-F238E27FC236}">
              <a16:creationId xmlns:a16="http://schemas.microsoft.com/office/drawing/2014/main" id="{00000000-0008-0000-0800-00006F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688" name="Text Box 1016">
          <a:extLst>
            <a:ext uri="{FF2B5EF4-FFF2-40B4-BE49-F238E27FC236}">
              <a16:creationId xmlns:a16="http://schemas.microsoft.com/office/drawing/2014/main" id="{00000000-0008-0000-0800-000070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689" name="Text Box 1017">
          <a:extLst>
            <a:ext uri="{FF2B5EF4-FFF2-40B4-BE49-F238E27FC236}">
              <a16:creationId xmlns:a16="http://schemas.microsoft.com/office/drawing/2014/main" id="{00000000-0008-0000-0800-000071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690" name="Text Box 1018">
          <a:extLst>
            <a:ext uri="{FF2B5EF4-FFF2-40B4-BE49-F238E27FC236}">
              <a16:creationId xmlns:a16="http://schemas.microsoft.com/office/drawing/2014/main" id="{00000000-0008-0000-0800-000072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691" name="Text Box 1019">
          <a:extLst>
            <a:ext uri="{FF2B5EF4-FFF2-40B4-BE49-F238E27FC236}">
              <a16:creationId xmlns:a16="http://schemas.microsoft.com/office/drawing/2014/main" id="{00000000-0008-0000-0800-000073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692" name="Text Box 1020">
          <a:extLst>
            <a:ext uri="{FF2B5EF4-FFF2-40B4-BE49-F238E27FC236}">
              <a16:creationId xmlns:a16="http://schemas.microsoft.com/office/drawing/2014/main" id="{00000000-0008-0000-0800-000074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693" name="Text Box 1021">
          <a:extLst>
            <a:ext uri="{FF2B5EF4-FFF2-40B4-BE49-F238E27FC236}">
              <a16:creationId xmlns:a16="http://schemas.microsoft.com/office/drawing/2014/main" id="{00000000-0008-0000-0800-000075D1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694" name="Text Box 1022">
          <a:extLst>
            <a:ext uri="{FF2B5EF4-FFF2-40B4-BE49-F238E27FC236}">
              <a16:creationId xmlns:a16="http://schemas.microsoft.com/office/drawing/2014/main" id="{00000000-0008-0000-0800-000076D1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695" name="Text Box 1023">
          <a:extLst>
            <a:ext uri="{FF2B5EF4-FFF2-40B4-BE49-F238E27FC236}">
              <a16:creationId xmlns:a16="http://schemas.microsoft.com/office/drawing/2014/main" id="{00000000-0008-0000-0800-000077D1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696" name="Text Box 1024">
          <a:extLst>
            <a:ext uri="{FF2B5EF4-FFF2-40B4-BE49-F238E27FC236}">
              <a16:creationId xmlns:a16="http://schemas.microsoft.com/office/drawing/2014/main" id="{00000000-0008-0000-0800-000078D1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697" name="Text Box 1025">
          <a:extLst>
            <a:ext uri="{FF2B5EF4-FFF2-40B4-BE49-F238E27FC236}">
              <a16:creationId xmlns:a16="http://schemas.microsoft.com/office/drawing/2014/main" id="{00000000-0008-0000-0800-000079D1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698" name="Text Box 1026">
          <a:extLst>
            <a:ext uri="{FF2B5EF4-FFF2-40B4-BE49-F238E27FC236}">
              <a16:creationId xmlns:a16="http://schemas.microsoft.com/office/drawing/2014/main" id="{00000000-0008-0000-0800-00007AD1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699" name="Text Box 1027">
          <a:extLst>
            <a:ext uri="{FF2B5EF4-FFF2-40B4-BE49-F238E27FC236}">
              <a16:creationId xmlns:a16="http://schemas.microsoft.com/office/drawing/2014/main" id="{00000000-0008-0000-0800-00007BD1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700" name="Text Box 1028">
          <a:extLst>
            <a:ext uri="{FF2B5EF4-FFF2-40B4-BE49-F238E27FC236}">
              <a16:creationId xmlns:a16="http://schemas.microsoft.com/office/drawing/2014/main" id="{00000000-0008-0000-0800-00007CD1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701" name="Text Box 1029">
          <a:extLst>
            <a:ext uri="{FF2B5EF4-FFF2-40B4-BE49-F238E27FC236}">
              <a16:creationId xmlns:a16="http://schemas.microsoft.com/office/drawing/2014/main" id="{00000000-0008-0000-0800-00007DD1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702" name="Text Box 1030">
          <a:extLst>
            <a:ext uri="{FF2B5EF4-FFF2-40B4-BE49-F238E27FC236}">
              <a16:creationId xmlns:a16="http://schemas.microsoft.com/office/drawing/2014/main" id="{00000000-0008-0000-0800-00007ED1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703" name="Text Box 1031">
          <a:extLst>
            <a:ext uri="{FF2B5EF4-FFF2-40B4-BE49-F238E27FC236}">
              <a16:creationId xmlns:a16="http://schemas.microsoft.com/office/drawing/2014/main" id="{00000000-0008-0000-0800-00007FD1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704" name="Text Box 1032">
          <a:extLst>
            <a:ext uri="{FF2B5EF4-FFF2-40B4-BE49-F238E27FC236}">
              <a16:creationId xmlns:a16="http://schemas.microsoft.com/office/drawing/2014/main" id="{00000000-0008-0000-0800-000080D1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705" name="Text Box 1033">
          <a:extLst>
            <a:ext uri="{FF2B5EF4-FFF2-40B4-BE49-F238E27FC236}">
              <a16:creationId xmlns:a16="http://schemas.microsoft.com/office/drawing/2014/main" id="{00000000-0008-0000-0800-000081D1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706" name="Text Box 1034">
          <a:extLst>
            <a:ext uri="{FF2B5EF4-FFF2-40B4-BE49-F238E27FC236}">
              <a16:creationId xmlns:a16="http://schemas.microsoft.com/office/drawing/2014/main" id="{00000000-0008-0000-0800-000082D1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707" name="Text Box 1035">
          <a:extLst>
            <a:ext uri="{FF2B5EF4-FFF2-40B4-BE49-F238E27FC236}">
              <a16:creationId xmlns:a16="http://schemas.microsoft.com/office/drawing/2014/main" id="{00000000-0008-0000-0800-000083D1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708" name="Text Box 1036">
          <a:extLst>
            <a:ext uri="{FF2B5EF4-FFF2-40B4-BE49-F238E27FC236}">
              <a16:creationId xmlns:a16="http://schemas.microsoft.com/office/drawing/2014/main" id="{00000000-0008-0000-0800-000084D1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709" name="Text Box 1037">
          <a:extLst>
            <a:ext uri="{FF2B5EF4-FFF2-40B4-BE49-F238E27FC236}">
              <a16:creationId xmlns:a16="http://schemas.microsoft.com/office/drawing/2014/main" id="{00000000-0008-0000-0800-000085D1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710" name="Text Box 1038">
          <a:extLst>
            <a:ext uri="{FF2B5EF4-FFF2-40B4-BE49-F238E27FC236}">
              <a16:creationId xmlns:a16="http://schemas.microsoft.com/office/drawing/2014/main" id="{00000000-0008-0000-0800-000086D1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711" name="Text Box 1039">
          <a:extLst>
            <a:ext uri="{FF2B5EF4-FFF2-40B4-BE49-F238E27FC236}">
              <a16:creationId xmlns:a16="http://schemas.microsoft.com/office/drawing/2014/main" id="{00000000-0008-0000-0800-000087D1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712" name="Text Box 1040">
          <a:extLst>
            <a:ext uri="{FF2B5EF4-FFF2-40B4-BE49-F238E27FC236}">
              <a16:creationId xmlns:a16="http://schemas.microsoft.com/office/drawing/2014/main" id="{00000000-0008-0000-0800-000088D1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713" name="Text Box 1041">
          <a:extLst>
            <a:ext uri="{FF2B5EF4-FFF2-40B4-BE49-F238E27FC236}">
              <a16:creationId xmlns:a16="http://schemas.microsoft.com/office/drawing/2014/main" id="{00000000-0008-0000-0800-000089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714" name="Text Box 1042">
          <a:extLst>
            <a:ext uri="{FF2B5EF4-FFF2-40B4-BE49-F238E27FC236}">
              <a16:creationId xmlns:a16="http://schemas.microsoft.com/office/drawing/2014/main" id="{00000000-0008-0000-0800-00008A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715" name="Text Box 1043">
          <a:extLst>
            <a:ext uri="{FF2B5EF4-FFF2-40B4-BE49-F238E27FC236}">
              <a16:creationId xmlns:a16="http://schemas.microsoft.com/office/drawing/2014/main" id="{00000000-0008-0000-0800-00008B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716" name="Text Box 1044">
          <a:extLst>
            <a:ext uri="{FF2B5EF4-FFF2-40B4-BE49-F238E27FC236}">
              <a16:creationId xmlns:a16="http://schemas.microsoft.com/office/drawing/2014/main" id="{00000000-0008-0000-0800-00008C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717" name="Text Box 1045">
          <a:extLst>
            <a:ext uri="{FF2B5EF4-FFF2-40B4-BE49-F238E27FC236}">
              <a16:creationId xmlns:a16="http://schemas.microsoft.com/office/drawing/2014/main" id="{00000000-0008-0000-0800-00008D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718" name="Text Box 1046">
          <a:extLst>
            <a:ext uri="{FF2B5EF4-FFF2-40B4-BE49-F238E27FC236}">
              <a16:creationId xmlns:a16="http://schemas.microsoft.com/office/drawing/2014/main" id="{00000000-0008-0000-0800-00008E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719" name="Text Box 1047">
          <a:extLst>
            <a:ext uri="{FF2B5EF4-FFF2-40B4-BE49-F238E27FC236}">
              <a16:creationId xmlns:a16="http://schemas.microsoft.com/office/drawing/2014/main" id="{00000000-0008-0000-0800-00008F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720" name="Text Box 1048">
          <a:extLst>
            <a:ext uri="{FF2B5EF4-FFF2-40B4-BE49-F238E27FC236}">
              <a16:creationId xmlns:a16="http://schemas.microsoft.com/office/drawing/2014/main" id="{00000000-0008-0000-0800-000090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721" name="Text Box 1049">
          <a:extLst>
            <a:ext uri="{FF2B5EF4-FFF2-40B4-BE49-F238E27FC236}">
              <a16:creationId xmlns:a16="http://schemas.microsoft.com/office/drawing/2014/main" id="{00000000-0008-0000-0800-000091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722" name="Text Box 1050">
          <a:extLst>
            <a:ext uri="{FF2B5EF4-FFF2-40B4-BE49-F238E27FC236}">
              <a16:creationId xmlns:a16="http://schemas.microsoft.com/office/drawing/2014/main" id="{00000000-0008-0000-0800-000092D1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723" name="Text Box 1051">
          <a:extLst>
            <a:ext uri="{FF2B5EF4-FFF2-40B4-BE49-F238E27FC236}">
              <a16:creationId xmlns:a16="http://schemas.microsoft.com/office/drawing/2014/main" id="{00000000-0008-0000-0800-000093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724" name="Text Box 1052">
          <a:extLst>
            <a:ext uri="{FF2B5EF4-FFF2-40B4-BE49-F238E27FC236}">
              <a16:creationId xmlns:a16="http://schemas.microsoft.com/office/drawing/2014/main" id="{00000000-0008-0000-0800-000094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725" name="Text Box 1053">
          <a:extLst>
            <a:ext uri="{FF2B5EF4-FFF2-40B4-BE49-F238E27FC236}">
              <a16:creationId xmlns:a16="http://schemas.microsoft.com/office/drawing/2014/main" id="{00000000-0008-0000-0800-000095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726" name="Text Box 1054">
          <a:extLst>
            <a:ext uri="{FF2B5EF4-FFF2-40B4-BE49-F238E27FC236}">
              <a16:creationId xmlns:a16="http://schemas.microsoft.com/office/drawing/2014/main" id="{00000000-0008-0000-0800-000096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727" name="Text Box 1055">
          <a:extLst>
            <a:ext uri="{FF2B5EF4-FFF2-40B4-BE49-F238E27FC236}">
              <a16:creationId xmlns:a16="http://schemas.microsoft.com/office/drawing/2014/main" id="{00000000-0008-0000-0800-000097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728" name="Text Box 1056">
          <a:extLst>
            <a:ext uri="{FF2B5EF4-FFF2-40B4-BE49-F238E27FC236}">
              <a16:creationId xmlns:a16="http://schemas.microsoft.com/office/drawing/2014/main" id="{00000000-0008-0000-0800-000098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729" name="Text Box 1057">
          <a:extLst>
            <a:ext uri="{FF2B5EF4-FFF2-40B4-BE49-F238E27FC236}">
              <a16:creationId xmlns:a16="http://schemas.microsoft.com/office/drawing/2014/main" id="{00000000-0008-0000-0800-000099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730" name="Text Box 1058">
          <a:extLst>
            <a:ext uri="{FF2B5EF4-FFF2-40B4-BE49-F238E27FC236}">
              <a16:creationId xmlns:a16="http://schemas.microsoft.com/office/drawing/2014/main" id="{00000000-0008-0000-0800-00009A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731" name="Text Box 1059">
          <a:extLst>
            <a:ext uri="{FF2B5EF4-FFF2-40B4-BE49-F238E27FC236}">
              <a16:creationId xmlns:a16="http://schemas.microsoft.com/office/drawing/2014/main" id="{00000000-0008-0000-0800-00009B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732" name="Text Box 1060">
          <a:extLst>
            <a:ext uri="{FF2B5EF4-FFF2-40B4-BE49-F238E27FC236}">
              <a16:creationId xmlns:a16="http://schemas.microsoft.com/office/drawing/2014/main" id="{00000000-0008-0000-0800-00009CD1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733" name="Text Box 1061">
          <a:extLst>
            <a:ext uri="{FF2B5EF4-FFF2-40B4-BE49-F238E27FC236}">
              <a16:creationId xmlns:a16="http://schemas.microsoft.com/office/drawing/2014/main" id="{00000000-0008-0000-0800-00009D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734" name="Text Box 1062">
          <a:extLst>
            <a:ext uri="{FF2B5EF4-FFF2-40B4-BE49-F238E27FC236}">
              <a16:creationId xmlns:a16="http://schemas.microsoft.com/office/drawing/2014/main" id="{00000000-0008-0000-0800-00009E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735" name="Text Box 1063">
          <a:extLst>
            <a:ext uri="{FF2B5EF4-FFF2-40B4-BE49-F238E27FC236}">
              <a16:creationId xmlns:a16="http://schemas.microsoft.com/office/drawing/2014/main" id="{00000000-0008-0000-0800-00009F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736" name="Text Box 1064">
          <a:extLst>
            <a:ext uri="{FF2B5EF4-FFF2-40B4-BE49-F238E27FC236}">
              <a16:creationId xmlns:a16="http://schemas.microsoft.com/office/drawing/2014/main" id="{00000000-0008-0000-0800-0000A0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737" name="Text Box 1065">
          <a:extLst>
            <a:ext uri="{FF2B5EF4-FFF2-40B4-BE49-F238E27FC236}">
              <a16:creationId xmlns:a16="http://schemas.microsoft.com/office/drawing/2014/main" id="{00000000-0008-0000-0800-0000A1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738" name="Text Box 1066">
          <a:extLst>
            <a:ext uri="{FF2B5EF4-FFF2-40B4-BE49-F238E27FC236}">
              <a16:creationId xmlns:a16="http://schemas.microsoft.com/office/drawing/2014/main" id="{00000000-0008-0000-0800-0000A2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739" name="Text Box 1067">
          <a:extLst>
            <a:ext uri="{FF2B5EF4-FFF2-40B4-BE49-F238E27FC236}">
              <a16:creationId xmlns:a16="http://schemas.microsoft.com/office/drawing/2014/main" id="{00000000-0008-0000-0800-0000A3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740" name="Text Box 1068">
          <a:extLst>
            <a:ext uri="{FF2B5EF4-FFF2-40B4-BE49-F238E27FC236}">
              <a16:creationId xmlns:a16="http://schemas.microsoft.com/office/drawing/2014/main" id="{00000000-0008-0000-0800-0000A4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741" name="Text Box 1069">
          <a:extLst>
            <a:ext uri="{FF2B5EF4-FFF2-40B4-BE49-F238E27FC236}">
              <a16:creationId xmlns:a16="http://schemas.microsoft.com/office/drawing/2014/main" id="{00000000-0008-0000-0800-0000A5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742" name="Text Box 1070">
          <a:extLst>
            <a:ext uri="{FF2B5EF4-FFF2-40B4-BE49-F238E27FC236}">
              <a16:creationId xmlns:a16="http://schemas.microsoft.com/office/drawing/2014/main" id="{00000000-0008-0000-0800-0000A6D1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743" name="Text Box 1071">
          <a:extLst>
            <a:ext uri="{FF2B5EF4-FFF2-40B4-BE49-F238E27FC236}">
              <a16:creationId xmlns:a16="http://schemas.microsoft.com/office/drawing/2014/main" id="{00000000-0008-0000-0800-0000A7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744" name="Text Box 1072">
          <a:extLst>
            <a:ext uri="{FF2B5EF4-FFF2-40B4-BE49-F238E27FC236}">
              <a16:creationId xmlns:a16="http://schemas.microsoft.com/office/drawing/2014/main" id="{00000000-0008-0000-0800-0000A8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745" name="Text Box 1073">
          <a:extLst>
            <a:ext uri="{FF2B5EF4-FFF2-40B4-BE49-F238E27FC236}">
              <a16:creationId xmlns:a16="http://schemas.microsoft.com/office/drawing/2014/main" id="{00000000-0008-0000-0800-0000A9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746" name="Text Box 1074">
          <a:extLst>
            <a:ext uri="{FF2B5EF4-FFF2-40B4-BE49-F238E27FC236}">
              <a16:creationId xmlns:a16="http://schemas.microsoft.com/office/drawing/2014/main" id="{00000000-0008-0000-0800-0000AA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747" name="Text Box 1075">
          <a:extLst>
            <a:ext uri="{FF2B5EF4-FFF2-40B4-BE49-F238E27FC236}">
              <a16:creationId xmlns:a16="http://schemas.microsoft.com/office/drawing/2014/main" id="{00000000-0008-0000-0800-0000AB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748" name="Text Box 1076">
          <a:extLst>
            <a:ext uri="{FF2B5EF4-FFF2-40B4-BE49-F238E27FC236}">
              <a16:creationId xmlns:a16="http://schemas.microsoft.com/office/drawing/2014/main" id="{00000000-0008-0000-0800-0000AC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749" name="Text Box 1077">
          <a:extLst>
            <a:ext uri="{FF2B5EF4-FFF2-40B4-BE49-F238E27FC236}">
              <a16:creationId xmlns:a16="http://schemas.microsoft.com/office/drawing/2014/main" id="{00000000-0008-0000-0800-0000AD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750" name="Text Box 1078">
          <a:extLst>
            <a:ext uri="{FF2B5EF4-FFF2-40B4-BE49-F238E27FC236}">
              <a16:creationId xmlns:a16="http://schemas.microsoft.com/office/drawing/2014/main" id="{00000000-0008-0000-0800-0000AE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751" name="Text Box 1079">
          <a:extLst>
            <a:ext uri="{FF2B5EF4-FFF2-40B4-BE49-F238E27FC236}">
              <a16:creationId xmlns:a16="http://schemas.microsoft.com/office/drawing/2014/main" id="{00000000-0008-0000-0800-0000AF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752" name="Text Box 1080">
          <a:extLst>
            <a:ext uri="{FF2B5EF4-FFF2-40B4-BE49-F238E27FC236}">
              <a16:creationId xmlns:a16="http://schemas.microsoft.com/office/drawing/2014/main" id="{00000000-0008-0000-0800-0000B0D1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753" name="Text Box 1081">
          <a:extLst>
            <a:ext uri="{FF2B5EF4-FFF2-40B4-BE49-F238E27FC236}">
              <a16:creationId xmlns:a16="http://schemas.microsoft.com/office/drawing/2014/main" id="{00000000-0008-0000-0800-0000B1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754" name="Text Box 1082">
          <a:extLst>
            <a:ext uri="{FF2B5EF4-FFF2-40B4-BE49-F238E27FC236}">
              <a16:creationId xmlns:a16="http://schemas.microsoft.com/office/drawing/2014/main" id="{00000000-0008-0000-0800-0000B2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755" name="Text Box 1083">
          <a:extLst>
            <a:ext uri="{FF2B5EF4-FFF2-40B4-BE49-F238E27FC236}">
              <a16:creationId xmlns:a16="http://schemas.microsoft.com/office/drawing/2014/main" id="{00000000-0008-0000-0800-0000B3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756" name="Text Box 1084">
          <a:extLst>
            <a:ext uri="{FF2B5EF4-FFF2-40B4-BE49-F238E27FC236}">
              <a16:creationId xmlns:a16="http://schemas.microsoft.com/office/drawing/2014/main" id="{00000000-0008-0000-0800-0000B4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757" name="Text Box 1085">
          <a:extLst>
            <a:ext uri="{FF2B5EF4-FFF2-40B4-BE49-F238E27FC236}">
              <a16:creationId xmlns:a16="http://schemas.microsoft.com/office/drawing/2014/main" id="{00000000-0008-0000-0800-0000B5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758" name="Text Box 1086">
          <a:extLst>
            <a:ext uri="{FF2B5EF4-FFF2-40B4-BE49-F238E27FC236}">
              <a16:creationId xmlns:a16="http://schemas.microsoft.com/office/drawing/2014/main" id="{00000000-0008-0000-0800-0000B6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759" name="Text Box 1087">
          <a:extLst>
            <a:ext uri="{FF2B5EF4-FFF2-40B4-BE49-F238E27FC236}">
              <a16:creationId xmlns:a16="http://schemas.microsoft.com/office/drawing/2014/main" id="{00000000-0008-0000-0800-0000B7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760" name="Text Box 1088">
          <a:extLst>
            <a:ext uri="{FF2B5EF4-FFF2-40B4-BE49-F238E27FC236}">
              <a16:creationId xmlns:a16="http://schemas.microsoft.com/office/drawing/2014/main" id="{00000000-0008-0000-0800-0000B8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761" name="Text Box 1089">
          <a:extLst>
            <a:ext uri="{FF2B5EF4-FFF2-40B4-BE49-F238E27FC236}">
              <a16:creationId xmlns:a16="http://schemas.microsoft.com/office/drawing/2014/main" id="{00000000-0008-0000-0800-0000B9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762" name="Text Box 1090">
          <a:extLst>
            <a:ext uri="{FF2B5EF4-FFF2-40B4-BE49-F238E27FC236}">
              <a16:creationId xmlns:a16="http://schemas.microsoft.com/office/drawing/2014/main" id="{00000000-0008-0000-0800-0000BAD1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763" name="Text Box 1091">
          <a:extLst>
            <a:ext uri="{FF2B5EF4-FFF2-40B4-BE49-F238E27FC236}">
              <a16:creationId xmlns:a16="http://schemas.microsoft.com/office/drawing/2014/main" id="{00000000-0008-0000-0800-0000BB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764" name="Text Box 1092">
          <a:extLst>
            <a:ext uri="{FF2B5EF4-FFF2-40B4-BE49-F238E27FC236}">
              <a16:creationId xmlns:a16="http://schemas.microsoft.com/office/drawing/2014/main" id="{00000000-0008-0000-0800-0000BC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765" name="Text Box 1093">
          <a:extLst>
            <a:ext uri="{FF2B5EF4-FFF2-40B4-BE49-F238E27FC236}">
              <a16:creationId xmlns:a16="http://schemas.microsoft.com/office/drawing/2014/main" id="{00000000-0008-0000-0800-0000BD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766" name="Text Box 1094">
          <a:extLst>
            <a:ext uri="{FF2B5EF4-FFF2-40B4-BE49-F238E27FC236}">
              <a16:creationId xmlns:a16="http://schemas.microsoft.com/office/drawing/2014/main" id="{00000000-0008-0000-0800-0000BE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767" name="Text Box 1095">
          <a:extLst>
            <a:ext uri="{FF2B5EF4-FFF2-40B4-BE49-F238E27FC236}">
              <a16:creationId xmlns:a16="http://schemas.microsoft.com/office/drawing/2014/main" id="{00000000-0008-0000-0800-0000BF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768" name="Text Box 1096">
          <a:extLst>
            <a:ext uri="{FF2B5EF4-FFF2-40B4-BE49-F238E27FC236}">
              <a16:creationId xmlns:a16="http://schemas.microsoft.com/office/drawing/2014/main" id="{00000000-0008-0000-0800-0000C0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769" name="Text Box 1097">
          <a:extLst>
            <a:ext uri="{FF2B5EF4-FFF2-40B4-BE49-F238E27FC236}">
              <a16:creationId xmlns:a16="http://schemas.microsoft.com/office/drawing/2014/main" id="{00000000-0008-0000-0800-0000C1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770" name="Text Box 1098">
          <a:extLst>
            <a:ext uri="{FF2B5EF4-FFF2-40B4-BE49-F238E27FC236}">
              <a16:creationId xmlns:a16="http://schemas.microsoft.com/office/drawing/2014/main" id="{00000000-0008-0000-0800-0000C2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771" name="Text Box 1099">
          <a:extLst>
            <a:ext uri="{FF2B5EF4-FFF2-40B4-BE49-F238E27FC236}">
              <a16:creationId xmlns:a16="http://schemas.microsoft.com/office/drawing/2014/main" id="{00000000-0008-0000-0800-0000C3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772" name="Text Box 1100">
          <a:extLst>
            <a:ext uri="{FF2B5EF4-FFF2-40B4-BE49-F238E27FC236}">
              <a16:creationId xmlns:a16="http://schemas.microsoft.com/office/drawing/2014/main" id="{00000000-0008-0000-0800-0000C4D1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773" name="Text Box 1101">
          <a:extLst>
            <a:ext uri="{FF2B5EF4-FFF2-40B4-BE49-F238E27FC236}">
              <a16:creationId xmlns:a16="http://schemas.microsoft.com/office/drawing/2014/main" id="{00000000-0008-0000-0800-0000C5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774" name="Text Box 1102">
          <a:extLst>
            <a:ext uri="{FF2B5EF4-FFF2-40B4-BE49-F238E27FC236}">
              <a16:creationId xmlns:a16="http://schemas.microsoft.com/office/drawing/2014/main" id="{00000000-0008-0000-0800-0000C6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775" name="Text Box 1103">
          <a:extLst>
            <a:ext uri="{FF2B5EF4-FFF2-40B4-BE49-F238E27FC236}">
              <a16:creationId xmlns:a16="http://schemas.microsoft.com/office/drawing/2014/main" id="{00000000-0008-0000-0800-0000C7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776" name="Text Box 1104">
          <a:extLst>
            <a:ext uri="{FF2B5EF4-FFF2-40B4-BE49-F238E27FC236}">
              <a16:creationId xmlns:a16="http://schemas.microsoft.com/office/drawing/2014/main" id="{00000000-0008-0000-0800-0000C8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777" name="Text Box 1105">
          <a:extLst>
            <a:ext uri="{FF2B5EF4-FFF2-40B4-BE49-F238E27FC236}">
              <a16:creationId xmlns:a16="http://schemas.microsoft.com/office/drawing/2014/main" id="{00000000-0008-0000-0800-0000C9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778" name="Text Box 1106">
          <a:extLst>
            <a:ext uri="{FF2B5EF4-FFF2-40B4-BE49-F238E27FC236}">
              <a16:creationId xmlns:a16="http://schemas.microsoft.com/office/drawing/2014/main" id="{00000000-0008-0000-0800-0000CA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779" name="Text Box 1107">
          <a:extLst>
            <a:ext uri="{FF2B5EF4-FFF2-40B4-BE49-F238E27FC236}">
              <a16:creationId xmlns:a16="http://schemas.microsoft.com/office/drawing/2014/main" id="{00000000-0008-0000-0800-0000CB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780" name="Text Box 1108">
          <a:extLst>
            <a:ext uri="{FF2B5EF4-FFF2-40B4-BE49-F238E27FC236}">
              <a16:creationId xmlns:a16="http://schemas.microsoft.com/office/drawing/2014/main" id="{00000000-0008-0000-0800-0000CC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781" name="Text Box 1109">
          <a:extLst>
            <a:ext uri="{FF2B5EF4-FFF2-40B4-BE49-F238E27FC236}">
              <a16:creationId xmlns:a16="http://schemas.microsoft.com/office/drawing/2014/main" id="{00000000-0008-0000-0800-0000CD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782" name="Text Box 1110">
          <a:extLst>
            <a:ext uri="{FF2B5EF4-FFF2-40B4-BE49-F238E27FC236}">
              <a16:creationId xmlns:a16="http://schemas.microsoft.com/office/drawing/2014/main" id="{00000000-0008-0000-0800-0000CED1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783" name="Text Box 1111">
          <a:extLst>
            <a:ext uri="{FF2B5EF4-FFF2-40B4-BE49-F238E27FC236}">
              <a16:creationId xmlns:a16="http://schemas.microsoft.com/office/drawing/2014/main" id="{00000000-0008-0000-0800-0000CF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784" name="Text Box 1112">
          <a:extLst>
            <a:ext uri="{FF2B5EF4-FFF2-40B4-BE49-F238E27FC236}">
              <a16:creationId xmlns:a16="http://schemas.microsoft.com/office/drawing/2014/main" id="{00000000-0008-0000-0800-0000D0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785" name="Text Box 1113">
          <a:extLst>
            <a:ext uri="{FF2B5EF4-FFF2-40B4-BE49-F238E27FC236}">
              <a16:creationId xmlns:a16="http://schemas.microsoft.com/office/drawing/2014/main" id="{00000000-0008-0000-0800-0000D1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786" name="Text Box 1114">
          <a:extLst>
            <a:ext uri="{FF2B5EF4-FFF2-40B4-BE49-F238E27FC236}">
              <a16:creationId xmlns:a16="http://schemas.microsoft.com/office/drawing/2014/main" id="{00000000-0008-0000-0800-0000D2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787" name="Text Box 1115">
          <a:extLst>
            <a:ext uri="{FF2B5EF4-FFF2-40B4-BE49-F238E27FC236}">
              <a16:creationId xmlns:a16="http://schemas.microsoft.com/office/drawing/2014/main" id="{00000000-0008-0000-0800-0000D3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788" name="Text Box 1116">
          <a:extLst>
            <a:ext uri="{FF2B5EF4-FFF2-40B4-BE49-F238E27FC236}">
              <a16:creationId xmlns:a16="http://schemas.microsoft.com/office/drawing/2014/main" id="{00000000-0008-0000-0800-0000D4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789" name="Text Box 1117">
          <a:extLst>
            <a:ext uri="{FF2B5EF4-FFF2-40B4-BE49-F238E27FC236}">
              <a16:creationId xmlns:a16="http://schemas.microsoft.com/office/drawing/2014/main" id="{00000000-0008-0000-0800-0000D5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790" name="Text Box 1118">
          <a:extLst>
            <a:ext uri="{FF2B5EF4-FFF2-40B4-BE49-F238E27FC236}">
              <a16:creationId xmlns:a16="http://schemas.microsoft.com/office/drawing/2014/main" id="{00000000-0008-0000-0800-0000D6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791" name="Text Box 1119">
          <a:extLst>
            <a:ext uri="{FF2B5EF4-FFF2-40B4-BE49-F238E27FC236}">
              <a16:creationId xmlns:a16="http://schemas.microsoft.com/office/drawing/2014/main" id="{00000000-0008-0000-0800-0000D7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792" name="Text Box 1120">
          <a:extLst>
            <a:ext uri="{FF2B5EF4-FFF2-40B4-BE49-F238E27FC236}">
              <a16:creationId xmlns:a16="http://schemas.microsoft.com/office/drawing/2014/main" id="{00000000-0008-0000-0800-0000D8D1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793" name="Text Box 1121">
          <a:extLst>
            <a:ext uri="{FF2B5EF4-FFF2-40B4-BE49-F238E27FC236}">
              <a16:creationId xmlns:a16="http://schemas.microsoft.com/office/drawing/2014/main" id="{00000000-0008-0000-0800-0000D9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794" name="Text Box 1122">
          <a:extLst>
            <a:ext uri="{FF2B5EF4-FFF2-40B4-BE49-F238E27FC236}">
              <a16:creationId xmlns:a16="http://schemas.microsoft.com/office/drawing/2014/main" id="{00000000-0008-0000-0800-0000DA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795" name="Text Box 1123">
          <a:extLst>
            <a:ext uri="{FF2B5EF4-FFF2-40B4-BE49-F238E27FC236}">
              <a16:creationId xmlns:a16="http://schemas.microsoft.com/office/drawing/2014/main" id="{00000000-0008-0000-0800-0000DB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796" name="Text Box 1124">
          <a:extLst>
            <a:ext uri="{FF2B5EF4-FFF2-40B4-BE49-F238E27FC236}">
              <a16:creationId xmlns:a16="http://schemas.microsoft.com/office/drawing/2014/main" id="{00000000-0008-0000-0800-0000DC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797" name="Text Box 1125">
          <a:extLst>
            <a:ext uri="{FF2B5EF4-FFF2-40B4-BE49-F238E27FC236}">
              <a16:creationId xmlns:a16="http://schemas.microsoft.com/office/drawing/2014/main" id="{00000000-0008-0000-0800-0000DD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798" name="Text Box 1126">
          <a:extLst>
            <a:ext uri="{FF2B5EF4-FFF2-40B4-BE49-F238E27FC236}">
              <a16:creationId xmlns:a16="http://schemas.microsoft.com/office/drawing/2014/main" id="{00000000-0008-0000-0800-0000DE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799" name="Text Box 1127">
          <a:extLst>
            <a:ext uri="{FF2B5EF4-FFF2-40B4-BE49-F238E27FC236}">
              <a16:creationId xmlns:a16="http://schemas.microsoft.com/office/drawing/2014/main" id="{00000000-0008-0000-0800-0000DF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800" name="Text Box 1128">
          <a:extLst>
            <a:ext uri="{FF2B5EF4-FFF2-40B4-BE49-F238E27FC236}">
              <a16:creationId xmlns:a16="http://schemas.microsoft.com/office/drawing/2014/main" id="{00000000-0008-0000-0800-0000E0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801" name="Text Box 1129">
          <a:extLst>
            <a:ext uri="{FF2B5EF4-FFF2-40B4-BE49-F238E27FC236}">
              <a16:creationId xmlns:a16="http://schemas.microsoft.com/office/drawing/2014/main" id="{00000000-0008-0000-0800-0000E1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802" name="Text Box 1130">
          <a:extLst>
            <a:ext uri="{FF2B5EF4-FFF2-40B4-BE49-F238E27FC236}">
              <a16:creationId xmlns:a16="http://schemas.microsoft.com/office/drawing/2014/main" id="{00000000-0008-0000-0800-0000E2D1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803" name="Text Box 1131">
          <a:extLst>
            <a:ext uri="{FF2B5EF4-FFF2-40B4-BE49-F238E27FC236}">
              <a16:creationId xmlns:a16="http://schemas.microsoft.com/office/drawing/2014/main" id="{00000000-0008-0000-0800-0000E3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804" name="Text Box 1132">
          <a:extLst>
            <a:ext uri="{FF2B5EF4-FFF2-40B4-BE49-F238E27FC236}">
              <a16:creationId xmlns:a16="http://schemas.microsoft.com/office/drawing/2014/main" id="{00000000-0008-0000-0800-0000E4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805" name="Text Box 1133">
          <a:extLst>
            <a:ext uri="{FF2B5EF4-FFF2-40B4-BE49-F238E27FC236}">
              <a16:creationId xmlns:a16="http://schemas.microsoft.com/office/drawing/2014/main" id="{00000000-0008-0000-0800-0000E5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806" name="Text Box 1134">
          <a:extLst>
            <a:ext uri="{FF2B5EF4-FFF2-40B4-BE49-F238E27FC236}">
              <a16:creationId xmlns:a16="http://schemas.microsoft.com/office/drawing/2014/main" id="{00000000-0008-0000-0800-0000E6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807" name="Text Box 1135">
          <a:extLst>
            <a:ext uri="{FF2B5EF4-FFF2-40B4-BE49-F238E27FC236}">
              <a16:creationId xmlns:a16="http://schemas.microsoft.com/office/drawing/2014/main" id="{00000000-0008-0000-0800-0000E7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808" name="Text Box 1136">
          <a:extLst>
            <a:ext uri="{FF2B5EF4-FFF2-40B4-BE49-F238E27FC236}">
              <a16:creationId xmlns:a16="http://schemas.microsoft.com/office/drawing/2014/main" id="{00000000-0008-0000-0800-0000E8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809" name="Text Box 1137">
          <a:extLst>
            <a:ext uri="{FF2B5EF4-FFF2-40B4-BE49-F238E27FC236}">
              <a16:creationId xmlns:a16="http://schemas.microsoft.com/office/drawing/2014/main" id="{00000000-0008-0000-0800-0000E9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810" name="Text Box 1138">
          <a:extLst>
            <a:ext uri="{FF2B5EF4-FFF2-40B4-BE49-F238E27FC236}">
              <a16:creationId xmlns:a16="http://schemas.microsoft.com/office/drawing/2014/main" id="{00000000-0008-0000-0800-0000EA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811" name="Text Box 1139">
          <a:extLst>
            <a:ext uri="{FF2B5EF4-FFF2-40B4-BE49-F238E27FC236}">
              <a16:creationId xmlns:a16="http://schemas.microsoft.com/office/drawing/2014/main" id="{00000000-0008-0000-0800-0000EB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812" name="Text Box 1140">
          <a:extLst>
            <a:ext uri="{FF2B5EF4-FFF2-40B4-BE49-F238E27FC236}">
              <a16:creationId xmlns:a16="http://schemas.microsoft.com/office/drawing/2014/main" id="{00000000-0008-0000-0800-0000EC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813" name="Text Box 1141">
          <a:extLst>
            <a:ext uri="{FF2B5EF4-FFF2-40B4-BE49-F238E27FC236}">
              <a16:creationId xmlns:a16="http://schemas.microsoft.com/office/drawing/2014/main" id="{00000000-0008-0000-0800-0000ED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814" name="Text Box 1142">
          <a:extLst>
            <a:ext uri="{FF2B5EF4-FFF2-40B4-BE49-F238E27FC236}">
              <a16:creationId xmlns:a16="http://schemas.microsoft.com/office/drawing/2014/main" id="{00000000-0008-0000-0800-0000EE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815" name="Text Box 1143">
          <a:extLst>
            <a:ext uri="{FF2B5EF4-FFF2-40B4-BE49-F238E27FC236}">
              <a16:creationId xmlns:a16="http://schemas.microsoft.com/office/drawing/2014/main" id="{00000000-0008-0000-0800-0000EF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816" name="Text Box 1144">
          <a:extLst>
            <a:ext uri="{FF2B5EF4-FFF2-40B4-BE49-F238E27FC236}">
              <a16:creationId xmlns:a16="http://schemas.microsoft.com/office/drawing/2014/main" id="{00000000-0008-0000-0800-0000F0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817" name="Text Box 1145">
          <a:extLst>
            <a:ext uri="{FF2B5EF4-FFF2-40B4-BE49-F238E27FC236}">
              <a16:creationId xmlns:a16="http://schemas.microsoft.com/office/drawing/2014/main" id="{00000000-0008-0000-0800-0000F1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818" name="Text Box 1146">
          <a:extLst>
            <a:ext uri="{FF2B5EF4-FFF2-40B4-BE49-F238E27FC236}">
              <a16:creationId xmlns:a16="http://schemas.microsoft.com/office/drawing/2014/main" id="{00000000-0008-0000-0800-0000F2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819" name="Text Box 1147">
          <a:extLst>
            <a:ext uri="{FF2B5EF4-FFF2-40B4-BE49-F238E27FC236}">
              <a16:creationId xmlns:a16="http://schemas.microsoft.com/office/drawing/2014/main" id="{00000000-0008-0000-0800-0000F3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820" name="Text Box 1148">
          <a:extLst>
            <a:ext uri="{FF2B5EF4-FFF2-40B4-BE49-F238E27FC236}">
              <a16:creationId xmlns:a16="http://schemas.microsoft.com/office/drawing/2014/main" id="{00000000-0008-0000-0800-0000F4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xdr:row>
      <xdr:rowOff>0</xdr:rowOff>
    </xdr:from>
    <xdr:to>
      <xdr:col>43</xdr:col>
      <xdr:colOff>76200</xdr:colOff>
      <xdr:row>14</xdr:row>
      <xdr:rowOff>47625</xdr:rowOff>
    </xdr:to>
    <xdr:sp macro="" textlink="">
      <xdr:nvSpPr>
        <xdr:cNvPr id="184821" name="Text Box 1149">
          <a:extLst>
            <a:ext uri="{FF2B5EF4-FFF2-40B4-BE49-F238E27FC236}">
              <a16:creationId xmlns:a16="http://schemas.microsoft.com/office/drawing/2014/main" id="{00000000-0008-0000-0800-0000F5D10200}"/>
            </a:ext>
          </a:extLst>
        </xdr:cNvPr>
        <xdr:cNvSpPr txBox="1">
          <a:spLocks noChangeArrowheads="1"/>
        </xdr:cNvSpPr>
      </xdr:nvSpPr>
      <xdr:spPr bwMode="auto">
        <a:xfrm>
          <a:off x="10506075" y="22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17</xdr:row>
      <xdr:rowOff>0</xdr:rowOff>
    </xdr:from>
    <xdr:to>
      <xdr:col>43</xdr:col>
      <xdr:colOff>76200</xdr:colOff>
      <xdr:row>18</xdr:row>
      <xdr:rowOff>47625</xdr:rowOff>
    </xdr:to>
    <xdr:sp macro="" textlink="">
      <xdr:nvSpPr>
        <xdr:cNvPr id="184822" name="Text Box 1150">
          <a:extLst>
            <a:ext uri="{FF2B5EF4-FFF2-40B4-BE49-F238E27FC236}">
              <a16:creationId xmlns:a16="http://schemas.microsoft.com/office/drawing/2014/main" id="{00000000-0008-0000-0800-0000F6D10200}"/>
            </a:ext>
          </a:extLst>
        </xdr:cNvPr>
        <xdr:cNvSpPr txBox="1">
          <a:spLocks noChangeArrowheads="1"/>
        </xdr:cNvSpPr>
      </xdr:nvSpPr>
      <xdr:spPr bwMode="auto">
        <a:xfrm>
          <a:off x="10506075" y="2819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823" name="Text Box 1151">
          <a:extLst>
            <a:ext uri="{FF2B5EF4-FFF2-40B4-BE49-F238E27FC236}">
              <a16:creationId xmlns:a16="http://schemas.microsoft.com/office/drawing/2014/main" id="{00000000-0008-0000-0800-0000F7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824" name="Text Box 1152">
          <a:extLst>
            <a:ext uri="{FF2B5EF4-FFF2-40B4-BE49-F238E27FC236}">
              <a16:creationId xmlns:a16="http://schemas.microsoft.com/office/drawing/2014/main" id="{00000000-0008-0000-0800-0000F8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825" name="Text Box 1153">
          <a:extLst>
            <a:ext uri="{FF2B5EF4-FFF2-40B4-BE49-F238E27FC236}">
              <a16:creationId xmlns:a16="http://schemas.microsoft.com/office/drawing/2014/main" id="{00000000-0008-0000-0800-0000F9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826" name="Text Box 1154">
          <a:extLst>
            <a:ext uri="{FF2B5EF4-FFF2-40B4-BE49-F238E27FC236}">
              <a16:creationId xmlns:a16="http://schemas.microsoft.com/office/drawing/2014/main" id="{00000000-0008-0000-0800-0000FA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827" name="Text Box 1155">
          <a:extLst>
            <a:ext uri="{FF2B5EF4-FFF2-40B4-BE49-F238E27FC236}">
              <a16:creationId xmlns:a16="http://schemas.microsoft.com/office/drawing/2014/main" id="{00000000-0008-0000-0800-0000FB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828" name="Text Box 1156">
          <a:extLst>
            <a:ext uri="{FF2B5EF4-FFF2-40B4-BE49-F238E27FC236}">
              <a16:creationId xmlns:a16="http://schemas.microsoft.com/office/drawing/2014/main" id="{00000000-0008-0000-0800-0000FC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829" name="Text Box 1157">
          <a:extLst>
            <a:ext uri="{FF2B5EF4-FFF2-40B4-BE49-F238E27FC236}">
              <a16:creationId xmlns:a16="http://schemas.microsoft.com/office/drawing/2014/main" id="{00000000-0008-0000-0800-0000FD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830" name="Text Box 1158">
          <a:extLst>
            <a:ext uri="{FF2B5EF4-FFF2-40B4-BE49-F238E27FC236}">
              <a16:creationId xmlns:a16="http://schemas.microsoft.com/office/drawing/2014/main" id="{00000000-0008-0000-0800-0000FE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831" name="Text Box 1159">
          <a:extLst>
            <a:ext uri="{FF2B5EF4-FFF2-40B4-BE49-F238E27FC236}">
              <a16:creationId xmlns:a16="http://schemas.microsoft.com/office/drawing/2014/main" id="{00000000-0008-0000-0800-0000FFD1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25</xdr:row>
      <xdr:rowOff>0</xdr:rowOff>
    </xdr:from>
    <xdr:to>
      <xdr:col>43</xdr:col>
      <xdr:colOff>76200</xdr:colOff>
      <xdr:row>26</xdr:row>
      <xdr:rowOff>76200</xdr:rowOff>
    </xdr:to>
    <xdr:sp macro="" textlink="">
      <xdr:nvSpPr>
        <xdr:cNvPr id="184832" name="Text Box 1160">
          <a:extLst>
            <a:ext uri="{FF2B5EF4-FFF2-40B4-BE49-F238E27FC236}">
              <a16:creationId xmlns:a16="http://schemas.microsoft.com/office/drawing/2014/main" id="{00000000-0008-0000-0800-000000D20200}"/>
            </a:ext>
          </a:extLst>
        </xdr:cNvPr>
        <xdr:cNvSpPr txBox="1">
          <a:spLocks noChangeArrowheads="1"/>
        </xdr:cNvSpPr>
      </xdr:nvSpPr>
      <xdr:spPr bwMode="auto">
        <a:xfrm>
          <a:off x="10506075" y="3895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833" name="Text Box 1161">
          <a:extLst>
            <a:ext uri="{FF2B5EF4-FFF2-40B4-BE49-F238E27FC236}">
              <a16:creationId xmlns:a16="http://schemas.microsoft.com/office/drawing/2014/main" id="{00000000-0008-0000-0800-000001D2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834" name="Text Box 1162">
          <a:extLst>
            <a:ext uri="{FF2B5EF4-FFF2-40B4-BE49-F238E27FC236}">
              <a16:creationId xmlns:a16="http://schemas.microsoft.com/office/drawing/2014/main" id="{00000000-0008-0000-0800-000002D2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835" name="Text Box 1163">
          <a:extLst>
            <a:ext uri="{FF2B5EF4-FFF2-40B4-BE49-F238E27FC236}">
              <a16:creationId xmlns:a16="http://schemas.microsoft.com/office/drawing/2014/main" id="{00000000-0008-0000-0800-000003D2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836" name="Text Box 1164">
          <a:extLst>
            <a:ext uri="{FF2B5EF4-FFF2-40B4-BE49-F238E27FC236}">
              <a16:creationId xmlns:a16="http://schemas.microsoft.com/office/drawing/2014/main" id="{00000000-0008-0000-0800-000004D2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837" name="Text Box 1165">
          <a:extLst>
            <a:ext uri="{FF2B5EF4-FFF2-40B4-BE49-F238E27FC236}">
              <a16:creationId xmlns:a16="http://schemas.microsoft.com/office/drawing/2014/main" id="{00000000-0008-0000-0800-000005D2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838" name="Text Box 1166">
          <a:extLst>
            <a:ext uri="{FF2B5EF4-FFF2-40B4-BE49-F238E27FC236}">
              <a16:creationId xmlns:a16="http://schemas.microsoft.com/office/drawing/2014/main" id="{00000000-0008-0000-0800-000006D2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839" name="Text Box 1167">
          <a:extLst>
            <a:ext uri="{FF2B5EF4-FFF2-40B4-BE49-F238E27FC236}">
              <a16:creationId xmlns:a16="http://schemas.microsoft.com/office/drawing/2014/main" id="{00000000-0008-0000-0800-000007D2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840" name="Text Box 1168">
          <a:extLst>
            <a:ext uri="{FF2B5EF4-FFF2-40B4-BE49-F238E27FC236}">
              <a16:creationId xmlns:a16="http://schemas.microsoft.com/office/drawing/2014/main" id="{00000000-0008-0000-0800-000008D2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841" name="Text Box 1169">
          <a:extLst>
            <a:ext uri="{FF2B5EF4-FFF2-40B4-BE49-F238E27FC236}">
              <a16:creationId xmlns:a16="http://schemas.microsoft.com/office/drawing/2014/main" id="{00000000-0008-0000-0800-000009D2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37</xdr:row>
      <xdr:rowOff>0</xdr:rowOff>
    </xdr:from>
    <xdr:to>
      <xdr:col>43</xdr:col>
      <xdr:colOff>76200</xdr:colOff>
      <xdr:row>38</xdr:row>
      <xdr:rowOff>76200</xdr:rowOff>
    </xdr:to>
    <xdr:sp macro="" textlink="">
      <xdr:nvSpPr>
        <xdr:cNvPr id="184842" name="Text Box 1170">
          <a:extLst>
            <a:ext uri="{FF2B5EF4-FFF2-40B4-BE49-F238E27FC236}">
              <a16:creationId xmlns:a16="http://schemas.microsoft.com/office/drawing/2014/main" id="{00000000-0008-0000-0800-00000AD20200}"/>
            </a:ext>
          </a:extLst>
        </xdr:cNvPr>
        <xdr:cNvSpPr txBox="1">
          <a:spLocks noChangeArrowheads="1"/>
        </xdr:cNvSpPr>
      </xdr:nvSpPr>
      <xdr:spPr bwMode="auto">
        <a:xfrm>
          <a:off x="10506075" y="538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843" name="Text Box 1171">
          <a:extLst>
            <a:ext uri="{FF2B5EF4-FFF2-40B4-BE49-F238E27FC236}">
              <a16:creationId xmlns:a16="http://schemas.microsoft.com/office/drawing/2014/main" id="{00000000-0008-0000-0800-00000BD2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844" name="Text Box 1172">
          <a:extLst>
            <a:ext uri="{FF2B5EF4-FFF2-40B4-BE49-F238E27FC236}">
              <a16:creationId xmlns:a16="http://schemas.microsoft.com/office/drawing/2014/main" id="{00000000-0008-0000-0800-00000CD2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845" name="Text Box 1173">
          <a:extLst>
            <a:ext uri="{FF2B5EF4-FFF2-40B4-BE49-F238E27FC236}">
              <a16:creationId xmlns:a16="http://schemas.microsoft.com/office/drawing/2014/main" id="{00000000-0008-0000-0800-00000DD2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846" name="Text Box 1174">
          <a:extLst>
            <a:ext uri="{FF2B5EF4-FFF2-40B4-BE49-F238E27FC236}">
              <a16:creationId xmlns:a16="http://schemas.microsoft.com/office/drawing/2014/main" id="{00000000-0008-0000-0800-00000ED2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847" name="Text Box 1175">
          <a:extLst>
            <a:ext uri="{FF2B5EF4-FFF2-40B4-BE49-F238E27FC236}">
              <a16:creationId xmlns:a16="http://schemas.microsoft.com/office/drawing/2014/main" id="{00000000-0008-0000-0800-00000FD2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848" name="Text Box 1176">
          <a:extLst>
            <a:ext uri="{FF2B5EF4-FFF2-40B4-BE49-F238E27FC236}">
              <a16:creationId xmlns:a16="http://schemas.microsoft.com/office/drawing/2014/main" id="{00000000-0008-0000-0800-000010D2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849" name="Text Box 1177">
          <a:extLst>
            <a:ext uri="{FF2B5EF4-FFF2-40B4-BE49-F238E27FC236}">
              <a16:creationId xmlns:a16="http://schemas.microsoft.com/office/drawing/2014/main" id="{00000000-0008-0000-0800-000011D2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850" name="Text Box 1178">
          <a:extLst>
            <a:ext uri="{FF2B5EF4-FFF2-40B4-BE49-F238E27FC236}">
              <a16:creationId xmlns:a16="http://schemas.microsoft.com/office/drawing/2014/main" id="{00000000-0008-0000-0800-000012D2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851" name="Text Box 1179">
          <a:extLst>
            <a:ext uri="{FF2B5EF4-FFF2-40B4-BE49-F238E27FC236}">
              <a16:creationId xmlns:a16="http://schemas.microsoft.com/office/drawing/2014/main" id="{00000000-0008-0000-0800-000013D2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49</xdr:row>
      <xdr:rowOff>0</xdr:rowOff>
    </xdr:from>
    <xdr:to>
      <xdr:col>43</xdr:col>
      <xdr:colOff>76200</xdr:colOff>
      <xdr:row>50</xdr:row>
      <xdr:rowOff>76200</xdr:rowOff>
    </xdr:to>
    <xdr:sp macro="" textlink="">
      <xdr:nvSpPr>
        <xdr:cNvPr id="184852" name="Text Box 1180">
          <a:extLst>
            <a:ext uri="{FF2B5EF4-FFF2-40B4-BE49-F238E27FC236}">
              <a16:creationId xmlns:a16="http://schemas.microsoft.com/office/drawing/2014/main" id="{00000000-0008-0000-0800-000014D20200}"/>
            </a:ext>
          </a:extLst>
        </xdr:cNvPr>
        <xdr:cNvSpPr txBox="1">
          <a:spLocks noChangeArrowheads="1"/>
        </xdr:cNvSpPr>
      </xdr:nvSpPr>
      <xdr:spPr bwMode="auto">
        <a:xfrm>
          <a:off x="10506075" y="6867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853" name="Text Box 1181">
          <a:extLst>
            <a:ext uri="{FF2B5EF4-FFF2-40B4-BE49-F238E27FC236}">
              <a16:creationId xmlns:a16="http://schemas.microsoft.com/office/drawing/2014/main" id="{00000000-0008-0000-0800-000015D2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854" name="Text Box 1182">
          <a:extLst>
            <a:ext uri="{FF2B5EF4-FFF2-40B4-BE49-F238E27FC236}">
              <a16:creationId xmlns:a16="http://schemas.microsoft.com/office/drawing/2014/main" id="{00000000-0008-0000-0800-000016D2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855" name="Text Box 1183">
          <a:extLst>
            <a:ext uri="{FF2B5EF4-FFF2-40B4-BE49-F238E27FC236}">
              <a16:creationId xmlns:a16="http://schemas.microsoft.com/office/drawing/2014/main" id="{00000000-0008-0000-0800-000017D2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856" name="Text Box 1184">
          <a:extLst>
            <a:ext uri="{FF2B5EF4-FFF2-40B4-BE49-F238E27FC236}">
              <a16:creationId xmlns:a16="http://schemas.microsoft.com/office/drawing/2014/main" id="{00000000-0008-0000-0800-000018D2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857" name="Text Box 1185">
          <a:extLst>
            <a:ext uri="{FF2B5EF4-FFF2-40B4-BE49-F238E27FC236}">
              <a16:creationId xmlns:a16="http://schemas.microsoft.com/office/drawing/2014/main" id="{00000000-0008-0000-0800-000019D2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858" name="Text Box 1186">
          <a:extLst>
            <a:ext uri="{FF2B5EF4-FFF2-40B4-BE49-F238E27FC236}">
              <a16:creationId xmlns:a16="http://schemas.microsoft.com/office/drawing/2014/main" id="{00000000-0008-0000-0800-00001AD2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859" name="Text Box 1187">
          <a:extLst>
            <a:ext uri="{FF2B5EF4-FFF2-40B4-BE49-F238E27FC236}">
              <a16:creationId xmlns:a16="http://schemas.microsoft.com/office/drawing/2014/main" id="{00000000-0008-0000-0800-00001BD2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860" name="Text Box 1188">
          <a:extLst>
            <a:ext uri="{FF2B5EF4-FFF2-40B4-BE49-F238E27FC236}">
              <a16:creationId xmlns:a16="http://schemas.microsoft.com/office/drawing/2014/main" id="{00000000-0008-0000-0800-00001CD2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861" name="Text Box 1189">
          <a:extLst>
            <a:ext uri="{FF2B5EF4-FFF2-40B4-BE49-F238E27FC236}">
              <a16:creationId xmlns:a16="http://schemas.microsoft.com/office/drawing/2014/main" id="{00000000-0008-0000-0800-00001DD2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55</xdr:row>
      <xdr:rowOff>0</xdr:rowOff>
    </xdr:from>
    <xdr:to>
      <xdr:col>43</xdr:col>
      <xdr:colOff>76200</xdr:colOff>
      <xdr:row>56</xdr:row>
      <xdr:rowOff>9525</xdr:rowOff>
    </xdr:to>
    <xdr:sp macro="" textlink="">
      <xdr:nvSpPr>
        <xdr:cNvPr id="184862" name="Text Box 1190">
          <a:extLst>
            <a:ext uri="{FF2B5EF4-FFF2-40B4-BE49-F238E27FC236}">
              <a16:creationId xmlns:a16="http://schemas.microsoft.com/office/drawing/2014/main" id="{00000000-0008-0000-0800-00001ED20200}"/>
            </a:ext>
          </a:extLst>
        </xdr:cNvPr>
        <xdr:cNvSpPr txBox="1">
          <a:spLocks noChangeArrowheads="1"/>
        </xdr:cNvSpPr>
      </xdr:nvSpPr>
      <xdr:spPr bwMode="auto">
        <a:xfrm>
          <a:off x="10506075" y="7877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863" name="Text Box 1191">
          <a:extLst>
            <a:ext uri="{FF2B5EF4-FFF2-40B4-BE49-F238E27FC236}">
              <a16:creationId xmlns:a16="http://schemas.microsoft.com/office/drawing/2014/main" id="{00000000-0008-0000-0800-00001FD2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864" name="Text Box 1192">
          <a:extLst>
            <a:ext uri="{FF2B5EF4-FFF2-40B4-BE49-F238E27FC236}">
              <a16:creationId xmlns:a16="http://schemas.microsoft.com/office/drawing/2014/main" id="{00000000-0008-0000-0800-000020D2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865" name="Text Box 1193">
          <a:extLst>
            <a:ext uri="{FF2B5EF4-FFF2-40B4-BE49-F238E27FC236}">
              <a16:creationId xmlns:a16="http://schemas.microsoft.com/office/drawing/2014/main" id="{00000000-0008-0000-0800-000021D2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866" name="Text Box 1194">
          <a:extLst>
            <a:ext uri="{FF2B5EF4-FFF2-40B4-BE49-F238E27FC236}">
              <a16:creationId xmlns:a16="http://schemas.microsoft.com/office/drawing/2014/main" id="{00000000-0008-0000-0800-000022D2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867" name="Text Box 1195">
          <a:extLst>
            <a:ext uri="{FF2B5EF4-FFF2-40B4-BE49-F238E27FC236}">
              <a16:creationId xmlns:a16="http://schemas.microsoft.com/office/drawing/2014/main" id="{00000000-0008-0000-0800-000023D2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868" name="Text Box 1196">
          <a:extLst>
            <a:ext uri="{FF2B5EF4-FFF2-40B4-BE49-F238E27FC236}">
              <a16:creationId xmlns:a16="http://schemas.microsoft.com/office/drawing/2014/main" id="{00000000-0008-0000-0800-000024D2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869" name="Text Box 1197">
          <a:extLst>
            <a:ext uri="{FF2B5EF4-FFF2-40B4-BE49-F238E27FC236}">
              <a16:creationId xmlns:a16="http://schemas.microsoft.com/office/drawing/2014/main" id="{00000000-0008-0000-0800-000025D2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870" name="Text Box 1198">
          <a:extLst>
            <a:ext uri="{FF2B5EF4-FFF2-40B4-BE49-F238E27FC236}">
              <a16:creationId xmlns:a16="http://schemas.microsoft.com/office/drawing/2014/main" id="{00000000-0008-0000-0800-000026D2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871" name="Text Box 1199">
          <a:extLst>
            <a:ext uri="{FF2B5EF4-FFF2-40B4-BE49-F238E27FC236}">
              <a16:creationId xmlns:a16="http://schemas.microsoft.com/office/drawing/2014/main" id="{00000000-0008-0000-0800-000027D2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67</xdr:row>
      <xdr:rowOff>0</xdr:rowOff>
    </xdr:from>
    <xdr:to>
      <xdr:col>43</xdr:col>
      <xdr:colOff>76200</xdr:colOff>
      <xdr:row>68</xdr:row>
      <xdr:rowOff>9525</xdr:rowOff>
    </xdr:to>
    <xdr:sp macro="" textlink="">
      <xdr:nvSpPr>
        <xdr:cNvPr id="184872" name="Text Box 1200">
          <a:extLst>
            <a:ext uri="{FF2B5EF4-FFF2-40B4-BE49-F238E27FC236}">
              <a16:creationId xmlns:a16="http://schemas.microsoft.com/office/drawing/2014/main" id="{00000000-0008-0000-0800-000028D20200}"/>
            </a:ext>
          </a:extLst>
        </xdr:cNvPr>
        <xdr:cNvSpPr txBox="1">
          <a:spLocks noChangeArrowheads="1"/>
        </xdr:cNvSpPr>
      </xdr:nvSpPr>
      <xdr:spPr bwMode="auto">
        <a:xfrm>
          <a:off x="10506075" y="1017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873" name="Text Box 1201">
          <a:extLst>
            <a:ext uri="{FF2B5EF4-FFF2-40B4-BE49-F238E27FC236}">
              <a16:creationId xmlns:a16="http://schemas.microsoft.com/office/drawing/2014/main" id="{00000000-0008-0000-0800-000029D2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874" name="Text Box 1202">
          <a:extLst>
            <a:ext uri="{FF2B5EF4-FFF2-40B4-BE49-F238E27FC236}">
              <a16:creationId xmlns:a16="http://schemas.microsoft.com/office/drawing/2014/main" id="{00000000-0008-0000-0800-00002AD2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875" name="Text Box 1203">
          <a:extLst>
            <a:ext uri="{FF2B5EF4-FFF2-40B4-BE49-F238E27FC236}">
              <a16:creationId xmlns:a16="http://schemas.microsoft.com/office/drawing/2014/main" id="{00000000-0008-0000-0800-00002BD2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876" name="Text Box 1204">
          <a:extLst>
            <a:ext uri="{FF2B5EF4-FFF2-40B4-BE49-F238E27FC236}">
              <a16:creationId xmlns:a16="http://schemas.microsoft.com/office/drawing/2014/main" id="{00000000-0008-0000-0800-00002CD2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877" name="Text Box 1205">
          <a:extLst>
            <a:ext uri="{FF2B5EF4-FFF2-40B4-BE49-F238E27FC236}">
              <a16:creationId xmlns:a16="http://schemas.microsoft.com/office/drawing/2014/main" id="{00000000-0008-0000-0800-00002DD2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878" name="Text Box 1206">
          <a:extLst>
            <a:ext uri="{FF2B5EF4-FFF2-40B4-BE49-F238E27FC236}">
              <a16:creationId xmlns:a16="http://schemas.microsoft.com/office/drawing/2014/main" id="{00000000-0008-0000-0800-00002ED2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879" name="Text Box 1207">
          <a:extLst>
            <a:ext uri="{FF2B5EF4-FFF2-40B4-BE49-F238E27FC236}">
              <a16:creationId xmlns:a16="http://schemas.microsoft.com/office/drawing/2014/main" id="{00000000-0008-0000-0800-00002FD2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880" name="Text Box 1208">
          <a:extLst>
            <a:ext uri="{FF2B5EF4-FFF2-40B4-BE49-F238E27FC236}">
              <a16:creationId xmlns:a16="http://schemas.microsoft.com/office/drawing/2014/main" id="{00000000-0008-0000-0800-000030D2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881" name="Text Box 1209">
          <a:extLst>
            <a:ext uri="{FF2B5EF4-FFF2-40B4-BE49-F238E27FC236}">
              <a16:creationId xmlns:a16="http://schemas.microsoft.com/office/drawing/2014/main" id="{00000000-0008-0000-0800-000031D2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79</xdr:row>
      <xdr:rowOff>0</xdr:rowOff>
    </xdr:from>
    <xdr:to>
      <xdr:col>43</xdr:col>
      <xdr:colOff>76200</xdr:colOff>
      <xdr:row>80</xdr:row>
      <xdr:rowOff>9525</xdr:rowOff>
    </xdr:to>
    <xdr:sp macro="" textlink="">
      <xdr:nvSpPr>
        <xdr:cNvPr id="184882" name="Text Box 1210">
          <a:extLst>
            <a:ext uri="{FF2B5EF4-FFF2-40B4-BE49-F238E27FC236}">
              <a16:creationId xmlns:a16="http://schemas.microsoft.com/office/drawing/2014/main" id="{00000000-0008-0000-0800-000032D20200}"/>
            </a:ext>
          </a:extLst>
        </xdr:cNvPr>
        <xdr:cNvSpPr txBox="1">
          <a:spLocks noChangeArrowheads="1"/>
        </xdr:cNvSpPr>
      </xdr:nvSpPr>
      <xdr:spPr bwMode="auto">
        <a:xfrm>
          <a:off x="10506075" y="1245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883" name="Text Box 1211">
          <a:extLst>
            <a:ext uri="{FF2B5EF4-FFF2-40B4-BE49-F238E27FC236}">
              <a16:creationId xmlns:a16="http://schemas.microsoft.com/office/drawing/2014/main" id="{00000000-0008-0000-0800-000033D2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884" name="Text Box 1212">
          <a:extLst>
            <a:ext uri="{FF2B5EF4-FFF2-40B4-BE49-F238E27FC236}">
              <a16:creationId xmlns:a16="http://schemas.microsoft.com/office/drawing/2014/main" id="{00000000-0008-0000-0800-000034D2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885" name="Text Box 1213">
          <a:extLst>
            <a:ext uri="{FF2B5EF4-FFF2-40B4-BE49-F238E27FC236}">
              <a16:creationId xmlns:a16="http://schemas.microsoft.com/office/drawing/2014/main" id="{00000000-0008-0000-0800-000035D2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886" name="Text Box 1214">
          <a:extLst>
            <a:ext uri="{FF2B5EF4-FFF2-40B4-BE49-F238E27FC236}">
              <a16:creationId xmlns:a16="http://schemas.microsoft.com/office/drawing/2014/main" id="{00000000-0008-0000-0800-000036D2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887" name="Text Box 1215">
          <a:extLst>
            <a:ext uri="{FF2B5EF4-FFF2-40B4-BE49-F238E27FC236}">
              <a16:creationId xmlns:a16="http://schemas.microsoft.com/office/drawing/2014/main" id="{00000000-0008-0000-0800-000037D2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888" name="Text Box 1216">
          <a:extLst>
            <a:ext uri="{FF2B5EF4-FFF2-40B4-BE49-F238E27FC236}">
              <a16:creationId xmlns:a16="http://schemas.microsoft.com/office/drawing/2014/main" id="{00000000-0008-0000-0800-000038D2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889" name="Text Box 1217">
          <a:extLst>
            <a:ext uri="{FF2B5EF4-FFF2-40B4-BE49-F238E27FC236}">
              <a16:creationId xmlns:a16="http://schemas.microsoft.com/office/drawing/2014/main" id="{00000000-0008-0000-0800-000039D2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890" name="Text Box 1218">
          <a:extLst>
            <a:ext uri="{FF2B5EF4-FFF2-40B4-BE49-F238E27FC236}">
              <a16:creationId xmlns:a16="http://schemas.microsoft.com/office/drawing/2014/main" id="{00000000-0008-0000-0800-00003AD2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891" name="Text Box 1219">
          <a:extLst>
            <a:ext uri="{FF2B5EF4-FFF2-40B4-BE49-F238E27FC236}">
              <a16:creationId xmlns:a16="http://schemas.microsoft.com/office/drawing/2014/main" id="{00000000-0008-0000-0800-00003BD2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91</xdr:row>
      <xdr:rowOff>0</xdr:rowOff>
    </xdr:from>
    <xdr:to>
      <xdr:col>43</xdr:col>
      <xdr:colOff>76200</xdr:colOff>
      <xdr:row>92</xdr:row>
      <xdr:rowOff>9525</xdr:rowOff>
    </xdr:to>
    <xdr:sp macro="" textlink="">
      <xdr:nvSpPr>
        <xdr:cNvPr id="184892" name="Text Box 1220">
          <a:extLst>
            <a:ext uri="{FF2B5EF4-FFF2-40B4-BE49-F238E27FC236}">
              <a16:creationId xmlns:a16="http://schemas.microsoft.com/office/drawing/2014/main" id="{00000000-0008-0000-0800-00003CD20200}"/>
            </a:ext>
          </a:extLst>
        </xdr:cNvPr>
        <xdr:cNvSpPr txBox="1">
          <a:spLocks noChangeArrowheads="1"/>
        </xdr:cNvSpPr>
      </xdr:nvSpPr>
      <xdr:spPr bwMode="auto">
        <a:xfrm>
          <a:off x="10506075" y="1474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893" name="Text Box 1221">
          <a:extLst>
            <a:ext uri="{FF2B5EF4-FFF2-40B4-BE49-F238E27FC236}">
              <a16:creationId xmlns:a16="http://schemas.microsoft.com/office/drawing/2014/main" id="{00000000-0008-0000-0800-00003DD2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894" name="Text Box 1222">
          <a:extLst>
            <a:ext uri="{FF2B5EF4-FFF2-40B4-BE49-F238E27FC236}">
              <a16:creationId xmlns:a16="http://schemas.microsoft.com/office/drawing/2014/main" id="{00000000-0008-0000-0800-00003ED2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895" name="Text Box 1223">
          <a:extLst>
            <a:ext uri="{FF2B5EF4-FFF2-40B4-BE49-F238E27FC236}">
              <a16:creationId xmlns:a16="http://schemas.microsoft.com/office/drawing/2014/main" id="{00000000-0008-0000-0800-00003FD2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896" name="Text Box 1224">
          <a:extLst>
            <a:ext uri="{FF2B5EF4-FFF2-40B4-BE49-F238E27FC236}">
              <a16:creationId xmlns:a16="http://schemas.microsoft.com/office/drawing/2014/main" id="{00000000-0008-0000-0800-000040D2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897" name="Text Box 1225">
          <a:extLst>
            <a:ext uri="{FF2B5EF4-FFF2-40B4-BE49-F238E27FC236}">
              <a16:creationId xmlns:a16="http://schemas.microsoft.com/office/drawing/2014/main" id="{00000000-0008-0000-0800-000041D2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898" name="Text Box 1226">
          <a:extLst>
            <a:ext uri="{FF2B5EF4-FFF2-40B4-BE49-F238E27FC236}">
              <a16:creationId xmlns:a16="http://schemas.microsoft.com/office/drawing/2014/main" id="{00000000-0008-0000-0800-000042D2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899" name="Text Box 1227">
          <a:extLst>
            <a:ext uri="{FF2B5EF4-FFF2-40B4-BE49-F238E27FC236}">
              <a16:creationId xmlns:a16="http://schemas.microsoft.com/office/drawing/2014/main" id="{00000000-0008-0000-0800-000043D2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900" name="Text Box 1228">
          <a:extLst>
            <a:ext uri="{FF2B5EF4-FFF2-40B4-BE49-F238E27FC236}">
              <a16:creationId xmlns:a16="http://schemas.microsoft.com/office/drawing/2014/main" id="{00000000-0008-0000-0800-000044D2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901" name="Text Box 1229">
          <a:extLst>
            <a:ext uri="{FF2B5EF4-FFF2-40B4-BE49-F238E27FC236}">
              <a16:creationId xmlns:a16="http://schemas.microsoft.com/office/drawing/2014/main" id="{00000000-0008-0000-0800-000045D2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103</xdr:row>
      <xdr:rowOff>0</xdr:rowOff>
    </xdr:from>
    <xdr:to>
      <xdr:col>43</xdr:col>
      <xdr:colOff>76200</xdr:colOff>
      <xdr:row>104</xdr:row>
      <xdr:rowOff>9525</xdr:rowOff>
    </xdr:to>
    <xdr:sp macro="" textlink="">
      <xdr:nvSpPr>
        <xdr:cNvPr id="184902" name="Text Box 1230">
          <a:extLst>
            <a:ext uri="{FF2B5EF4-FFF2-40B4-BE49-F238E27FC236}">
              <a16:creationId xmlns:a16="http://schemas.microsoft.com/office/drawing/2014/main" id="{00000000-0008-0000-0800-000046D20200}"/>
            </a:ext>
          </a:extLst>
        </xdr:cNvPr>
        <xdr:cNvSpPr txBox="1">
          <a:spLocks noChangeArrowheads="1"/>
        </xdr:cNvSpPr>
      </xdr:nvSpPr>
      <xdr:spPr bwMode="auto">
        <a:xfrm>
          <a:off x="10506075" y="1703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903" name="Text Box 1231">
          <a:extLst>
            <a:ext uri="{FF2B5EF4-FFF2-40B4-BE49-F238E27FC236}">
              <a16:creationId xmlns:a16="http://schemas.microsoft.com/office/drawing/2014/main" id="{00000000-0008-0000-0800-000047D2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904" name="Text Box 1232">
          <a:extLst>
            <a:ext uri="{FF2B5EF4-FFF2-40B4-BE49-F238E27FC236}">
              <a16:creationId xmlns:a16="http://schemas.microsoft.com/office/drawing/2014/main" id="{00000000-0008-0000-0800-000048D2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905" name="Text Box 1233">
          <a:extLst>
            <a:ext uri="{FF2B5EF4-FFF2-40B4-BE49-F238E27FC236}">
              <a16:creationId xmlns:a16="http://schemas.microsoft.com/office/drawing/2014/main" id="{00000000-0008-0000-0800-000049D2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906" name="Text Box 1234">
          <a:extLst>
            <a:ext uri="{FF2B5EF4-FFF2-40B4-BE49-F238E27FC236}">
              <a16:creationId xmlns:a16="http://schemas.microsoft.com/office/drawing/2014/main" id="{00000000-0008-0000-0800-00004AD2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907" name="Text Box 1235">
          <a:extLst>
            <a:ext uri="{FF2B5EF4-FFF2-40B4-BE49-F238E27FC236}">
              <a16:creationId xmlns:a16="http://schemas.microsoft.com/office/drawing/2014/main" id="{00000000-0008-0000-0800-00004BD2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908" name="Text Box 1236">
          <a:extLst>
            <a:ext uri="{FF2B5EF4-FFF2-40B4-BE49-F238E27FC236}">
              <a16:creationId xmlns:a16="http://schemas.microsoft.com/office/drawing/2014/main" id="{00000000-0008-0000-0800-00004CD2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909" name="Text Box 1237">
          <a:extLst>
            <a:ext uri="{FF2B5EF4-FFF2-40B4-BE49-F238E27FC236}">
              <a16:creationId xmlns:a16="http://schemas.microsoft.com/office/drawing/2014/main" id="{00000000-0008-0000-0800-00004DD2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910" name="Text Box 1238">
          <a:extLst>
            <a:ext uri="{FF2B5EF4-FFF2-40B4-BE49-F238E27FC236}">
              <a16:creationId xmlns:a16="http://schemas.microsoft.com/office/drawing/2014/main" id="{00000000-0008-0000-0800-00004ED2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911" name="Text Box 1239">
          <a:extLst>
            <a:ext uri="{FF2B5EF4-FFF2-40B4-BE49-F238E27FC236}">
              <a16:creationId xmlns:a16="http://schemas.microsoft.com/office/drawing/2014/main" id="{00000000-0008-0000-0800-00004FD2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115</xdr:row>
      <xdr:rowOff>0</xdr:rowOff>
    </xdr:from>
    <xdr:to>
      <xdr:col>43</xdr:col>
      <xdr:colOff>76200</xdr:colOff>
      <xdr:row>116</xdr:row>
      <xdr:rowOff>9525</xdr:rowOff>
    </xdr:to>
    <xdr:sp macro="" textlink="">
      <xdr:nvSpPr>
        <xdr:cNvPr id="184912" name="Text Box 1240">
          <a:extLst>
            <a:ext uri="{FF2B5EF4-FFF2-40B4-BE49-F238E27FC236}">
              <a16:creationId xmlns:a16="http://schemas.microsoft.com/office/drawing/2014/main" id="{00000000-0008-0000-0800-000050D20200}"/>
            </a:ext>
          </a:extLst>
        </xdr:cNvPr>
        <xdr:cNvSpPr txBox="1">
          <a:spLocks noChangeArrowheads="1"/>
        </xdr:cNvSpPr>
      </xdr:nvSpPr>
      <xdr:spPr bwMode="auto">
        <a:xfrm>
          <a:off x="10506075" y="19316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913" name="Text Box 1241">
          <a:extLst>
            <a:ext uri="{FF2B5EF4-FFF2-40B4-BE49-F238E27FC236}">
              <a16:creationId xmlns:a16="http://schemas.microsoft.com/office/drawing/2014/main" id="{00000000-0008-0000-0800-000051D2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914" name="Text Box 1242">
          <a:extLst>
            <a:ext uri="{FF2B5EF4-FFF2-40B4-BE49-F238E27FC236}">
              <a16:creationId xmlns:a16="http://schemas.microsoft.com/office/drawing/2014/main" id="{00000000-0008-0000-0800-000052D2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915" name="Text Box 1243">
          <a:extLst>
            <a:ext uri="{FF2B5EF4-FFF2-40B4-BE49-F238E27FC236}">
              <a16:creationId xmlns:a16="http://schemas.microsoft.com/office/drawing/2014/main" id="{00000000-0008-0000-0800-000053D2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916" name="Text Box 1244">
          <a:extLst>
            <a:ext uri="{FF2B5EF4-FFF2-40B4-BE49-F238E27FC236}">
              <a16:creationId xmlns:a16="http://schemas.microsoft.com/office/drawing/2014/main" id="{00000000-0008-0000-0800-000054D2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917" name="Text Box 1245">
          <a:extLst>
            <a:ext uri="{FF2B5EF4-FFF2-40B4-BE49-F238E27FC236}">
              <a16:creationId xmlns:a16="http://schemas.microsoft.com/office/drawing/2014/main" id="{00000000-0008-0000-0800-000055D2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918" name="Text Box 1246">
          <a:extLst>
            <a:ext uri="{FF2B5EF4-FFF2-40B4-BE49-F238E27FC236}">
              <a16:creationId xmlns:a16="http://schemas.microsoft.com/office/drawing/2014/main" id="{00000000-0008-0000-0800-000056D2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919" name="Text Box 1247">
          <a:extLst>
            <a:ext uri="{FF2B5EF4-FFF2-40B4-BE49-F238E27FC236}">
              <a16:creationId xmlns:a16="http://schemas.microsoft.com/office/drawing/2014/main" id="{00000000-0008-0000-0800-000057D2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920" name="Text Box 1248">
          <a:extLst>
            <a:ext uri="{FF2B5EF4-FFF2-40B4-BE49-F238E27FC236}">
              <a16:creationId xmlns:a16="http://schemas.microsoft.com/office/drawing/2014/main" id="{00000000-0008-0000-0800-000058D2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921" name="Text Box 1249">
          <a:extLst>
            <a:ext uri="{FF2B5EF4-FFF2-40B4-BE49-F238E27FC236}">
              <a16:creationId xmlns:a16="http://schemas.microsoft.com/office/drawing/2014/main" id="{00000000-0008-0000-0800-000059D2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127</xdr:row>
      <xdr:rowOff>0</xdr:rowOff>
    </xdr:from>
    <xdr:to>
      <xdr:col>43</xdr:col>
      <xdr:colOff>76200</xdr:colOff>
      <xdr:row>128</xdr:row>
      <xdr:rowOff>9525</xdr:rowOff>
    </xdr:to>
    <xdr:sp macro="" textlink="">
      <xdr:nvSpPr>
        <xdr:cNvPr id="184922" name="Text Box 1250">
          <a:extLst>
            <a:ext uri="{FF2B5EF4-FFF2-40B4-BE49-F238E27FC236}">
              <a16:creationId xmlns:a16="http://schemas.microsoft.com/office/drawing/2014/main" id="{00000000-0008-0000-0800-00005AD20200}"/>
            </a:ext>
          </a:extLst>
        </xdr:cNvPr>
        <xdr:cNvSpPr txBox="1">
          <a:spLocks noChangeArrowheads="1"/>
        </xdr:cNvSpPr>
      </xdr:nvSpPr>
      <xdr:spPr bwMode="auto">
        <a:xfrm>
          <a:off x="10506075" y="21602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923" name="Text Box 1251">
          <a:extLst>
            <a:ext uri="{FF2B5EF4-FFF2-40B4-BE49-F238E27FC236}">
              <a16:creationId xmlns:a16="http://schemas.microsoft.com/office/drawing/2014/main" id="{00000000-0008-0000-0800-00005BD2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924" name="Text Box 1252">
          <a:extLst>
            <a:ext uri="{FF2B5EF4-FFF2-40B4-BE49-F238E27FC236}">
              <a16:creationId xmlns:a16="http://schemas.microsoft.com/office/drawing/2014/main" id="{00000000-0008-0000-0800-00005CD2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925" name="Text Box 1253">
          <a:extLst>
            <a:ext uri="{FF2B5EF4-FFF2-40B4-BE49-F238E27FC236}">
              <a16:creationId xmlns:a16="http://schemas.microsoft.com/office/drawing/2014/main" id="{00000000-0008-0000-0800-00005DD2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926" name="Text Box 1254">
          <a:extLst>
            <a:ext uri="{FF2B5EF4-FFF2-40B4-BE49-F238E27FC236}">
              <a16:creationId xmlns:a16="http://schemas.microsoft.com/office/drawing/2014/main" id="{00000000-0008-0000-0800-00005ED2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927" name="Text Box 1255">
          <a:extLst>
            <a:ext uri="{FF2B5EF4-FFF2-40B4-BE49-F238E27FC236}">
              <a16:creationId xmlns:a16="http://schemas.microsoft.com/office/drawing/2014/main" id="{00000000-0008-0000-0800-00005FD2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928" name="Text Box 1256">
          <a:extLst>
            <a:ext uri="{FF2B5EF4-FFF2-40B4-BE49-F238E27FC236}">
              <a16:creationId xmlns:a16="http://schemas.microsoft.com/office/drawing/2014/main" id="{00000000-0008-0000-0800-000060D2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929" name="Text Box 1257">
          <a:extLst>
            <a:ext uri="{FF2B5EF4-FFF2-40B4-BE49-F238E27FC236}">
              <a16:creationId xmlns:a16="http://schemas.microsoft.com/office/drawing/2014/main" id="{00000000-0008-0000-0800-000061D2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930" name="Text Box 1258">
          <a:extLst>
            <a:ext uri="{FF2B5EF4-FFF2-40B4-BE49-F238E27FC236}">
              <a16:creationId xmlns:a16="http://schemas.microsoft.com/office/drawing/2014/main" id="{00000000-0008-0000-0800-000062D2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931" name="Text Box 1259">
          <a:extLst>
            <a:ext uri="{FF2B5EF4-FFF2-40B4-BE49-F238E27FC236}">
              <a16:creationId xmlns:a16="http://schemas.microsoft.com/office/drawing/2014/main" id="{00000000-0008-0000-0800-000063D2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139</xdr:row>
      <xdr:rowOff>0</xdr:rowOff>
    </xdr:from>
    <xdr:to>
      <xdr:col>43</xdr:col>
      <xdr:colOff>76200</xdr:colOff>
      <xdr:row>140</xdr:row>
      <xdr:rowOff>9525</xdr:rowOff>
    </xdr:to>
    <xdr:sp macro="" textlink="">
      <xdr:nvSpPr>
        <xdr:cNvPr id="184932" name="Text Box 1260">
          <a:extLst>
            <a:ext uri="{FF2B5EF4-FFF2-40B4-BE49-F238E27FC236}">
              <a16:creationId xmlns:a16="http://schemas.microsoft.com/office/drawing/2014/main" id="{00000000-0008-0000-0800-000064D20200}"/>
            </a:ext>
          </a:extLst>
        </xdr:cNvPr>
        <xdr:cNvSpPr txBox="1">
          <a:spLocks noChangeArrowheads="1"/>
        </xdr:cNvSpPr>
      </xdr:nvSpPr>
      <xdr:spPr bwMode="auto">
        <a:xfrm>
          <a:off x="10506075" y="2388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933" name="Text Box 1261">
          <a:extLst>
            <a:ext uri="{FF2B5EF4-FFF2-40B4-BE49-F238E27FC236}">
              <a16:creationId xmlns:a16="http://schemas.microsoft.com/office/drawing/2014/main" id="{00000000-0008-0000-0800-000065D2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934" name="Text Box 1262">
          <a:extLst>
            <a:ext uri="{FF2B5EF4-FFF2-40B4-BE49-F238E27FC236}">
              <a16:creationId xmlns:a16="http://schemas.microsoft.com/office/drawing/2014/main" id="{00000000-0008-0000-0800-000066D2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935" name="Text Box 1263">
          <a:extLst>
            <a:ext uri="{FF2B5EF4-FFF2-40B4-BE49-F238E27FC236}">
              <a16:creationId xmlns:a16="http://schemas.microsoft.com/office/drawing/2014/main" id="{00000000-0008-0000-0800-000067D2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936" name="Text Box 1264">
          <a:extLst>
            <a:ext uri="{FF2B5EF4-FFF2-40B4-BE49-F238E27FC236}">
              <a16:creationId xmlns:a16="http://schemas.microsoft.com/office/drawing/2014/main" id="{00000000-0008-0000-0800-000068D2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937" name="Text Box 1265">
          <a:extLst>
            <a:ext uri="{FF2B5EF4-FFF2-40B4-BE49-F238E27FC236}">
              <a16:creationId xmlns:a16="http://schemas.microsoft.com/office/drawing/2014/main" id="{00000000-0008-0000-0800-000069D2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938" name="Text Box 1266">
          <a:extLst>
            <a:ext uri="{FF2B5EF4-FFF2-40B4-BE49-F238E27FC236}">
              <a16:creationId xmlns:a16="http://schemas.microsoft.com/office/drawing/2014/main" id="{00000000-0008-0000-0800-00006AD2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939" name="Text Box 1267">
          <a:extLst>
            <a:ext uri="{FF2B5EF4-FFF2-40B4-BE49-F238E27FC236}">
              <a16:creationId xmlns:a16="http://schemas.microsoft.com/office/drawing/2014/main" id="{00000000-0008-0000-0800-00006BD2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940" name="Text Box 1268">
          <a:extLst>
            <a:ext uri="{FF2B5EF4-FFF2-40B4-BE49-F238E27FC236}">
              <a16:creationId xmlns:a16="http://schemas.microsoft.com/office/drawing/2014/main" id="{00000000-0008-0000-0800-00006CD2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941" name="Text Box 1269">
          <a:extLst>
            <a:ext uri="{FF2B5EF4-FFF2-40B4-BE49-F238E27FC236}">
              <a16:creationId xmlns:a16="http://schemas.microsoft.com/office/drawing/2014/main" id="{00000000-0008-0000-0800-00006DD2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151</xdr:row>
      <xdr:rowOff>0</xdr:rowOff>
    </xdr:from>
    <xdr:to>
      <xdr:col>43</xdr:col>
      <xdr:colOff>76200</xdr:colOff>
      <xdr:row>152</xdr:row>
      <xdr:rowOff>9525</xdr:rowOff>
    </xdr:to>
    <xdr:sp macro="" textlink="">
      <xdr:nvSpPr>
        <xdr:cNvPr id="184942" name="Text Box 1270">
          <a:extLst>
            <a:ext uri="{FF2B5EF4-FFF2-40B4-BE49-F238E27FC236}">
              <a16:creationId xmlns:a16="http://schemas.microsoft.com/office/drawing/2014/main" id="{00000000-0008-0000-0800-00006ED20200}"/>
            </a:ext>
          </a:extLst>
        </xdr:cNvPr>
        <xdr:cNvSpPr txBox="1">
          <a:spLocks noChangeArrowheads="1"/>
        </xdr:cNvSpPr>
      </xdr:nvSpPr>
      <xdr:spPr bwMode="auto">
        <a:xfrm>
          <a:off x="10506075" y="2617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43" name="Text Box 1271">
          <a:extLst>
            <a:ext uri="{FF2B5EF4-FFF2-40B4-BE49-F238E27FC236}">
              <a16:creationId xmlns:a16="http://schemas.microsoft.com/office/drawing/2014/main" id="{00000000-0008-0000-0800-00006F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44" name="Text Box 1272">
          <a:extLst>
            <a:ext uri="{FF2B5EF4-FFF2-40B4-BE49-F238E27FC236}">
              <a16:creationId xmlns:a16="http://schemas.microsoft.com/office/drawing/2014/main" id="{00000000-0008-0000-0800-000070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45" name="Text Box 1273">
          <a:extLst>
            <a:ext uri="{FF2B5EF4-FFF2-40B4-BE49-F238E27FC236}">
              <a16:creationId xmlns:a16="http://schemas.microsoft.com/office/drawing/2014/main" id="{00000000-0008-0000-0800-000071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46" name="Text Box 1274">
          <a:extLst>
            <a:ext uri="{FF2B5EF4-FFF2-40B4-BE49-F238E27FC236}">
              <a16:creationId xmlns:a16="http://schemas.microsoft.com/office/drawing/2014/main" id="{00000000-0008-0000-0800-000072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47" name="Text Box 1275">
          <a:extLst>
            <a:ext uri="{FF2B5EF4-FFF2-40B4-BE49-F238E27FC236}">
              <a16:creationId xmlns:a16="http://schemas.microsoft.com/office/drawing/2014/main" id="{00000000-0008-0000-0800-000073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48" name="Text Box 1276">
          <a:extLst>
            <a:ext uri="{FF2B5EF4-FFF2-40B4-BE49-F238E27FC236}">
              <a16:creationId xmlns:a16="http://schemas.microsoft.com/office/drawing/2014/main" id="{00000000-0008-0000-0800-000074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49" name="Text Box 1277">
          <a:extLst>
            <a:ext uri="{FF2B5EF4-FFF2-40B4-BE49-F238E27FC236}">
              <a16:creationId xmlns:a16="http://schemas.microsoft.com/office/drawing/2014/main" id="{00000000-0008-0000-0800-000075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50" name="Text Box 1278">
          <a:extLst>
            <a:ext uri="{FF2B5EF4-FFF2-40B4-BE49-F238E27FC236}">
              <a16:creationId xmlns:a16="http://schemas.microsoft.com/office/drawing/2014/main" id="{00000000-0008-0000-0800-000076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51" name="Text Box 1279">
          <a:extLst>
            <a:ext uri="{FF2B5EF4-FFF2-40B4-BE49-F238E27FC236}">
              <a16:creationId xmlns:a16="http://schemas.microsoft.com/office/drawing/2014/main" id="{00000000-0008-0000-0800-000077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52" name="Text Box 1280">
          <a:extLst>
            <a:ext uri="{FF2B5EF4-FFF2-40B4-BE49-F238E27FC236}">
              <a16:creationId xmlns:a16="http://schemas.microsoft.com/office/drawing/2014/main" id="{00000000-0008-0000-0800-000078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53" name="Text Box 1281">
          <a:extLst>
            <a:ext uri="{FF2B5EF4-FFF2-40B4-BE49-F238E27FC236}">
              <a16:creationId xmlns:a16="http://schemas.microsoft.com/office/drawing/2014/main" id="{00000000-0008-0000-0800-000079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54" name="Text Box 1282">
          <a:extLst>
            <a:ext uri="{FF2B5EF4-FFF2-40B4-BE49-F238E27FC236}">
              <a16:creationId xmlns:a16="http://schemas.microsoft.com/office/drawing/2014/main" id="{00000000-0008-0000-0800-00007A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55" name="Text Box 1283">
          <a:extLst>
            <a:ext uri="{FF2B5EF4-FFF2-40B4-BE49-F238E27FC236}">
              <a16:creationId xmlns:a16="http://schemas.microsoft.com/office/drawing/2014/main" id="{00000000-0008-0000-0800-00007B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56" name="Text Box 1284">
          <a:extLst>
            <a:ext uri="{FF2B5EF4-FFF2-40B4-BE49-F238E27FC236}">
              <a16:creationId xmlns:a16="http://schemas.microsoft.com/office/drawing/2014/main" id="{00000000-0008-0000-0800-00007C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57" name="Text Box 1285">
          <a:extLst>
            <a:ext uri="{FF2B5EF4-FFF2-40B4-BE49-F238E27FC236}">
              <a16:creationId xmlns:a16="http://schemas.microsoft.com/office/drawing/2014/main" id="{00000000-0008-0000-0800-00007D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58" name="Text Box 1286">
          <a:extLst>
            <a:ext uri="{FF2B5EF4-FFF2-40B4-BE49-F238E27FC236}">
              <a16:creationId xmlns:a16="http://schemas.microsoft.com/office/drawing/2014/main" id="{00000000-0008-0000-0800-00007E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59" name="Text Box 1287">
          <a:extLst>
            <a:ext uri="{FF2B5EF4-FFF2-40B4-BE49-F238E27FC236}">
              <a16:creationId xmlns:a16="http://schemas.microsoft.com/office/drawing/2014/main" id="{00000000-0008-0000-0800-00007F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60" name="Text Box 1288">
          <a:extLst>
            <a:ext uri="{FF2B5EF4-FFF2-40B4-BE49-F238E27FC236}">
              <a16:creationId xmlns:a16="http://schemas.microsoft.com/office/drawing/2014/main" id="{00000000-0008-0000-0800-000080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61" name="Text Box 1289">
          <a:extLst>
            <a:ext uri="{FF2B5EF4-FFF2-40B4-BE49-F238E27FC236}">
              <a16:creationId xmlns:a16="http://schemas.microsoft.com/office/drawing/2014/main" id="{00000000-0008-0000-0800-000081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0</xdr:colOff>
      <xdr:row>163</xdr:row>
      <xdr:rowOff>0</xdr:rowOff>
    </xdr:from>
    <xdr:to>
      <xdr:col>43</xdr:col>
      <xdr:colOff>76200</xdr:colOff>
      <xdr:row>164</xdr:row>
      <xdr:rowOff>9525</xdr:rowOff>
    </xdr:to>
    <xdr:sp macro="" textlink="">
      <xdr:nvSpPr>
        <xdr:cNvPr id="184962" name="Text Box 1290">
          <a:extLst>
            <a:ext uri="{FF2B5EF4-FFF2-40B4-BE49-F238E27FC236}">
              <a16:creationId xmlns:a16="http://schemas.microsoft.com/office/drawing/2014/main" id="{00000000-0008-0000-0800-000082D20200}"/>
            </a:ext>
          </a:extLst>
        </xdr:cNvPr>
        <xdr:cNvSpPr txBox="1">
          <a:spLocks noChangeArrowheads="1"/>
        </xdr:cNvSpPr>
      </xdr:nvSpPr>
      <xdr:spPr bwMode="auto">
        <a:xfrm>
          <a:off x="10506075" y="28460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www.unsa-financesindustrie.org/unsa-inpi/sommaire/35heures/decret_2000_815.ht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hyperlink" Target="http://www.unsa-financesindustrie.org/unsa-inpi/sommaire/35heures/decret_2000_815.htm" TargetMode="Externa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hyperlink" Target="http://www.unsa-financesindustrie.org/unsa-inpi/sommaire/35heures/decret_2000_815.htm" TargetMode="Externa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pageSetUpPr fitToPage="1"/>
  </sheetPr>
  <dimension ref="A1:G19"/>
  <sheetViews>
    <sheetView zoomScale="70" zoomScaleNormal="70" workbookViewId="0">
      <selection activeCell="D9" sqref="D9"/>
    </sheetView>
  </sheetViews>
  <sheetFormatPr baseColWidth="10" defaultRowHeight="15" x14ac:dyDescent="0.25"/>
  <cols>
    <col min="1" max="1" width="11.42578125" style="135"/>
    <col min="2" max="2" width="10.140625" style="135" customWidth="1"/>
    <col min="3" max="3" width="26.140625" style="135" customWidth="1"/>
    <col min="4" max="4" width="102.28515625" style="135" customWidth="1"/>
    <col min="5" max="5" width="6.28515625" style="135" customWidth="1"/>
    <col min="6" max="6" width="30.42578125" style="135" customWidth="1"/>
    <col min="7" max="7" width="91.28515625" style="135" customWidth="1"/>
    <col min="8" max="16384" width="11.42578125" style="135"/>
  </cols>
  <sheetData>
    <row r="1" spans="1:7" ht="15" customHeight="1" x14ac:dyDescent="0.25">
      <c r="A1" s="421" t="s">
        <v>192</v>
      </c>
      <c r="B1" s="421"/>
      <c r="C1" s="421"/>
      <c r="D1" s="421"/>
      <c r="E1" s="421"/>
      <c r="F1" s="421"/>
      <c r="G1" s="421"/>
    </row>
    <row r="2" spans="1:7" ht="15" customHeight="1" x14ac:dyDescent="0.25">
      <c r="A2" s="421"/>
      <c r="B2" s="421"/>
      <c r="C2" s="421"/>
      <c r="D2" s="421"/>
      <c r="E2" s="421"/>
      <c r="F2" s="421"/>
      <c r="G2" s="421"/>
    </row>
    <row r="3" spans="1:7" x14ac:dyDescent="0.25">
      <c r="A3" s="422" t="str">
        <f>Paramétrage!AG2</f>
        <v>version 5.0</v>
      </c>
      <c r="B3" s="422"/>
      <c r="C3" s="422"/>
      <c r="D3" s="422"/>
      <c r="E3" s="422"/>
      <c r="F3" s="422"/>
      <c r="G3" s="422"/>
    </row>
    <row r="4" spans="1:7" ht="26.25" customHeight="1" thickBot="1" x14ac:dyDescent="0.3"/>
    <row r="5" spans="1:7" s="134" customFormat="1" ht="24.95" customHeight="1" thickTop="1" thickBot="1" x14ac:dyDescent="0.3">
      <c r="A5" s="423" t="s">
        <v>190</v>
      </c>
      <c r="B5" s="424"/>
      <c r="C5" s="136" t="s">
        <v>210</v>
      </c>
      <c r="D5" s="137" t="s">
        <v>191</v>
      </c>
      <c r="F5" s="296" t="s">
        <v>312</v>
      </c>
      <c r="G5" s="297" t="s">
        <v>328</v>
      </c>
    </row>
    <row r="6" spans="1:7" ht="235.5" customHeight="1" thickTop="1" x14ac:dyDescent="0.25">
      <c r="A6" s="425" t="s">
        <v>200</v>
      </c>
      <c r="B6" s="435">
        <v>1</v>
      </c>
      <c r="C6" s="432" t="s">
        <v>193</v>
      </c>
      <c r="D6" s="429" t="s">
        <v>380</v>
      </c>
      <c r="F6" s="302" t="s">
        <v>308</v>
      </c>
      <c r="G6" s="299" t="s">
        <v>335</v>
      </c>
    </row>
    <row r="7" spans="1:7" s="363" customFormat="1" ht="38.25" customHeight="1" x14ac:dyDescent="0.25">
      <c r="A7" s="426"/>
      <c r="B7" s="436"/>
      <c r="C7" s="433"/>
      <c r="D7" s="430"/>
      <c r="F7" s="302" t="s">
        <v>313</v>
      </c>
      <c r="G7" s="299" t="s">
        <v>311</v>
      </c>
    </row>
    <row r="8" spans="1:7" ht="72.75" customHeight="1" thickBot="1" x14ac:dyDescent="0.3">
      <c r="A8" s="426"/>
      <c r="B8" s="437"/>
      <c r="C8" s="434"/>
      <c r="D8" s="431"/>
      <c r="F8" s="302" t="s">
        <v>310</v>
      </c>
      <c r="G8" s="299" t="s">
        <v>340</v>
      </c>
    </row>
    <row r="9" spans="1:7" ht="105.75" thickTop="1" x14ac:dyDescent="0.25">
      <c r="A9" s="426"/>
      <c r="B9" s="138">
        <v>2</v>
      </c>
      <c r="C9" s="139" t="s">
        <v>195</v>
      </c>
      <c r="D9" s="140" t="s">
        <v>334</v>
      </c>
      <c r="F9" s="301" t="s">
        <v>309</v>
      </c>
      <c r="G9" s="298" t="s">
        <v>317</v>
      </c>
    </row>
    <row r="10" spans="1:7" ht="65.25" customHeight="1" thickBot="1" x14ac:dyDescent="0.3">
      <c r="A10" s="426"/>
      <c r="B10" s="141">
        <v>3</v>
      </c>
      <c r="C10" s="142" t="s">
        <v>349</v>
      </c>
      <c r="D10" s="143" t="s">
        <v>196</v>
      </c>
      <c r="F10" s="303" t="s">
        <v>315</v>
      </c>
      <c r="G10" s="300" t="s">
        <v>314</v>
      </c>
    </row>
    <row r="11" spans="1:7" ht="60.75" customHeight="1" thickTop="1" x14ac:dyDescent="0.25">
      <c r="A11" s="427" t="s">
        <v>198</v>
      </c>
      <c r="B11" s="150">
        <v>4</v>
      </c>
      <c r="C11" s="151" t="s">
        <v>349</v>
      </c>
      <c r="D11" s="152" t="s">
        <v>348</v>
      </c>
      <c r="F11" s="363"/>
      <c r="G11" s="363"/>
    </row>
    <row r="12" spans="1:7" ht="45.75" customHeight="1" thickBot="1" x14ac:dyDescent="0.3">
      <c r="A12" s="428"/>
      <c r="B12" s="153">
        <v>5</v>
      </c>
      <c r="C12" s="154" t="s">
        <v>195</v>
      </c>
      <c r="D12" s="155" t="s">
        <v>350</v>
      </c>
    </row>
    <row r="13" spans="1:7" ht="135.75" thickTop="1" x14ac:dyDescent="0.25">
      <c r="A13" s="419" t="s">
        <v>199</v>
      </c>
      <c r="B13" s="156">
        <v>6</v>
      </c>
      <c r="C13" s="157" t="s">
        <v>194</v>
      </c>
      <c r="D13" s="158" t="s">
        <v>318</v>
      </c>
    </row>
    <row r="14" spans="1:7" ht="45" x14ac:dyDescent="0.25">
      <c r="A14" s="419"/>
      <c r="B14" s="156">
        <v>7</v>
      </c>
      <c r="C14" s="157" t="s">
        <v>209</v>
      </c>
      <c r="D14" s="158" t="s">
        <v>211</v>
      </c>
    </row>
    <row r="15" spans="1:7" x14ac:dyDescent="0.25">
      <c r="A15" s="419"/>
      <c r="B15" s="144">
        <v>8</v>
      </c>
      <c r="C15" s="145" t="s">
        <v>193</v>
      </c>
      <c r="D15" s="146" t="s">
        <v>201</v>
      </c>
    </row>
    <row r="16" spans="1:7" ht="30" x14ac:dyDescent="0.25">
      <c r="A16" s="419"/>
      <c r="B16" s="144">
        <v>9</v>
      </c>
      <c r="C16" s="145" t="s">
        <v>194</v>
      </c>
      <c r="D16" s="146" t="s">
        <v>212</v>
      </c>
    </row>
    <row r="17" spans="1:4" ht="30" x14ac:dyDescent="0.25">
      <c r="A17" s="419"/>
      <c r="B17" s="144">
        <v>10</v>
      </c>
      <c r="C17" s="145" t="s">
        <v>194</v>
      </c>
      <c r="D17" s="146" t="s">
        <v>202</v>
      </c>
    </row>
    <row r="18" spans="1:4" ht="60.75" thickBot="1" x14ac:dyDescent="0.3">
      <c r="A18" s="420"/>
      <c r="B18" s="147">
        <v>11</v>
      </c>
      <c r="C18" s="148" t="s">
        <v>197</v>
      </c>
      <c r="D18" s="149" t="s">
        <v>213</v>
      </c>
    </row>
    <row r="19" spans="1:4" ht="15.75" thickTop="1" x14ac:dyDescent="0.25">
      <c r="B19" s="134"/>
    </row>
  </sheetData>
  <sheetProtection algorithmName="SHA-512" hashValue="NuMoKQtvQo+ViIXohnizkSaa8VxwasPFY0kYNhkyBY4TNRBUIZ006TkqLOvsNSUkeVArbNcvaxN4m6OVDKwmog==" saltValue="KAi/BcGnxjDclcdMAEtH7Q==" spinCount="100000" sheet="1" selectLockedCells="1"/>
  <mergeCells count="9">
    <mergeCell ref="A13:A18"/>
    <mergeCell ref="A1:G2"/>
    <mergeCell ref="A3:G3"/>
    <mergeCell ref="A5:B5"/>
    <mergeCell ref="A6:A10"/>
    <mergeCell ref="A11:A12"/>
    <mergeCell ref="D6:D8"/>
    <mergeCell ref="C6:C8"/>
    <mergeCell ref="B6:B8"/>
  </mergeCells>
  <printOptions horizontalCentered="1" verticalCentered="1"/>
  <pageMargins left="0.23622047244094491" right="0.27559055118110237" top="0.23622047244094491" bottom="0.23622047244094491" header="0.15748031496062992" footer="0.15748031496062992"/>
  <pageSetup paperSize="9" scale="51"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6">
    <pageSetUpPr fitToPage="1"/>
  </sheetPr>
  <dimension ref="A1:CD513"/>
  <sheetViews>
    <sheetView showGridLines="0" zoomScaleNormal="100" workbookViewId="0">
      <selection activeCell="C5" sqref="C5:G5"/>
    </sheetView>
  </sheetViews>
  <sheetFormatPr baseColWidth="10" defaultRowHeight="15" x14ac:dyDescent="0.25"/>
  <cols>
    <col min="1" max="1" width="2.7109375" style="63" customWidth="1"/>
    <col min="2" max="2" width="6.7109375" style="63" customWidth="1"/>
    <col min="3" max="3" width="3.7109375" style="63" customWidth="1"/>
    <col min="4" max="4" width="2.7109375" style="63" customWidth="1"/>
    <col min="5" max="5" width="6.7109375" style="76" customWidth="1"/>
    <col min="6" max="6" width="3.7109375" style="63" customWidth="1"/>
    <col min="7" max="7" width="2.7109375" style="63" customWidth="1"/>
    <col min="8" max="8" width="7.42578125" style="63" customWidth="1"/>
    <col min="9" max="9" width="3.7109375" style="76" customWidth="1"/>
    <col min="10" max="10" width="2.7109375" style="76" customWidth="1"/>
    <col min="11" max="11" width="6.7109375" style="63" customWidth="1"/>
    <col min="12" max="12" width="3.7109375" style="63" customWidth="1"/>
    <col min="13" max="13" width="2.7109375" style="63" customWidth="1"/>
    <col min="14" max="14" width="6.7109375" style="76" customWidth="1"/>
    <col min="15" max="15" width="3.7109375" style="63" customWidth="1"/>
    <col min="16" max="16" width="2.7109375" style="63" customWidth="1"/>
    <col min="17" max="17" width="6.7109375" style="63" customWidth="1"/>
    <col min="18" max="18" width="3.7109375" style="76" customWidth="1"/>
    <col min="19" max="19" width="2.7109375" style="76" customWidth="1"/>
    <col min="20" max="20" width="6.7109375" style="63" customWidth="1"/>
    <col min="21" max="21" width="3.7109375" style="63" customWidth="1"/>
    <col min="22" max="22" width="2.7109375" style="63" customWidth="1"/>
    <col min="23" max="23" width="7.28515625" style="76" customWidth="1"/>
    <col min="24" max="24" width="4.7109375" style="63" customWidth="1"/>
    <col min="25" max="25" width="2.7109375" style="63" customWidth="1"/>
    <col min="26" max="26" width="8" style="63" customWidth="1"/>
    <col min="27" max="27" width="3.7109375" style="76" customWidth="1"/>
    <col min="28" max="28" width="2.7109375" style="76" customWidth="1"/>
    <col min="29" max="29" width="6.7109375" style="63" customWidth="1"/>
    <col min="30" max="30" width="3.7109375" style="63" customWidth="1"/>
    <col min="31" max="31" width="2.7109375" style="63" customWidth="1"/>
    <col min="32" max="32" width="6.7109375" style="76" customWidth="1"/>
    <col min="33" max="33" width="3.7109375" style="63" customWidth="1"/>
    <col min="34" max="34" width="5.42578125" style="63" customWidth="1"/>
    <col min="35" max="35" width="6.7109375" style="63" customWidth="1"/>
    <col min="36" max="36" width="3.7109375" style="76" customWidth="1"/>
    <col min="37" max="38" width="10.85546875" style="76" customWidth="1"/>
    <col min="39" max="43" width="10.7109375" style="75" customWidth="1"/>
    <col min="44" max="44" width="11.42578125" style="63" customWidth="1"/>
    <col min="45" max="45" width="18.28515625" style="63" customWidth="1"/>
    <col min="46" max="46" width="11.5703125" style="63" customWidth="1"/>
    <col min="47" max="48" width="11.42578125" style="63" customWidth="1"/>
    <col min="49" max="49" width="11.5703125" style="63" customWidth="1"/>
    <col min="50" max="50" width="12.42578125" style="63" customWidth="1"/>
    <col min="51" max="61" width="11.42578125" style="63" customWidth="1"/>
    <col min="62" max="62" width="14.7109375" style="63" customWidth="1"/>
    <col min="63" max="64" width="11.42578125" style="63" customWidth="1"/>
    <col min="65" max="65" width="11.42578125" style="29" customWidth="1"/>
    <col min="66" max="66" width="11.85546875" style="29" customWidth="1"/>
    <col min="67" max="67" width="11.42578125" style="29" customWidth="1"/>
    <col min="68" max="69" width="12.5703125" style="29" customWidth="1"/>
    <col min="70" max="70" width="11.42578125" style="29" customWidth="1"/>
    <col min="71" max="71" width="12.42578125" customWidth="1"/>
    <col min="72" max="78" width="11.42578125" customWidth="1"/>
    <col min="79" max="79" width="27" customWidth="1"/>
    <col min="80" max="80" width="28.7109375" customWidth="1"/>
    <col min="81" max="82" width="11.42578125" customWidth="1"/>
    <col min="83" max="86" width="11.42578125" style="63" customWidth="1"/>
    <col min="87" max="16384" width="11.42578125" style="63"/>
  </cols>
  <sheetData>
    <row r="1" spans="1:82" s="70" customFormat="1" ht="24" customHeight="1" x14ac:dyDescent="0.35">
      <c r="A1" s="598" t="s">
        <v>119</v>
      </c>
      <c r="B1" s="599"/>
      <c r="C1" s="599"/>
      <c r="D1" s="599"/>
      <c r="E1" s="599"/>
      <c r="F1" s="599"/>
      <c r="G1" s="599"/>
      <c r="H1" s="599"/>
      <c r="I1" s="599"/>
      <c r="J1" s="599"/>
      <c r="K1" s="599"/>
      <c r="L1" s="599"/>
      <c r="M1" s="599"/>
      <c r="N1" s="599"/>
      <c r="O1" s="599"/>
      <c r="P1" s="599"/>
      <c r="Q1" s="599"/>
      <c r="R1" s="599"/>
      <c r="S1" s="599"/>
      <c r="T1" s="599"/>
      <c r="U1" s="599"/>
      <c r="V1" s="599"/>
      <c r="W1" s="599"/>
      <c r="X1" s="599"/>
      <c r="Y1" s="599"/>
      <c r="Z1" s="599"/>
      <c r="AA1" s="599"/>
      <c r="AB1" s="599"/>
      <c r="AC1" s="599"/>
      <c r="AD1" s="599"/>
      <c r="AE1" s="599"/>
      <c r="AF1" s="599"/>
      <c r="AG1" s="599"/>
      <c r="AH1" s="599"/>
      <c r="AI1" s="600"/>
      <c r="AJ1" s="68"/>
      <c r="AL1" s="68"/>
      <c r="AM1" s="69"/>
      <c r="AN1" s="69"/>
      <c r="AO1" s="69"/>
      <c r="AP1" s="69"/>
      <c r="AQ1" s="69"/>
      <c r="BM1" s="29"/>
      <c r="BN1" s="29"/>
      <c r="BO1" s="29"/>
      <c r="BP1" s="29"/>
      <c r="BQ1" s="29"/>
      <c r="BR1" s="29"/>
      <c r="BS1"/>
      <c r="BT1"/>
      <c r="BU1"/>
      <c r="BV1"/>
      <c r="BW1"/>
      <c r="BX1"/>
      <c r="BY1" s="520" t="s">
        <v>278</v>
      </c>
      <c r="BZ1" s="520"/>
      <c r="CA1"/>
      <c r="CB1"/>
      <c r="CC1"/>
      <c r="CD1"/>
    </row>
    <row r="2" spans="1:82" s="168" customFormat="1" ht="24" customHeight="1" x14ac:dyDescent="0.25">
      <c r="A2" s="166"/>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624" t="s">
        <v>381</v>
      </c>
      <c r="AH2" s="624"/>
      <c r="AI2" s="624"/>
      <c r="AK2" s="166"/>
      <c r="AL2" s="166"/>
      <c r="AM2" s="167"/>
      <c r="AN2" s="167"/>
      <c r="AO2" s="167"/>
      <c r="AP2" s="167"/>
      <c r="AQ2" s="167"/>
      <c r="BJ2" s="169">
        <v>1.4583333333333333</v>
      </c>
      <c r="BM2" s="29"/>
      <c r="BN2" s="29" t="s">
        <v>250</v>
      </c>
      <c r="BO2" s="29" t="s">
        <v>251</v>
      </c>
      <c r="BP2" s="29" t="s">
        <v>252</v>
      </c>
      <c r="BQ2" s="29" t="s">
        <v>253</v>
      </c>
      <c r="BR2" s="240" t="s">
        <v>118</v>
      </c>
      <c r="BS2" s="520" t="s">
        <v>254</v>
      </c>
      <c r="BT2" s="520"/>
      <c r="BU2" s="29" t="s">
        <v>255</v>
      </c>
      <c r="BV2" s="29"/>
      <c r="BW2" s="29"/>
      <c r="BX2" s="29"/>
      <c r="BY2" s="29" t="s">
        <v>176</v>
      </c>
      <c r="BZ2" s="29" t="s">
        <v>279</v>
      </c>
      <c r="CA2"/>
      <c r="CB2"/>
      <c r="CC2"/>
      <c r="CD2"/>
    </row>
    <row r="3" spans="1:82" s="171" customFormat="1" ht="15.95" customHeight="1" x14ac:dyDescent="0.25">
      <c r="A3" s="165"/>
      <c r="B3" s="165"/>
      <c r="C3" s="165"/>
      <c r="D3" s="165"/>
      <c r="E3" s="165"/>
      <c r="F3" s="165"/>
      <c r="G3" s="165"/>
      <c r="H3" s="165"/>
      <c r="I3" s="165"/>
      <c r="J3" s="165"/>
      <c r="K3" s="165"/>
      <c r="L3" s="165"/>
      <c r="M3" s="165"/>
      <c r="N3" s="165"/>
      <c r="O3" s="165"/>
      <c r="P3" s="165"/>
      <c r="Q3" s="165"/>
      <c r="R3" s="165"/>
      <c r="S3" s="165"/>
      <c r="U3" s="165"/>
      <c r="V3" s="165"/>
      <c r="W3" s="165"/>
      <c r="X3" s="165"/>
      <c r="Y3" s="165"/>
      <c r="Z3" s="165"/>
      <c r="AA3" s="165"/>
      <c r="AB3" s="165"/>
      <c r="AC3" s="165"/>
      <c r="AD3" s="165"/>
      <c r="AE3" s="165"/>
      <c r="AF3" s="165"/>
      <c r="AG3" s="165"/>
      <c r="AK3" s="165"/>
      <c r="AL3" s="165"/>
      <c r="AM3" s="170"/>
      <c r="AN3" s="170"/>
      <c r="AO3" s="170"/>
      <c r="AP3" s="170"/>
      <c r="AQ3" s="170"/>
      <c r="BJ3" s="172">
        <v>0.29166666666666669</v>
      </c>
      <c r="BM3" s="240" t="s">
        <v>102</v>
      </c>
      <c r="BN3" s="240">
        <f>COUNTA(BN4:BN375)</f>
        <v>366</v>
      </c>
      <c r="BO3" s="240">
        <f>SUM(BO4:BO375)</f>
        <v>104</v>
      </c>
      <c r="BP3" s="240">
        <f>SUM(BP4:BP375)</f>
        <v>7</v>
      </c>
      <c r="BQ3" s="241">
        <f>SUM(BQ4:BQ375)</f>
        <v>254</v>
      </c>
      <c r="BR3" s="240">
        <f>BN3-BP3-BO3</f>
        <v>255</v>
      </c>
      <c r="BS3" s="241">
        <f>SUM(BS4:BS375)</f>
        <v>25.069404333333395</v>
      </c>
      <c r="BT3" s="241">
        <f>SUM(BT4:BT375)</f>
        <v>24.999960000000062</v>
      </c>
      <c r="BU3"/>
      <c r="BV3" s="241">
        <f>SUM(BV4:BV375)</f>
        <v>0</v>
      </c>
      <c r="BW3" s="241">
        <f>SUM(BW4:BW375)</f>
        <v>0</v>
      </c>
      <c r="BX3" s="29"/>
      <c r="BY3" s="274">
        <f>COUNTIF('T1'!B6:B156,"css")+COUNTIF('T2'!B6:B156,"css")+COUNTIF('T3'!B6:B168,"css")+COUNTIF('T4'!B6:B156,"css")</f>
        <v>0</v>
      </c>
      <c r="BZ3" s="274">
        <f>COUNTIF('T1'!C6:C156,"css")+COUNTIF('T2'!C6:C156,"css")+COUNTIF('T3'!C6:C168,"css")+COUNTIF('T4'!C6:C156,"css")</f>
        <v>0</v>
      </c>
      <c r="CA3"/>
      <c r="CB3"/>
      <c r="CC3"/>
      <c r="CD3"/>
    </row>
    <row r="4" spans="1:82" s="171" customFormat="1" ht="15.95" customHeight="1" x14ac:dyDescent="0.25">
      <c r="A4" s="165"/>
      <c r="B4" s="165"/>
      <c r="C4" s="165"/>
      <c r="D4" s="165"/>
      <c r="E4" s="165"/>
      <c r="F4" s="165"/>
      <c r="G4" s="165"/>
      <c r="H4" s="165"/>
      <c r="I4" s="165"/>
      <c r="J4" s="165"/>
      <c r="K4" s="165"/>
      <c r="L4" s="165"/>
      <c r="M4" s="165"/>
      <c r="N4" s="165"/>
      <c r="O4" s="165"/>
      <c r="P4" s="165"/>
      <c r="Q4" s="165"/>
      <c r="R4" s="165"/>
      <c r="S4" s="165"/>
      <c r="T4" s="165"/>
      <c r="U4" s="165"/>
      <c r="V4" s="165"/>
      <c r="W4" s="165"/>
      <c r="X4" s="165"/>
      <c r="Y4" s="165"/>
      <c r="Z4" s="165"/>
      <c r="AA4" s="165"/>
      <c r="AB4" s="165"/>
      <c r="AC4" s="165"/>
      <c r="AD4" s="165"/>
      <c r="AE4" s="165"/>
      <c r="AF4" s="165"/>
      <c r="AG4" s="165"/>
      <c r="AH4" s="165"/>
      <c r="AI4" s="165"/>
      <c r="AJ4" s="165"/>
      <c r="AK4" s="165"/>
      <c r="AL4" s="165"/>
      <c r="AM4" s="170"/>
      <c r="AN4" s="170"/>
      <c r="AO4" s="170"/>
      <c r="AP4" s="170"/>
      <c r="AQ4" s="170"/>
      <c r="BM4" s="29">
        <v>1</v>
      </c>
      <c r="BN4" s="242">
        <f>DATE(annualisation!W2,9,1)</f>
        <v>42613</v>
      </c>
      <c r="BO4" s="29">
        <f t="shared" ref="BO4" si="0">IF(OR(WEEKDAY(BN4)=1,WEEKDAY(BN4)=7),1,0)</f>
        <v>0</v>
      </c>
      <c r="BP4" s="29">
        <f t="shared" ref="BP4:BP70" si="1">IF(BO4=1,0,COUNTIF(tab_ferie,BN4))</f>
        <v>0</v>
      </c>
      <c r="BQ4" s="29">
        <f>IF(AND(BN4&gt;=$AF$5,BN4&lt;=$AF$6),IF(BO4+BP4=0,1,0),0)</f>
        <v>1</v>
      </c>
      <c r="BR4" s="29">
        <f>1-BP4-BO4</f>
        <v>1</v>
      </c>
      <c r="BS4" s="243">
        <f>2.08333/(EOMONTH(BN4,0)-(EOMONTH(BN4,-1)))</f>
        <v>6.9444333333333344E-2</v>
      </c>
      <c r="BT4">
        <f>IF(AND(BN4&gt;=$AF$5,BN4&lt;=$AF$6),BS4,0)</f>
        <v>6.9444333333333344E-2</v>
      </c>
      <c r="BU4" t="str">
        <f>IF(OR(MONTH(BN4)&gt;=10,MONTH(BN4)&lt;=5),"ok","non")</f>
        <v>non</v>
      </c>
      <c r="BV4">
        <f>IF(BU4="ok",$CC$30/(EOMONTH(BN4,0)-(EOMONTH(BN4,-1))),0)</f>
        <v>0</v>
      </c>
      <c r="BW4">
        <f>IF(AND(BN4&gt;=$AF$5,BN4&lt;=$AF$6),BV4,0)</f>
        <v>0</v>
      </c>
      <c r="BX4"/>
      <c r="BY4"/>
      <c r="BZ4"/>
      <c r="CA4"/>
      <c r="CB4"/>
      <c r="CC4"/>
      <c r="CD4"/>
    </row>
    <row r="5" spans="1:82" s="171" customFormat="1" ht="15.95" customHeight="1" x14ac:dyDescent="0.25">
      <c r="A5" s="173"/>
      <c r="B5" s="174" t="s">
        <v>110</v>
      </c>
      <c r="C5" s="635"/>
      <c r="D5" s="636"/>
      <c r="E5" s="636"/>
      <c r="F5" s="636"/>
      <c r="G5" s="637"/>
      <c r="H5" s="175"/>
      <c r="I5" s="175"/>
      <c r="J5" s="174" t="s">
        <v>108</v>
      </c>
      <c r="K5" s="635"/>
      <c r="L5" s="636"/>
      <c r="M5" s="636"/>
      <c r="N5" s="636"/>
      <c r="O5" s="637"/>
      <c r="Q5" s="176"/>
      <c r="R5" s="174" t="s">
        <v>83</v>
      </c>
      <c r="S5" s="635"/>
      <c r="T5" s="636"/>
      <c r="U5" s="636"/>
      <c r="V5" s="636"/>
      <c r="W5" s="637"/>
      <c r="X5" s="176"/>
      <c r="Y5" s="165"/>
      <c r="Z5" s="165"/>
      <c r="AA5" s="164"/>
      <c r="AB5" s="174"/>
      <c r="AE5" s="177" t="s">
        <v>203</v>
      </c>
      <c r="AF5" s="542">
        <v>42613</v>
      </c>
      <c r="AG5" s="543"/>
      <c r="AH5" s="543"/>
      <c r="AI5" s="544"/>
      <c r="AJ5" s="165"/>
      <c r="AK5" s="165"/>
      <c r="AL5" s="165"/>
      <c r="AM5" s="170"/>
      <c r="AN5" s="170"/>
      <c r="AO5" s="170"/>
      <c r="AP5" s="170"/>
      <c r="AQ5" s="170"/>
      <c r="BB5" s="174" t="s">
        <v>76</v>
      </c>
      <c r="BC5" s="549">
        <f>IF(MONTH(AF5)&gt;8,YEAR(AF5),YEAR(AF5)-1)</f>
        <v>2020</v>
      </c>
      <c r="BD5" s="550"/>
      <c r="BE5" s="551"/>
      <c r="BF5" s="165" t="s">
        <v>77</v>
      </c>
      <c r="BG5" s="537">
        <f>BC5+1</f>
        <v>2021</v>
      </c>
      <c r="BH5" s="537"/>
      <c r="BI5" s="537"/>
      <c r="BM5" s="29">
        <v>2</v>
      </c>
      <c r="BN5" s="242">
        <f>BN4+1</f>
        <v>42614</v>
      </c>
      <c r="BO5" s="29">
        <f t="shared" ref="BO5:BO71" si="2">IF(OR(WEEKDAY(BN5)=1,WEEKDAY(BN5)=7),1,0)</f>
        <v>0</v>
      </c>
      <c r="BP5" s="29">
        <f t="shared" si="1"/>
        <v>0</v>
      </c>
      <c r="BQ5" s="29">
        <f t="shared" ref="BQ5:BQ71" si="3">IF(AND(BN5&gt;=$AF$5,BN5&lt;=$AF$6),IF(BO5+BP5=0,1,0),0)</f>
        <v>1</v>
      </c>
      <c r="BR5" s="29">
        <f>BR4+1-BP5-BO5</f>
        <v>2</v>
      </c>
      <c r="BS5" s="243">
        <f t="shared" ref="BS5:BS71" si="4">2.08333/(EOMONTH(BN5,0)-(EOMONTH(BN5,-1)))</f>
        <v>6.9444333333333344E-2</v>
      </c>
      <c r="BT5">
        <f t="shared" ref="BT5:BT71" si="5">IF(AND(BN5&gt;=$AF$5,BN5&lt;=$AF$6),BS5,0)</f>
        <v>6.9444333333333344E-2</v>
      </c>
      <c r="BU5" t="str">
        <f t="shared" ref="BU5:BU71" si="6">IF(OR(MONTH(BN5)&gt;=10,MONTH(BN5)&lt;=5),"ok","non")</f>
        <v>non</v>
      </c>
      <c r="BV5">
        <f>IF(BU5="ok",$CC$30/(EOMONTH(BN5,0)-(EOMONTH(BN5,-1))),0)</f>
        <v>0</v>
      </c>
      <c r="BW5">
        <f t="shared" ref="BW5:BW71" si="7">IF(AND(BN5&gt;=$AF$5,BN5&lt;=$AF$6),BV5,0)</f>
        <v>0</v>
      </c>
      <c r="BX5"/>
      <c r="BY5"/>
      <c r="BZ5"/>
      <c r="CA5"/>
      <c r="CB5"/>
      <c r="CC5"/>
      <c r="CD5"/>
    </row>
    <row r="6" spans="1:82" s="171" customFormat="1" ht="15.95" customHeight="1" x14ac:dyDescent="0.25">
      <c r="A6" s="173"/>
      <c r="B6" s="165"/>
      <c r="C6" s="173"/>
      <c r="E6" s="164"/>
      <c r="F6" s="174"/>
      <c r="G6" s="165"/>
      <c r="H6" s="165"/>
      <c r="I6" s="165"/>
      <c r="J6" s="165"/>
      <c r="K6" s="165"/>
      <c r="L6" s="165"/>
      <c r="M6" s="165"/>
      <c r="N6" s="165"/>
      <c r="O6" s="165"/>
      <c r="Q6" s="176"/>
      <c r="R6" s="174"/>
      <c r="S6" s="165"/>
      <c r="T6" s="165"/>
      <c r="U6" s="165"/>
      <c r="V6" s="165"/>
      <c r="W6" s="165"/>
      <c r="X6" s="176"/>
      <c r="Y6" s="165"/>
      <c r="Z6" s="165"/>
      <c r="AA6" s="165"/>
      <c r="AB6" s="165"/>
      <c r="AC6" s="174"/>
      <c r="AE6" s="177" t="s">
        <v>204</v>
      </c>
      <c r="AF6" s="542">
        <v>42977</v>
      </c>
      <c r="AG6" s="543"/>
      <c r="AH6" s="543"/>
      <c r="AI6" s="544"/>
      <c r="AJ6" s="165"/>
      <c r="AK6" s="165"/>
      <c r="AL6" s="165"/>
      <c r="AM6" s="170"/>
      <c r="AN6" s="170"/>
      <c r="AO6" s="170"/>
      <c r="AP6" s="170"/>
      <c r="AQ6" s="170"/>
      <c r="BM6" s="29">
        <v>3</v>
      </c>
      <c r="BN6" s="242">
        <f t="shared" ref="BN6:BN72" si="8">BN5+1</f>
        <v>42615</v>
      </c>
      <c r="BO6" s="29">
        <f t="shared" si="2"/>
        <v>0</v>
      </c>
      <c r="BP6" s="29">
        <f t="shared" si="1"/>
        <v>0</v>
      </c>
      <c r="BQ6" s="29">
        <f t="shared" si="3"/>
        <v>1</v>
      </c>
      <c r="BR6" s="29">
        <f t="shared" ref="BR6:BR72" si="9">BR5+1-BP6-BO6</f>
        <v>3</v>
      </c>
      <c r="BS6" s="243">
        <f t="shared" si="4"/>
        <v>6.9444333333333344E-2</v>
      </c>
      <c r="BT6">
        <f t="shared" si="5"/>
        <v>6.9444333333333344E-2</v>
      </c>
      <c r="BU6" t="str">
        <f t="shared" si="6"/>
        <v>non</v>
      </c>
      <c r="BV6">
        <f>IF(BU6="ok",$CC$30/(EOMONTH(BN6,0)-(EOMONTH(BN6,-1))),0)</f>
        <v>0</v>
      </c>
      <c r="BW6">
        <f t="shared" si="7"/>
        <v>0</v>
      </c>
      <c r="BX6"/>
      <c r="BY6"/>
      <c r="BZ6"/>
      <c r="CA6"/>
      <c r="CB6"/>
      <c r="CC6"/>
      <c r="CD6"/>
    </row>
    <row r="7" spans="1:82" s="171" customFormat="1" ht="15.95" customHeight="1" x14ac:dyDescent="0.25">
      <c r="A7" s="165"/>
      <c r="B7" s="165"/>
      <c r="C7" s="173"/>
      <c r="E7" s="164"/>
      <c r="F7" s="174" t="s">
        <v>86</v>
      </c>
      <c r="G7" s="474"/>
      <c r="H7" s="475"/>
      <c r="I7" s="165"/>
      <c r="J7" s="165"/>
      <c r="K7" s="165"/>
      <c r="L7" s="174" t="s">
        <v>87</v>
      </c>
      <c r="M7" s="628" t="str">
        <f>ROUND(151.67/(35/24)*G7,2)&amp;" h"</f>
        <v>0 h</v>
      </c>
      <c r="N7" s="629"/>
      <c r="O7" s="165"/>
      <c r="Q7" s="176"/>
      <c r="R7" s="174" t="s">
        <v>88</v>
      </c>
      <c r="S7" s="635"/>
      <c r="T7" s="636"/>
      <c r="U7" s="636"/>
      <c r="V7" s="636"/>
      <c r="W7" s="637"/>
      <c r="X7" s="176"/>
      <c r="Y7" s="165"/>
      <c r="AA7" s="164"/>
      <c r="AB7" s="164"/>
      <c r="AF7" s="164"/>
      <c r="AG7" s="78"/>
      <c r="AI7" s="164"/>
      <c r="AJ7" s="165"/>
      <c r="AK7" s="164"/>
      <c r="AL7" s="164"/>
      <c r="AM7" s="170"/>
      <c r="AN7" s="170"/>
      <c r="AO7" s="178" t="str">
        <f>S23</f>
        <v>Eté</v>
      </c>
      <c r="AP7" s="178" t="str">
        <f>S19</f>
        <v>Toussaint</v>
      </c>
      <c r="AQ7" s="178" t="str">
        <f>S20</f>
        <v>Noël</v>
      </c>
      <c r="AS7" s="179" t="s">
        <v>159</v>
      </c>
      <c r="BM7" s="29">
        <v>4</v>
      </c>
      <c r="BN7" s="242">
        <f t="shared" si="8"/>
        <v>42616</v>
      </c>
      <c r="BO7" s="29">
        <f t="shared" si="2"/>
        <v>0</v>
      </c>
      <c r="BP7" s="29">
        <f t="shared" si="1"/>
        <v>0</v>
      </c>
      <c r="BQ7" s="29">
        <f t="shared" si="3"/>
        <v>1</v>
      </c>
      <c r="BR7" s="29">
        <f t="shared" si="9"/>
        <v>4</v>
      </c>
      <c r="BS7" s="243">
        <f t="shared" si="4"/>
        <v>6.9444333333333344E-2</v>
      </c>
      <c r="BT7">
        <f t="shared" si="5"/>
        <v>6.9444333333333344E-2</v>
      </c>
      <c r="BU7" t="str">
        <f t="shared" si="6"/>
        <v>non</v>
      </c>
      <c r="BV7">
        <f>IF(BU7="ok",$CC$30/(EOMONTH(BN7,0)-(EOMONTH(BN7,-1))),0)</f>
        <v>0</v>
      </c>
      <c r="BW7">
        <f t="shared" si="7"/>
        <v>0</v>
      </c>
      <c r="BX7"/>
      <c r="BY7"/>
      <c r="BZ7"/>
      <c r="CA7"/>
      <c r="CB7"/>
      <c r="CC7"/>
      <c r="CD7"/>
    </row>
    <row r="8" spans="1:82" s="171" customFormat="1" ht="15.95" customHeight="1" x14ac:dyDescent="0.25">
      <c r="A8" s="165"/>
      <c r="B8" s="315"/>
      <c r="C8" s="316"/>
      <c r="D8" s="317"/>
      <c r="E8" s="318"/>
      <c r="F8" s="342" t="s">
        <v>333</v>
      </c>
      <c r="G8" s="672" t="s">
        <v>157</v>
      </c>
      <c r="H8" s="673"/>
      <c r="I8" s="165"/>
      <c r="J8" s="165"/>
      <c r="K8" s="165"/>
      <c r="L8" s="174"/>
      <c r="M8" s="312"/>
      <c r="N8" s="312"/>
      <c r="O8" s="165"/>
      <c r="Q8" s="176"/>
      <c r="R8" s="174"/>
      <c r="S8" s="176"/>
      <c r="T8" s="176"/>
      <c r="U8" s="176"/>
      <c r="V8" s="176"/>
      <c r="W8" s="176"/>
      <c r="X8" s="176"/>
      <c r="Y8" s="165"/>
      <c r="AA8" s="164"/>
      <c r="AB8" s="164"/>
      <c r="AF8" s="164"/>
      <c r="AG8" s="78"/>
      <c r="AI8" s="164"/>
      <c r="AJ8" s="313"/>
      <c r="AK8" s="164"/>
      <c r="AL8" s="164"/>
      <c r="AM8" s="170"/>
      <c r="AN8" s="170"/>
      <c r="AO8" s="178"/>
      <c r="AP8" s="178"/>
      <c r="AQ8" s="178"/>
      <c r="AS8" s="179"/>
      <c r="BM8" s="29"/>
      <c r="BN8" s="242"/>
      <c r="BO8" s="29"/>
      <c r="BP8" s="29"/>
      <c r="BQ8" s="29"/>
      <c r="BR8" s="29"/>
      <c r="BS8" s="243"/>
      <c r="BT8"/>
      <c r="BU8"/>
      <c r="BV8"/>
      <c r="BW8"/>
      <c r="BX8"/>
      <c r="BY8"/>
      <c r="BZ8"/>
      <c r="CA8"/>
      <c r="CB8"/>
      <c r="CC8"/>
      <c r="CD8"/>
    </row>
    <row r="9" spans="1:82" s="171" customFormat="1" ht="15.95" customHeight="1" thickBot="1" x14ac:dyDescent="0.3">
      <c r="A9" s="165"/>
      <c r="B9" s="173"/>
      <c r="C9" s="174"/>
      <c r="D9" s="165"/>
      <c r="E9" s="165"/>
      <c r="F9" s="165"/>
      <c r="G9" s="165"/>
      <c r="H9" s="180"/>
      <c r="I9" s="165"/>
      <c r="J9" s="165"/>
      <c r="K9" s="165"/>
      <c r="L9" s="165"/>
      <c r="M9" s="165"/>
      <c r="N9" s="165"/>
      <c r="O9" s="165"/>
      <c r="P9" s="174"/>
      <c r="Q9" s="165"/>
      <c r="R9" s="165"/>
      <c r="S9" s="165"/>
      <c r="T9" s="165"/>
      <c r="U9" s="165"/>
      <c r="V9" s="165"/>
      <c r="W9" s="165"/>
      <c r="X9" s="545" t="str">
        <f>IF(BN372&lt;&gt;AF6,"Attention : mettre les CP et JC en réel pour connaître le TTE à effectuer","Tous les congés"&amp;CHAR(10)&amp;" doivent être pris sur la période")</f>
        <v>Attention : mettre les CP et JC en réel pour connaître le TTE à effectuer</v>
      </c>
      <c r="Y9" s="545"/>
      <c r="Z9" s="545"/>
      <c r="AA9" s="545"/>
      <c r="AB9" s="545"/>
      <c r="AC9" s="545"/>
      <c r="AD9" s="545"/>
      <c r="AE9" s="546"/>
      <c r="AF9" s="529" t="s">
        <v>273</v>
      </c>
      <c r="AG9" s="530"/>
      <c r="AH9" s="529" t="s">
        <v>272</v>
      </c>
      <c r="AI9" s="530"/>
      <c r="AK9" s="528" t="s">
        <v>270</v>
      </c>
      <c r="AL9" s="528" t="s">
        <v>271</v>
      </c>
      <c r="AM9" s="181">
        <f>X21</f>
        <v>42785</v>
      </c>
      <c r="AN9" s="181">
        <f>X22</f>
        <v>42848</v>
      </c>
      <c r="AO9" s="181">
        <f>X23</f>
        <v>42922</v>
      </c>
      <c r="AP9" s="181">
        <f>X19</f>
        <v>42659</v>
      </c>
      <c r="AQ9" s="181">
        <f>X20</f>
        <v>42722</v>
      </c>
      <c r="AU9" s="182" t="s">
        <v>165</v>
      </c>
      <c r="BJ9" s="666" t="s">
        <v>343</v>
      </c>
      <c r="BK9" s="667"/>
      <c r="BM9" s="29">
        <v>5</v>
      </c>
      <c r="BN9" s="242">
        <f>BN7+1</f>
        <v>42617</v>
      </c>
      <c r="BO9" s="29">
        <f t="shared" si="2"/>
        <v>1</v>
      </c>
      <c r="BP9" s="29">
        <f t="shared" si="1"/>
        <v>0</v>
      </c>
      <c r="BQ9" s="29">
        <f t="shared" si="3"/>
        <v>0</v>
      </c>
      <c r="BR9" s="29">
        <f>BR7+1-BP9-BO9</f>
        <v>4</v>
      </c>
      <c r="BS9" s="243">
        <f t="shared" si="4"/>
        <v>6.9444333333333344E-2</v>
      </c>
      <c r="BT9">
        <f t="shared" si="5"/>
        <v>6.9444333333333344E-2</v>
      </c>
      <c r="BU9" t="str">
        <f t="shared" si="6"/>
        <v>non</v>
      </c>
      <c r="BV9">
        <f t="shared" ref="BV9:BV14" si="10">IF(BU9="ok",$CC$30/(EOMONTH(BN9,0)-(EOMONTH(BN9,-1))),0)</f>
        <v>0</v>
      </c>
      <c r="BW9">
        <f t="shared" si="7"/>
        <v>0</v>
      </c>
      <c r="BX9"/>
      <c r="BY9"/>
      <c r="BZ9"/>
      <c r="CA9"/>
      <c r="CB9"/>
      <c r="CC9"/>
      <c r="CD9"/>
    </row>
    <row r="10" spans="1:82" s="171" customFormat="1" ht="15.75" customHeight="1" thickTop="1" thickBot="1" x14ac:dyDescent="0.3">
      <c r="A10" s="642"/>
      <c r="B10" s="642"/>
      <c r="C10" s="642"/>
      <c r="D10" s="642"/>
      <c r="E10" s="642"/>
      <c r="F10" s="643" t="s">
        <v>93</v>
      </c>
      <c r="G10" s="644"/>
      <c r="H10" s="644"/>
      <c r="I10" s="618" t="s">
        <v>94</v>
      </c>
      <c r="J10" s="619"/>
      <c r="K10" s="620"/>
      <c r="M10" s="164"/>
      <c r="N10" s="164"/>
      <c r="R10" s="164"/>
      <c r="S10" s="164"/>
      <c r="W10" s="164"/>
      <c r="X10" s="547"/>
      <c r="Y10" s="547"/>
      <c r="Z10" s="547"/>
      <c r="AA10" s="547"/>
      <c r="AB10" s="547"/>
      <c r="AC10" s="547"/>
      <c r="AD10" s="547"/>
      <c r="AE10" s="548"/>
      <c r="AF10" s="529"/>
      <c r="AG10" s="530"/>
      <c r="AH10" s="529"/>
      <c r="AI10" s="530"/>
      <c r="AK10" s="528"/>
      <c r="AL10" s="528"/>
      <c r="AM10" s="181">
        <f>IF(AM9="","",IF(AM9=$AD$21,"",AM9+1))</f>
        <v>42786</v>
      </c>
      <c r="AN10" s="181">
        <f>IF(AN9="","",IF(AN9=$AD$22,"",AN9+1))</f>
        <v>42849</v>
      </c>
      <c r="AO10" s="181">
        <f>IF(AO9="","",IF(AO9=$AD$23,"",AO9+1))</f>
        <v>42923</v>
      </c>
      <c r="AP10" s="181">
        <f>IF(AP9="","",IF(AP9=$AD$19,"",AP9+1))</f>
        <v>42660</v>
      </c>
      <c r="AQ10" s="181">
        <f>IF(AQ9="","",IF(AQ9=$AD$20,"",AQ9+1))</f>
        <v>42723</v>
      </c>
      <c r="AU10" s="183" t="str">
        <f>"Nb jours pris entre le "&amp;AT11&amp;" et le "&amp;AT12&amp;" :"</f>
        <v>Nb jours pris entre le 42613 et le 42673 :</v>
      </c>
      <c r="AV10" s="184">
        <f>SUM('T1'!AD6:AD156)+SUM('T2'!AD6:AD156)+SUM('T3'!AD6:AD168)+SUM('T4'!AD6:AD156)</f>
        <v>0</v>
      </c>
      <c r="AX10" s="183" t="str">
        <f>"Nb jours pris entre le "&amp;AW11&amp;" et le "&amp;AW12&amp;" :"</f>
        <v>Nb jours pris entre le 42855 et le 42977 :</v>
      </c>
      <c r="AY10" s="171">
        <f>SUM('T1'!AF6:AF156)+SUM('T2'!AF6:AF156)+SUM('T3'!AF6:AF168)+SUM('T4'!AF6:AF156)</f>
        <v>0</v>
      </c>
      <c r="BJ10" s="668"/>
      <c r="BK10" s="669"/>
      <c r="BM10" s="29">
        <v>6</v>
      </c>
      <c r="BN10" s="242">
        <f t="shared" si="8"/>
        <v>42618</v>
      </c>
      <c r="BO10" s="29">
        <f t="shared" si="2"/>
        <v>1</v>
      </c>
      <c r="BP10" s="29">
        <f t="shared" si="1"/>
        <v>0</v>
      </c>
      <c r="BQ10" s="29">
        <f t="shared" si="3"/>
        <v>0</v>
      </c>
      <c r="BR10" s="29">
        <f t="shared" si="9"/>
        <v>4</v>
      </c>
      <c r="BS10" s="243">
        <f t="shared" si="4"/>
        <v>6.9444333333333344E-2</v>
      </c>
      <c r="BT10">
        <f t="shared" si="5"/>
        <v>6.9444333333333344E-2</v>
      </c>
      <c r="BU10" t="str">
        <f t="shared" si="6"/>
        <v>non</v>
      </c>
      <c r="BV10">
        <f t="shared" si="10"/>
        <v>0</v>
      </c>
      <c r="BW10">
        <f t="shared" si="7"/>
        <v>0</v>
      </c>
      <c r="BX10"/>
      <c r="BY10"/>
      <c r="BZ10"/>
      <c r="CA10"/>
      <c r="CB10"/>
      <c r="CC10"/>
      <c r="CD10"/>
    </row>
    <row r="11" spans="1:82" s="171" customFormat="1" ht="15.75" customHeight="1" thickTop="1" x14ac:dyDescent="0.25">
      <c r="A11" s="596" t="s">
        <v>96</v>
      </c>
      <c r="B11" s="597"/>
      <c r="C11" s="597"/>
      <c r="D11" s="597"/>
      <c r="E11" s="645"/>
      <c r="F11" s="622">
        <v>66.375</v>
      </c>
      <c r="G11" s="622"/>
      <c r="H11" s="646"/>
      <c r="I11" s="621">
        <f>IF(OR(G8="Oui",G8="O"),I89+I100,IF(AND(AF5=BN4,AF6=BN372),F11/CC28*G7,IF(AF6=BN372,BJ36,BJ36+(AL11*BJ30/227))))</f>
        <v>0</v>
      </c>
      <c r="J11" s="622"/>
      <c r="K11" s="623"/>
      <c r="M11" s="164"/>
      <c r="N11" s="164"/>
      <c r="R11" s="174" t="s">
        <v>152</v>
      </c>
      <c r="S11" s="615">
        <v>1.3888888888888888E-2</v>
      </c>
      <c r="T11" s="616"/>
      <c r="U11" s="617"/>
      <c r="W11" s="164"/>
      <c r="X11" s="559" t="str">
        <f>IF(AND(AF5=BN4,AF6=BN372),"Nb prévisionnel de CP légaux :","Nombre de jours CP à prendre :")</f>
        <v>Nombre de jours CP à prendre :</v>
      </c>
      <c r="Y11" s="560"/>
      <c r="Z11" s="560"/>
      <c r="AA11" s="560"/>
      <c r="AB11" s="560"/>
      <c r="AC11" s="560"/>
      <c r="AD11" s="561">
        <f>IF(OR(G8="Oui",G8="O"),U89+U100,BT3+AD15)</f>
        <v>24.999960000000062</v>
      </c>
      <c r="AE11" s="562"/>
      <c r="AF11" s="535">
        <f>annualisation!D81</f>
        <v>0</v>
      </c>
      <c r="AG11" s="536"/>
      <c r="AH11" s="531">
        <f>IF(AL11&lt;=-1,"trop pris",IF(AL11&gt;0,AL11,0))</f>
        <v>24.999960000000062</v>
      </c>
      <c r="AI11" s="532"/>
      <c r="AK11" s="268">
        <f>IF(AF11&gt;AD11,AD11,AF11)</f>
        <v>0</v>
      </c>
      <c r="AL11" s="268">
        <f>IF(AD11-AF11&lt;0,0,AD11-AF11)</f>
        <v>24.999960000000062</v>
      </c>
      <c r="AM11" s="181">
        <f>IF(AM10="","",IF(AM10=$AD$21,"",AM10+1))</f>
        <v>42787</v>
      </c>
      <c r="AN11" s="181">
        <f>IF(AN10="","",IF(AN10=$AD$22,"",AN10+1))</f>
        <v>42850</v>
      </c>
      <c r="AO11" s="181">
        <f>IF(AO10="","",IF(AO10=$AD$23,"",AO10+1))</f>
        <v>42924</v>
      </c>
      <c r="AP11" s="181">
        <f>IF(AP10="","",IF(AP10=$AD$19,"",AP10+1))</f>
        <v>42661</v>
      </c>
      <c r="AQ11" s="181">
        <f>IF(AQ10="","",IF(AQ10=$AD$20,"",AQ10+1))</f>
        <v>42724</v>
      </c>
      <c r="AT11" s="185">
        <f>DATE(BC5,9,1)</f>
        <v>42613</v>
      </c>
      <c r="AU11" s="186">
        <f>AT11</f>
        <v>42613</v>
      </c>
      <c r="AW11" s="185">
        <f>DATE(BG5,5,1)</f>
        <v>42855</v>
      </c>
      <c r="AX11" s="186">
        <f>AW11</f>
        <v>42855</v>
      </c>
      <c r="BJ11" s="668"/>
      <c r="BK11" s="669"/>
      <c r="BM11" s="29">
        <v>7</v>
      </c>
      <c r="BN11" s="242">
        <f t="shared" si="8"/>
        <v>42619</v>
      </c>
      <c r="BO11" s="29">
        <f t="shared" si="2"/>
        <v>0</v>
      </c>
      <c r="BP11" s="29">
        <f t="shared" si="1"/>
        <v>0</v>
      </c>
      <c r="BQ11" s="29">
        <f t="shared" si="3"/>
        <v>1</v>
      </c>
      <c r="BR11" s="29">
        <f t="shared" si="9"/>
        <v>5</v>
      </c>
      <c r="BS11" s="243">
        <f t="shared" si="4"/>
        <v>6.9444333333333344E-2</v>
      </c>
      <c r="BT11">
        <f t="shared" si="5"/>
        <v>6.9444333333333344E-2</v>
      </c>
      <c r="BU11" t="str">
        <f t="shared" si="6"/>
        <v>non</v>
      </c>
      <c r="BV11">
        <f t="shared" si="10"/>
        <v>0</v>
      </c>
      <c r="BW11">
        <f t="shared" si="7"/>
        <v>0</v>
      </c>
      <c r="BX11"/>
      <c r="BY11"/>
      <c r="BZ11"/>
      <c r="CA11"/>
      <c r="CB11"/>
      <c r="CC11"/>
      <c r="CD11"/>
    </row>
    <row r="12" spans="1:82" s="171" customFormat="1" ht="15.95" customHeight="1" x14ac:dyDescent="0.25">
      <c r="A12" s="491" t="s">
        <v>98</v>
      </c>
      <c r="B12" s="492"/>
      <c r="C12" s="492"/>
      <c r="D12" s="492"/>
      <c r="E12" s="493"/>
      <c r="F12" s="494"/>
      <c r="G12" s="494"/>
      <c r="H12" s="495"/>
      <c r="I12" s="651">
        <f>-AD13</f>
        <v>0</v>
      </c>
      <c r="J12" s="502"/>
      <c r="K12" s="652"/>
      <c r="N12" s="164"/>
      <c r="S12" s="647">
        <v>1.3877314814814815E-2</v>
      </c>
      <c r="T12" s="647"/>
      <c r="U12" s="647"/>
      <c r="W12" s="164"/>
      <c r="X12" s="559" t="str">
        <f>IF(AND(AF5=BN4,AF6=BN372),"Nb prév. de jours conv. :","Nombre de jours JC à prendre :")</f>
        <v>Nombre de jours JC à prendre :</v>
      </c>
      <c r="Y12" s="560"/>
      <c r="Z12" s="560"/>
      <c r="AA12" s="560"/>
      <c r="AB12" s="560"/>
      <c r="AC12" s="560"/>
      <c r="AD12" s="561">
        <f>IF(OR(G8="Oui",G8="O"),U90+U101,BW3)</f>
        <v>0</v>
      </c>
      <c r="AE12" s="562"/>
      <c r="AF12" s="535">
        <f>annualisation!D83</f>
        <v>0</v>
      </c>
      <c r="AG12" s="536"/>
      <c r="AH12" s="531">
        <f>IF(AL12&lt;=-1,"trop pris",IF(AL12&gt;0,AL12,0))</f>
        <v>0</v>
      </c>
      <c r="AI12" s="532"/>
      <c r="AK12" s="268">
        <f>IF(AF12&gt;AD12,AD12,AF12)</f>
        <v>0</v>
      </c>
      <c r="AL12" s="268">
        <f>IF(AD12-AF12&lt;0,0,AD12-AF12)</f>
        <v>0</v>
      </c>
      <c r="AM12" s="181">
        <f>IF(AM11="","",IF(AM11=$AD$21,"",AM11+1))</f>
        <v>42788</v>
      </c>
      <c r="AN12" s="181">
        <f>IF(AN11="","",IF(AN11=$AD$22,"",AN11+1))</f>
        <v>42851</v>
      </c>
      <c r="AO12" s="181">
        <f>IF(AO11="","",IF(AO11=$AD$23,"",AO11+1))</f>
        <v>42925</v>
      </c>
      <c r="AP12" s="181">
        <f>IF(AP11="","",IF(AP11=$AD$19,"",AP11+1))</f>
        <v>42662</v>
      </c>
      <c r="AQ12" s="181">
        <f>IF(AQ11="","",IF(AQ11=$AD$20,"",AQ11+1))</f>
        <v>42725</v>
      </c>
      <c r="AT12" s="185">
        <f>DATE(BC5,10,31)</f>
        <v>42673</v>
      </c>
      <c r="AU12" s="186">
        <f>AT12</f>
        <v>42673</v>
      </c>
      <c r="AW12" s="185">
        <f>DATE(BG5,8,31)</f>
        <v>42977</v>
      </c>
      <c r="AX12" s="186">
        <f>AW12</f>
        <v>42977</v>
      </c>
      <c r="BB12" s="540" t="s">
        <v>95</v>
      </c>
      <c r="BC12" s="541"/>
      <c r="BD12" s="541"/>
      <c r="BE12" s="541"/>
      <c r="BF12" s="541"/>
      <c r="BG12" s="664">
        <f>IF(BG13&gt;BG16,BG16+1+12-BG13,BG16+1-BG13)</f>
        <v>12</v>
      </c>
      <c r="BH12" s="665"/>
      <c r="BJ12" s="668"/>
      <c r="BK12" s="669"/>
      <c r="BM12" s="29">
        <v>8</v>
      </c>
      <c r="BN12" s="242">
        <f t="shared" si="8"/>
        <v>42620</v>
      </c>
      <c r="BO12" s="29">
        <f t="shared" si="2"/>
        <v>0</v>
      </c>
      <c r="BP12" s="29">
        <f t="shared" si="1"/>
        <v>0</v>
      </c>
      <c r="BQ12" s="29">
        <f t="shared" si="3"/>
        <v>1</v>
      </c>
      <c r="BR12" s="29">
        <f t="shared" si="9"/>
        <v>6</v>
      </c>
      <c r="BS12" s="243">
        <f t="shared" si="4"/>
        <v>6.9444333333333344E-2</v>
      </c>
      <c r="BT12">
        <f t="shared" si="5"/>
        <v>6.9444333333333344E-2</v>
      </c>
      <c r="BU12" t="str">
        <f t="shared" si="6"/>
        <v>non</v>
      </c>
      <c r="BV12">
        <f t="shared" si="10"/>
        <v>0</v>
      </c>
      <c r="BW12">
        <f t="shared" si="7"/>
        <v>0</v>
      </c>
      <c r="BX12"/>
      <c r="BY12"/>
      <c r="BZ12"/>
      <c r="CA12"/>
      <c r="CB12"/>
      <c r="CC12"/>
      <c r="CD12"/>
    </row>
    <row r="13" spans="1:82" s="171" customFormat="1" ht="15.95" customHeight="1" x14ac:dyDescent="0.25">
      <c r="A13" s="491" t="s">
        <v>100</v>
      </c>
      <c r="B13" s="492"/>
      <c r="C13" s="492"/>
      <c r="D13" s="492"/>
      <c r="E13" s="493"/>
      <c r="F13" s="502">
        <f>(0-2.33333333333333)</f>
        <v>-2.3333333333333299</v>
      </c>
      <c r="G13" s="502"/>
      <c r="H13" s="503"/>
      <c r="I13" s="589">
        <f>IF(OR(G8="Oui",G8="O"),MAX(-56/24,I91+I102),IF(AL15&lt;-56/24,-56/24,AL15))</f>
        <v>0</v>
      </c>
      <c r="J13" s="590"/>
      <c r="K13" s="591"/>
      <c r="N13" s="164"/>
      <c r="P13" s="187"/>
      <c r="Q13" s="187"/>
      <c r="R13" s="174" t="s">
        <v>153</v>
      </c>
      <c r="S13" s="610">
        <v>1.5</v>
      </c>
      <c r="T13" s="611"/>
      <c r="U13" s="612"/>
      <c r="W13" s="164"/>
      <c r="X13" s="505" t="s">
        <v>205</v>
      </c>
      <c r="Y13" s="506"/>
      <c r="Z13" s="506"/>
      <c r="AA13" s="506"/>
      <c r="AB13" s="506"/>
      <c r="AC13" s="506"/>
      <c r="AD13" s="613">
        <f>IF(AND(AF5=annualisation!B8,annualisation!AA62=Paramétrage!AF6),(AX22*7)/35*G7,0)</f>
        <v>0</v>
      </c>
      <c r="AE13" s="614"/>
      <c r="AF13" s="533"/>
      <c r="AG13" s="534"/>
      <c r="AH13" s="533"/>
      <c r="AI13" s="534"/>
      <c r="AM13" s="181">
        <f>IF(AM12="","",IF(AM12=$AD$21,"",AM12+1))</f>
        <v>42789</v>
      </c>
      <c r="AN13" s="181">
        <f>IF(AN12="","",IF(AN12=$AD$22,"",AN12+1))</f>
        <v>42852</v>
      </c>
      <c r="AO13" s="181">
        <f>IF(AO12="","",IF(AO12=$AD$23,"",AO12+1))</f>
        <v>42926</v>
      </c>
      <c r="AP13" s="181">
        <f>IF(AP12="","",IF(AP12=$AD$19,"",AP12+1))</f>
        <v>42663</v>
      </c>
      <c r="AQ13" s="181">
        <f>IF(AQ12="","",IF(AQ12=$AD$20,"",AQ12+1))</f>
        <v>42726</v>
      </c>
      <c r="AS13" s="188" t="s">
        <v>163</v>
      </c>
      <c r="BB13" s="538" t="s">
        <v>97</v>
      </c>
      <c r="BC13" s="539"/>
      <c r="BD13" s="539"/>
      <c r="BE13" s="539"/>
      <c r="BF13" s="539"/>
      <c r="BG13" s="662">
        <f>MONTH(AF5)</f>
        <v>9</v>
      </c>
      <c r="BH13" s="663"/>
      <c r="BJ13" s="670"/>
      <c r="BK13" s="671"/>
      <c r="BM13" s="29">
        <v>9</v>
      </c>
      <c r="BN13" s="242">
        <f t="shared" si="8"/>
        <v>42621</v>
      </c>
      <c r="BO13" s="29">
        <f t="shared" si="2"/>
        <v>0</v>
      </c>
      <c r="BP13" s="29">
        <f t="shared" si="1"/>
        <v>0</v>
      </c>
      <c r="BQ13" s="29">
        <f t="shared" si="3"/>
        <v>1</v>
      </c>
      <c r="BR13" s="29">
        <f t="shared" si="9"/>
        <v>7</v>
      </c>
      <c r="BS13" s="243">
        <f t="shared" si="4"/>
        <v>6.9444333333333344E-2</v>
      </c>
      <c r="BT13">
        <f t="shared" si="5"/>
        <v>6.9444333333333344E-2</v>
      </c>
      <c r="BU13" t="str">
        <f t="shared" si="6"/>
        <v>non</v>
      </c>
      <c r="BV13">
        <f t="shared" si="10"/>
        <v>0</v>
      </c>
      <c r="BW13">
        <f t="shared" si="7"/>
        <v>0</v>
      </c>
      <c r="BX13"/>
      <c r="BY13"/>
      <c r="BZ13"/>
      <c r="CA13"/>
      <c r="CB13"/>
      <c r="CC13"/>
      <c r="CD13"/>
    </row>
    <row r="14" spans="1:82" s="171" customFormat="1" ht="15.95" customHeight="1" x14ac:dyDescent="0.25">
      <c r="A14" s="491" t="s">
        <v>281</v>
      </c>
      <c r="B14" s="492"/>
      <c r="C14" s="492"/>
      <c r="D14" s="492"/>
      <c r="E14" s="493"/>
      <c r="F14" s="494"/>
      <c r="G14" s="494"/>
      <c r="H14" s="495"/>
      <c r="I14" s="589">
        <f>-AD16*(BJ36/BJ35)</f>
        <v>0</v>
      </c>
      <c r="J14" s="590"/>
      <c r="K14" s="591"/>
      <c r="N14" s="164"/>
      <c r="P14" s="187"/>
      <c r="Q14" s="187"/>
      <c r="R14" s="174"/>
      <c r="S14" s="189"/>
      <c r="T14" s="189"/>
      <c r="U14" s="189"/>
      <c r="V14" s="189"/>
      <c r="W14" s="189"/>
      <c r="AA14" s="164"/>
      <c r="AB14" s="164"/>
      <c r="AF14" s="521"/>
      <c r="AG14" s="521"/>
      <c r="AH14" s="521"/>
      <c r="AI14" s="521"/>
      <c r="AM14" s="181"/>
      <c r="AN14" s="181"/>
      <c r="AO14" s="181"/>
      <c r="AP14" s="181"/>
      <c r="AQ14" s="181"/>
      <c r="AS14" s="188"/>
      <c r="BB14" s="159"/>
      <c r="BC14" s="160"/>
      <c r="BD14" s="160"/>
      <c r="BE14" s="160"/>
      <c r="BF14" s="160"/>
      <c r="BG14" s="161"/>
      <c r="BH14" s="162"/>
      <c r="BM14" s="29">
        <v>10</v>
      </c>
      <c r="BN14" s="242">
        <f t="shared" si="8"/>
        <v>42622</v>
      </c>
      <c r="BO14" s="29">
        <f t="shared" si="2"/>
        <v>0</v>
      </c>
      <c r="BP14" s="29">
        <f t="shared" si="1"/>
        <v>0</v>
      </c>
      <c r="BQ14" s="29">
        <f t="shared" si="3"/>
        <v>1</v>
      </c>
      <c r="BR14" s="29">
        <f t="shared" si="9"/>
        <v>8</v>
      </c>
      <c r="BS14" s="243">
        <f t="shared" si="4"/>
        <v>6.9444333333333344E-2</v>
      </c>
      <c r="BT14">
        <f t="shared" si="5"/>
        <v>6.9444333333333344E-2</v>
      </c>
      <c r="BU14" t="str">
        <f t="shared" si="6"/>
        <v>non</v>
      </c>
      <c r="BV14">
        <f t="shared" si="10"/>
        <v>0</v>
      </c>
      <c r="BW14">
        <f t="shared" si="7"/>
        <v>0</v>
      </c>
      <c r="BX14"/>
      <c r="BY14"/>
      <c r="BZ14"/>
      <c r="CA14"/>
      <c r="CB14"/>
      <c r="CC14"/>
      <c r="CD14"/>
    </row>
    <row r="15" spans="1:82" s="171" customFormat="1" ht="15.95" customHeight="1" thickBot="1" x14ac:dyDescent="0.3">
      <c r="A15" s="497" t="s">
        <v>102</v>
      </c>
      <c r="B15" s="498"/>
      <c r="C15" s="498"/>
      <c r="D15" s="498"/>
      <c r="E15" s="499"/>
      <c r="F15" s="500">
        <f>F11+F13</f>
        <v>64.041666666666671</v>
      </c>
      <c r="G15" s="500"/>
      <c r="H15" s="501"/>
      <c r="I15" s="507">
        <f>I11+I12+I13+I14</f>
        <v>0</v>
      </c>
      <c r="J15" s="500"/>
      <c r="K15" s="508"/>
      <c r="N15" s="164"/>
      <c r="O15" s="164"/>
      <c r="S15" s="164"/>
      <c r="T15" s="164"/>
      <c r="U15" s="164"/>
      <c r="V15" s="164"/>
      <c r="W15" s="189"/>
      <c r="X15" s="522" t="s">
        <v>283</v>
      </c>
      <c r="Y15" s="523"/>
      <c r="Z15" s="523"/>
      <c r="AA15" s="523"/>
      <c r="AB15" s="523"/>
      <c r="AC15" s="523"/>
      <c r="AD15" s="524"/>
      <c r="AE15" s="525"/>
      <c r="AK15" s="182" t="s">
        <v>289</v>
      </c>
      <c r="AL15" s="288">
        <f>IF(AND(AF5=BN4,AF6=BN372),F13/8*AD12,IF(BN372=AF6,-(AD12*CC27/227),-(AK12*CC27/227)))</f>
        <v>0</v>
      </c>
      <c r="AM15" s="181"/>
      <c r="AN15" s="181"/>
      <c r="AO15" s="181"/>
      <c r="AP15" s="181"/>
      <c r="AQ15" s="181"/>
      <c r="AS15" s="188"/>
      <c r="BB15" s="159"/>
      <c r="BC15" s="160"/>
      <c r="BD15" s="160"/>
      <c r="BE15" s="160"/>
      <c r="BF15" s="160"/>
      <c r="BG15" s="161"/>
      <c r="BH15" s="162"/>
      <c r="BM15" s="29"/>
      <c r="BN15" s="242"/>
      <c r="BO15" s="29"/>
      <c r="BP15" s="29"/>
      <c r="BQ15" s="29"/>
      <c r="BR15" s="29"/>
      <c r="BS15" s="243"/>
      <c r="BT15"/>
      <c r="BU15"/>
      <c r="BV15"/>
      <c r="BW15"/>
      <c r="BX15"/>
      <c r="BY15"/>
      <c r="BZ15"/>
      <c r="CA15"/>
      <c r="CB15"/>
      <c r="CC15"/>
      <c r="CD15"/>
    </row>
    <row r="16" spans="1:82" s="171" customFormat="1" ht="15.95" customHeight="1" thickTop="1" x14ac:dyDescent="0.25">
      <c r="N16" s="164"/>
      <c r="O16" s="164"/>
      <c r="P16" s="164"/>
      <c r="Q16" s="164"/>
      <c r="R16" s="164"/>
      <c r="S16" s="164"/>
      <c r="T16" s="164"/>
      <c r="U16" s="164"/>
      <c r="V16" s="164"/>
      <c r="W16" s="164"/>
      <c r="X16" s="522" t="s">
        <v>282</v>
      </c>
      <c r="Y16" s="523"/>
      <c r="Z16" s="523"/>
      <c r="AA16" s="523"/>
      <c r="AB16" s="523"/>
      <c r="AC16" s="523"/>
      <c r="AD16" s="526">
        <f>COUNTIF('T1'!C6:C156,"css")+COUNTIF('T2'!C6:C156,"css")+COUNTIF('T3'!C6:C168,"css")+COUNTIF('T4'!C6:C156,"css")</f>
        <v>0</v>
      </c>
      <c r="AE16" s="527"/>
      <c r="AJ16" s="164"/>
      <c r="AK16" s="164"/>
      <c r="AL16" s="164"/>
      <c r="AM16" s="181">
        <f>IF(AM13="","",IF(AM13=$AD$21,"",AM13+1))</f>
        <v>42790</v>
      </c>
      <c r="AN16" s="181">
        <f>IF(AN13="","",IF(AN13=$AD$22,"",AN13+1))</f>
        <v>42853</v>
      </c>
      <c r="AO16" s="181">
        <f>IF(AO13="","",IF(AO13=$AD$23,"",AO13+1))</f>
        <v>42927</v>
      </c>
      <c r="AP16" s="181">
        <f>IF(AP13="","",IF(AP13=$AD$19,"",AP13+1))</f>
        <v>42664</v>
      </c>
      <c r="AQ16" s="181">
        <f>IF(AQ13="","",IF(AQ13=$AD$20,"",AQ13+1))</f>
        <v>42727</v>
      </c>
      <c r="AT16" s="171" t="s">
        <v>167</v>
      </c>
      <c r="AU16" s="171" t="s">
        <v>168</v>
      </c>
      <c r="AV16" s="171" t="s">
        <v>170</v>
      </c>
      <c r="AW16" s="171" t="s">
        <v>118</v>
      </c>
      <c r="AX16" s="171" t="s">
        <v>171</v>
      </c>
      <c r="BB16" s="538" t="s">
        <v>99</v>
      </c>
      <c r="BC16" s="539"/>
      <c r="BD16" s="539"/>
      <c r="BE16" s="539"/>
      <c r="BF16" s="539"/>
      <c r="BG16" s="662">
        <f>MONTH(AF6)</f>
        <v>8</v>
      </c>
      <c r="BH16" s="663"/>
      <c r="BM16" s="29">
        <v>11</v>
      </c>
      <c r="BN16" s="242">
        <f>BN14+1</f>
        <v>42623</v>
      </c>
      <c r="BO16" s="29">
        <f t="shared" si="2"/>
        <v>0</v>
      </c>
      <c r="BP16" s="29">
        <f t="shared" si="1"/>
        <v>0</v>
      </c>
      <c r="BQ16" s="29">
        <f t="shared" si="3"/>
        <v>1</v>
      </c>
      <c r="BR16" s="29">
        <f>BR14+1-BP16-BO16</f>
        <v>9</v>
      </c>
      <c r="BS16" s="243">
        <f t="shared" si="4"/>
        <v>6.9444333333333344E-2</v>
      </c>
      <c r="BT16">
        <f t="shared" si="5"/>
        <v>6.9444333333333344E-2</v>
      </c>
      <c r="BU16" t="str">
        <f t="shared" si="6"/>
        <v>non</v>
      </c>
      <c r="BV16">
        <f>IF(BU16="ok",$CC$30/(EOMONTH(BN16,0)-(EOMONTH(BN16,-1))),0)</f>
        <v>0</v>
      </c>
      <c r="BW16">
        <f t="shared" si="7"/>
        <v>0</v>
      </c>
      <c r="BX16"/>
      <c r="BY16"/>
      <c r="BZ16"/>
      <c r="CA16"/>
      <c r="CB16"/>
      <c r="CC16"/>
      <c r="CD16"/>
    </row>
    <row r="17" spans="1:82" s="171" customFormat="1" ht="15.95" customHeight="1" thickBot="1" x14ac:dyDescent="0.3">
      <c r="N17" s="164"/>
      <c r="R17" s="164"/>
      <c r="S17" s="164"/>
      <c r="W17" s="164"/>
      <c r="AA17" s="164"/>
      <c r="AB17" s="164"/>
      <c r="AF17" s="164"/>
      <c r="AI17" s="164"/>
      <c r="AJ17" s="164"/>
      <c r="AK17" s="164"/>
      <c r="AL17" s="164"/>
      <c r="AM17" s="181"/>
      <c r="AN17" s="181"/>
      <c r="AO17" s="181"/>
      <c r="AP17" s="181"/>
      <c r="AQ17" s="181"/>
      <c r="BB17" s="160"/>
      <c r="BC17" s="160"/>
      <c r="BD17" s="160"/>
      <c r="BE17" s="160"/>
      <c r="BF17" s="160"/>
      <c r="BG17" s="161"/>
      <c r="BH17" s="161"/>
      <c r="BM17" s="29"/>
      <c r="BN17" s="242"/>
      <c r="BO17" s="29"/>
      <c r="BP17" s="29"/>
      <c r="BQ17" s="29"/>
      <c r="BR17" s="29"/>
      <c r="BS17" s="243"/>
      <c r="BT17"/>
      <c r="BU17"/>
      <c r="BV17"/>
      <c r="BW17"/>
      <c r="BX17"/>
      <c r="BY17"/>
      <c r="BZ17"/>
      <c r="CA17"/>
      <c r="CB17"/>
      <c r="CC17"/>
      <c r="CD17"/>
    </row>
    <row r="18" spans="1:82" s="171" customFormat="1" ht="15.95" customHeight="1" thickTop="1" thickBot="1" x14ac:dyDescent="0.3">
      <c r="A18" s="187"/>
      <c r="B18" s="187"/>
      <c r="C18" s="187"/>
      <c r="D18" s="187"/>
      <c r="E18" s="187"/>
      <c r="F18" s="187"/>
      <c r="G18" s="187"/>
      <c r="H18" s="187"/>
      <c r="I18" s="187"/>
      <c r="J18" s="187"/>
      <c r="K18" s="187"/>
      <c r="N18" s="164"/>
      <c r="P18" s="569" t="s">
        <v>103</v>
      </c>
      <c r="Q18" s="570"/>
      <c r="R18" s="571"/>
      <c r="S18" s="478" t="s">
        <v>104</v>
      </c>
      <c r="T18" s="479"/>
      <c r="U18" s="480"/>
      <c r="V18" s="630" t="s">
        <v>105</v>
      </c>
      <c r="W18" s="630"/>
      <c r="X18" s="630"/>
      <c r="Y18" s="630"/>
      <c r="Z18" s="630"/>
      <c r="AA18" s="630"/>
      <c r="AB18" s="630"/>
      <c r="AC18" s="630"/>
      <c r="AD18" s="630"/>
      <c r="AE18" s="630"/>
      <c r="AF18" s="630"/>
      <c r="AG18" s="630"/>
      <c r="AH18" s="630"/>
      <c r="AI18" s="631"/>
      <c r="AJ18" s="164"/>
      <c r="AK18" s="164"/>
      <c r="AL18" s="164"/>
      <c r="AM18" s="181">
        <f>IF(AM16="","",IF(AM16=$AD$21,"",AM16+1))</f>
        <v>42791</v>
      </c>
      <c r="AN18" s="181">
        <f>IF(AN16="","",IF(AN16=$AD$22,"",AN16+1))</f>
        <v>42854</v>
      </c>
      <c r="AO18" s="181">
        <f>IF(AO16="","",IF(AO16=$AD$23,"",AO16+1))</f>
        <v>42928</v>
      </c>
      <c r="AP18" s="181">
        <f>IF(AP16="","",IF(AP16=$AD$19,"",AP16+1))</f>
        <v>42665</v>
      </c>
      <c r="AQ18" s="181">
        <f>IF(AQ16="","",IF(AQ16=$AD$20,"",AQ16+1))</f>
        <v>42728</v>
      </c>
      <c r="AS18" s="171" t="s">
        <v>169</v>
      </c>
      <c r="AT18" s="171">
        <v>24</v>
      </c>
      <c r="AU18" s="190">
        <v>20</v>
      </c>
      <c r="AV18" s="191">
        <f>W30+W33</f>
        <v>0</v>
      </c>
      <c r="AW18" s="190">
        <f>ROUND(AU18-AV18,0)</f>
        <v>20</v>
      </c>
      <c r="BM18" s="29">
        <v>12</v>
      </c>
      <c r="BN18" s="242">
        <f>BN16+1</f>
        <v>42624</v>
      </c>
      <c r="BO18" s="29">
        <f t="shared" si="2"/>
        <v>1</v>
      </c>
      <c r="BP18" s="29">
        <f t="shared" si="1"/>
        <v>0</v>
      </c>
      <c r="BQ18" s="29">
        <f t="shared" si="3"/>
        <v>0</v>
      </c>
      <c r="BR18" s="29">
        <f>BR16+1-BP18-BO18</f>
        <v>9</v>
      </c>
      <c r="BS18" s="243">
        <f t="shared" si="4"/>
        <v>6.9444333333333344E-2</v>
      </c>
      <c r="BT18">
        <f t="shared" si="5"/>
        <v>6.9444333333333344E-2</v>
      </c>
      <c r="BU18" t="str">
        <f t="shared" si="6"/>
        <v>non</v>
      </c>
      <c r="BV18">
        <f t="shared" ref="BV18:BV49" si="11">IF(BU18="ok",$CC$30/(EOMONTH(BN18,0)-(EOMONTH(BN18,-1))),0)</f>
        <v>0</v>
      </c>
      <c r="BW18">
        <f t="shared" si="7"/>
        <v>0</v>
      </c>
      <c r="BX18"/>
      <c r="BY18"/>
      <c r="BZ18"/>
      <c r="CA18"/>
      <c r="CB18"/>
      <c r="CC18"/>
      <c r="CD18"/>
    </row>
    <row r="19" spans="1:82" s="171" customFormat="1" ht="15.95" customHeight="1" thickTop="1" x14ac:dyDescent="0.25">
      <c r="A19" s="655" t="str">
        <f>COUNTA(B19:K23)&amp;" jours fériés dont "&amp;COUNTA(C19:K23)-SUM('Récap annuel'!AN7:AO21)&amp;" jours hors WE"</f>
        <v>12 jours fériés dont 7 jours hors WE</v>
      </c>
      <c r="B19" s="656"/>
      <c r="C19" s="504">
        <v>42674</v>
      </c>
      <c r="D19" s="476"/>
      <c r="E19" s="476"/>
      <c r="F19" s="476">
        <v>42684</v>
      </c>
      <c r="G19" s="476"/>
      <c r="H19" s="476"/>
      <c r="I19" s="476">
        <v>42728</v>
      </c>
      <c r="J19" s="476"/>
      <c r="K19" s="477"/>
      <c r="N19" s="164"/>
      <c r="P19" s="572"/>
      <c r="Q19" s="573"/>
      <c r="R19" s="574"/>
      <c r="S19" s="625" t="s">
        <v>91</v>
      </c>
      <c r="T19" s="626"/>
      <c r="U19" s="627"/>
      <c r="V19" s="511" t="s">
        <v>9</v>
      </c>
      <c r="W19" s="511"/>
      <c r="X19" s="496">
        <v>42659</v>
      </c>
      <c r="Y19" s="496"/>
      <c r="Z19" s="496"/>
      <c r="AA19" s="496"/>
      <c r="AB19" s="496"/>
      <c r="AC19" s="85" t="s">
        <v>10</v>
      </c>
      <c r="AD19" s="517">
        <v>42674</v>
      </c>
      <c r="AE19" s="518"/>
      <c r="AF19" s="518"/>
      <c r="AG19" s="518"/>
      <c r="AH19" s="518"/>
      <c r="AI19" s="519"/>
      <c r="AJ19" s="164"/>
      <c r="AK19" s="164"/>
      <c r="AL19" s="164"/>
      <c r="AM19" s="181">
        <f t="shared" ref="AM19:AM49" si="12">IF(AM18="","",IF(AM18=$AD$21,"",AM18+1))</f>
        <v>42792</v>
      </c>
      <c r="AN19" s="181">
        <f t="shared" ref="AN19:AN49" si="13">IF(AN18="","",IF(AN18=$AD$22,"",AN18+1))</f>
        <v>42855</v>
      </c>
      <c r="AO19" s="181">
        <f t="shared" ref="AO19:AO49" si="14">IF(AO18="","",IF(AO18=$AD$23,"",AO18+1))</f>
        <v>42929</v>
      </c>
      <c r="AP19" s="181">
        <f t="shared" ref="AP19:AP49" si="15">IF(AP18="","",IF(AP18=$AD$19,"",AP18+1))</f>
        <v>42666</v>
      </c>
      <c r="AQ19" s="181">
        <f t="shared" ref="AQ19:AQ49" si="16">IF(AQ18="","",IF(AQ18=$AD$20,"",AQ18+1))</f>
        <v>42729</v>
      </c>
      <c r="AR19" s="509" t="s">
        <v>172</v>
      </c>
      <c r="AS19" s="510"/>
      <c r="AT19" s="171">
        <v>3</v>
      </c>
      <c r="AU19" s="190">
        <v>2.5</v>
      </c>
      <c r="AX19" s="171">
        <f>IF(AW18&lt;AU19,0,0)</f>
        <v>0</v>
      </c>
      <c r="BM19" s="29">
        <v>13</v>
      </c>
      <c r="BN19" s="242">
        <f>BN18+1</f>
        <v>42625</v>
      </c>
      <c r="BO19" s="29">
        <f t="shared" si="2"/>
        <v>1</v>
      </c>
      <c r="BP19" s="29">
        <f t="shared" si="1"/>
        <v>0</v>
      </c>
      <c r="BQ19" s="29">
        <f t="shared" si="3"/>
        <v>0</v>
      </c>
      <c r="BR19" s="29">
        <f t="shared" si="9"/>
        <v>9</v>
      </c>
      <c r="BS19" s="243">
        <f t="shared" si="4"/>
        <v>6.9444333333333344E-2</v>
      </c>
      <c r="BT19">
        <f t="shared" si="5"/>
        <v>6.9444333333333344E-2</v>
      </c>
      <c r="BU19" t="str">
        <f t="shared" si="6"/>
        <v>non</v>
      </c>
      <c r="BV19">
        <f t="shared" si="11"/>
        <v>0</v>
      </c>
      <c r="BW19">
        <f t="shared" si="7"/>
        <v>0</v>
      </c>
      <c r="BX19"/>
      <c r="BY19"/>
      <c r="BZ19"/>
      <c r="CA19"/>
      <c r="CB19"/>
      <c r="CC19"/>
      <c r="CD19"/>
    </row>
    <row r="20" spans="1:82" s="171" customFormat="1" ht="15.95" customHeight="1" x14ac:dyDescent="0.25">
      <c r="A20" s="657"/>
      <c r="B20" s="658"/>
      <c r="C20" s="483">
        <v>42729</v>
      </c>
      <c r="D20" s="484"/>
      <c r="E20" s="484"/>
      <c r="F20" s="484">
        <v>42735</v>
      </c>
      <c r="G20" s="484"/>
      <c r="H20" s="484"/>
      <c r="I20" s="484">
        <v>42826</v>
      </c>
      <c r="J20" s="484"/>
      <c r="K20" s="485"/>
      <c r="N20" s="164"/>
      <c r="P20" s="572"/>
      <c r="Q20" s="573"/>
      <c r="R20" s="574"/>
      <c r="S20" s="456" t="s">
        <v>92</v>
      </c>
      <c r="T20" s="457"/>
      <c r="U20" s="458"/>
      <c r="V20" s="516" t="s">
        <v>9</v>
      </c>
      <c r="W20" s="516"/>
      <c r="X20" s="512">
        <v>42722</v>
      </c>
      <c r="Y20" s="512"/>
      <c r="Z20" s="512"/>
      <c r="AA20" s="512"/>
      <c r="AB20" s="512"/>
      <c r="AC20" s="86" t="s">
        <v>10</v>
      </c>
      <c r="AD20" s="513">
        <v>42737</v>
      </c>
      <c r="AE20" s="514"/>
      <c r="AF20" s="514"/>
      <c r="AG20" s="514"/>
      <c r="AH20" s="514"/>
      <c r="AI20" s="515"/>
      <c r="AJ20" s="164"/>
      <c r="AK20" s="164"/>
      <c r="AL20" s="164"/>
      <c r="AM20" s="181">
        <f t="shared" si="12"/>
        <v>42793</v>
      </c>
      <c r="AN20" s="181">
        <f t="shared" si="13"/>
        <v>42856</v>
      </c>
      <c r="AO20" s="181">
        <f t="shared" si="14"/>
        <v>42930</v>
      </c>
      <c r="AP20" s="181">
        <f t="shared" si="15"/>
        <v>42667</v>
      </c>
      <c r="AQ20" s="181">
        <f t="shared" si="16"/>
        <v>42730</v>
      </c>
      <c r="AR20" s="509" t="s">
        <v>164</v>
      </c>
      <c r="AS20" s="510"/>
      <c r="AT20" s="171">
        <v>5</v>
      </c>
      <c r="AU20" s="190">
        <v>5</v>
      </c>
      <c r="AX20" s="171">
        <f>IF(AND(AW18&gt;AU19,AW18&lt;AU20),1,0)</f>
        <v>0</v>
      </c>
      <c r="BM20" s="29">
        <v>14</v>
      </c>
      <c r="BN20" s="242">
        <f t="shared" si="8"/>
        <v>42626</v>
      </c>
      <c r="BO20" s="29">
        <f t="shared" si="2"/>
        <v>0</v>
      </c>
      <c r="BP20" s="29">
        <f t="shared" si="1"/>
        <v>0</v>
      </c>
      <c r="BQ20" s="29">
        <f t="shared" si="3"/>
        <v>1</v>
      </c>
      <c r="BR20" s="29">
        <f t="shared" si="9"/>
        <v>10</v>
      </c>
      <c r="BS20" s="243">
        <f t="shared" si="4"/>
        <v>6.9444333333333344E-2</v>
      </c>
      <c r="BT20">
        <f t="shared" si="5"/>
        <v>6.9444333333333344E-2</v>
      </c>
      <c r="BU20" t="str">
        <f t="shared" si="6"/>
        <v>non</v>
      </c>
      <c r="BV20">
        <f t="shared" si="11"/>
        <v>0</v>
      </c>
      <c r="BW20">
        <f t="shared" si="7"/>
        <v>0</v>
      </c>
      <c r="BX20"/>
      <c r="BY20"/>
      <c r="BZ20"/>
      <c r="CA20"/>
      <c r="CB20"/>
      <c r="CC20"/>
      <c r="CD20"/>
    </row>
    <row r="21" spans="1:82" s="171" customFormat="1" ht="15.95" customHeight="1" x14ac:dyDescent="0.25">
      <c r="A21" s="657"/>
      <c r="B21" s="658"/>
      <c r="C21" s="483">
        <v>42829</v>
      </c>
      <c r="D21" s="484"/>
      <c r="E21" s="484"/>
      <c r="F21" s="484">
        <v>42855</v>
      </c>
      <c r="G21" s="484"/>
      <c r="H21" s="484"/>
      <c r="I21" s="484">
        <v>42862</v>
      </c>
      <c r="J21" s="484"/>
      <c r="K21" s="485"/>
      <c r="N21" s="164"/>
      <c r="P21" s="572"/>
      <c r="Q21" s="573"/>
      <c r="R21" s="574"/>
      <c r="S21" s="456" t="s">
        <v>106</v>
      </c>
      <c r="T21" s="457"/>
      <c r="U21" s="458"/>
      <c r="V21" s="516" t="s">
        <v>9</v>
      </c>
      <c r="W21" s="516"/>
      <c r="X21" s="512">
        <v>42785</v>
      </c>
      <c r="Y21" s="512"/>
      <c r="Z21" s="512"/>
      <c r="AA21" s="512"/>
      <c r="AB21" s="512"/>
      <c r="AC21" s="86" t="s">
        <v>10</v>
      </c>
      <c r="AD21" s="513">
        <v>42800</v>
      </c>
      <c r="AE21" s="514"/>
      <c r="AF21" s="514"/>
      <c r="AG21" s="514"/>
      <c r="AH21" s="514"/>
      <c r="AI21" s="515"/>
      <c r="AJ21" s="164"/>
      <c r="AK21" s="164"/>
      <c r="AL21" s="164"/>
      <c r="AM21" s="181">
        <f t="shared" si="12"/>
        <v>42794</v>
      </c>
      <c r="AN21" s="181">
        <f t="shared" si="13"/>
        <v>42857</v>
      </c>
      <c r="AO21" s="181">
        <f t="shared" si="14"/>
        <v>42931</v>
      </c>
      <c r="AP21" s="181">
        <f t="shared" si="15"/>
        <v>42668</v>
      </c>
      <c r="AQ21" s="181">
        <f t="shared" si="16"/>
        <v>42731</v>
      </c>
      <c r="AR21" s="509" t="s">
        <v>246</v>
      </c>
      <c r="AS21" s="510"/>
      <c r="AT21" s="171">
        <v>6</v>
      </c>
      <c r="AU21" s="190">
        <v>5</v>
      </c>
      <c r="AX21" s="171">
        <f>IF(AW18&gt;=AU21,2,0)</f>
        <v>2</v>
      </c>
      <c r="BM21" s="29">
        <v>15</v>
      </c>
      <c r="BN21" s="242">
        <f t="shared" si="8"/>
        <v>42627</v>
      </c>
      <c r="BO21" s="29">
        <f t="shared" si="2"/>
        <v>0</v>
      </c>
      <c r="BP21" s="29">
        <f t="shared" si="1"/>
        <v>0</v>
      </c>
      <c r="BQ21" s="29">
        <f t="shared" si="3"/>
        <v>1</v>
      </c>
      <c r="BR21" s="29">
        <f t="shared" si="9"/>
        <v>11</v>
      </c>
      <c r="BS21" s="243">
        <f t="shared" si="4"/>
        <v>6.9444333333333344E-2</v>
      </c>
      <c r="BT21">
        <f t="shared" si="5"/>
        <v>6.9444333333333344E-2</v>
      </c>
      <c r="BU21" t="str">
        <f t="shared" si="6"/>
        <v>non</v>
      </c>
      <c r="BV21">
        <f t="shared" si="11"/>
        <v>0</v>
      </c>
      <c r="BW21">
        <f t="shared" si="7"/>
        <v>0</v>
      </c>
      <c r="BX21"/>
      <c r="BY21"/>
      <c r="BZ21"/>
      <c r="CA21" s="21"/>
      <c r="CB21"/>
      <c r="CC21"/>
      <c r="CD21"/>
    </row>
    <row r="22" spans="1:82" s="171" customFormat="1" ht="15.95" customHeight="1" x14ac:dyDescent="0.25">
      <c r="A22" s="657"/>
      <c r="B22" s="658"/>
      <c r="C22" s="483">
        <v>42867</v>
      </c>
      <c r="D22" s="484"/>
      <c r="E22" s="484"/>
      <c r="F22" s="484">
        <v>42929</v>
      </c>
      <c r="G22" s="484"/>
      <c r="H22" s="484"/>
      <c r="I22" s="484">
        <v>42961</v>
      </c>
      <c r="J22" s="484"/>
      <c r="K22" s="485"/>
      <c r="N22" s="164"/>
      <c r="P22" s="572"/>
      <c r="Q22" s="573"/>
      <c r="R22" s="574"/>
      <c r="S22" s="456" t="s">
        <v>89</v>
      </c>
      <c r="T22" s="457"/>
      <c r="U22" s="458"/>
      <c r="V22" s="516" t="s">
        <v>9</v>
      </c>
      <c r="W22" s="516"/>
      <c r="X22" s="512">
        <v>42848</v>
      </c>
      <c r="Y22" s="512"/>
      <c r="Z22" s="512"/>
      <c r="AA22" s="512"/>
      <c r="AB22" s="512"/>
      <c r="AC22" s="86" t="s">
        <v>10</v>
      </c>
      <c r="AD22" s="513">
        <v>42863</v>
      </c>
      <c r="AE22" s="514"/>
      <c r="AF22" s="514"/>
      <c r="AG22" s="514"/>
      <c r="AH22" s="514"/>
      <c r="AI22" s="515"/>
      <c r="AJ22" s="164"/>
      <c r="AK22" s="164"/>
      <c r="AL22" s="164"/>
      <c r="AM22" s="181">
        <f t="shared" si="12"/>
        <v>42795</v>
      </c>
      <c r="AN22" s="181">
        <f t="shared" si="13"/>
        <v>42858</v>
      </c>
      <c r="AO22" s="181">
        <f t="shared" si="14"/>
        <v>42932</v>
      </c>
      <c r="AP22" s="181">
        <f t="shared" si="15"/>
        <v>42669</v>
      </c>
      <c r="AQ22" s="181">
        <f t="shared" si="16"/>
        <v>42732</v>
      </c>
      <c r="AX22" s="171">
        <f>IF(W28&lt;10,0,SUM(AX19:AX21))</f>
        <v>0</v>
      </c>
      <c r="BM22" s="29">
        <v>16</v>
      </c>
      <c r="BN22" s="242">
        <f t="shared" si="8"/>
        <v>42628</v>
      </c>
      <c r="BO22" s="29">
        <f t="shared" si="2"/>
        <v>0</v>
      </c>
      <c r="BP22" s="29">
        <f t="shared" si="1"/>
        <v>0</v>
      </c>
      <c r="BQ22" s="29">
        <f t="shared" si="3"/>
        <v>1</v>
      </c>
      <c r="BR22" s="29">
        <f t="shared" si="9"/>
        <v>12</v>
      </c>
      <c r="BS22" s="243">
        <f t="shared" si="4"/>
        <v>6.9444333333333344E-2</v>
      </c>
      <c r="BT22">
        <f t="shared" si="5"/>
        <v>6.9444333333333344E-2</v>
      </c>
      <c r="BU22" t="str">
        <f t="shared" si="6"/>
        <v>non</v>
      </c>
      <c r="BV22">
        <f t="shared" si="11"/>
        <v>0</v>
      </c>
      <c r="BW22">
        <f t="shared" si="7"/>
        <v>0</v>
      </c>
      <c r="BX22"/>
      <c r="BY22"/>
      <c r="BZ22"/>
      <c r="CA22"/>
      <c r="CB22"/>
      <c r="CC22" t="s">
        <v>256</v>
      </c>
      <c r="CD22"/>
    </row>
    <row r="23" spans="1:82" s="171" customFormat="1" ht="15.95" customHeight="1" thickBot="1" x14ac:dyDescent="0.3">
      <c r="A23" s="659"/>
      <c r="B23" s="660"/>
      <c r="C23" s="488"/>
      <c r="D23" s="489"/>
      <c r="E23" s="490"/>
      <c r="F23" s="461"/>
      <c r="G23" s="461"/>
      <c r="H23" s="461"/>
      <c r="I23" s="461"/>
      <c r="J23" s="461"/>
      <c r="K23" s="462"/>
      <c r="L23" s="192"/>
      <c r="N23" s="164"/>
      <c r="O23" s="193"/>
      <c r="P23" s="575"/>
      <c r="Q23" s="576"/>
      <c r="R23" s="577"/>
      <c r="S23" s="632" t="s">
        <v>90</v>
      </c>
      <c r="T23" s="633"/>
      <c r="U23" s="634"/>
      <c r="V23" s="464" t="s">
        <v>9</v>
      </c>
      <c r="W23" s="464"/>
      <c r="X23" s="463">
        <v>42922</v>
      </c>
      <c r="Y23" s="463"/>
      <c r="Z23" s="463"/>
      <c r="AA23" s="463"/>
      <c r="AB23" s="463"/>
      <c r="AC23" s="87" t="s">
        <v>10</v>
      </c>
      <c r="AD23" s="471">
        <v>42977</v>
      </c>
      <c r="AE23" s="472"/>
      <c r="AF23" s="472"/>
      <c r="AG23" s="472"/>
      <c r="AH23" s="472"/>
      <c r="AI23" s="473"/>
      <c r="AJ23" s="194"/>
      <c r="AK23" s="164"/>
      <c r="AL23" s="164"/>
      <c r="AM23" s="181">
        <f t="shared" si="12"/>
        <v>42796</v>
      </c>
      <c r="AN23" s="181">
        <f t="shared" si="13"/>
        <v>42859</v>
      </c>
      <c r="AO23" s="181">
        <f t="shared" si="14"/>
        <v>42933</v>
      </c>
      <c r="AP23" s="181">
        <f t="shared" si="15"/>
        <v>42670</v>
      </c>
      <c r="AQ23" s="181">
        <f t="shared" si="16"/>
        <v>42733</v>
      </c>
      <c r="BM23" s="29">
        <v>17</v>
      </c>
      <c r="BN23" s="242">
        <f t="shared" si="8"/>
        <v>42629</v>
      </c>
      <c r="BO23" s="29">
        <f t="shared" si="2"/>
        <v>0</v>
      </c>
      <c r="BP23" s="29">
        <f t="shared" si="1"/>
        <v>0</v>
      </c>
      <c r="BQ23" s="29">
        <f t="shared" si="3"/>
        <v>1</v>
      </c>
      <c r="BR23" s="29">
        <f t="shared" si="9"/>
        <v>13</v>
      </c>
      <c r="BS23" s="243">
        <f t="shared" si="4"/>
        <v>6.9444333333333344E-2</v>
      </c>
      <c r="BT23">
        <f t="shared" si="5"/>
        <v>6.9444333333333344E-2</v>
      </c>
      <c r="BU23" t="str">
        <f t="shared" si="6"/>
        <v>non</v>
      </c>
      <c r="BV23">
        <f t="shared" si="11"/>
        <v>0</v>
      </c>
      <c r="BW23">
        <f t="shared" si="7"/>
        <v>0</v>
      </c>
      <c r="BX23"/>
      <c r="BY23"/>
      <c r="BZ23"/>
      <c r="CA23" s="244" t="s">
        <v>257</v>
      </c>
      <c r="CB23" s="21">
        <f>AF5</f>
        <v>42613</v>
      </c>
      <c r="CC23">
        <f>VLOOKUP(CB23,tab_calc2,4)</f>
        <v>1</v>
      </c>
      <c r="CD23"/>
    </row>
    <row r="24" spans="1:82" s="171" customFormat="1" ht="15.95" customHeight="1" thickTop="1" x14ac:dyDescent="0.25">
      <c r="A24" s="195">
        <f>IF(BG12="",0,9)</f>
        <v>9</v>
      </c>
      <c r="B24" s="195"/>
      <c r="C24" s="195"/>
      <c r="D24" s="195"/>
      <c r="E24" s="195"/>
      <c r="F24" s="195"/>
      <c r="G24" s="195"/>
      <c r="H24" s="195"/>
      <c r="I24" s="195"/>
      <c r="J24" s="196"/>
      <c r="K24" s="196"/>
      <c r="L24" s="196"/>
      <c r="M24" s="196"/>
      <c r="N24" s="196"/>
      <c r="O24" s="196"/>
      <c r="P24" s="195"/>
      <c r="Q24" s="195"/>
      <c r="R24" s="195"/>
      <c r="S24" s="195"/>
      <c r="T24" s="195"/>
      <c r="U24" s="195"/>
      <c r="V24" s="195"/>
      <c r="W24" s="195"/>
      <c r="X24" s="195"/>
      <c r="Y24" s="195"/>
      <c r="Z24" s="195"/>
      <c r="AA24" s="195"/>
      <c r="AB24" s="195"/>
      <c r="AC24" s="195"/>
      <c r="AD24" s="195"/>
      <c r="AE24" s="195"/>
      <c r="AF24" s="195"/>
      <c r="AG24" s="195"/>
      <c r="AH24" s="196"/>
      <c r="AI24" s="196"/>
      <c r="AJ24" s="196"/>
      <c r="AK24" s="164"/>
      <c r="AL24" s="164"/>
      <c r="AM24" s="181">
        <f t="shared" si="12"/>
        <v>42797</v>
      </c>
      <c r="AN24" s="181">
        <f t="shared" si="13"/>
        <v>42860</v>
      </c>
      <c r="AO24" s="181">
        <f t="shared" si="14"/>
        <v>42934</v>
      </c>
      <c r="AP24" s="181">
        <f t="shared" si="15"/>
        <v>42671</v>
      </c>
      <c r="AQ24" s="181">
        <f t="shared" si="16"/>
        <v>42734</v>
      </c>
      <c r="BG24" s="245"/>
      <c r="BH24" s="246"/>
      <c r="BI24" s="246"/>
      <c r="BJ24" s="246"/>
      <c r="BK24" s="247"/>
      <c r="BM24" s="29">
        <v>18</v>
      </c>
      <c r="BN24" s="242">
        <f t="shared" si="8"/>
        <v>42630</v>
      </c>
      <c r="BO24" s="29">
        <f t="shared" si="2"/>
        <v>0</v>
      </c>
      <c r="BP24" s="29">
        <f t="shared" si="1"/>
        <v>0</v>
      </c>
      <c r="BQ24" s="29">
        <f t="shared" si="3"/>
        <v>1</v>
      </c>
      <c r="BR24" s="29">
        <f t="shared" si="9"/>
        <v>14</v>
      </c>
      <c r="BS24" s="243">
        <f t="shared" si="4"/>
        <v>6.9444333333333344E-2</v>
      </c>
      <c r="BT24">
        <f t="shared" si="5"/>
        <v>6.9444333333333344E-2</v>
      </c>
      <c r="BU24" t="str">
        <f t="shared" si="6"/>
        <v>non</v>
      </c>
      <c r="BV24">
        <f t="shared" si="11"/>
        <v>0</v>
      </c>
      <c r="BW24">
        <f t="shared" si="7"/>
        <v>0</v>
      </c>
      <c r="BX24"/>
      <c r="BY24"/>
      <c r="BZ24"/>
      <c r="CA24" s="244" t="s">
        <v>258</v>
      </c>
      <c r="CB24" s="21">
        <f>AF6</f>
        <v>42977</v>
      </c>
      <c r="CC24">
        <f>VLOOKUP(CB24,tab_calc2,4)</f>
        <v>1</v>
      </c>
      <c r="CD24"/>
    </row>
    <row r="25" spans="1:82" s="171" customFormat="1" ht="15.95" customHeight="1" x14ac:dyDescent="0.25">
      <c r="A25" s="197"/>
      <c r="B25" s="198"/>
      <c r="C25" s="199"/>
      <c r="D25" s="197"/>
      <c r="E25" s="198"/>
      <c r="F25" s="199"/>
      <c r="G25" s="197"/>
      <c r="H25" s="198"/>
      <c r="I25" s="199"/>
      <c r="J25" s="197"/>
      <c r="K25" s="198"/>
      <c r="L25" s="199"/>
      <c r="M25" s="197"/>
      <c r="N25" s="198"/>
      <c r="O25" s="199"/>
      <c r="P25" s="197"/>
      <c r="Q25" s="198"/>
      <c r="R25" s="199"/>
      <c r="S25" s="197"/>
      <c r="T25" s="198"/>
      <c r="U25" s="199"/>
      <c r="V25" s="197"/>
      <c r="W25" s="198"/>
      <c r="X25" s="199"/>
      <c r="Y25" s="197"/>
      <c r="Z25" s="198"/>
      <c r="AK25" s="199"/>
      <c r="AL25" s="199"/>
      <c r="AM25" s="181">
        <f t="shared" si="12"/>
        <v>42798</v>
      </c>
      <c r="AN25" s="181">
        <f t="shared" si="13"/>
        <v>42861</v>
      </c>
      <c r="AO25" s="181">
        <f t="shared" si="14"/>
        <v>42935</v>
      </c>
      <c r="AP25" s="181">
        <f t="shared" si="15"/>
        <v>42672</v>
      </c>
      <c r="AQ25" s="181">
        <f t="shared" si="16"/>
        <v>42735</v>
      </c>
      <c r="BG25" s="248"/>
      <c r="BH25" s="249" t="s">
        <v>76</v>
      </c>
      <c r="BI25" s="250">
        <f>annualisation!W2</f>
        <v>2020</v>
      </c>
      <c r="BJ25" s="251" t="str">
        <f>"/ "&amp;BI25+1</f>
        <v>/ 2021</v>
      </c>
      <c r="BK25" s="252"/>
      <c r="BM25" s="29">
        <v>19</v>
      </c>
      <c r="BN25" s="242">
        <f t="shared" si="8"/>
        <v>42631</v>
      </c>
      <c r="BO25" s="29">
        <f t="shared" si="2"/>
        <v>1</v>
      </c>
      <c r="BP25" s="29">
        <f t="shared" si="1"/>
        <v>0</v>
      </c>
      <c r="BQ25" s="29">
        <f t="shared" si="3"/>
        <v>0</v>
      </c>
      <c r="BR25" s="29">
        <f t="shared" si="9"/>
        <v>14</v>
      </c>
      <c r="BS25" s="243">
        <f t="shared" si="4"/>
        <v>6.9444333333333344E-2</v>
      </c>
      <c r="BT25">
        <f t="shared" si="5"/>
        <v>6.9444333333333344E-2</v>
      </c>
      <c r="BU25" t="str">
        <f t="shared" si="6"/>
        <v>non</v>
      </c>
      <c r="BV25">
        <f t="shared" si="11"/>
        <v>0</v>
      </c>
      <c r="BW25">
        <f t="shared" si="7"/>
        <v>0</v>
      </c>
      <c r="BX25"/>
      <c r="BY25"/>
      <c r="BZ25"/>
      <c r="CA25"/>
      <c r="CB25" s="244" t="s">
        <v>259</v>
      </c>
      <c r="CC25">
        <f>IF(BH13=BN4,CC24-CC23+BR4,CC24-CC23+BR4)</f>
        <v>1</v>
      </c>
      <c r="CD25">
        <f>IF(BH13=BN4,CC24-CC23+BR4,CC24-CC23)</f>
        <v>0</v>
      </c>
    </row>
    <row r="26" spans="1:82" s="171" customFormat="1" ht="15.95" customHeight="1" x14ac:dyDescent="0.25">
      <c r="I26" s="198"/>
      <c r="J26" s="465" t="s">
        <v>166</v>
      </c>
      <c r="K26" s="466"/>
      <c r="L26" s="466"/>
      <c r="M26" s="466"/>
      <c r="N26" s="466"/>
      <c r="O26" s="466"/>
      <c r="P26" s="466"/>
      <c r="Q26" s="466"/>
      <c r="R26" s="466"/>
      <c r="S26" s="466"/>
      <c r="T26" s="466"/>
      <c r="U26" s="466"/>
      <c r="V26" s="466"/>
      <c r="W26" s="466"/>
      <c r="X26" s="466"/>
      <c r="Y26" s="467"/>
      <c r="AM26" s="181">
        <f t="shared" si="12"/>
        <v>42799</v>
      </c>
      <c r="AN26" s="181">
        <f t="shared" si="13"/>
        <v>42862</v>
      </c>
      <c r="AO26" s="181">
        <f t="shared" si="14"/>
        <v>42936</v>
      </c>
      <c r="AP26" s="181">
        <f t="shared" si="15"/>
        <v>42673</v>
      </c>
      <c r="AQ26" s="181">
        <f t="shared" si="16"/>
        <v>42736</v>
      </c>
      <c r="BG26" s="248"/>
      <c r="BH26" s="251"/>
      <c r="BI26" s="249" t="s">
        <v>257</v>
      </c>
      <c r="BJ26" s="253">
        <f>AF5</f>
        <v>42613</v>
      </c>
      <c r="BK26" s="252"/>
      <c r="BM26" s="29">
        <v>20</v>
      </c>
      <c r="BN26" s="242">
        <f t="shared" si="8"/>
        <v>42632</v>
      </c>
      <c r="BO26" s="29">
        <f t="shared" si="2"/>
        <v>1</v>
      </c>
      <c r="BP26" s="29">
        <f t="shared" si="1"/>
        <v>0</v>
      </c>
      <c r="BQ26" s="29">
        <f t="shared" si="3"/>
        <v>0</v>
      </c>
      <c r="BR26" s="29">
        <f t="shared" si="9"/>
        <v>14</v>
      </c>
      <c r="BS26" s="243">
        <f t="shared" si="4"/>
        <v>6.9444333333333344E-2</v>
      </c>
      <c r="BT26">
        <f t="shared" si="5"/>
        <v>6.9444333333333344E-2</v>
      </c>
      <c r="BU26" t="str">
        <f t="shared" si="6"/>
        <v>non</v>
      </c>
      <c r="BV26">
        <f t="shared" si="11"/>
        <v>0</v>
      </c>
      <c r="BW26">
        <f t="shared" si="7"/>
        <v>0</v>
      </c>
      <c r="BX26"/>
      <c r="BY26"/>
      <c r="BZ26"/>
      <c r="CA26"/>
      <c r="CB26"/>
      <c r="CC26"/>
      <c r="CD26"/>
    </row>
    <row r="27" spans="1:82" s="171" customFormat="1" ht="15.95" customHeight="1" x14ac:dyDescent="0.25">
      <c r="I27" s="198"/>
      <c r="J27" s="222"/>
      <c r="K27" s="199"/>
      <c r="L27" s="197"/>
      <c r="M27" s="203"/>
      <c r="N27" s="201"/>
      <c r="O27" s="202"/>
      <c r="P27" s="203"/>
      <c r="Q27" s="201"/>
      <c r="R27" s="202"/>
      <c r="S27" s="203"/>
      <c r="T27" s="201"/>
      <c r="U27" s="202"/>
      <c r="V27" s="203"/>
      <c r="W27" s="201"/>
      <c r="X27" s="197"/>
      <c r="Y27" s="229"/>
      <c r="AA27" s="468" t="str">
        <f>"Contrôle CP au 31 mai "&amp;YEAR(AF5)+1</f>
        <v>Contrôle CP au 31 mai 2021</v>
      </c>
      <c r="AB27" s="469"/>
      <c r="AC27" s="469"/>
      <c r="AD27" s="469"/>
      <c r="AE27" s="469"/>
      <c r="AF27" s="469"/>
      <c r="AG27" s="469"/>
      <c r="AH27" s="470"/>
      <c r="AM27" s="181">
        <f t="shared" si="12"/>
        <v>42800</v>
      </c>
      <c r="AN27" s="181">
        <f t="shared" si="13"/>
        <v>42863</v>
      </c>
      <c r="AO27" s="181">
        <f t="shared" si="14"/>
        <v>42937</v>
      </c>
      <c r="AP27" s="181">
        <f t="shared" si="15"/>
        <v>42674</v>
      </c>
      <c r="AQ27" s="181">
        <f t="shared" si="16"/>
        <v>42737</v>
      </c>
      <c r="AS27" s="171" t="s">
        <v>224</v>
      </c>
      <c r="AU27" s="204" t="str">
        <f>IF(G7&gt;=35/24,"plein","partiel")</f>
        <v>partiel</v>
      </c>
      <c r="BG27" s="248"/>
      <c r="BH27" s="251"/>
      <c r="BI27" s="249" t="s">
        <v>258</v>
      </c>
      <c r="BJ27" s="253">
        <f>AF6</f>
        <v>42977</v>
      </c>
      <c r="BK27" s="252"/>
      <c r="BM27" s="29">
        <v>21</v>
      </c>
      <c r="BN27" s="242">
        <f t="shared" si="8"/>
        <v>42633</v>
      </c>
      <c r="BO27" s="29">
        <f t="shared" si="2"/>
        <v>0</v>
      </c>
      <c r="BP27" s="29">
        <f t="shared" si="1"/>
        <v>0</v>
      </c>
      <c r="BQ27" s="29">
        <f t="shared" si="3"/>
        <v>1</v>
      </c>
      <c r="BR27" s="29">
        <f t="shared" si="9"/>
        <v>15</v>
      </c>
      <c r="BS27" s="243">
        <f t="shared" si="4"/>
        <v>6.9444333333333344E-2</v>
      </c>
      <c r="BT27">
        <f t="shared" si="5"/>
        <v>6.9444333333333344E-2</v>
      </c>
      <c r="BU27" t="str">
        <f t="shared" si="6"/>
        <v>non</v>
      </c>
      <c r="BV27">
        <f t="shared" si="11"/>
        <v>0</v>
      </c>
      <c r="BW27">
        <f t="shared" si="7"/>
        <v>0</v>
      </c>
      <c r="BX27"/>
      <c r="BY27"/>
      <c r="BZ27"/>
      <c r="CA27"/>
      <c r="CB27" t="s">
        <v>260</v>
      </c>
      <c r="CC27" s="26">
        <v>66.375</v>
      </c>
      <c r="CD27"/>
    </row>
    <row r="28" spans="1:82" s="171" customFormat="1" ht="15.95" customHeight="1" x14ac:dyDescent="0.25">
      <c r="A28" s="468" t="s">
        <v>162</v>
      </c>
      <c r="B28" s="469"/>
      <c r="C28" s="469"/>
      <c r="D28" s="469"/>
      <c r="E28" s="469"/>
      <c r="F28" s="469"/>
      <c r="G28" s="469"/>
      <c r="H28" s="470"/>
      <c r="I28" s="198"/>
      <c r="J28" s="347" t="str">
        <f>"Nb de CP légaux acquis N (pris ou non) au 31 mai "&amp;BC5&amp;" :"</f>
        <v>Nb de CP légaux acquis N (pris ou non) au 31 mai 2020 :</v>
      </c>
      <c r="V28" s="345"/>
      <c r="W28" s="459"/>
      <c r="X28" s="459"/>
      <c r="Y28" s="460"/>
      <c r="AA28" s="233"/>
      <c r="AG28" s="283" t="str">
        <f>"Solde CP N au 31 mai "&amp;YEAR(AF5)&amp;" :"</f>
        <v>Solde CP N au 31 mai 2020 :</v>
      </c>
      <c r="AH28" s="293"/>
      <c r="AM28" s="181" t="str">
        <f t="shared" si="12"/>
        <v/>
      </c>
      <c r="AN28" s="181" t="str">
        <f t="shared" si="13"/>
        <v/>
      </c>
      <c r="AO28" s="181">
        <f t="shared" si="14"/>
        <v>42938</v>
      </c>
      <c r="AP28" s="181" t="str">
        <f t="shared" si="15"/>
        <v/>
      </c>
      <c r="AQ28" s="181" t="str">
        <f t="shared" si="16"/>
        <v/>
      </c>
      <c r="AU28" s="210">
        <v>1</v>
      </c>
      <c r="BG28" s="248"/>
      <c r="BH28" s="251"/>
      <c r="BI28" s="249" t="s">
        <v>264</v>
      </c>
      <c r="BJ28" s="254">
        <f>G7</f>
        <v>0</v>
      </c>
      <c r="BK28" s="252"/>
      <c r="BM28" s="29">
        <v>22</v>
      </c>
      <c r="BN28" s="242">
        <f t="shared" si="8"/>
        <v>42634</v>
      </c>
      <c r="BO28" s="29">
        <f t="shared" si="2"/>
        <v>0</v>
      </c>
      <c r="BP28" s="29">
        <f t="shared" si="1"/>
        <v>0</v>
      </c>
      <c r="BQ28" s="29">
        <f t="shared" si="3"/>
        <v>1</v>
      </c>
      <c r="BR28" s="29">
        <f t="shared" si="9"/>
        <v>16</v>
      </c>
      <c r="BS28" s="243">
        <f t="shared" si="4"/>
        <v>6.9444333333333344E-2</v>
      </c>
      <c r="BT28">
        <f t="shared" si="5"/>
        <v>6.9444333333333344E-2</v>
      </c>
      <c r="BU28" t="str">
        <f t="shared" si="6"/>
        <v>non</v>
      </c>
      <c r="BV28">
        <f t="shared" si="11"/>
        <v>0</v>
      </c>
      <c r="BW28">
        <f t="shared" si="7"/>
        <v>0</v>
      </c>
      <c r="BX28"/>
      <c r="BY28"/>
      <c r="BZ28"/>
      <c r="CA28"/>
      <c r="CB28" s="244" t="s">
        <v>261</v>
      </c>
      <c r="CC28" s="26">
        <v>1.4583333333333333</v>
      </c>
      <c r="CD28"/>
    </row>
    <row r="29" spans="1:82" s="171" customFormat="1" ht="15.95" customHeight="1" x14ac:dyDescent="0.25">
      <c r="A29" s="207"/>
      <c r="B29" s="203"/>
      <c r="C29" s="201"/>
      <c r="D29" s="202"/>
      <c r="E29" s="208" t="s">
        <v>156</v>
      </c>
      <c r="F29" s="343" t="s">
        <v>157</v>
      </c>
      <c r="G29" s="202"/>
      <c r="H29" s="209"/>
      <c r="I29" s="198"/>
      <c r="J29" s="222"/>
      <c r="K29" s="199"/>
      <c r="L29" s="197"/>
      <c r="M29" s="198"/>
      <c r="N29" s="199"/>
      <c r="O29" s="197"/>
      <c r="P29" s="198"/>
      <c r="Q29" s="199"/>
      <c r="R29" s="197"/>
      <c r="S29" s="198"/>
      <c r="T29" s="199"/>
      <c r="U29" s="197"/>
      <c r="V29" s="346"/>
      <c r="W29" s="231"/>
      <c r="X29" s="232"/>
      <c r="Y29" s="229"/>
      <c r="AA29" s="233"/>
      <c r="AG29" s="283" t="str">
        <f>"CP pris du 1er au 31 mai "&amp;YEAR(AF5)</f>
        <v>CP pris du 1er au 31 mai 2020</v>
      </c>
      <c r="AH29" s="162"/>
      <c r="AM29" s="181" t="str">
        <f t="shared" si="12"/>
        <v/>
      </c>
      <c r="AN29" s="181" t="str">
        <f t="shared" si="13"/>
        <v/>
      </c>
      <c r="AO29" s="181">
        <f t="shared" si="14"/>
        <v>42939</v>
      </c>
      <c r="AP29" s="181" t="str">
        <f t="shared" si="15"/>
        <v/>
      </c>
      <c r="AQ29" s="181" t="str">
        <f t="shared" si="16"/>
        <v/>
      </c>
      <c r="BG29" s="248"/>
      <c r="BH29" s="251"/>
      <c r="BI29" s="249" t="s">
        <v>263</v>
      </c>
      <c r="BJ29" s="171" t="s">
        <v>157</v>
      </c>
      <c r="BK29" s="254" t="s">
        <v>157</v>
      </c>
      <c r="BM29" s="29">
        <v>23</v>
      </c>
      <c r="BN29" s="242">
        <f t="shared" si="8"/>
        <v>42635</v>
      </c>
      <c r="BO29" s="29">
        <f t="shared" si="2"/>
        <v>0</v>
      </c>
      <c r="BP29" s="29">
        <f t="shared" si="1"/>
        <v>0</v>
      </c>
      <c r="BQ29" s="29">
        <f t="shared" si="3"/>
        <v>1</v>
      </c>
      <c r="BR29" s="29">
        <f t="shared" si="9"/>
        <v>17</v>
      </c>
      <c r="BS29" s="243">
        <f t="shared" si="4"/>
        <v>6.9444333333333344E-2</v>
      </c>
      <c r="BT29">
        <f t="shared" si="5"/>
        <v>6.9444333333333344E-2</v>
      </c>
      <c r="BU29" t="str">
        <f t="shared" si="6"/>
        <v>non</v>
      </c>
      <c r="BV29">
        <f t="shared" si="11"/>
        <v>0</v>
      </c>
      <c r="BW29">
        <f t="shared" si="7"/>
        <v>0</v>
      </c>
      <c r="BX29"/>
      <c r="BY29"/>
      <c r="BZ29"/>
      <c r="CA29"/>
      <c r="CB29"/>
      <c r="CC29"/>
      <c r="CD29"/>
    </row>
    <row r="30" spans="1:82" s="171" customFormat="1" ht="15.95" customHeight="1" x14ac:dyDescent="0.25">
      <c r="A30" s="207"/>
      <c r="B30" s="203"/>
      <c r="C30" s="201"/>
      <c r="D30" s="202"/>
      <c r="E30" s="208" t="s">
        <v>158</v>
      </c>
      <c r="F30" s="343" t="s">
        <v>157</v>
      </c>
      <c r="G30" s="202"/>
      <c r="H30" s="209"/>
      <c r="I30" s="198"/>
      <c r="J30" s="347" t="str">
        <f>"Nb de CP légaux pris entre le 01/05/"&amp;BC5&amp;" et le 31/08/"&amp;BC5&amp;" :"</f>
        <v>Nb de CP légaux pris entre le 01/05/2020 et le 31/08/2020 :</v>
      </c>
      <c r="K30" s="164"/>
      <c r="L30" s="197"/>
      <c r="N30" s="199"/>
      <c r="O30" s="197"/>
      <c r="P30" s="198"/>
      <c r="Q30" s="199"/>
      <c r="R30" s="197"/>
      <c r="S30" s="198"/>
      <c r="T30" s="199"/>
      <c r="U30" s="197"/>
      <c r="V30" s="346"/>
      <c r="W30" s="459"/>
      <c r="X30" s="459"/>
      <c r="Y30" s="460"/>
      <c r="AA30" s="233"/>
      <c r="AG30" s="283" t="str">
        <f>"CP N-1 prév. au 31 mai "&amp;YEAR(AF5)+1&amp;" :"</f>
        <v>CP N-1 prév. au 31 mai 2021 :</v>
      </c>
      <c r="AH30" s="285">
        <f>AH28-W30+AH29-(SUM('T1'!AR6:AR154)+SUM('T2'!AR6:AR154)+SUM('T3'!AR6:AR166)+SUM('T4'!AR6:AR154))</f>
        <v>0</v>
      </c>
      <c r="AM30" s="181" t="str">
        <f t="shared" si="12"/>
        <v/>
      </c>
      <c r="AN30" s="181" t="str">
        <f t="shared" si="13"/>
        <v/>
      </c>
      <c r="AO30" s="181">
        <f t="shared" si="14"/>
        <v>42940</v>
      </c>
      <c r="AP30" s="181" t="str">
        <f t="shared" si="15"/>
        <v/>
      </c>
      <c r="AQ30" s="181" t="str">
        <f t="shared" si="16"/>
        <v/>
      </c>
      <c r="BG30" s="248"/>
      <c r="BH30" s="251"/>
      <c r="BI30" s="249" t="s">
        <v>113</v>
      </c>
      <c r="BJ30" s="255">
        <f>CC27/CC28*BJ28</f>
        <v>0</v>
      </c>
      <c r="BK30" s="252"/>
      <c r="BM30" s="29">
        <v>24</v>
      </c>
      <c r="BN30" s="242">
        <f t="shared" si="8"/>
        <v>42636</v>
      </c>
      <c r="BO30" s="29">
        <f t="shared" si="2"/>
        <v>0</v>
      </c>
      <c r="BP30" s="29">
        <f t="shared" si="1"/>
        <v>0</v>
      </c>
      <c r="BQ30" s="29">
        <f t="shared" si="3"/>
        <v>1</v>
      </c>
      <c r="BR30" s="29">
        <f t="shared" si="9"/>
        <v>18</v>
      </c>
      <c r="BS30" s="243">
        <f t="shared" si="4"/>
        <v>6.9444333333333344E-2</v>
      </c>
      <c r="BT30">
        <f t="shared" si="5"/>
        <v>6.9444333333333344E-2</v>
      </c>
      <c r="BU30" t="str">
        <f t="shared" si="6"/>
        <v>non</v>
      </c>
      <c r="BV30">
        <f t="shared" si="11"/>
        <v>0</v>
      </c>
      <c r="BW30">
        <f t="shared" si="7"/>
        <v>0</v>
      </c>
      <c r="BX30"/>
      <c r="BY30"/>
      <c r="BZ30"/>
      <c r="CA30"/>
      <c r="CB30" s="244" t="s">
        <v>262</v>
      </c>
      <c r="CC30">
        <f>1/CC28*G7</f>
        <v>0</v>
      </c>
      <c r="CD30"/>
    </row>
    <row r="31" spans="1:82" s="171" customFormat="1" ht="15.95" customHeight="1" x14ac:dyDescent="0.25">
      <c r="A31" s="207"/>
      <c r="B31" s="203"/>
      <c r="C31" s="201"/>
      <c r="D31" s="202"/>
      <c r="E31" s="208" t="s">
        <v>160</v>
      </c>
      <c r="F31" s="343" t="s">
        <v>157</v>
      </c>
      <c r="G31" s="202"/>
      <c r="H31" s="209"/>
      <c r="I31" s="198"/>
      <c r="J31" s="222"/>
      <c r="K31" s="199"/>
      <c r="L31" s="197"/>
      <c r="M31" s="198"/>
      <c r="N31" s="199"/>
      <c r="O31" s="197"/>
      <c r="P31" s="198"/>
      <c r="Q31" s="199"/>
      <c r="R31" s="197"/>
      <c r="S31" s="198"/>
      <c r="T31" s="199"/>
      <c r="U31" s="197"/>
      <c r="V31" s="346"/>
      <c r="W31" s="199"/>
      <c r="X31" s="197"/>
      <c r="Y31" s="229"/>
      <c r="AA31" s="284"/>
      <c r="AB31" s="217"/>
      <c r="AC31" s="218"/>
      <c r="AD31" s="226"/>
      <c r="AE31" s="227"/>
      <c r="AF31" s="225"/>
      <c r="AG31" s="286" t="str">
        <f>"CP N-1 réel au 31 mai "&amp;YEAR(AF5)+1&amp;" :"</f>
        <v>CP N-1 réel au 31 mai 2021 :</v>
      </c>
      <c r="AH31" s="287">
        <f>AH28-W30+AH29-(SUM('T1'!AS6:AS154)+SUM('T2'!AS6:AS154)+SUM('T3'!AS6:AS166)+SUM('T4'!AS6:AS154))</f>
        <v>0</v>
      </c>
      <c r="AJ31" s="199"/>
      <c r="AK31" s="199"/>
      <c r="AL31" s="199"/>
      <c r="AM31" s="181" t="str">
        <f t="shared" si="12"/>
        <v/>
      </c>
      <c r="AN31" s="181" t="str">
        <f t="shared" si="13"/>
        <v/>
      </c>
      <c r="AO31" s="181">
        <f t="shared" si="14"/>
        <v>42941</v>
      </c>
      <c r="AP31" s="181" t="str">
        <f t="shared" si="15"/>
        <v/>
      </c>
      <c r="AQ31" s="181" t="str">
        <f t="shared" si="16"/>
        <v/>
      </c>
      <c r="BG31" s="674" t="s">
        <v>265</v>
      </c>
      <c r="BH31" s="675"/>
      <c r="BI31" s="675"/>
      <c r="BJ31" s="675"/>
      <c r="BK31" s="676"/>
      <c r="BM31" s="29">
        <v>25</v>
      </c>
      <c r="BN31" s="242">
        <f t="shared" si="8"/>
        <v>42637</v>
      </c>
      <c r="BO31" s="29">
        <f t="shared" si="2"/>
        <v>0</v>
      </c>
      <c r="BP31" s="29">
        <f t="shared" si="1"/>
        <v>0</v>
      </c>
      <c r="BQ31" s="29">
        <f t="shared" si="3"/>
        <v>1</v>
      </c>
      <c r="BR31" s="29">
        <f t="shared" si="9"/>
        <v>19</v>
      </c>
      <c r="BS31" s="243">
        <f t="shared" si="4"/>
        <v>6.9444333333333344E-2</v>
      </c>
      <c r="BT31">
        <f t="shared" si="5"/>
        <v>6.9444333333333344E-2</v>
      </c>
      <c r="BU31" t="str">
        <f t="shared" si="6"/>
        <v>non</v>
      </c>
      <c r="BV31">
        <f t="shared" si="11"/>
        <v>0</v>
      </c>
      <c r="BW31">
        <f t="shared" si="7"/>
        <v>0</v>
      </c>
      <c r="BX31"/>
      <c r="BY31"/>
      <c r="BZ31"/>
      <c r="CA31"/>
      <c r="CB31"/>
      <c r="CC31"/>
      <c r="CD31"/>
    </row>
    <row r="32" spans="1:82" s="171" customFormat="1" ht="15.95" customHeight="1" x14ac:dyDescent="0.25">
      <c r="A32" s="216"/>
      <c r="B32" s="217"/>
      <c r="C32" s="218"/>
      <c r="D32" s="219"/>
      <c r="E32" s="220" t="s">
        <v>161</v>
      </c>
      <c r="F32" s="344" t="s">
        <v>157</v>
      </c>
      <c r="G32" s="219"/>
      <c r="H32" s="221"/>
      <c r="I32" s="198"/>
      <c r="J32" s="233"/>
      <c r="V32" s="345"/>
      <c r="Y32" s="234"/>
      <c r="AA32" s="453" t="str">
        <f>IF(AH30&gt;0,"Rajouter des CP prév. avant le 31/05/"&amp;YEAR(AF5)+1,"Pas de perte prévisionnelle de CP")</f>
        <v>Pas de perte prévisionnelle de CP</v>
      </c>
      <c r="AB32" s="454"/>
      <c r="AC32" s="454"/>
      <c r="AD32" s="454"/>
      <c r="AE32" s="454"/>
      <c r="AF32" s="454"/>
      <c r="AG32" s="454"/>
      <c r="AH32" s="455"/>
      <c r="AJ32" s="199"/>
      <c r="AK32" s="199"/>
      <c r="AL32" s="199"/>
      <c r="AM32" s="181" t="str">
        <f t="shared" si="12"/>
        <v/>
      </c>
      <c r="AN32" s="181" t="str">
        <f t="shared" si="13"/>
        <v/>
      </c>
      <c r="AO32" s="181">
        <f t="shared" si="14"/>
        <v>42942</v>
      </c>
      <c r="AP32" s="181" t="str">
        <f t="shared" si="15"/>
        <v/>
      </c>
      <c r="AQ32" s="181" t="str">
        <f t="shared" si="16"/>
        <v/>
      </c>
      <c r="BG32" s="677" t="s">
        <v>266</v>
      </c>
      <c r="BH32" s="678"/>
      <c r="BI32" s="678"/>
      <c r="BJ32" s="678"/>
      <c r="BK32" s="679"/>
      <c r="BM32" s="29">
        <v>26</v>
      </c>
      <c r="BN32" s="242">
        <f t="shared" si="8"/>
        <v>42638</v>
      </c>
      <c r="BO32" s="29">
        <f t="shared" si="2"/>
        <v>1</v>
      </c>
      <c r="BP32" s="29">
        <f t="shared" si="1"/>
        <v>0</v>
      </c>
      <c r="BQ32" s="29">
        <f t="shared" si="3"/>
        <v>0</v>
      </c>
      <c r="BR32" s="29">
        <f t="shared" si="9"/>
        <v>19</v>
      </c>
      <c r="BS32" s="243">
        <f t="shared" si="4"/>
        <v>6.9444333333333344E-2</v>
      </c>
      <c r="BT32">
        <f t="shared" si="5"/>
        <v>6.9444333333333344E-2</v>
      </c>
      <c r="BU32" t="str">
        <f t="shared" si="6"/>
        <v>non</v>
      </c>
      <c r="BV32">
        <f t="shared" si="11"/>
        <v>0</v>
      </c>
      <c r="BW32">
        <f t="shared" si="7"/>
        <v>0</v>
      </c>
      <c r="BX32"/>
      <c r="BY32"/>
      <c r="BZ32"/>
      <c r="CA32"/>
      <c r="CB32"/>
      <c r="CC32"/>
      <c r="CD32"/>
    </row>
    <row r="33" spans="1:82" s="171" customFormat="1" ht="15.95" customHeight="1" x14ac:dyDescent="0.25">
      <c r="A33" s="197"/>
      <c r="B33" s="198"/>
      <c r="C33" s="198"/>
      <c r="D33" s="198"/>
      <c r="E33" s="198"/>
      <c r="F33" s="198"/>
      <c r="G33" s="198"/>
      <c r="H33" s="198"/>
      <c r="I33" s="198"/>
      <c r="J33" s="347" t="str">
        <f>"Nb de CP légaux pris entre le 01/09/"&amp;BC5&amp;" et le 31/10/"&amp;BC5&amp;" :"</f>
        <v>Nb de CP légaux pris entre le 01/09/2020 et le 31/10/2020 :</v>
      </c>
      <c r="K33" s="199"/>
      <c r="L33" s="197"/>
      <c r="M33" s="198"/>
      <c r="N33" s="199"/>
      <c r="O33" s="197"/>
      <c r="P33" s="198"/>
      <c r="Q33" s="199"/>
      <c r="R33" s="197"/>
      <c r="S33" s="198"/>
      <c r="T33" s="199"/>
      <c r="U33" s="197"/>
      <c r="V33" s="346"/>
      <c r="W33" s="486">
        <f>AV10</f>
        <v>0</v>
      </c>
      <c r="X33" s="486"/>
      <c r="Y33" s="487"/>
      <c r="AA33" s="450" t="str">
        <f>IF(AH31&gt;0,"Rajouter des CP réel avant le 31/05/"&amp;YEAR(AF5)+1,"CP réels conformes")</f>
        <v>CP réels conformes</v>
      </c>
      <c r="AB33" s="451"/>
      <c r="AC33" s="451"/>
      <c r="AD33" s="451"/>
      <c r="AE33" s="451"/>
      <c r="AF33" s="451"/>
      <c r="AG33" s="451"/>
      <c r="AH33" s="452"/>
      <c r="AI33" s="198"/>
      <c r="AJ33" s="199"/>
      <c r="AK33" s="199"/>
      <c r="AL33" s="199"/>
      <c r="AM33" s="181" t="str">
        <f t="shared" si="12"/>
        <v/>
      </c>
      <c r="AN33" s="181" t="str">
        <f t="shared" si="13"/>
        <v/>
      </c>
      <c r="AO33" s="181">
        <f t="shared" si="14"/>
        <v>42943</v>
      </c>
      <c r="AP33" s="181" t="str">
        <f t="shared" si="15"/>
        <v/>
      </c>
      <c r="AQ33" s="181" t="str">
        <f t="shared" si="16"/>
        <v/>
      </c>
      <c r="BG33" s="251"/>
      <c r="BH33" s="251"/>
      <c r="BI33" s="251"/>
      <c r="BJ33" s="251"/>
      <c r="BK33" s="251"/>
      <c r="BM33" s="29">
        <v>27</v>
      </c>
      <c r="BN33" s="242">
        <f t="shared" si="8"/>
        <v>42639</v>
      </c>
      <c r="BO33" s="29">
        <f t="shared" si="2"/>
        <v>1</v>
      </c>
      <c r="BP33" s="29">
        <f t="shared" si="1"/>
        <v>0</v>
      </c>
      <c r="BQ33" s="29">
        <f t="shared" si="3"/>
        <v>0</v>
      </c>
      <c r="BR33" s="29">
        <f t="shared" si="9"/>
        <v>19</v>
      </c>
      <c r="BS33" s="243">
        <f t="shared" si="4"/>
        <v>6.9444333333333344E-2</v>
      </c>
      <c r="BT33">
        <f t="shared" si="5"/>
        <v>6.9444333333333344E-2</v>
      </c>
      <c r="BU33" t="str">
        <f t="shared" si="6"/>
        <v>non</v>
      </c>
      <c r="BV33">
        <f t="shared" si="11"/>
        <v>0</v>
      </c>
      <c r="BW33">
        <f t="shared" si="7"/>
        <v>0</v>
      </c>
      <c r="BX33"/>
      <c r="BY33"/>
      <c r="BZ33"/>
      <c r="CA33"/>
      <c r="CB33"/>
      <c r="CC33"/>
      <c r="CD33"/>
    </row>
    <row r="34" spans="1:82" s="171" customFormat="1" ht="15.95" customHeight="1" x14ac:dyDescent="0.25">
      <c r="A34" s="197"/>
      <c r="B34" s="198"/>
      <c r="C34" s="198"/>
      <c r="D34" s="198"/>
      <c r="E34" s="198"/>
      <c r="F34" s="198"/>
      <c r="G34" s="198"/>
      <c r="H34" s="198"/>
      <c r="I34" s="198"/>
      <c r="J34" s="222"/>
      <c r="K34" s="199"/>
      <c r="L34" s="197"/>
      <c r="M34" s="198"/>
      <c r="N34" s="199"/>
      <c r="O34" s="197"/>
      <c r="P34" s="198"/>
      <c r="Q34" s="199"/>
      <c r="R34" s="197"/>
      <c r="S34" s="198"/>
      <c r="T34" s="199"/>
      <c r="U34" s="197"/>
      <c r="V34" s="198"/>
      <c r="W34" s="199"/>
      <c r="X34" s="197"/>
      <c r="Y34" s="229"/>
      <c r="AI34" s="198"/>
      <c r="AJ34" s="404" t="s">
        <v>352</v>
      </c>
      <c r="AK34" s="405" t="s">
        <v>372</v>
      </c>
      <c r="AL34" s="199"/>
      <c r="AM34" s="181" t="str">
        <f t="shared" si="12"/>
        <v/>
      </c>
      <c r="AN34" s="181" t="str">
        <f t="shared" si="13"/>
        <v/>
      </c>
      <c r="AO34" s="181">
        <f t="shared" si="14"/>
        <v>42944</v>
      </c>
      <c r="AP34" s="181" t="str">
        <f t="shared" si="15"/>
        <v/>
      </c>
      <c r="AQ34" s="181" t="str">
        <f t="shared" si="16"/>
        <v/>
      </c>
      <c r="BG34" s="245"/>
      <c r="BH34" s="246"/>
      <c r="BI34" s="256" t="s">
        <v>269</v>
      </c>
      <c r="BJ34" s="257">
        <f>BQ3</f>
        <v>254</v>
      </c>
      <c r="BK34" s="247"/>
      <c r="BM34" s="29">
        <v>28</v>
      </c>
      <c r="BN34" s="242">
        <f t="shared" si="8"/>
        <v>42640</v>
      </c>
      <c r="BO34" s="29">
        <f t="shared" si="2"/>
        <v>0</v>
      </c>
      <c r="BP34" s="29">
        <f t="shared" si="1"/>
        <v>0</v>
      </c>
      <c r="BQ34" s="29">
        <f t="shared" si="3"/>
        <v>1</v>
      </c>
      <c r="BR34" s="29">
        <f t="shared" si="9"/>
        <v>20</v>
      </c>
      <c r="BS34" s="243">
        <f t="shared" si="4"/>
        <v>6.9444333333333344E-2</v>
      </c>
      <c r="BT34">
        <f t="shared" si="5"/>
        <v>6.9444333333333344E-2</v>
      </c>
      <c r="BU34" t="str">
        <f t="shared" si="6"/>
        <v>non</v>
      </c>
      <c r="BV34">
        <f t="shared" si="11"/>
        <v>0</v>
      </c>
      <c r="BW34">
        <f t="shared" si="7"/>
        <v>0</v>
      </c>
      <c r="BX34"/>
      <c r="BY34"/>
      <c r="BZ34"/>
      <c r="CA34"/>
      <c r="CB34"/>
      <c r="CC34"/>
      <c r="CD34"/>
    </row>
    <row r="35" spans="1:82" s="171" customFormat="1" ht="15.95" customHeight="1" x14ac:dyDescent="0.25">
      <c r="J35" s="348" t="str">
        <f>"Nb de CP légaux pris entre le 01/05/"&amp;BG5&amp;" et le 31/08/"&amp;BG5&amp;" :"</f>
        <v>Nb de CP légaux pris entre le 01/05/2021 et le 31/08/2021 :</v>
      </c>
      <c r="K35" s="271"/>
      <c r="L35" s="272"/>
      <c r="M35" s="273"/>
      <c r="N35" s="271"/>
      <c r="O35" s="272"/>
      <c r="P35" s="273"/>
      <c r="Q35" s="271"/>
      <c r="R35" s="272"/>
      <c r="S35" s="273"/>
      <c r="T35" s="271"/>
      <c r="U35" s="272"/>
      <c r="V35" s="273"/>
      <c r="W35" s="481">
        <f>AY10</f>
        <v>0</v>
      </c>
      <c r="X35" s="481"/>
      <c r="Y35" s="482"/>
      <c r="AI35" s="198"/>
      <c r="AJ35" s="392" t="s">
        <v>353</v>
      </c>
      <c r="AK35" s="401" t="s">
        <v>362</v>
      </c>
      <c r="AL35" s="199"/>
      <c r="AM35" s="181" t="str">
        <f t="shared" si="12"/>
        <v/>
      </c>
      <c r="AN35" s="181" t="str">
        <f t="shared" si="13"/>
        <v/>
      </c>
      <c r="AO35" s="181">
        <f t="shared" si="14"/>
        <v>42945</v>
      </c>
      <c r="AP35" s="181" t="str">
        <f t="shared" si="15"/>
        <v/>
      </c>
      <c r="AQ35" s="181" t="str">
        <f t="shared" si="16"/>
        <v/>
      </c>
      <c r="BG35" s="248"/>
      <c r="BH35"/>
      <c r="BI35" s="256" t="s">
        <v>267</v>
      </c>
      <c r="BJ35" s="257">
        <f>IF(BJ29="o",BQ3,BQ3-BT3)</f>
        <v>229.00003999999993</v>
      </c>
      <c r="BK35" s="252"/>
      <c r="BM35" s="29">
        <v>29</v>
      </c>
      <c r="BN35" s="242">
        <f t="shared" si="8"/>
        <v>42641</v>
      </c>
      <c r="BO35" s="29">
        <f t="shared" si="2"/>
        <v>0</v>
      </c>
      <c r="BP35" s="29">
        <f t="shared" si="1"/>
        <v>0</v>
      </c>
      <c r="BQ35" s="29">
        <f t="shared" si="3"/>
        <v>1</v>
      </c>
      <c r="BR35" s="29">
        <f t="shared" si="9"/>
        <v>21</v>
      </c>
      <c r="BS35" s="243">
        <f t="shared" si="4"/>
        <v>6.9444333333333344E-2</v>
      </c>
      <c r="BT35">
        <f t="shared" si="5"/>
        <v>6.9444333333333344E-2</v>
      </c>
      <c r="BU35" t="str">
        <f t="shared" si="6"/>
        <v>non</v>
      </c>
      <c r="BV35">
        <f t="shared" si="11"/>
        <v>0</v>
      </c>
      <c r="BW35">
        <f t="shared" si="7"/>
        <v>0</v>
      </c>
      <c r="BX35"/>
      <c r="BY35"/>
      <c r="BZ35"/>
      <c r="CA35"/>
      <c r="CB35"/>
      <c r="CC35"/>
      <c r="CD35"/>
    </row>
    <row r="36" spans="1:82" s="171" customFormat="1" ht="15.95" customHeight="1" x14ac:dyDescent="0.25">
      <c r="J36" s="235"/>
      <c r="K36" s="236"/>
      <c r="L36" s="237"/>
      <c r="M36" s="238"/>
      <c r="N36" s="236"/>
      <c r="O36" s="237"/>
      <c r="P36" s="238"/>
      <c r="Q36" s="236"/>
      <c r="R36" s="237"/>
      <c r="S36" s="238"/>
      <c r="T36" s="236"/>
      <c r="U36" s="237"/>
      <c r="V36" s="238"/>
      <c r="W36" s="236"/>
      <c r="X36" s="237"/>
      <c r="Y36" s="239"/>
      <c r="AI36" s="198"/>
      <c r="AJ36" s="393" t="s">
        <v>355</v>
      </c>
      <c r="AK36" s="401" t="s">
        <v>375</v>
      </c>
      <c r="AL36" s="199"/>
      <c r="AM36" s="181" t="str">
        <f t="shared" si="12"/>
        <v/>
      </c>
      <c r="AN36" s="181" t="str">
        <f t="shared" si="13"/>
        <v/>
      </c>
      <c r="AO36" s="181">
        <f t="shared" si="14"/>
        <v>42946</v>
      </c>
      <c r="AP36" s="181" t="str">
        <f t="shared" si="15"/>
        <v/>
      </c>
      <c r="AQ36" s="181" t="str">
        <f t="shared" si="16"/>
        <v/>
      </c>
      <c r="BG36" s="248"/>
      <c r="BH36" s="251"/>
      <c r="BI36" s="249" t="s">
        <v>268</v>
      </c>
      <c r="BJ36" s="255">
        <f>(BJ30/BR3*BQ3)</f>
        <v>0</v>
      </c>
      <c r="BK36" s="252"/>
      <c r="BM36" s="29">
        <v>30</v>
      </c>
      <c r="BN36" s="242">
        <f t="shared" si="8"/>
        <v>42642</v>
      </c>
      <c r="BO36" s="29">
        <f t="shared" si="2"/>
        <v>0</v>
      </c>
      <c r="BP36" s="29">
        <f t="shared" si="1"/>
        <v>0</v>
      </c>
      <c r="BQ36" s="29">
        <f t="shared" si="3"/>
        <v>1</v>
      </c>
      <c r="BR36" s="29">
        <f t="shared" si="9"/>
        <v>22</v>
      </c>
      <c r="BS36" s="243">
        <f t="shared" si="4"/>
        <v>6.9444333333333344E-2</v>
      </c>
      <c r="BT36">
        <f t="shared" si="5"/>
        <v>6.9444333333333344E-2</v>
      </c>
      <c r="BU36" t="str">
        <f t="shared" si="6"/>
        <v>non</v>
      </c>
      <c r="BV36">
        <f t="shared" si="11"/>
        <v>0</v>
      </c>
      <c r="BW36">
        <f t="shared" si="7"/>
        <v>0</v>
      </c>
      <c r="BX36"/>
      <c r="BY36"/>
      <c r="BZ36"/>
      <c r="CA36"/>
      <c r="CB36"/>
      <c r="CC36"/>
      <c r="CD36"/>
    </row>
    <row r="37" spans="1:82" s="171" customFormat="1" ht="15.95" customHeight="1" x14ac:dyDescent="0.25">
      <c r="AA37" s="607" t="s">
        <v>378</v>
      </c>
      <c r="AB37" s="608"/>
      <c r="AC37" s="608"/>
      <c r="AD37" s="608"/>
      <c r="AE37" s="608"/>
      <c r="AF37" s="608"/>
      <c r="AG37" s="608"/>
      <c r="AH37" s="608"/>
      <c r="AI37" s="609"/>
      <c r="AJ37" s="393" t="s">
        <v>356</v>
      </c>
      <c r="AK37" s="401" t="s">
        <v>375</v>
      </c>
      <c r="AL37" s="199"/>
      <c r="AM37" s="181" t="str">
        <f t="shared" si="12"/>
        <v/>
      </c>
      <c r="AN37" s="181" t="str">
        <f t="shared" si="13"/>
        <v/>
      </c>
      <c r="AO37" s="181">
        <f t="shared" si="14"/>
        <v>42947</v>
      </c>
      <c r="AP37" s="181" t="str">
        <f t="shared" si="15"/>
        <v/>
      </c>
      <c r="AQ37" s="181" t="str">
        <f t="shared" si="16"/>
        <v/>
      </c>
      <c r="BG37" s="248"/>
      <c r="BH37" s="251"/>
      <c r="BI37" s="251"/>
      <c r="BJ37" s="251"/>
      <c r="BK37" s="252"/>
      <c r="BM37" s="29">
        <v>31</v>
      </c>
      <c r="BN37" s="242">
        <f t="shared" si="8"/>
        <v>42643</v>
      </c>
      <c r="BO37" s="29">
        <f t="shared" si="2"/>
        <v>0</v>
      </c>
      <c r="BP37" s="29">
        <f t="shared" si="1"/>
        <v>0</v>
      </c>
      <c r="BQ37" s="29">
        <f t="shared" si="3"/>
        <v>1</v>
      </c>
      <c r="BR37" s="29">
        <f t="shared" si="9"/>
        <v>23</v>
      </c>
      <c r="BS37" s="243">
        <f t="shared" si="4"/>
        <v>6.7204193548387095E-2</v>
      </c>
      <c r="BT37">
        <f t="shared" si="5"/>
        <v>6.7204193548387095E-2</v>
      </c>
      <c r="BU37" t="str">
        <f t="shared" si="6"/>
        <v>ok</v>
      </c>
      <c r="BV37">
        <f t="shared" si="11"/>
        <v>0</v>
      </c>
      <c r="BW37">
        <f t="shared" si="7"/>
        <v>0</v>
      </c>
      <c r="BX37"/>
      <c r="BY37"/>
      <c r="BZ37"/>
      <c r="CA37"/>
      <c r="CB37"/>
      <c r="CC37"/>
      <c r="CD37"/>
    </row>
    <row r="38" spans="1:82" s="171" customFormat="1" ht="15.95" customHeight="1" x14ac:dyDescent="0.25">
      <c r="AA38" s="601" t="str">
        <f>IF(ISNA(VLOOKUP(Paramétrage!S7,tab_phaute,2,FALSE)),"",VLOOKUP(Paramétrage!S7,tab_phaute,2,FALSE))</f>
        <v/>
      </c>
      <c r="AB38" s="602"/>
      <c r="AC38" s="602"/>
      <c r="AD38" s="602"/>
      <c r="AE38" s="602"/>
      <c r="AF38" s="602"/>
      <c r="AG38" s="602"/>
      <c r="AH38" s="602"/>
      <c r="AI38" s="603"/>
      <c r="AJ38" s="393" t="s">
        <v>357</v>
      </c>
      <c r="AK38" s="401" t="s">
        <v>375</v>
      </c>
      <c r="AL38" s="199"/>
      <c r="AM38" s="181" t="str">
        <f t="shared" si="12"/>
        <v/>
      </c>
      <c r="AN38" s="181" t="str">
        <f t="shared" si="13"/>
        <v/>
      </c>
      <c r="AO38" s="181">
        <f t="shared" si="14"/>
        <v>42948</v>
      </c>
      <c r="AP38" s="181" t="str">
        <f t="shared" si="15"/>
        <v/>
      </c>
      <c r="AQ38" s="181" t="str">
        <f t="shared" si="16"/>
        <v/>
      </c>
      <c r="BG38" s="248"/>
      <c r="BH38" s="251"/>
      <c r="BI38" s="249" t="str">
        <f>IF(BK29="o","Nb de CP payé en fin de contrat :","Nb de CP à prendre :")</f>
        <v>Nb de CP à prendre :</v>
      </c>
      <c r="BJ38" s="258">
        <f>IF(BK29="o",BT3,ROUNDUP(BT3,0))</f>
        <v>25</v>
      </c>
      <c r="BK38" s="252"/>
      <c r="BM38" s="29">
        <v>32</v>
      </c>
      <c r="BN38" s="242">
        <f t="shared" si="8"/>
        <v>42644</v>
      </c>
      <c r="BO38" s="29">
        <f t="shared" si="2"/>
        <v>0</v>
      </c>
      <c r="BP38" s="29">
        <f t="shared" si="1"/>
        <v>0</v>
      </c>
      <c r="BQ38" s="29">
        <f t="shared" si="3"/>
        <v>1</v>
      </c>
      <c r="BR38" s="29">
        <f t="shared" si="9"/>
        <v>24</v>
      </c>
      <c r="BS38" s="243">
        <f t="shared" si="4"/>
        <v>6.7204193548387095E-2</v>
      </c>
      <c r="BT38">
        <f t="shared" si="5"/>
        <v>6.7204193548387095E-2</v>
      </c>
      <c r="BU38" t="str">
        <f t="shared" si="6"/>
        <v>ok</v>
      </c>
      <c r="BV38">
        <f t="shared" si="11"/>
        <v>0</v>
      </c>
      <c r="BW38">
        <f t="shared" si="7"/>
        <v>0</v>
      </c>
      <c r="BX38"/>
      <c r="BY38"/>
      <c r="BZ38"/>
      <c r="CA38"/>
      <c r="CB38"/>
      <c r="CC38"/>
      <c r="CD38"/>
    </row>
    <row r="39" spans="1:82" s="171" customFormat="1" ht="15.95" customHeight="1" x14ac:dyDescent="0.25">
      <c r="M39" s="661" t="s">
        <v>290</v>
      </c>
      <c r="N39" s="661"/>
      <c r="O39" s="661"/>
      <c r="P39" s="661"/>
      <c r="Q39" s="661"/>
      <c r="R39" s="661"/>
      <c r="S39" s="661"/>
      <c r="T39" s="661"/>
      <c r="U39" s="661"/>
      <c r="V39" s="661"/>
      <c r="W39" s="661"/>
      <c r="AA39" s="601"/>
      <c r="AB39" s="602"/>
      <c r="AC39" s="602"/>
      <c r="AD39" s="602"/>
      <c r="AE39" s="602"/>
      <c r="AF39" s="602"/>
      <c r="AG39" s="602"/>
      <c r="AH39" s="602"/>
      <c r="AI39" s="603"/>
      <c r="AJ39" s="393" t="s">
        <v>358</v>
      </c>
      <c r="AK39" s="401" t="s">
        <v>375</v>
      </c>
      <c r="AL39" s="199"/>
      <c r="AM39" s="181" t="str">
        <f t="shared" si="12"/>
        <v/>
      </c>
      <c r="AN39" s="181" t="str">
        <f t="shared" si="13"/>
        <v/>
      </c>
      <c r="AO39" s="181">
        <f t="shared" si="14"/>
        <v>42949</v>
      </c>
      <c r="AP39" s="181" t="str">
        <f t="shared" si="15"/>
        <v/>
      </c>
      <c r="AQ39" s="181" t="str">
        <f t="shared" si="16"/>
        <v/>
      </c>
      <c r="BG39" s="248"/>
      <c r="BH39" s="251"/>
      <c r="BI39" s="249" t="str">
        <f>IF(BK29="o","Nb de JC payé en fin de contrat :","Nb de JC à prendre :")</f>
        <v>Nb de JC à prendre :</v>
      </c>
      <c r="BJ39" s="258">
        <f>IF(BK29="o",BW3,ROUNDUP(BW3,0))</f>
        <v>0</v>
      </c>
      <c r="BK39" s="252"/>
      <c r="BM39" s="29">
        <v>33</v>
      </c>
      <c r="BN39" s="242">
        <f t="shared" si="8"/>
        <v>42645</v>
      </c>
      <c r="BO39" s="29">
        <f t="shared" si="2"/>
        <v>1</v>
      </c>
      <c r="BP39" s="29">
        <f t="shared" si="1"/>
        <v>0</v>
      </c>
      <c r="BQ39" s="29">
        <f t="shared" si="3"/>
        <v>0</v>
      </c>
      <c r="BR39" s="29">
        <f t="shared" si="9"/>
        <v>24</v>
      </c>
      <c r="BS39" s="243">
        <f t="shared" si="4"/>
        <v>6.7204193548387095E-2</v>
      </c>
      <c r="BT39">
        <f t="shared" si="5"/>
        <v>6.7204193548387095E-2</v>
      </c>
      <c r="BU39" t="str">
        <f t="shared" si="6"/>
        <v>ok</v>
      </c>
      <c r="BV39">
        <f t="shared" si="11"/>
        <v>0</v>
      </c>
      <c r="BW39">
        <f t="shared" si="7"/>
        <v>0</v>
      </c>
      <c r="BX39"/>
      <c r="BY39"/>
      <c r="BZ39"/>
      <c r="CA39"/>
      <c r="CB39"/>
      <c r="CC39"/>
      <c r="CD39"/>
    </row>
    <row r="40" spans="1:82" s="171" customFormat="1" ht="15.95" customHeight="1" thickBot="1" x14ac:dyDescent="0.3">
      <c r="N40" s="279"/>
      <c r="O40" s="279"/>
      <c r="P40" s="279"/>
      <c r="Q40" s="279"/>
      <c r="R40" s="279"/>
      <c r="S40" s="279"/>
      <c r="T40" s="279"/>
      <c r="AA40" s="601"/>
      <c r="AB40" s="602"/>
      <c r="AC40" s="602"/>
      <c r="AD40" s="602"/>
      <c r="AE40" s="602"/>
      <c r="AF40" s="602"/>
      <c r="AG40" s="602"/>
      <c r="AH40" s="602"/>
      <c r="AI40" s="603"/>
      <c r="AJ40" s="393" t="s">
        <v>354</v>
      </c>
      <c r="AK40" s="401" t="s">
        <v>377</v>
      </c>
      <c r="AL40" s="199"/>
      <c r="AM40" s="181" t="str">
        <f t="shared" si="12"/>
        <v/>
      </c>
      <c r="AN40" s="181" t="str">
        <f t="shared" si="13"/>
        <v/>
      </c>
      <c r="AO40" s="181">
        <f t="shared" si="14"/>
        <v>42950</v>
      </c>
      <c r="AP40" s="181" t="str">
        <f t="shared" si="15"/>
        <v/>
      </c>
      <c r="AQ40" s="181" t="str">
        <f t="shared" si="16"/>
        <v/>
      </c>
      <c r="BG40" s="259"/>
      <c r="BH40" s="260"/>
      <c r="BI40" s="260"/>
      <c r="BJ40" s="260"/>
      <c r="BK40" s="261"/>
      <c r="BM40" s="29">
        <v>34</v>
      </c>
      <c r="BN40" s="242">
        <f t="shared" si="8"/>
        <v>42646</v>
      </c>
      <c r="BO40" s="29">
        <f t="shared" si="2"/>
        <v>1</v>
      </c>
      <c r="BP40" s="29">
        <f t="shared" si="1"/>
        <v>0</v>
      </c>
      <c r="BQ40" s="29">
        <f t="shared" si="3"/>
        <v>0</v>
      </c>
      <c r="BR40" s="29">
        <f t="shared" si="9"/>
        <v>24</v>
      </c>
      <c r="BS40" s="243">
        <f t="shared" si="4"/>
        <v>6.7204193548387095E-2</v>
      </c>
      <c r="BT40">
        <f t="shared" si="5"/>
        <v>6.7204193548387095E-2</v>
      </c>
      <c r="BU40" t="str">
        <f t="shared" si="6"/>
        <v>ok</v>
      </c>
      <c r="BV40">
        <f t="shared" si="11"/>
        <v>0</v>
      </c>
      <c r="BW40">
        <f t="shared" si="7"/>
        <v>0</v>
      </c>
      <c r="BX40"/>
      <c r="BY40"/>
      <c r="BZ40"/>
      <c r="CA40"/>
      <c r="CB40"/>
      <c r="CC40"/>
      <c r="CD40"/>
    </row>
    <row r="41" spans="1:82" s="171" customFormat="1" ht="15.95" customHeight="1" thickBot="1" x14ac:dyDescent="0.3">
      <c r="N41" s="279"/>
      <c r="O41" s="440" t="s">
        <v>17</v>
      </c>
      <c r="P41" s="441"/>
      <c r="Q41" s="289" t="s">
        <v>18</v>
      </c>
      <c r="R41" s="440" t="s">
        <v>17</v>
      </c>
      <c r="S41" s="441"/>
      <c r="T41" s="289" t="s">
        <v>18</v>
      </c>
      <c r="U41" s="440" t="s">
        <v>17</v>
      </c>
      <c r="V41" s="441"/>
      <c r="W41" s="289" t="s">
        <v>18</v>
      </c>
      <c r="AA41" s="601"/>
      <c r="AB41" s="602"/>
      <c r="AC41" s="602"/>
      <c r="AD41" s="602"/>
      <c r="AE41" s="602"/>
      <c r="AF41" s="602"/>
      <c r="AG41" s="602"/>
      <c r="AH41" s="602"/>
      <c r="AI41" s="603"/>
      <c r="AJ41" s="410" t="s">
        <v>368</v>
      </c>
      <c r="AK41" s="401" t="s">
        <v>369</v>
      </c>
      <c r="AL41" s="199"/>
      <c r="AM41" s="181" t="str">
        <f t="shared" si="12"/>
        <v/>
      </c>
      <c r="AN41" s="181" t="str">
        <f t="shared" si="13"/>
        <v/>
      </c>
      <c r="AO41" s="181">
        <f t="shared" si="14"/>
        <v>42951</v>
      </c>
      <c r="AP41" s="181" t="str">
        <f t="shared" si="15"/>
        <v/>
      </c>
      <c r="AQ41" s="181" t="str">
        <f t="shared" si="16"/>
        <v/>
      </c>
      <c r="BM41" s="29">
        <v>35</v>
      </c>
      <c r="BN41" s="242">
        <f t="shared" si="8"/>
        <v>42647</v>
      </c>
      <c r="BO41" s="29">
        <f t="shared" si="2"/>
        <v>0</v>
      </c>
      <c r="BP41" s="29">
        <f t="shared" si="1"/>
        <v>0</v>
      </c>
      <c r="BQ41" s="29">
        <f t="shared" si="3"/>
        <v>1</v>
      </c>
      <c r="BR41" s="29">
        <f t="shared" si="9"/>
        <v>25</v>
      </c>
      <c r="BS41" s="243">
        <f t="shared" si="4"/>
        <v>6.7204193548387095E-2</v>
      </c>
      <c r="BT41">
        <f t="shared" si="5"/>
        <v>6.7204193548387095E-2</v>
      </c>
      <c r="BU41" t="str">
        <f t="shared" si="6"/>
        <v>ok</v>
      </c>
      <c r="BV41">
        <f t="shared" si="11"/>
        <v>0</v>
      </c>
      <c r="BW41">
        <f t="shared" si="7"/>
        <v>0</v>
      </c>
      <c r="BX41"/>
      <c r="BY41"/>
      <c r="BZ41"/>
      <c r="CA41"/>
      <c r="CB41"/>
      <c r="CC41"/>
      <c r="CD41"/>
    </row>
    <row r="42" spans="1:82" s="171" customFormat="1" ht="15.95" customHeight="1" x14ac:dyDescent="0.25">
      <c r="M42" s="442" t="s">
        <v>291</v>
      </c>
      <c r="N42" s="443"/>
      <c r="O42" s="444"/>
      <c r="P42" s="445"/>
      <c r="Q42" s="349"/>
      <c r="R42" s="444"/>
      <c r="S42" s="445"/>
      <c r="T42" s="349"/>
      <c r="U42" s="444"/>
      <c r="V42" s="445"/>
      <c r="W42" s="349"/>
      <c r="AA42" s="601"/>
      <c r="AB42" s="602"/>
      <c r="AC42" s="602"/>
      <c r="AD42" s="602"/>
      <c r="AE42" s="602"/>
      <c r="AF42" s="602"/>
      <c r="AG42" s="602"/>
      <c r="AH42" s="602"/>
      <c r="AI42" s="603"/>
      <c r="AJ42" s="402" t="s">
        <v>359</v>
      </c>
      <c r="AK42" s="403" t="s">
        <v>370</v>
      </c>
      <c r="AL42" s="199"/>
      <c r="AM42" s="181" t="str">
        <f t="shared" si="12"/>
        <v/>
      </c>
      <c r="AN42" s="181" t="str">
        <f t="shared" si="13"/>
        <v/>
      </c>
      <c r="AO42" s="181">
        <f t="shared" si="14"/>
        <v>42952</v>
      </c>
      <c r="AP42" s="181" t="str">
        <f t="shared" si="15"/>
        <v/>
      </c>
      <c r="AQ42" s="181" t="str">
        <f t="shared" si="16"/>
        <v/>
      </c>
      <c r="BM42" s="29">
        <v>36</v>
      </c>
      <c r="BN42" s="242">
        <f t="shared" si="8"/>
        <v>42648</v>
      </c>
      <c r="BO42" s="29">
        <f t="shared" si="2"/>
        <v>0</v>
      </c>
      <c r="BP42" s="29">
        <f t="shared" si="1"/>
        <v>0</v>
      </c>
      <c r="BQ42" s="29">
        <f t="shared" si="3"/>
        <v>1</v>
      </c>
      <c r="BR42" s="29">
        <f t="shared" si="9"/>
        <v>26</v>
      </c>
      <c r="BS42" s="243">
        <f t="shared" si="4"/>
        <v>6.7204193548387095E-2</v>
      </c>
      <c r="BT42">
        <f t="shared" si="5"/>
        <v>6.7204193548387095E-2</v>
      </c>
      <c r="BU42" t="str">
        <f t="shared" si="6"/>
        <v>ok</v>
      </c>
      <c r="BV42">
        <f t="shared" si="11"/>
        <v>0</v>
      </c>
      <c r="BW42">
        <f t="shared" si="7"/>
        <v>0</v>
      </c>
      <c r="BX42"/>
      <c r="BY42"/>
      <c r="BZ42"/>
      <c r="CA42"/>
      <c r="CB42"/>
      <c r="CC42"/>
      <c r="CD42"/>
    </row>
    <row r="43" spans="1:82" ht="15.95" customHeight="1" x14ac:dyDescent="0.25">
      <c r="M43" s="446" t="s">
        <v>292</v>
      </c>
      <c r="N43" s="447"/>
      <c r="O43" s="448"/>
      <c r="P43" s="449"/>
      <c r="Q43" s="350"/>
      <c r="R43" s="438"/>
      <c r="S43" s="439"/>
      <c r="T43" s="350"/>
      <c r="U43" s="438"/>
      <c r="V43" s="439"/>
      <c r="W43" s="350"/>
      <c r="AA43" s="604"/>
      <c r="AB43" s="605"/>
      <c r="AC43" s="605"/>
      <c r="AD43" s="605"/>
      <c r="AE43" s="605"/>
      <c r="AF43" s="605"/>
      <c r="AG43" s="605"/>
      <c r="AH43" s="605"/>
      <c r="AI43" s="606"/>
      <c r="AJ43" s="392" t="s">
        <v>352</v>
      </c>
      <c r="AK43" s="401" t="s">
        <v>373</v>
      </c>
      <c r="AL43" s="90"/>
      <c r="AM43" s="81" t="str">
        <f t="shared" si="12"/>
        <v/>
      </c>
      <c r="AN43" s="81" t="str">
        <f t="shared" si="13"/>
        <v/>
      </c>
      <c r="AO43" s="81">
        <f t="shared" si="14"/>
        <v>42953</v>
      </c>
      <c r="AP43" s="81" t="str">
        <f t="shared" si="15"/>
        <v/>
      </c>
      <c r="AQ43" s="81" t="str">
        <f t="shared" si="16"/>
        <v/>
      </c>
      <c r="BM43" s="29">
        <v>37</v>
      </c>
      <c r="BN43" s="242">
        <f t="shared" si="8"/>
        <v>42649</v>
      </c>
      <c r="BO43" s="29">
        <f t="shared" si="2"/>
        <v>0</v>
      </c>
      <c r="BP43" s="29">
        <f t="shared" si="1"/>
        <v>0</v>
      </c>
      <c r="BQ43" s="29">
        <f t="shared" si="3"/>
        <v>1</v>
      </c>
      <c r="BR43" s="29">
        <f t="shared" si="9"/>
        <v>27</v>
      </c>
      <c r="BS43" s="243">
        <f t="shared" si="4"/>
        <v>6.7204193548387095E-2</v>
      </c>
      <c r="BT43">
        <f t="shared" si="5"/>
        <v>6.7204193548387095E-2</v>
      </c>
      <c r="BU43" t="str">
        <f t="shared" si="6"/>
        <v>ok</v>
      </c>
      <c r="BV43">
        <f t="shared" si="11"/>
        <v>0</v>
      </c>
      <c r="BW43">
        <f t="shared" si="7"/>
        <v>0</v>
      </c>
    </row>
    <row r="44" spans="1:82" ht="14.1" customHeight="1" x14ac:dyDescent="0.25">
      <c r="M44" s="446" t="s">
        <v>293</v>
      </c>
      <c r="N44" s="447"/>
      <c r="O44" s="448"/>
      <c r="P44" s="449"/>
      <c r="Q44" s="350"/>
      <c r="R44" s="438"/>
      <c r="S44" s="439"/>
      <c r="T44" s="350"/>
      <c r="U44" s="438"/>
      <c r="V44" s="439"/>
      <c r="W44" s="350"/>
      <c r="AA44" s="607" t="s">
        <v>379</v>
      </c>
      <c r="AB44" s="608"/>
      <c r="AC44" s="608"/>
      <c r="AD44" s="608"/>
      <c r="AE44" s="608"/>
      <c r="AF44" s="608"/>
      <c r="AG44" s="608"/>
      <c r="AH44" s="608"/>
      <c r="AI44" s="609"/>
      <c r="AJ44" s="392" t="s">
        <v>353</v>
      </c>
      <c r="AK44" s="401" t="s">
        <v>363</v>
      </c>
      <c r="AL44" s="90"/>
      <c r="AM44" s="81" t="str">
        <f t="shared" si="12"/>
        <v/>
      </c>
      <c r="AN44" s="81" t="str">
        <f t="shared" si="13"/>
        <v/>
      </c>
      <c r="AO44" s="81">
        <f t="shared" si="14"/>
        <v>42954</v>
      </c>
      <c r="AP44" s="81" t="str">
        <f t="shared" si="15"/>
        <v/>
      </c>
      <c r="AQ44" s="81" t="str">
        <f t="shared" si="16"/>
        <v/>
      </c>
      <c r="BM44" s="29">
        <v>38</v>
      </c>
      <c r="BN44" s="242">
        <f t="shared" si="8"/>
        <v>42650</v>
      </c>
      <c r="BO44" s="29">
        <f t="shared" si="2"/>
        <v>0</v>
      </c>
      <c r="BP44" s="29">
        <f t="shared" si="1"/>
        <v>0</v>
      </c>
      <c r="BQ44" s="29">
        <f t="shared" si="3"/>
        <v>1</v>
      </c>
      <c r="BR44" s="29">
        <f t="shared" si="9"/>
        <v>28</v>
      </c>
      <c r="BS44" s="243">
        <f t="shared" si="4"/>
        <v>6.7204193548387095E-2</v>
      </c>
      <c r="BT44">
        <f t="shared" si="5"/>
        <v>6.7204193548387095E-2</v>
      </c>
      <c r="BU44" t="str">
        <f t="shared" si="6"/>
        <v>ok</v>
      </c>
      <c r="BV44">
        <f t="shared" si="11"/>
        <v>0</v>
      </c>
      <c r="BW44">
        <f t="shared" si="7"/>
        <v>0</v>
      </c>
    </row>
    <row r="45" spans="1:82" ht="14.1" customHeight="1" x14ac:dyDescent="0.25">
      <c r="M45" s="446" t="s">
        <v>294</v>
      </c>
      <c r="N45" s="447"/>
      <c r="O45" s="438"/>
      <c r="P45" s="439"/>
      <c r="Q45" s="350"/>
      <c r="R45" s="438"/>
      <c r="S45" s="439"/>
      <c r="T45" s="350"/>
      <c r="U45" s="438"/>
      <c r="V45" s="439"/>
      <c r="W45" s="350"/>
      <c r="X45" s="90"/>
      <c r="Y45" s="88"/>
      <c r="AA45" s="601" t="str">
        <f>IF(ISNA(VLOOKUP(Paramétrage!S7,tab_pbasse,2,FALSE)),"",VLOOKUP(Paramétrage!S7,tab_pbasse,2,FALSE))</f>
        <v/>
      </c>
      <c r="AB45" s="602"/>
      <c r="AC45" s="602"/>
      <c r="AD45" s="602"/>
      <c r="AE45" s="602"/>
      <c r="AF45" s="602"/>
      <c r="AG45" s="602"/>
      <c r="AH45" s="602"/>
      <c r="AI45" s="603"/>
      <c r="AJ45" s="393" t="s">
        <v>355</v>
      </c>
      <c r="AK45" s="401" t="s">
        <v>374</v>
      </c>
      <c r="AL45" s="90"/>
      <c r="AM45" s="81" t="str">
        <f t="shared" si="12"/>
        <v/>
      </c>
      <c r="AN45" s="81" t="str">
        <f t="shared" si="13"/>
        <v/>
      </c>
      <c r="AO45" s="81">
        <f t="shared" si="14"/>
        <v>42955</v>
      </c>
      <c r="AP45" s="81" t="str">
        <f t="shared" si="15"/>
        <v/>
      </c>
      <c r="AQ45" s="81" t="str">
        <f t="shared" si="16"/>
        <v/>
      </c>
      <c r="BM45" s="29">
        <v>39</v>
      </c>
      <c r="BN45" s="242">
        <f t="shared" si="8"/>
        <v>42651</v>
      </c>
      <c r="BO45" s="29">
        <f t="shared" si="2"/>
        <v>0</v>
      </c>
      <c r="BP45" s="29">
        <f t="shared" si="1"/>
        <v>0</v>
      </c>
      <c r="BQ45" s="29">
        <f t="shared" si="3"/>
        <v>1</v>
      </c>
      <c r="BR45" s="29">
        <f t="shared" si="9"/>
        <v>29</v>
      </c>
      <c r="BS45" s="243">
        <f t="shared" si="4"/>
        <v>6.7204193548387095E-2</v>
      </c>
      <c r="BT45">
        <f t="shared" si="5"/>
        <v>6.7204193548387095E-2</v>
      </c>
      <c r="BU45" t="str">
        <f t="shared" si="6"/>
        <v>ok</v>
      </c>
      <c r="BV45">
        <f t="shared" si="11"/>
        <v>0</v>
      </c>
      <c r="BW45">
        <f t="shared" si="7"/>
        <v>0</v>
      </c>
    </row>
    <row r="46" spans="1:82" ht="14.1" customHeight="1" x14ac:dyDescent="0.25">
      <c r="M46" s="446" t="s">
        <v>295</v>
      </c>
      <c r="N46" s="447"/>
      <c r="O46" s="438"/>
      <c r="P46" s="439"/>
      <c r="Q46" s="350"/>
      <c r="R46" s="438"/>
      <c r="S46" s="439"/>
      <c r="T46" s="350"/>
      <c r="U46" s="438"/>
      <c r="V46" s="439"/>
      <c r="W46" s="350"/>
      <c r="AA46" s="601"/>
      <c r="AB46" s="602"/>
      <c r="AC46" s="602"/>
      <c r="AD46" s="602"/>
      <c r="AE46" s="602"/>
      <c r="AF46" s="602"/>
      <c r="AG46" s="602"/>
      <c r="AH46" s="602"/>
      <c r="AI46" s="603"/>
      <c r="AJ46" s="393" t="s">
        <v>356</v>
      </c>
      <c r="AK46" s="401" t="s">
        <v>374</v>
      </c>
      <c r="AL46" s="90"/>
      <c r="AM46" s="81" t="str">
        <f t="shared" si="12"/>
        <v/>
      </c>
      <c r="AN46" s="81" t="str">
        <f t="shared" si="13"/>
        <v/>
      </c>
      <c r="AO46" s="81">
        <f t="shared" si="14"/>
        <v>42956</v>
      </c>
      <c r="AP46" s="81" t="str">
        <f t="shared" si="15"/>
        <v/>
      </c>
      <c r="AQ46" s="81" t="str">
        <f t="shared" si="16"/>
        <v/>
      </c>
      <c r="BM46" s="29">
        <v>40</v>
      </c>
      <c r="BN46" s="242">
        <f t="shared" si="8"/>
        <v>42652</v>
      </c>
      <c r="BO46" s="29">
        <f t="shared" si="2"/>
        <v>1</v>
      </c>
      <c r="BP46" s="29">
        <f t="shared" si="1"/>
        <v>0</v>
      </c>
      <c r="BQ46" s="29">
        <f t="shared" si="3"/>
        <v>0</v>
      </c>
      <c r="BR46" s="29">
        <f t="shared" si="9"/>
        <v>29</v>
      </c>
      <c r="BS46" s="243">
        <f t="shared" si="4"/>
        <v>6.7204193548387095E-2</v>
      </c>
      <c r="BT46">
        <f t="shared" si="5"/>
        <v>6.7204193548387095E-2</v>
      </c>
      <c r="BU46" t="str">
        <f t="shared" si="6"/>
        <v>ok</v>
      </c>
      <c r="BV46">
        <f t="shared" si="11"/>
        <v>0</v>
      </c>
      <c r="BW46">
        <f t="shared" si="7"/>
        <v>0</v>
      </c>
    </row>
    <row r="47" spans="1:82" ht="14.1" customHeight="1" x14ac:dyDescent="0.25">
      <c r="M47" s="446" t="s">
        <v>296</v>
      </c>
      <c r="N47" s="447"/>
      <c r="O47" s="438"/>
      <c r="P47" s="439"/>
      <c r="Q47" s="350"/>
      <c r="R47" s="438"/>
      <c r="S47" s="439"/>
      <c r="T47" s="350"/>
      <c r="U47" s="438"/>
      <c r="V47" s="439"/>
      <c r="W47" s="350"/>
      <c r="AA47" s="601"/>
      <c r="AB47" s="602"/>
      <c r="AC47" s="602"/>
      <c r="AD47" s="602"/>
      <c r="AE47" s="602"/>
      <c r="AF47" s="602"/>
      <c r="AG47" s="602"/>
      <c r="AH47" s="602"/>
      <c r="AI47" s="603"/>
      <c r="AJ47" s="393" t="s">
        <v>357</v>
      </c>
      <c r="AK47" s="401" t="s">
        <v>374</v>
      </c>
      <c r="AL47" s="90"/>
      <c r="AM47" s="81" t="str">
        <f t="shared" si="12"/>
        <v/>
      </c>
      <c r="AN47" s="81" t="str">
        <f t="shared" si="13"/>
        <v/>
      </c>
      <c r="AO47" s="81">
        <f t="shared" si="14"/>
        <v>42957</v>
      </c>
      <c r="AP47" s="81" t="str">
        <f t="shared" si="15"/>
        <v/>
      </c>
      <c r="AQ47" s="81" t="str">
        <f t="shared" si="16"/>
        <v/>
      </c>
      <c r="BM47" s="29">
        <v>41</v>
      </c>
      <c r="BN47" s="242">
        <f t="shared" si="8"/>
        <v>42653</v>
      </c>
      <c r="BO47" s="29">
        <f t="shared" si="2"/>
        <v>1</v>
      </c>
      <c r="BP47" s="29">
        <f t="shared" si="1"/>
        <v>0</v>
      </c>
      <c r="BQ47" s="29">
        <f t="shared" si="3"/>
        <v>0</v>
      </c>
      <c r="BR47" s="29">
        <f t="shared" si="9"/>
        <v>29</v>
      </c>
      <c r="BS47" s="243">
        <f t="shared" si="4"/>
        <v>6.7204193548387095E-2</v>
      </c>
      <c r="BT47">
        <f t="shared" si="5"/>
        <v>6.7204193548387095E-2</v>
      </c>
      <c r="BU47" t="str">
        <f t="shared" si="6"/>
        <v>ok</v>
      </c>
      <c r="BV47">
        <f t="shared" si="11"/>
        <v>0</v>
      </c>
      <c r="BW47">
        <f t="shared" si="7"/>
        <v>0</v>
      </c>
    </row>
    <row r="48" spans="1:82" ht="14.1" customHeight="1" thickBot="1" x14ac:dyDescent="0.3">
      <c r="J48" s="63"/>
      <c r="M48" s="638" t="s">
        <v>297</v>
      </c>
      <c r="N48" s="639"/>
      <c r="O48" s="640"/>
      <c r="P48" s="641"/>
      <c r="Q48" s="351"/>
      <c r="R48" s="653"/>
      <c r="S48" s="654"/>
      <c r="T48" s="351"/>
      <c r="U48" s="653"/>
      <c r="V48" s="654"/>
      <c r="W48" s="351"/>
      <c r="AA48" s="601"/>
      <c r="AB48" s="602"/>
      <c r="AC48" s="602"/>
      <c r="AD48" s="602"/>
      <c r="AE48" s="602"/>
      <c r="AF48" s="602"/>
      <c r="AG48" s="602"/>
      <c r="AH48" s="602"/>
      <c r="AI48" s="603"/>
      <c r="AJ48" s="393" t="s">
        <v>358</v>
      </c>
      <c r="AK48" s="401" t="s">
        <v>374</v>
      </c>
      <c r="AL48" s="90"/>
      <c r="AM48" s="81" t="str">
        <f t="shared" si="12"/>
        <v/>
      </c>
      <c r="AN48" s="81" t="str">
        <f t="shared" si="13"/>
        <v/>
      </c>
      <c r="AO48" s="81">
        <f t="shared" si="14"/>
        <v>42958</v>
      </c>
      <c r="AP48" s="81" t="str">
        <f t="shared" si="15"/>
        <v/>
      </c>
      <c r="AQ48" s="81" t="str">
        <f t="shared" si="16"/>
        <v/>
      </c>
      <c r="BM48" s="29">
        <v>42</v>
      </c>
      <c r="BN48" s="242">
        <f t="shared" si="8"/>
        <v>42654</v>
      </c>
      <c r="BO48" s="29">
        <f t="shared" si="2"/>
        <v>0</v>
      </c>
      <c r="BP48" s="29">
        <f t="shared" si="1"/>
        <v>0</v>
      </c>
      <c r="BQ48" s="29">
        <f t="shared" si="3"/>
        <v>1</v>
      </c>
      <c r="BR48" s="29">
        <f t="shared" si="9"/>
        <v>30</v>
      </c>
      <c r="BS48" s="243">
        <f t="shared" si="4"/>
        <v>6.7204193548387095E-2</v>
      </c>
      <c r="BT48">
        <f t="shared" si="5"/>
        <v>6.7204193548387095E-2</v>
      </c>
      <c r="BU48" t="str">
        <f t="shared" si="6"/>
        <v>ok</v>
      </c>
      <c r="BV48">
        <f t="shared" si="11"/>
        <v>0</v>
      </c>
      <c r="BW48">
        <f t="shared" si="7"/>
        <v>0</v>
      </c>
    </row>
    <row r="49" spans="1:82" ht="14.1" customHeight="1" thickBot="1" x14ac:dyDescent="0.3">
      <c r="J49" s="63"/>
      <c r="AA49" s="601"/>
      <c r="AB49" s="602"/>
      <c r="AC49" s="602"/>
      <c r="AD49" s="602"/>
      <c r="AE49" s="602"/>
      <c r="AF49" s="602"/>
      <c r="AG49" s="602"/>
      <c r="AH49" s="602"/>
      <c r="AI49" s="603"/>
      <c r="AJ49" s="393" t="s">
        <v>354</v>
      </c>
      <c r="AK49" s="401" t="s">
        <v>376</v>
      </c>
      <c r="AL49" s="90"/>
      <c r="AM49" s="81" t="str">
        <f t="shared" si="12"/>
        <v/>
      </c>
      <c r="AN49" s="81" t="str">
        <f t="shared" si="13"/>
        <v/>
      </c>
      <c r="AO49" s="81">
        <f t="shared" si="14"/>
        <v>42959</v>
      </c>
      <c r="AP49" s="81" t="str">
        <f t="shared" si="15"/>
        <v/>
      </c>
      <c r="AQ49" s="81" t="str">
        <f t="shared" si="16"/>
        <v/>
      </c>
      <c r="BM49" s="29">
        <v>43</v>
      </c>
      <c r="BN49" s="242">
        <f t="shared" si="8"/>
        <v>42655</v>
      </c>
      <c r="BO49" s="29">
        <f t="shared" si="2"/>
        <v>0</v>
      </c>
      <c r="BP49" s="29">
        <f t="shared" si="1"/>
        <v>0</v>
      </c>
      <c r="BQ49" s="29">
        <f t="shared" si="3"/>
        <v>1</v>
      </c>
      <c r="BR49" s="29">
        <f t="shared" si="9"/>
        <v>31</v>
      </c>
      <c r="BS49" s="243">
        <f t="shared" si="4"/>
        <v>6.7204193548387095E-2</v>
      </c>
      <c r="BT49">
        <f t="shared" si="5"/>
        <v>6.7204193548387095E-2</v>
      </c>
      <c r="BU49" t="str">
        <f t="shared" si="6"/>
        <v>ok</v>
      </c>
      <c r="BV49">
        <f t="shared" si="11"/>
        <v>0</v>
      </c>
      <c r="BW49">
        <f t="shared" si="7"/>
        <v>0</v>
      </c>
    </row>
    <row r="50" spans="1:82" ht="14.1" customHeight="1" thickBot="1" x14ac:dyDescent="0.3">
      <c r="J50" s="63"/>
      <c r="R50" s="648" t="s">
        <v>298</v>
      </c>
      <c r="S50" s="649"/>
      <c r="T50" s="649"/>
      <c r="U50" s="649"/>
      <c r="V50" s="650"/>
      <c r="W50" s="290">
        <f>Q42-O42+T42-R42+W42-U42+W43-U43+T43-R43+Q43-O43+W44-U44+T44-R44+Q44-O44+W45-U45+T45-R45+Q45-O45+W46-U46+T46-R46+Q46-O46+W47-U47+T47-R47+Q47-O47+W48-U48+T48-R48+Q48-O48</f>
        <v>0</v>
      </c>
      <c r="AA50" s="604"/>
      <c r="AB50" s="605"/>
      <c r="AC50" s="605"/>
      <c r="AD50" s="605"/>
      <c r="AE50" s="605"/>
      <c r="AF50" s="605"/>
      <c r="AG50" s="605"/>
      <c r="AH50" s="605"/>
      <c r="AI50" s="606"/>
      <c r="AJ50" s="409" t="s">
        <v>368</v>
      </c>
      <c r="AK50" s="401" t="s">
        <v>371</v>
      </c>
      <c r="AL50" s="90"/>
      <c r="AM50" s="81" t="str">
        <f t="shared" ref="AM50:AM78" si="17">IF(AM49="","",IF(AM49=$AD$21,"",AM49+1))</f>
        <v/>
      </c>
      <c r="AN50" s="81" t="str">
        <f t="shared" ref="AN50:AN78" si="18">IF(AN49="","",IF(AN49=$AD$22,"",AN49+1))</f>
        <v/>
      </c>
      <c r="AO50" s="81">
        <f t="shared" ref="AO50:AO78" si="19">IF(AO49="","",IF(AO49=$AD$23,"",AO49+1))</f>
        <v>42960</v>
      </c>
      <c r="AP50" s="81" t="str">
        <f t="shared" ref="AP50:AP78" si="20">IF(AP49="","",IF(AP49=$AD$19,"",AP49+1))</f>
        <v/>
      </c>
      <c r="AQ50" s="81" t="str">
        <f t="shared" ref="AQ50:AQ78" si="21">IF(AQ49="","",IF(AQ49=$AD$20,"",AQ49+1))</f>
        <v/>
      </c>
      <c r="BM50" s="29">
        <v>44</v>
      </c>
      <c r="BN50" s="242">
        <f t="shared" si="8"/>
        <v>42656</v>
      </c>
      <c r="BO50" s="29">
        <f t="shared" si="2"/>
        <v>0</v>
      </c>
      <c r="BP50" s="29">
        <f t="shared" si="1"/>
        <v>0</v>
      </c>
      <c r="BQ50" s="29">
        <f t="shared" si="3"/>
        <v>1</v>
      </c>
      <c r="BR50" s="29">
        <f t="shared" si="9"/>
        <v>32</v>
      </c>
      <c r="BS50" s="243">
        <f t="shared" si="4"/>
        <v>6.7204193548387095E-2</v>
      </c>
      <c r="BT50">
        <f t="shared" si="5"/>
        <v>6.7204193548387095E-2</v>
      </c>
      <c r="BU50" t="str">
        <f t="shared" si="6"/>
        <v>ok</v>
      </c>
      <c r="BV50">
        <f t="shared" ref="BV50:BV71" si="22">IF(BU50="ok",$CC$30/(EOMONTH(BN50,0)-(EOMONTH(BN50,-1))),0)</f>
        <v>0</v>
      </c>
      <c r="BW50">
        <f t="shared" si="7"/>
        <v>0</v>
      </c>
    </row>
    <row r="51" spans="1:82" ht="14.1" customHeight="1" x14ac:dyDescent="0.25">
      <c r="J51" s="63"/>
      <c r="X51" s="92"/>
      <c r="AA51" s="521"/>
      <c r="AB51" s="521"/>
      <c r="AC51" s="521"/>
      <c r="AD51" s="521"/>
      <c r="AE51" s="521"/>
      <c r="AF51" s="521"/>
      <c r="AG51" s="521"/>
      <c r="AH51" s="521"/>
      <c r="AI51" s="521"/>
      <c r="AJ51" s="406" t="s">
        <v>359</v>
      </c>
      <c r="AK51" s="403" t="s">
        <v>361</v>
      </c>
      <c r="AL51" s="90"/>
      <c r="AM51" s="81" t="str">
        <f>IF(AM50="","",IF(AM50=$AD$21,"",AM50+1))</f>
        <v/>
      </c>
      <c r="AN51" s="81" t="str">
        <f>IF(AN50="","",IF(AN50=$AD$22,"",AN50+1))</f>
        <v/>
      </c>
      <c r="AO51" s="81">
        <f>IF(AO50="","",IF(AO50=$AD$23,"",AO50+1))</f>
        <v>42961</v>
      </c>
      <c r="AP51" s="81" t="str">
        <f>IF(AP50="","",IF(AP50=$AD$19,"",AP50+1))</f>
        <v/>
      </c>
      <c r="AQ51" s="81" t="str">
        <f>IF(AQ50="","",IF(AQ50=$AD$20,"",AQ50+1))</f>
        <v/>
      </c>
      <c r="BM51" s="29">
        <v>45</v>
      </c>
      <c r="BN51" s="242">
        <f>BN50+1</f>
        <v>42657</v>
      </c>
      <c r="BO51" s="29">
        <f t="shared" si="2"/>
        <v>0</v>
      </c>
      <c r="BP51" s="29">
        <f t="shared" si="1"/>
        <v>0</v>
      </c>
      <c r="BQ51" s="29">
        <f t="shared" si="3"/>
        <v>1</v>
      </c>
      <c r="BR51" s="29">
        <f>BR50+1-BP51-BO51</f>
        <v>33</v>
      </c>
      <c r="BS51" s="243">
        <f t="shared" si="4"/>
        <v>6.7204193548387095E-2</v>
      </c>
      <c r="BT51">
        <f t="shared" si="5"/>
        <v>6.7204193548387095E-2</v>
      </c>
      <c r="BU51" t="str">
        <f t="shared" si="6"/>
        <v>ok</v>
      </c>
      <c r="BV51">
        <f t="shared" si="22"/>
        <v>0</v>
      </c>
      <c r="BW51">
        <f t="shared" si="7"/>
        <v>0</v>
      </c>
    </row>
    <row r="52" spans="1:82" ht="14.1" customHeight="1" x14ac:dyDescent="0.25">
      <c r="J52" s="63"/>
      <c r="X52" s="92"/>
      <c r="AA52" s="171"/>
      <c r="AB52" s="171"/>
      <c r="AC52" s="171"/>
      <c r="AD52" s="171"/>
      <c r="AE52" s="171"/>
      <c r="AF52" s="171"/>
      <c r="AH52" s="88"/>
      <c r="AI52" s="89"/>
      <c r="AJ52" s="90"/>
      <c r="AK52" s="90"/>
      <c r="AL52" s="90"/>
      <c r="AM52" s="81" t="str">
        <f t="shared" si="17"/>
        <v/>
      </c>
      <c r="AN52" s="81" t="str">
        <f t="shared" si="18"/>
        <v/>
      </c>
      <c r="AO52" s="81">
        <f t="shared" si="19"/>
        <v>42962</v>
      </c>
      <c r="AP52" s="81" t="str">
        <f t="shared" si="20"/>
        <v/>
      </c>
      <c r="AQ52" s="81" t="str">
        <f t="shared" si="21"/>
        <v/>
      </c>
      <c r="BM52" s="29">
        <v>46</v>
      </c>
      <c r="BN52" s="242">
        <f t="shared" si="8"/>
        <v>42658</v>
      </c>
      <c r="BO52" s="29">
        <f t="shared" si="2"/>
        <v>0</v>
      </c>
      <c r="BP52" s="29">
        <f t="shared" si="1"/>
        <v>0</v>
      </c>
      <c r="BQ52" s="29">
        <f t="shared" si="3"/>
        <v>1</v>
      </c>
      <c r="BR52" s="29">
        <f t="shared" si="9"/>
        <v>34</v>
      </c>
      <c r="BS52" s="243">
        <f t="shared" si="4"/>
        <v>6.7204193548387095E-2</v>
      </c>
      <c r="BT52">
        <f t="shared" si="5"/>
        <v>6.7204193548387095E-2</v>
      </c>
      <c r="BU52" t="str">
        <f t="shared" si="6"/>
        <v>ok</v>
      </c>
      <c r="BV52">
        <f t="shared" si="22"/>
        <v>0</v>
      </c>
      <c r="BW52">
        <f t="shared" si="7"/>
        <v>0</v>
      </c>
    </row>
    <row r="53" spans="1:82" ht="14.1" customHeight="1" x14ac:dyDescent="0.25">
      <c r="J53" s="63"/>
      <c r="AA53" s="63"/>
      <c r="AB53" s="63"/>
      <c r="AH53" s="88"/>
      <c r="AI53" s="89"/>
      <c r="AK53" s="408" t="s">
        <v>364</v>
      </c>
      <c r="AL53" s="90"/>
      <c r="AM53" s="81" t="str">
        <f t="shared" si="17"/>
        <v/>
      </c>
      <c r="AN53" s="81" t="str">
        <f t="shared" si="18"/>
        <v/>
      </c>
      <c r="AO53" s="81">
        <f t="shared" si="19"/>
        <v>42963</v>
      </c>
      <c r="AP53" s="81" t="str">
        <f t="shared" si="20"/>
        <v/>
      </c>
      <c r="AQ53" s="81" t="str">
        <f t="shared" si="21"/>
        <v/>
      </c>
      <c r="BM53" s="29">
        <v>47</v>
      </c>
      <c r="BN53" s="242">
        <f t="shared" si="8"/>
        <v>42659</v>
      </c>
      <c r="BO53" s="29">
        <f t="shared" si="2"/>
        <v>1</v>
      </c>
      <c r="BP53" s="29">
        <f t="shared" si="1"/>
        <v>0</v>
      </c>
      <c r="BQ53" s="29">
        <f t="shared" si="3"/>
        <v>0</v>
      </c>
      <c r="BR53" s="29">
        <f t="shared" si="9"/>
        <v>34</v>
      </c>
      <c r="BS53" s="243">
        <f t="shared" si="4"/>
        <v>6.7204193548387095E-2</v>
      </c>
      <c r="BT53">
        <f t="shared" si="5"/>
        <v>6.7204193548387095E-2</v>
      </c>
      <c r="BU53" t="str">
        <f t="shared" si="6"/>
        <v>ok</v>
      </c>
      <c r="BV53">
        <f t="shared" si="22"/>
        <v>0</v>
      </c>
      <c r="BW53">
        <f t="shared" si="7"/>
        <v>0</v>
      </c>
    </row>
    <row r="54" spans="1:82" s="92" customFormat="1" ht="14.1" customHeight="1" x14ac:dyDescent="0.25">
      <c r="A54" s="63"/>
      <c r="B54" s="63"/>
      <c r="C54" s="63"/>
      <c r="D54" s="63"/>
      <c r="E54" s="76"/>
      <c r="F54" s="63"/>
      <c r="G54" s="63"/>
      <c r="H54" s="580" t="s">
        <v>329</v>
      </c>
      <c r="I54" s="581"/>
      <c r="J54" s="581"/>
      <c r="K54" s="581"/>
      <c r="L54" s="581"/>
      <c r="M54" s="582"/>
      <c r="N54" s="304"/>
      <c r="O54" s="304"/>
      <c r="P54" s="305"/>
      <c r="Q54" s="305"/>
      <c r="R54" s="304"/>
      <c r="S54" s="304"/>
      <c r="T54" s="304"/>
      <c r="U54" s="305"/>
      <c r="V54" s="304"/>
      <c r="W54" s="304"/>
      <c r="X54" s="304"/>
      <c r="Y54" s="305"/>
      <c r="Z54" s="305"/>
      <c r="AA54" s="304"/>
      <c r="AB54" s="304"/>
      <c r="AC54" s="304"/>
      <c r="AD54" s="306"/>
      <c r="AE54" s="63"/>
      <c r="AF54" s="76"/>
      <c r="AG54" s="63"/>
      <c r="AH54" s="407"/>
      <c r="AI54" s="407"/>
      <c r="AJ54" s="407"/>
      <c r="AL54" s="91"/>
      <c r="AM54" s="81" t="str">
        <f t="shared" si="17"/>
        <v/>
      </c>
      <c r="AN54" s="81" t="str">
        <f t="shared" si="18"/>
        <v/>
      </c>
      <c r="AO54" s="81">
        <f t="shared" si="19"/>
        <v>42964</v>
      </c>
      <c r="AP54" s="81" t="str">
        <f t="shared" si="20"/>
        <v/>
      </c>
      <c r="AQ54" s="81" t="str">
        <f t="shared" si="21"/>
        <v/>
      </c>
      <c r="BM54" s="29">
        <v>48</v>
      </c>
      <c r="BN54" s="242">
        <f t="shared" si="8"/>
        <v>42660</v>
      </c>
      <c r="BO54" s="29">
        <f t="shared" si="2"/>
        <v>1</v>
      </c>
      <c r="BP54" s="29">
        <f t="shared" si="1"/>
        <v>0</v>
      </c>
      <c r="BQ54" s="29">
        <f t="shared" si="3"/>
        <v>0</v>
      </c>
      <c r="BR54" s="29">
        <f t="shared" si="9"/>
        <v>34</v>
      </c>
      <c r="BS54" s="243">
        <f t="shared" si="4"/>
        <v>6.7204193548387095E-2</v>
      </c>
      <c r="BT54">
        <f t="shared" si="5"/>
        <v>6.7204193548387095E-2</v>
      </c>
      <c r="BU54" t="str">
        <f t="shared" si="6"/>
        <v>ok</v>
      </c>
      <c r="BV54">
        <f t="shared" si="22"/>
        <v>0</v>
      </c>
      <c r="BW54">
        <f t="shared" si="7"/>
        <v>0</v>
      </c>
      <c r="BX54"/>
      <c r="BY54"/>
      <c r="BZ54"/>
      <c r="CA54"/>
      <c r="CB54"/>
      <c r="CC54"/>
      <c r="CD54"/>
    </row>
    <row r="55" spans="1:82" s="92" customFormat="1" ht="14.1" customHeight="1" x14ac:dyDescent="0.25">
      <c r="A55" s="63"/>
      <c r="B55" s="63"/>
      <c r="C55" s="63"/>
      <c r="D55" s="63"/>
      <c r="E55" s="76"/>
      <c r="F55" s="63"/>
      <c r="G55" s="63"/>
      <c r="H55" s="307"/>
      <c r="I55" s="63"/>
      <c r="J55" s="63"/>
      <c r="K55" s="63"/>
      <c r="L55" s="63"/>
      <c r="M55" s="63"/>
      <c r="N55" s="63"/>
      <c r="O55" s="63"/>
      <c r="P55" s="63"/>
      <c r="Q55" s="63"/>
      <c r="R55" s="63"/>
      <c r="S55" s="63"/>
      <c r="T55" s="63"/>
      <c r="U55" s="76"/>
      <c r="V55" s="63"/>
      <c r="W55" s="63"/>
      <c r="X55" s="177" t="s">
        <v>203</v>
      </c>
      <c r="Y55" s="556">
        <f>AF5</f>
        <v>42613</v>
      </c>
      <c r="Z55" s="557"/>
      <c r="AA55" s="557"/>
      <c r="AB55" s="557"/>
      <c r="AC55" s="558"/>
      <c r="AD55" s="308"/>
      <c r="AE55" s="63"/>
      <c r="AF55" s="76"/>
      <c r="AG55" s="63"/>
      <c r="AH55" s="91"/>
      <c r="AI55" s="91"/>
      <c r="AJ55" s="91"/>
      <c r="AK55" s="91" t="s">
        <v>366</v>
      </c>
      <c r="AL55" s="91"/>
      <c r="AM55" s="81" t="str">
        <f t="shared" si="17"/>
        <v/>
      </c>
      <c r="AN55" s="81" t="str">
        <f t="shared" si="18"/>
        <v/>
      </c>
      <c r="AO55" s="81">
        <f t="shared" si="19"/>
        <v>42965</v>
      </c>
      <c r="AP55" s="81" t="str">
        <f t="shared" si="20"/>
        <v/>
      </c>
      <c r="AQ55" s="81" t="str">
        <f t="shared" si="21"/>
        <v/>
      </c>
      <c r="BM55" s="29">
        <v>49</v>
      </c>
      <c r="BN55" s="242">
        <f t="shared" si="8"/>
        <v>42661</v>
      </c>
      <c r="BO55" s="29">
        <f t="shared" si="2"/>
        <v>0</v>
      </c>
      <c r="BP55" s="29">
        <f t="shared" si="1"/>
        <v>0</v>
      </c>
      <c r="BQ55" s="29">
        <f t="shared" si="3"/>
        <v>1</v>
      </c>
      <c r="BR55" s="29">
        <f t="shared" si="9"/>
        <v>35</v>
      </c>
      <c r="BS55" s="243">
        <f t="shared" si="4"/>
        <v>6.7204193548387095E-2</v>
      </c>
      <c r="BT55">
        <f t="shared" si="5"/>
        <v>6.7204193548387095E-2</v>
      </c>
      <c r="BU55" t="str">
        <f t="shared" si="6"/>
        <v>ok</v>
      </c>
      <c r="BV55">
        <f t="shared" si="22"/>
        <v>0</v>
      </c>
      <c r="BW55">
        <f t="shared" si="7"/>
        <v>0</v>
      </c>
      <c r="BX55"/>
      <c r="BY55"/>
      <c r="BZ55"/>
      <c r="CA55"/>
      <c r="CB55"/>
      <c r="CC55"/>
      <c r="CD55"/>
    </row>
    <row r="56" spans="1:82" ht="14.1" customHeight="1" x14ac:dyDescent="0.25">
      <c r="H56" s="307"/>
      <c r="I56" s="63"/>
      <c r="J56" s="63"/>
      <c r="L56" s="76"/>
      <c r="N56" s="174" t="s">
        <v>86</v>
      </c>
      <c r="O56" s="474"/>
      <c r="P56" s="475"/>
      <c r="Q56" s="76"/>
      <c r="R56" s="63"/>
      <c r="S56" s="63"/>
      <c r="U56" s="76"/>
      <c r="W56" s="63"/>
      <c r="X56" s="177" t="s">
        <v>204</v>
      </c>
      <c r="Y56" s="542"/>
      <c r="Z56" s="543"/>
      <c r="AA56" s="543"/>
      <c r="AB56" s="543"/>
      <c r="AC56" s="544"/>
      <c r="AD56" s="308"/>
      <c r="AK56" s="91" t="s">
        <v>365</v>
      </c>
      <c r="AM56" s="81" t="str">
        <f t="shared" si="17"/>
        <v/>
      </c>
      <c r="AN56" s="81" t="str">
        <f t="shared" si="18"/>
        <v/>
      </c>
      <c r="AO56" s="81">
        <f t="shared" si="19"/>
        <v>42966</v>
      </c>
      <c r="AP56" s="81" t="str">
        <f t="shared" si="20"/>
        <v/>
      </c>
      <c r="AQ56" s="81" t="str">
        <f t="shared" si="21"/>
        <v/>
      </c>
      <c r="BM56" s="29">
        <v>50</v>
      </c>
      <c r="BN56" s="242">
        <f t="shared" si="8"/>
        <v>42662</v>
      </c>
      <c r="BO56" s="29">
        <f t="shared" si="2"/>
        <v>0</v>
      </c>
      <c r="BP56" s="29">
        <f t="shared" si="1"/>
        <v>0</v>
      </c>
      <c r="BQ56" s="29">
        <f t="shared" si="3"/>
        <v>1</v>
      </c>
      <c r="BR56" s="29">
        <f t="shared" si="9"/>
        <v>36</v>
      </c>
      <c r="BS56" s="243">
        <f t="shared" si="4"/>
        <v>6.7204193548387095E-2</v>
      </c>
      <c r="BT56">
        <f t="shared" si="5"/>
        <v>6.7204193548387095E-2</v>
      </c>
      <c r="BU56" t="str">
        <f t="shared" si="6"/>
        <v>ok</v>
      </c>
      <c r="BV56">
        <f t="shared" si="22"/>
        <v>0</v>
      </c>
      <c r="BW56">
        <f t="shared" si="7"/>
        <v>0</v>
      </c>
    </row>
    <row r="57" spans="1:82" ht="14.1" customHeight="1" x14ac:dyDescent="0.25">
      <c r="H57" s="309"/>
      <c r="I57" s="310"/>
      <c r="J57" s="310"/>
      <c r="K57" s="310"/>
      <c r="L57" s="314"/>
      <c r="M57" s="310"/>
      <c r="N57" s="310"/>
      <c r="O57" s="310"/>
      <c r="P57" s="314"/>
      <c r="Q57" s="314"/>
      <c r="R57" s="310"/>
      <c r="S57" s="310"/>
      <c r="T57" s="310"/>
      <c r="U57" s="314"/>
      <c r="V57" s="310"/>
      <c r="W57" s="310"/>
      <c r="X57" s="310"/>
      <c r="Y57" s="314"/>
      <c r="Z57" s="314"/>
      <c r="AA57" s="310"/>
      <c r="AB57" s="310"/>
      <c r="AC57" s="310"/>
      <c r="AD57" s="311"/>
      <c r="AK57" s="384" t="s">
        <v>354</v>
      </c>
      <c r="AM57" s="81" t="str">
        <f t="shared" si="17"/>
        <v/>
      </c>
      <c r="AN57" s="81" t="str">
        <f t="shared" si="18"/>
        <v/>
      </c>
      <c r="AO57" s="81">
        <f t="shared" si="19"/>
        <v>42967</v>
      </c>
      <c r="AP57" s="81" t="str">
        <f t="shared" si="20"/>
        <v/>
      </c>
      <c r="AQ57" s="81" t="str">
        <f t="shared" si="21"/>
        <v/>
      </c>
      <c r="BM57" s="29">
        <v>51</v>
      </c>
      <c r="BN57" s="242">
        <f t="shared" si="8"/>
        <v>42663</v>
      </c>
      <c r="BO57" s="29">
        <f t="shared" si="2"/>
        <v>0</v>
      </c>
      <c r="BP57" s="29">
        <f t="shared" si="1"/>
        <v>0</v>
      </c>
      <c r="BQ57" s="29">
        <f t="shared" si="3"/>
        <v>1</v>
      </c>
      <c r="BR57" s="29">
        <f t="shared" si="9"/>
        <v>37</v>
      </c>
      <c r="BS57" s="243">
        <f t="shared" si="4"/>
        <v>6.7204193548387095E-2</v>
      </c>
      <c r="BT57">
        <f t="shared" si="5"/>
        <v>6.7204193548387095E-2</v>
      </c>
      <c r="BU57" t="str">
        <f t="shared" si="6"/>
        <v>ok</v>
      </c>
      <c r="BV57">
        <f t="shared" si="22"/>
        <v>0</v>
      </c>
      <c r="BW57">
        <f t="shared" si="7"/>
        <v>0</v>
      </c>
    </row>
    <row r="58" spans="1:82" ht="14.1" customHeight="1" x14ac:dyDescent="0.25">
      <c r="I58" s="63"/>
      <c r="J58" s="63"/>
      <c r="N58" s="63"/>
      <c r="R58" s="63"/>
      <c r="S58" s="63"/>
      <c r="W58" s="63"/>
      <c r="AA58" s="63"/>
      <c r="AB58" s="63"/>
      <c r="AH58" s="93"/>
      <c r="AI58" s="93"/>
      <c r="AJ58" s="94"/>
      <c r="AK58" s="384" t="s">
        <v>367</v>
      </c>
      <c r="AL58" s="94"/>
      <c r="AM58" s="81" t="str">
        <f t="shared" si="17"/>
        <v/>
      </c>
      <c r="AN58" s="81" t="str">
        <f t="shared" si="18"/>
        <v/>
      </c>
      <c r="AO58" s="81">
        <f t="shared" si="19"/>
        <v>42968</v>
      </c>
      <c r="AP58" s="81" t="str">
        <f t="shared" si="20"/>
        <v/>
      </c>
      <c r="AQ58" s="81" t="str">
        <f t="shared" si="21"/>
        <v/>
      </c>
      <c r="BM58" s="29">
        <v>52</v>
      </c>
      <c r="BN58" s="242">
        <f t="shared" si="8"/>
        <v>42664</v>
      </c>
      <c r="BO58" s="29">
        <f t="shared" si="2"/>
        <v>0</v>
      </c>
      <c r="BP58" s="29">
        <f t="shared" si="1"/>
        <v>0</v>
      </c>
      <c r="BQ58" s="29">
        <f t="shared" si="3"/>
        <v>1</v>
      </c>
      <c r="BR58" s="29">
        <f t="shared" si="9"/>
        <v>38</v>
      </c>
      <c r="BS58" s="243">
        <f t="shared" si="4"/>
        <v>6.7204193548387095E-2</v>
      </c>
      <c r="BT58">
        <f t="shared" si="5"/>
        <v>6.7204193548387095E-2</v>
      </c>
      <c r="BU58" t="str">
        <f t="shared" si="6"/>
        <v>ok</v>
      </c>
      <c r="BV58">
        <f t="shared" si="22"/>
        <v>0</v>
      </c>
      <c r="BW58">
        <f t="shared" si="7"/>
        <v>0</v>
      </c>
    </row>
    <row r="59" spans="1:82" ht="21.75" customHeight="1" x14ac:dyDescent="0.25">
      <c r="H59" s="580" t="s">
        <v>330</v>
      </c>
      <c r="I59" s="581"/>
      <c r="J59" s="581"/>
      <c r="K59" s="581"/>
      <c r="L59" s="581"/>
      <c r="M59" s="582"/>
      <c r="N59" s="304"/>
      <c r="O59" s="304"/>
      <c r="P59" s="305"/>
      <c r="Q59" s="305"/>
      <c r="R59" s="304"/>
      <c r="S59" s="304"/>
      <c r="T59" s="304"/>
      <c r="U59" s="305"/>
      <c r="V59" s="304"/>
      <c r="W59" s="304"/>
      <c r="X59" s="304"/>
      <c r="Y59" s="305"/>
      <c r="Z59" s="305"/>
      <c r="AA59" s="304"/>
      <c r="AB59" s="304"/>
      <c r="AC59" s="304"/>
      <c r="AD59" s="306"/>
      <c r="AJ59" s="95"/>
      <c r="AK59" s="95"/>
      <c r="AL59" s="95"/>
      <c r="AM59" s="81" t="str">
        <f t="shared" si="17"/>
        <v/>
      </c>
      <c r="AN59" s="81" t="str">
        <f t="shared" si="18"/>
        <v/>
      </c>
      <c r="AO59" s="81">
        <f t="shared" si="19"/>
        <v>42969</v>
      </c>
      <c r="AP59" s="81" t="str">
        <f t="shared" si="20"/>
        <v/>
      </c>
      <c r="AQ59" s="81" t="str">
        <f t="shared" si="21"/>
        <v/>
      </c>
      <c r="BM59" s="29">
        <v>53</v>
      </c>
      <c r="BN59" s="242">
        <f t="shared" si="8"/>
        <v>42665</v>
      </c>
      <c r="BO59" s="29">
        <f t="shared" si="2"/>
        <v>0</v>
      </c>
      <c r="BP59" s="29">
        <f t="shared" si="1"/>
        <v>0</v>
      </c>
      <c r="BQ59" s="29">
        <f t="shared" si="3"/>
        <v>1</v>
      </c>
      <c r="BR59" s="29">
        <f t="shared" si="9"/>
        <v>39</v>
      </c>
      <c r="BS59" s="243">
        <f t="shared" si="4"/>
        <v>6.7204193548387095E-2</v>
      </c>
      <c r="BT59">
        <f t="shared" si="5"/>
        <v>6.7204193548387095E-2</v>
      </c>
      <c r="BU59" t="str">
        <f t="shared" si="6"/>
        <v>ok</v>
      </c>
      <c r="BV59">
        <f t="shared" si="22"/>
        <v>0</v>
      </c>
      <c r="BW59">
        <f t="shared" si="7"/>
        <v>0</v>
      </c>
    </row>
    <row r="60" spans="1:82" ht="13.5" customHeight="1" x14ac:dyDescent="0.25">
      <c r="H60" s="307"/>
      <c r="I60" s="63"/>
      <c r="J60" s="63"/>
      <c r="N60" s="63"/>
      <c r="R60" s="63"/>
      <c r="S60" s="63"/>
      <c r="U60" s="76"/>
      <c r="W60" s="63"/>
      <c r="X60" s="177" t="s">
        <v>203</v>
      </c>
      <c r="Y60" s="556">
        <f>Y56+1</f>
        <v>1</v>
      </c>
      <c r="Z60" s="557"/>
      <c r="AA60" s="557"/>
      <c r="AB60" s="557"/>
      <c r="AC60" s="558"/>
      <c r="AD60" s="308"/>
      <c r="AM60" s="81" t="str">
        <f t="shared" si="17"/>
        <v/>
      </c>
      <c r="AN60" s="81" t="str">
        <f t="shared" si="18"/>
        <v/>
      </c>
      <c r="AO60" s="81">
        <f t="shared" si="19"/>
        <v>42970</v>
      </c>
      <c r="AP60" s="81" t="str">
        <f t="shared" si="20"/>
        <v/>
      </c>
      <c r="AQ60" s="81" t="str">
        <f t="shared" si="21"/>
        <v/>
      </c>
      <c r="BM60" s="29">
        <v>54</v>
      </c>
      <c r="BN60" s="242">
        <f t="shared" si="8"/>
        <v>42666</v>
      </c>
      <c r="BO60" s="29">
        <f t="shared" si="2"/>
        <v>1</v>
      </c>
      <c r="BP60" s="29">
        <f t="shared" si="1"/>
        <v>0</v>
      </c>
      <c r="BQ60" s="29">
        <f t="shared" si="3"/>
        <v>0</v>
      </c>
      <c r="BR60" s="29">
        <f t="shared" si="9"/>
        <v>39</v>
      </c>
      <c r="BS60" s="243">
        <f t="shared" si="4"/>
        <v>6.7204193548387095E-2</v>
      </c>
      <c r="BT60">
        <f t="shared" si="5"/>
        <v>6.7204193548387095E-2</v>
      </c>
      <c r="BU60" t="str">
        <f t="shared" si="6"/>
        <v>ok</v>
      </c>
      <c r="BV60">
        <f t="shared" si="22"/>
        <v>0</v>
      </c>
      <c r="BW60">
        <f t="shared" si="7"/>
        <v>0</v>
      </c>
    </row>
    <row r="61" spans="1:82" ht="15.75" x14ac:dyDescent="0.25">
      <c r="H61" s="307"/>
      <c r="I61" s="63"/>
      <c r="J61" s="63"/>
      <c r="L61" s="76"/>
      <c r="N61" s="174" t="s">
        <v>86</v>
      </c>
      <c r="O61" s="474"/>
      <c r="P61" s="475"/>
      <c r="Q61" s="76"/>
      <c r="R61" s="63"/>
      <c r="S61" s="63"/>
      <c r="U61" s="76"/>
      <c r="W61" s="63"/>
      <c r="X61" s="177" t="s">
        <v>204</v>
      </c>
      <c r="Y61" s="556">
        <f>AF6</f>
        <v>42977</v>
      </c>
      <c r="Z61" s="557"/>
      <c r="AA61" s="557"/>
      <c r="AB61" s="557"/>
      <c r="AC61" s="558"/>
      <c r="AD61" s="308"/>
      <c r="AM61" s="81" t="str">
        <f>IF(AM60="","",IF(AM60=$AD$21,"",AM60+1))</f>
        <v/>
      </c>
      <c r="AN61" s="81" t="str">
        <f>IF(AN60="","",IF(AN60=$AD$22,"",AN60+1))</f>
        <v/>
      </c>
      <c r="AO61" s="81">
        <f>IF(AO60="","",IF(AO60=$AD$23,"",AO60+1))</f>
        <v>42971</v>
      </c>
      <c r="AP61" s="81" t="str">
        <f>IF(AP60="","",IF(AP60=$AD$19,"",AP60+1))</f>
        <v/>
      </c>
      <c r="AQ61" s="81" t="str">
        <f>IF(AQ60="","",IF(AQ60=$AD$20,"",AQ60+1))</f>
        <v/>
      </c>
      <c r="BM61" s="29">
        <v>55</v>
      </c>
      <c r="BN61" s="242">
        <f>BN60+1</f>
        <v>42667</v>
      </c>
      <c r="BO61" s="29">
        <f t="shared" si="2"/>
        <v>1</v>
      </c>
      <c r="BP61" s="29">
        <f t="shared" si="1"/>
        <v>0</v>
      </c>
      <c r="BQ61" s="29">
        <f t="shared" si="3"/>
        <v>0</v>
      </c>
      <c r="BR61" s="29">
        <f>BR60+1-BP61-BO61</f>
        <v>39</v>
      </c>
      <c r="BS61" s="243">
        <f t="shared" si="4"/>
        <v>6.7204193548387095E-2</v>
      </c>
      <c r="BT61">
        <f t="shared" si="5"/>
        <v>6.7204193548387095E-2</v>
      </c>
      <c r="BU61" t="str">
        <f t="shared" si="6"/>
        <v>ok</v>
      </c>
      <c r="BV61">
        <f t="shared" si="22"/>
        <v>0</v>
      </c>
      <c r="BW61">
        <f t="shared" si="7"/>
        <v>0</v>
      </c>
    </row>
    <row r="62" spans="1:82" x14ac:dyDescent="0.25">
      <c r="H62" s="309"/>
      <c r="I62" s="310"/>
      <c r="J62" s="310"/>
      <c r="K62" s="310"/>
      <c r="L62" s="314"/>
      <c r="M62" s="310"/>
      <c r="N62" s="310"/>
      <c r="O62" s="310"/>
      <c r="P62" s="314"/>
      <c r="Q62" s="314"/>
      <c r="R62" s="310"/>
      <c r="S62" s="310"/>
      <c r="T62" s="310"/>
      <c r="U62" s="314"/>
      <c r="V62" s="310"/>
      <c r="W62" s="310"/>
      <c r="X62" s="310"/>
      <c r="Y62" s="314"/>
      <c r="Z62" s="314"/>
      <c r="AA62" s="310"/>
      <c r="AB62" s="310"/>
      <c r="AC62" s="310"/>
      <c r="AD62" s="311"/>
      <c r="AM62" s="81" t="str">
        <f t="shared" si="17"/>
        <v/>
      </c>
      <c r="AN62" s="81" t="str">
        <f t="shared" si="18"/>
        <v/>
      </c>
      <c r="AO62" s="81">
        <f t="shared" si="19"/>
        <v>42972</v>
      </c>
      <c r="AP62" s="81" t="str">
        <f t="shared" si="20"/>
        <v/>
      </c>
      <c r="AQ62" s="81" t="str">
        <f t="shared" si="21"/>
        <v/>
      </c>
      <c r="BM62" s="29">
        <v>56</v>
      </c>
      <c r="BN62" s="242">
        <f t="shared" si="8"/>
        <v>42668</v>
      </c>
      <c r="BO62" s="29">
        <f t="shared" si="2"/>
        <v>0</v>
      </c>
      <c r="BP62" s="29">
        <f t="shared" si="1"/>
        <v>0</v>
      </c>
      <c r="BQ62" s="29">
        <f t="shared" si="3"/>
        <v>1</v>
      </c>
      <c r="BR62" s="29">
        <f t="shared" si="9"/>
        <v>40</v>
      </c>
      <c r="BS62" s="243">
        <f t="shared" si="4"/>
        <v>6.7204193548387095E-2</v>
      </c>
      <c r="BT62">
        <f t="shared" si="5"/>
        <v>6.7204193548387095E-2</v>
      </c>
      <c r="BU62" t="str">
        <f t="shared" si="6"/>
        <v>ok</v>
      </c>
      <c r="BV62">
        <f t="shared" si="22"/>
        <v>0</v>
      </c>
      <c r="BW62">
        <f t="shared" si="7"/>
        <v>0</v>
      </c>
    </row>
    <row r="63" spans="1:82" hidden="1" x14ac:dyDescent="0.25">
      <c r="AM63" s="81" t="str">
        <f t="shared" si="17"/>
        <v/>
      </c>
      <c r="AN63" s="81" t="str">
        <f t="shared" si="18"/>
        <v/>
      </c>
      <c r="AO63" s="81">
        <f t="shared" si="19"/>
        <v>42973</v>
      </c>
      <c r="AP63" s="81" t="str">
        <f t="shared" si="20"/>
        <v/>
      </c>
      <c r="AQ63" s="81" t="str">
        <f t="shared" si="21"/>
        <v/>
      </c>
      <c r="BM63" s="29">
        <v>57</v>
      </c>
      <c r="BN63" s="242">
        <f t="shared" si="8"/>
        <v>42669</v>
      </c>
      <c r="BO63" s="29">
        <f t="shared" si="2"/>
        <v>0</v>
      </c>
      <c r="BP63" s="29">
        <f t="shared" si="1"/>
        <v>0</v>
      </c>
      <c r="BQ63" s="29">
        <f t="shared" si="3"/>
        <v>1</v>
      </c>
      <c r="BR63" s="29">
        <f t="shared" si="9"/>
        <v>41</v>
      </c>
      <c r="BS63" s="243">
        <f t="shared" si="4"/>
        <v>6.7204193548387095E-2</v>
      </c>
      <c r="BT63">
        <f t="shared" si="5"/>
        <v>6.7204193548387095E-2</v>
      </c>
      <c r="BU63" t="str">
        <f t="shared" si="6"/>
        <v>ok</v>
      </c>
      <c r="BV63">
        <f t="shared" si="22"/>
        <v>0</v>
      </c>
      <c r="BW63">
        <f t="shared" si="7"/>
        <v>0</v>
      </c>
    </row>
    <row r="64" spans="1:82" ht="15.75" hidden="1" customHeight="1" x14ac:dyDescent="0.25">
      <c r="AM64" s="81" t="str">
        <f t="shared" si="17"/>
        <v/>
      </c>
      <c r="AN64" s="81" t="str">
        <f t="shared" si="18"/>
        <v/>
      </c>
      <c r="AO64" s="81">
        <f t="shared" si="19"/>
        <v>42974</v>
      </c>
      <c r="AP64" s="81" t="str">
        <f t="shared" si="20"/>
        <v/>
      </c>
      <c r="AQ64" s="81" t="str">
        <f t="shared" si="21"/>
        <v/>
      </c>
      <c r="BM64" s="29">
        <v>58</v>
      </c>
      <c r="BN64" s="242">
        <f t="shared" si="8"/>
        <v>42670</v>
      </c>
      <c r="BO64" s="29">
        <f t="shared" si="2"/>
        <v>0</v>
      </c>
      <c r="BP64" s="29">
        <f t="shared" si="1"/>
        <v>0</v>
      </c>
      <c r="BQ64" s="29">
        <f t="shared" si="3"/>
        <v>1</v>
      </c>
      <c r="BR64" s="29">
        <f t="shared" si="9"/>
        <v>42</v>
      </c>
      <c r="BS64" s="243">
        <f t="shared" si="4"/>
        <v>6.7204193548387095E-2</v>
      </c>
      <c r="BT64">
        <f t="shared" si="5"/>
        <v>6.7204193548387095E-2</v>
      </c>
      <c r="BU64" t="str">
        <f t="shared" si="6"/>
        <v>ok</v>
      </c>
      <c r="BV64">
        <f t="shared" si="22"/>
        <v>0</v>
      </c>
      <c r="BW64">
        <f t="shared" si="7"/>
        <v>0</v>
      </c>
    </row>
    <row r="65" spans="5:75" ht="15.75" hidden="1" customHeight="1" x14ac:dyDescent="0.25">
      <c r="AA65" s="63"/>
      <c r="AB65" s="63"/>
      <c r="AK65" s="63"/>
      <c r="AL65" s="63"/>
      <c r="AM65" s="81" t="str">
        <f t="shared" si="17"/>
        <v/>
      </c>
      <c r="AN65" s="81" t="str">
        <f t="shared" si="18"/>
        <v/>
      </c>
      <c r="AO65" s="81">
        <f t="shared" si="19"/>
        <v>42975</v>
      </c>
      <c r="AP65" s="81" t="str">
        <f t="shared" si="20"/>
        <v/>
      </c>
      <c r="AQ65" s="81" t="str">
        <f t="shared" si="21"/>
        <v/>
      </c>
      <c r="BM65" s="29">
        <v>59</v>
      </c>
      <c r="BN65" s="242">
        <f t="shared" si="8"/>
        <v>42671</v>
      </c>
      <c r="BO65" s="29">
        <f t="shared" si="2"/>
        <v>0</v>
      </c>
      <c r="BP65" s="29">
        <f t="shared" si="1"/>
        <v>0</v>
      </c>
      <c r="BQ65" s="29">
        <f t="shared" si="3"/>
        <v>1</v>
      </c>
      <c r="BR65" s="29">
        <f t="shared" si="9"/>
        <v>43</v>
      </c>
      <c r="BS65" s="243">
        <f t="shared" si="4"/>
        <v>6.7204193548387095E-2</v>
      </c>
      <c r="BT65">
        <f t="shared" si="5"/>
        <v>6.7204193548387095E-2</v>
      </c>
      <c r="BU65" t="str">
        <f t="shared" si="6"/>
        <v>ok</v>
      </c>
      <c r="BV65">
        <f t="shared" si="22"/>
        <v>0</v>
      </c>
      <c r="BW65">
        <f t="shared" si="7"/>
        <v>0</v>
      </c>
    </row>
    <row r="66" spans="5:75" hidden="1" x14ac:dyDescent="0.25">
      <c r="AA66" s="63"/>
      <c r="AB66" s="63"/>
      <c r="AK66" s="63"/>
      <c r="AL66" s="63"/>
      <c r="AM66" s="81" t="str">
        <f t="shared" si="17"/>
        <v/>
      </c>
      <c r="AN66" s="81" t="str">
        <f t="shared" si="18"/>
        <v/>
      </c>
      <c r="AO66" s="81">
        <f t="shared" si="19"/>
        <v>42976</v>
      </c>
      <c r="AP66" s="81" t="str">
        <f t="shared" si="20"/>
        <v/>
      </c>
      <c r="AQ66" s="81" t="str">
        <f t="shared" si="21"/>
        <v/>
      </c>
      <c r="BM66" s="29">
        <v>60</v>
      </c>
      <c r="BN66" s="242">
        <f t="shared" si="8"/>
        <v>42672</v>
      </c>
      <c r="BO66" s="29">
        <f t="shared" si="2"/>
        <v>0</v>
      </c>
      <c r="BP66" s="29">
        <f t="shared" si="1"/>
        <v>0</v>
      </c>
      <c r="BQ66" s="29">
        <f t="shared" si="3"/>
        <v>1</v>
      </c>
      <c r="BR66" s="29">
        <f t="shared" si="9"/>
        <v>44</v>
      </c>
      <c r="BS66" s="243">
        <f t="shared" si="4"/>
        <v>6.7204193548387095E-2</v>
      </c>
      <c r="BT66">
        <f t="shared" si="5"/>
        <v>6.7204193548387095E-2</v>
      </c>
      <c r="BU66" t="str">
        <f t="shared" si="6"/>
        <v>ok</v>
      </c>
      <c r="BV66">
        <f t="shared" si="22"/>
        <v>0</v>
      </c>
      <c r="BW66">
        <f t="shared" si="7"/>
        <v>0</v>
      </c>
    </row>
    <row r="67" spans="5:75" hidden="1" x14ac:dyDescent="0.25">
      <c r="AA67" s="63"/>
      <c r="AB67" s="63"/>
      <c r="AK67" s="63"/>
      <c r="AL67" s="63"/>
      <c r="AM67" s="81" t="str">
        <f t="shared" si="17"/>
        <v/>
      </c>
      <c r="AN67" s="81" t="str">
        <f t="shared" si="18"/>
        <v/>
      </c>
      <c r="AO67" s="81">
        <f t="shared" si="19"/>
        <v>42977</v>
      </c>
      <c r="AP67" s="81" t="str">
        <f t="shared" si="20"/>
        <v/>
      </c>
      <c r="AQ67" s="81" t="str">
        <f t="shared" si="21"/>
        <v/>
      </c>
      <c r="BM67" s="29">
        <v>61</v>
      </c>
      <c r="BN67" s="242">
        <f t="shared" si="8"/>
        <v>42673</v>
      </c>
      <c r="BO67" s="29">
        <f t="shared" si="2"/>
        <v>1</v>
      </c>
      <c r="BP67" s="29">
        <f t="shared" si="1"/>
        <v>0</v>
      </c>
      <c r="BQ67" s="29">
        <f t="shared" si="3"/>
        <v>0</v>
      </c>
      <c r="BR67" s="29">
        <f t="shared" si="9"/>
        <v>44</v>
      </c>
      <c r="BS67" s="243">
        <f t="shared" si="4"/>
        <v>6.7204193548387095E-2</v>
      </c>
      <c r="BT67">
        <f t="shared" si="5"/>
        <v>6.7204193548387095E-2</v>
      </c>
      <c r="BU67" t="str">
        <f t="shared" si="6"/>
        <v>ok</v>
      </c>
      <c r="BV67">
        <f t="shared" si="22"/>
        <v>0</v>
      </c>
      <c r="BW67">
        <f t="shared" si="7"/>
        <v>0</v>
      </c>
    </row>
    <row r="68" spans="5:75" hidden="1" x14ac:dyDescent="0.25">
      <c r="AA68" s="63"/>
      <c r="AB68" s="63"/>
      <c r="AF68" s="63"/>
      <c r="AJ68" s="63"/>
      <c r="AK68" s="63"/>
      <c r="AL68" s="63"/>
      <c r="AM68" s="81" t="str">
        <f t="shared" si="17"/>
        <v/>
      </c>
      <c r="AN68" s="81" t="str">
        <f t="shared" si="18"/>
        <v/>
      </c>
      <c r="AO68" s="81" t="str">
        <f t="shared" si="19"/>
        <v/>
      </c>
      <c r="AP68" s="81" t="str">
        <f t="shared" si="20"/>
        <v/>
      </c>
      <c r="AQ68" s="81" t="str">
        <f t="shared" si="21"/>
        <v/>
      </c>
      <c r="BM68" s="29">
        <v>62</v>
      </c>
      <c r="BN68" s="242">
        <f t="shared" si="8"/>
        <v>42674</v>
      </c>
      <c r="BO68" s="29">
        <f t="shared" si="2"/>
        <v>1</v>
      </c>
      <c r="BP68" s="29">
        <f t="shared" si="1"/>
        <v>0</v>
      </c>
      <c r="BQ68" s="29">
        <f t="shared" si="3"/>
        <v>0</v>
      </c>
      <c r="BR68" s="29">
        <f t="shared" si="9"/>
        <v>44</v>
      </c>
      <c r="BS68" s="243">
        <f t="shared" si="4"/>
        <v>6.9444333333333344E-2</v>
      </c>
      <c r="BT68">
        <f t="shared" si="5"/>
        <v>6.9444333333333344E-2</v>
      </c>
      <c r="BU68" t="str">
        <f t="shared" si="6"/>
        <v>ok</v>
      </c>
      <c r="BV68">
        <f t="shared" si="22"/>
        <v>0</v>
      </c>
      <c r="BW68">
        <f t="shared" si="7"/>
        <v>0</v>
      </c>
    </row>
    <row r="69" spans="5:75" hidden="1" x14ac:dyDescent="0.25">
      <c r="AA69" s="63"/>
      <c r="AB69" s="63"/>
      <c r="AF69" s="63"/>
      <c r="AJ69" s="63"/>
      <c r="AK69" s="63"/>
      <c r="AL69" s="63"/>
      <c r="AM69" s="81" t="str">
        <f t="shared" si="17"/>
        <v/>
      </c>
      <c r="AN69" s="81" t="str">
        <f t="shared" si="18"/>
        <v/>
      </c>
      <c r="AO69" s="81" t="str">
        <f t="shared" si="19"/>
        <v/>
      </c>
      <c r="AP69" s="81" t="str">
        <f t="shared" si="20"/>
        <v/>
      </c>
      <c r="AQ69" s="81" t="str">
        <f t="shared" si="21"/>
        <v/>
      </c>
      <c r="BM69" s="29">
        <v>63</v>
      </c>
      <c r="BN69" s="242">
        <f t="shared" si="8"/>
        <v>42675</v>
      </c>
      <c r="BO69" s="29">
        <f t="shared" si="2"/>
        <v>0</v>
      </c>
      <c r="BP69" s="29">
        <f t="shared" si="1"/>
        <v>0</v>
      </c>
      <c r="BQ69" s="29">
        <f t="shared" si="3"/>
        <v>1</v>
      </c>
      <c r="BR69" s="29">
        <f t="shared" si="9"/>
        <v>45</v>
      </c>
      <c r="BS69" s="243">
        <f t="shared" si="4"/>
        <v>6.9444333333333344E-2</v>
      </c>
      <c r="BT69">
        <f t="shared" si="5"/>
        <v>6.9444333333333344E-2</v>
      </c>
      <c r="BU69" t="str">
        <f t="shared" si="6"/>
        <v>ok</v>
      </c>
      <c r="BV69">
        <f t="shared" si="22"/>
        <v>0</v>
      </c>
      <c r="BW69">
        <f t="shared" si="7"/>
        <v>0</v>
      </c>
    </row>
    <row r="70" spans="5:75" hidden="1" x14ac:dyDescent="0.25">
      <c r="AA70" s="63"/>
      <c r="AB70" s="63"/>
      <c r="AF70" s="63"/>
      <c r="AJ70" s="63"/>
      <c r="AK70" s="63"/>
      <c r="AL70" s="63"/>
      <c r="AM70" s="81" t="str">
        <f t="shared" si="17"/>
        <v/>
      </c>
      <c r="AN70" s="81" t="str">
        <f t="shared" si="18"/>
        <v/>
      </c>
      <c r="AO70" s="81" t="str">
        <f t="shared" si="19"/>
        <v/>
      </c>
      <c r="AP70" s="81" t="str">
        <f t="shared" si="20"/>
        <v/>
      </c>
      <c r="AQ70" s="81" t="str">
        <f t="shared" si="21"/>
        <v/>
      </c>
      <c r="BM70" s="29">
        <v>64</v>
      </c>
      <c r="BN70" s="242">
        <f t="shared" si="8"/>
        <v>42676</v>
      </c>
      <c r="BO70" s="29">
        <f t="shared" si="2"/>
        <v>0</v>
      </c>
      <c r="BP70" s="29">
        <f t="shared" si="1"/>
        <v>0</v>
      </c>
      <c r="BQ70" s="29">
        <f t="shared" si="3"/>
        <v>1</v>
      </c>
      <c r="BR70" s="29">
        <f t="shared" si="9"/>
        <v>46</v>
      </c>
      <c r="BS70" s="243">
        <f t="shared" si="4"/>
        <v>6.9444333333333344E-2</v>
      </c>
      <c r="BT70">
        <f t="shared" si="5"/>
        <v>6.9444333333333344E-2</v>
      </c>
      <c r="BU70" t="str">
        <f t="shared" si="6"/>
        <v>ok</v>
      </c>
      <c r="BV70">
        <f t="shared" si="22"/>
        <v>0</v>
      </c>
      <c r="BW70">
        <f t="shared" si="7"/>
        <v>0</v>
      </c>
    </row>
    <row r="71" spans="5:75" hidden="1" x14ac:dyDescent="0.25">
      <c r="AA71" s="63"/>
      <c r="AB71" s="63"/>
      <c r="AF71" s="63"/>
      <c r="AJ71" s="63"/>
      <c r="AK71" s="63"/>
      <c r="AL71" s="63"/>
      <c r="AM71" s="81" t="str">
        <f t="shared" si="17"/>
        <v/>
      </c>
      <c r="AN71" s="81" t="str">
        <f t="shared" si="18"/>
        <v/>
      </c>
      <c r="AO71" s="81" t="str">
        <f t="shared" si="19"/>
        <v/>
      </c>
      <c r="AP71" s="81" t="str">
        <f t="shared" si="20"/>
        <v/>
      </c>
      <c r="AQ71" s="81" t="str">
        <f t="shared" si="21"/>
        <v/>
      </c>
      <c r="BM71" s="29">
        <v>65</v>
      </c>
      <c r="BN71" s="242">
        <f t="shared" si="8"/>
        <v>42677</v>
      </c>
      <c r="BO71" s="29">
        <f t="shared" si="2"/>
        <v>0</v>
      </c>
      <c r="BP71" s="29">
        <f t="shared" ref="BP71:BP134" si="23">IF(BO71=1,0,COUNTIF(tab_ferie,BN71))</f>
        <v>0</v>
      </c>
      <c r="BQ71" s="29">
        <f t="shared" si="3"/>
        <v>1</v>
      </c>
      <c r="BR71" s="29">
        <f t="shared" si="9"/>
        <v>47</v>
      </c>
      <c r="BS71" s="243">
        <f t="shared" si="4"/>
        <v>6.9444333333333344E-2</v>
      </c>
      <c r="BT71">
        <f t="shared" si="5"/>
        <v>6.9444333333333344E-2</v>
      </c>
      <c r="BU71" t="str">
        <f t="shared" si="6"/>
        <v>ok</v>
      </c>
      <c r="BV71">
        <f t="shared" si="22"/>
        <v>0</v>
      </c>
      <c r="BW71">
        <f t="shared" si="7"/>
        <v>0</v>
      </c>
    </row>
    <row r="72" spans="5:75" hidden="1" x14ac:dyDescent="0.25">
      <c r="E72" s="63"/>
      <c r="I72" s="63"/>
      <c r="J72" s="63"/>
      <c r="N72" s="63"/>
      <c r="R72" s="63"/>
      <c r="S72" s="63"/>
      <c r="W72" s="63"/>
      <c r="AA72" s="63"/>
      <c r="AB72" s="63"/>
      <c r="AF72" s="63"/>
      <c r="AJ72" s="63"/>
      <c r="AK72" s="63"/>
      <c r="AL72" s="63"/>
      <c r="AM72" s="81" t="str">
        <f t="shared" si="17"/>
        <v/>
      </c>
      <c r="AN72" s="81" t="str">
        <f t="shared" si="18"/>
        <v/>
      </c>
      <c r="AO72" s="81" t="str">
        <f t="shared" si="19"/>
        <v/>
      </c>
      <c r="AP72" s="81" t="str">
        <f t="shared" si="20"/>
        <v/>
      </c>
      <c r="AQ72" s="81" t="str">
        <f t="shared" si="21"/>
        <v/>
      </c>
      <c r="BM72" s="29">
        <v>66</v>
      </c>
      <c r="BN72" s="242">
        <f t="shared" si="8"/>
        <v>42678</v>
      </c>
      <c r="BO72" s="29">
        <f t="shared" ref="BO72:BO135" si="24">IF(OR(WEEKDAY(BN72)=1,WEEKDAY(BN72)=7),1,0)</f>
        <v>0</v>
      </c>
      <c r="BP72" s="29">
        <f t="shared" si="23"/>
        <v>0</v>
      </c>
      <c r="BQ72" s="29">
        <f t="shared" ref="BQ72:BQ135" si="25">IF(AND(BN72&gt;=$AF$5,BN72&lt;=$AF$6),IF(BO72+BP72=0,1,0),0)</f>
        <v>1</v>
      </c>
      <c r="BR72" s="29">
        <f t="shared" si="9"/>
        <v>48</v>
      </c>
      <c r="BS72" s="243">
        <f t="shared" ref="BS72:BS135" si="26">2.08333/(EOMONTH(BN72,0)-(EOMONTH(BN72,-1)))</f>
        <v>6.9444333333333344E-2</v>
      </c>
      <c r="BT72">
        <f t="shared" ref="BT72:BT135" si="27">IF(AND(BN72&gt;=$AF$5,BN72&lt;=$AF$6),BS72,0)</f>
        <v>6.9444333333333344E-2</v>
      </c>
      <c r="BU72" t="str">
        <f t="shared" ref="BU72:BU135" si="28">IF(OR(MONTH(BN72)&gt;=10,MONTH(BN72)&lt;=5),"ok","non")</f>
        <v>ok</v>
      </c>
      <c r="BV72">
        <f t="shared" ref="BV72:BV135" si="29">IF(BU72="ok",$CC$30/(EOMONTH(BN72,0)-(EOMONTH(BN72,-1))),0)</f>
        <v>0</v>
      </c>
      <c r="BW72">
        <f t="shared" ref="BW72:BW135" si="30">IF(AND(BN72&gt;=$AF$5,BN72&lt;=$AF$6),BV72,0)</f>
        <v>0</v>
      </c>
    </row>
    <row r="73" spans="5:75" ht="16.5" hidden="1" customHeight="1" x14ac:dyDescent="0.25">
      <c r="E73" s="63"/>
      <c r="I73" s="63"/>
      <c r="J73" s="63"/>
      <c r="N73" s="63"/>
      <c r="R73" s="63"/>
      <c r="S73" s="63"/>
      <c r="W73" s="63"/>
      <c r="AA73" s="63"/>
      <c r="AB73" s="63"/>
      <c r="AF73" s="63"/>
      <c r="AJ73" s="63"/>
      <c r="AK73" s="63"/>
      <c r="AL73" s="63"/>
      <c r="AM73" s="81" t="str">
        <f t="shared" si="17"/>
        <v/>
      </c>
      <c r="AN73" s="81" t="str">
        <f t="shared" si="18"/>
        <v/>
      </c>
      <c r="AO73" s="81" t="str">
        <f t="shared" si="19"/>
        <v/>
      </c>
      <c r="AP73" s="81" t="str">
        <f t="shared" si="20"/>
        <v/>
      </c>
      <c r="AQ73" s="81" t="str">
        <f t="shared" si="21"/>
        <v/>
      </c>
      <c r="BM73" s="29">
        <v>67</v>
      </c>
      <c r="BN73" s="242">
        <f t="shared" ref="BN73:BN136" si="31">BN72+1</f>
        <v>42679</v>
      </c>
      <c r="BO73" s="29">
        <f t="shared" si="24"/>
        <v>0</v>
      </c>
      <c r="BP73" s="29">
        <f t="shared" si="23"/>
        <v>0</v>
      </c>
      <c r="BQ73" s="29">
        <f t="shared" si="25"/>
        <v>1</v>
      </c>
      <c r="BR73" s="29">
        <f t="shared" ref="BR73:BR136" si="32">BR72+1-BP73-BO73</f>
        <v>49</v>
      </c>
      <c r="BS73" s="243">
        <f t="shared" si="26"/>
        <v>6.9444333333333344E-2</v>
      </c>
      <c r="BT73">
        <f t="shared" si="27"/>
        <v>6.9444333333333344E-2</v>
      </c>
      <c r="BU73" t="str">
        <f t="shared" si="28"/>
        <v>ok</v>
      </c>
      <c r="BV73">
        <f t="shared" si="29"/>
        <v>0</v>
      </c>
      <c r="BW73">
        <f t="shared" si="30"/>
        <v>0</v>
      </c>
    </row>
    <row r="74" spans="5:75" hidden="1" x14ac:dyDescent="0.25">
      <c r="E74" s="63"/>
      <c r="I74" s="63"/>
      <c r="J74" s="63"/>
      <c r="N74" s="63"/>
      <c r="R74" s="63"/>
      <c r="S74" s="63"/>
      <c r="W74" s="63"/>
      <c r="AB74" s="63"/>
      <c r="AF74" s="63"/>
      <c r="AJ74" s="63"/>
      <c r="AK74" s="63"/>
      <c r="AL74" s="63"/>
      <c r="AM74" s="81" t="str">
        <f t="shared" si="17"/>
        <v/>
      </c>
      <c r="AN74" s="81" t="str">
        <f t="shared" si="18"/>
        <v/>
      </c>
      <c r="AO74" s="81" t="str">
        <f t="shared" si="19"/>
        <v/>
      </c>
      <c r="AP74" s="81" t="str">
        <f t="shared" si="20"/>
        <v/>
      </c>
      <c r="AQ74" s="81" t="str">
        <f t="shared" si="21"/>
        <v/>
      </c>
      <c r="BM74" s="29">
        <v>68</v>
      </c>
      <c r="BN74" s="242">
        <f t="shared" si="31"/>
        <v>42680</v>
      </c>
      <c r="BO74" s="29">
        <f t="shared" si="24"/>
        <v>1</v>
      </c>
      <c r="BP74" s="29">
        <f t="shared" si="23"/>
        <v>0</v>
      </c>
      <c r="BQ74" s="29">
        <f t="shared" si="25"/>
        <v>0</v>
      </c>
      <c r="BR74" s="29">
        <f t="shared" si="32"/>
        <v>49</v>
      </c>
      <c r="BS74" s="243">
        <f t="shared" si="26"/>
        <v>6.9444333333333344E-2</v>
      </c>
      <c r="BT74">
        <f t="shared" si="27"/>
        <v>6.9444333333333344E-2</v>
      </c>
      <c r="BU74" t="str">
        <f t="shared" si="28"/>
        <v>ok</v>
      </c>
      <c r="BV74">
        <f t="shared" si="29"/>
        <v>0</v>
      </c>
      <c r="BW74">
        <f t="shared" si="30"/>
        <v>0</v>
      </c>
    </row>
    <row r="75" spans="5:75" ht="15.75" hidden="1" customHeight="1" x14ac:dyDescent="0.25">
      <c r="E75" s="63"/>
      <c r="I75" s="63"/>
      <c r="J75" s="63"/>
      <c r="N75" s="63"/>
      <c r="R75" s="63"/>
      <c r="S75" s="63"/>
      <c r="W75" s="63"/>
      <c r="AB75" s="63"/>
      <c r="AF75" s="63"/>
      <c r="AI75" s="531" t="str">
        <f>IF(AM75&lt;=-1,"trop pris",IF(AM75&gt;0,AM75,0))</f>
        <v/>
      </c>
      <c r="AJ75" s="532"/>
      <c r="AK75" s="63"/>
      <c r="AL75" s="63"/>
      <c r="AM75" s="81" t="str">
        <f t="shared" si="17"/>
        <v/>
      </c>
      <c r="AN75" s="81" t="str">
        <f t="shared" si="18"/>
        <v/>
      </c>
      <c r="AO75" s="81" t="str">
        <f t="shared" si="19"/>
        <v/>
      </c>
      <c r="AP75" s="81" t="str">
        <f t="shared" si="20"/>
        <v/>
      </c>
      <c r="AQ75" s="81" t="str">
        <f t="shared" si="21"/>
        <v/>
      </c>
      <c r="BM75" s="29">
        <v>69</v>
      </c>
      <c r="BN75" s="242">
        <f t="shared" si="31"/>
        <v>42681</v>
      </c>
      <c r="BO75" s="29">
        <f t="shared" si="24"/>
        <v>1</v>
      </c>
      <c r="BP75" s="29">
        <f t="shared" si="23"/>
        <v>0</v>
      </c>
      <c r="BQ75" s="29">
        <f t="shared" si="25"/>
        <v>0</v>
      </c>
      <c r="BR75" s="29">
        <f t="shared" si="32"/>
        <v>49</v>
      </c>
      <c r="BS75" s="243">
        <f t="shared" si="26"/>
        <v>6.9444333333333344E-2</v>
      </c>
      <c r="BT75">
        <f t="shared" si="27"/>
        <v>6.9444333333333344E-2</v>
      </c>
      <c r="BU75" t="str">
        <f t="shared" si="28"/>
        <v>ok</v>
      </c>
      <c r="BV75">
        <f t="shared" si="29"/>
        <v>0</v>
      </c>
      <c r="BW75">
        <f t="shared" si="30"/>
        <v>0</v>
      </c>
    </row>
    <row r="76" spans="5:75" ht="15" hidden="1" customHeight="1" x14ac:dyDescent="0.25">
      <c r="E76" s="63"/>
      <c r="I76" s="63"/>
      <c r="J76" s="63"/>
      <c r="N76" s="63"/>
      <c r="R76" s="63"/>
      <c r="S76" s="63"/>
      <c r="W76" s="63"/>
      <c r="AA76" s="63"/>
      <c r="AB76" s="63"/>
      <c r="AF76" s="63"/>
      <c r="AI76" s="531" t="str">
        <f>IF(AM76&lt;=-1,"trop prisr",IF(AM76&gt;0,AM76,0))</f>
        <v/>
      </c>
      <c r="AJ76" s="532"/>
      <c r="AK76" s="63"/>
      <c r="AL76" s="63"/>
      <c r="AM76" s="81" t="str">
        <f t="shared" si="17"/>
        <v/>
      </c>
      <c r="AN76" s="81" t="str">
        <f t="shared" si="18"/>
        <v/>
      </c>
      <c r="AO76" s="81" t="str">
        <f t="shared" si="19"/>
        <v/>
      </c>
      <c r="AP76" s="81" t="str">
        <f t="shared" si="20"/>
        <v/>
      </c>
      <c r="AQ76" s="81" t="str">
        <f t="shared" si="21"/>
        <v/>
      </c>
      <c r="BM76" s="29">
        <v>70</v>
      </c>
      <c r="BN76" s="242">
        <f t="shared" si="31"/>
        <v>42682</v>
      </c>
      <c r="BO76" s="29">
        <f t="shared" si="24"/>
        <v>0</v>
      </c>
      <c r="BP76" s="29">
        <f t="shared" si="23"/>
        <v>0</v>
      </c>
      <c r="BQ76" s="29">
        <f t="shared" si="25"/>
        <v>1</v>
      </c>
      <c r="BR76" s="29">
        <f t="shared" si="32"/>
        <v>50</v>
      </c>
      <c r="BS76" s="243">
        <f t="shared" si="26"/>
        <v>6.9444333333333344E-2</v>
      </c>
      <c r="BT76">
        <f t="shared" si="27"/>
        <v>6.9444333333333344E-2</v>
      </c>
      <c r="BU76" t="str">
        <f t="shared" si="28"/>
        <v>ok</v>
      </c>
      <c r="BV76">
        <f t="shared" si="29"/>
        <v>0</v>
      </c>
      <c r="BW76">
        <f t="shared" si="30"/>
        <v>0</v>
      </c>
    </row>
    <row r="77" spans="5:75" hidden="1" x14ac:dyDescent="0.25">
      <c r="E77" s="63"/>
      <c r="I77" s="63"/>
      <c r="J77" s="63"/>
      <c r="N77" s="63"/>
      <c r="R77" s="63"/>
      <c r="S77" s="63"/>
      <c r="W77" s="63"/>
      <c r="AA77" s="63"/>
      <c r="AB77" s="63"/>
      <c r="AF77" s="63"/>
      <c r="AI77" s="533"/>
      <c r="AJ77" s="534"/>
      <c r="AK77" s="63"/>
      <c r="AL77" s="63"/>
      <c r="AM77" s="81" t="str">
        <f t="shared" si="17"/>
        <v/>
      </c>
      <c r="AN77" s="81" t="str">
        <f t="shared" si="18"/>
        <v/>
      </c>
      <c r="AO77" s="81" t="str">
        <f t="shared" si="19"/>
        <v/>
      </c>
      <c r="AP77" s="81" t="str">
        <f t="shared" si="20"/>
        <v/>
      </c>
      <c r="AQ77" s="81" t="str">
        <f t="shared" si="21"/>
        <v/>
      </c>
      <c r="BM77" s="29">
        <v>71</v>
      </c>
      <c r="BN77" s="242">
        <f t="shared" si="31"/>
        <v>42683</v>
      </c>
      <c r="BO77" s="29">
        <f t="shared" si="24"/>
        <v>0</v>
      </c>
      <c r="BP77" s="29">
        <f t="shared" si="23"/>
        <v>0</v>
      </c>
      <c r="BQ77" s="29">
        <f t="shared" si="25"/>
        <v>1</v>
      </c>
      <c r="BR77" s="29">
        <f t="shared" si="32"/>
        <v>51</v>
      </c>
      <c r="BS77" s="243">
        <f t="shared" si="26"/>
        <v>6.9444333333333344E-2</v>
      </c>
      <c r="BT77">
        <f t="shared" si="27"/>
        <v>6.9444333333333344E-2</v>
      </c>
      <c r="BU77" t="str">
        <f t="shared" si="28"/>
        <v>ok</v>
      </c>
      <c r="BV77">
        <f t="shared" si="29"/>
        <v>0</v>
      </c>
      <c r="BW77">
        <f t="shared" si="30"/>
        <v>0</v>
      </c>
    </row>
    <row r="78" spans="5:75" hidden="1" x14ac:dyDescent="0.25">
      <c r="E78" s="63"/>
      <c r="I78" s="63"/>
      <c r="J78" s="63"/>
      <c r="N78" s="63"/>
      <c r="R78" s="63"/>
      <c r="S78" s="63"/>
      <c r="W78" s="63"/>
      <c r="AA78" s="63"/>
      <c r="AB78" s="63"/>
      <c r="AF78" s="63"/>
      <c r="AI78" s="521"/>
      <c r="AJ78" s="521"/>
      <c r="AK78" s="63"/>
      <c r="AL78" s="63"/>
      <c r="AM78" s="81" t="str">
        <f t="shared" si="17"/>
        <v/>
      </c>
      <c r="AN78" s="81" t="str">
        <f t="shared" si="18"/>
        <v/>
      </c>
      <c r="AO78" s="81" t="str">
        <f t="shared" si="19"/>
        <v/>
      </c>
      <c r="AP78" s="81" t="str">
        <f t="shared" si="20"/>
        <v/>
      </c>
      <c r="AQ78" s="81" t="str">
        <f t="shared" si="21"/>
        <v/>
      </c>
      <c r="BM78" s="29">
        <v>72</v>
      </c>
      <c r="BN78" s="242">
        <f t="shared" si="31"/>
        <v>42684</v>
      </c>
      <c r="BO78" s="29">
        <f t="shared" si="24"/>
        <v>0</v>
      </c>
      <c r="BP78" s="29">
        <f t="shared" si="23"/>
        <v>1</v>
      </c>
      <c r="BQ78" s="29">
        <f t="shared" si="25"/>
        <v>0</v>
      </c>
      <c r="BR78" s="29">
        <f t="shared" si="32"/>
        <v>51</v>
      </c>
      <c r="BS78" s="243">
        <f t="shared" si="26"/>
        <v>6.9444333333333344E-2</v>
      </c>
      <c r="BT78">
        <f t="shared" si="27"/>
        <v>6.9444333333333344E-2</v>
      </c>
      <c r="BU78" t="str">
        <f t="shared" si="28"/>
        <v>ok</v>
      </c>
      <c r="BV78">
        <f t="shared" si="29"/>
        <v>0</v>
      </c>
      <c r="BW78">
        <f t="shared" si="30"/>
        <v>0</v>
      </c>
    </row>
    <row r="79" spans="5:75" hidden="1" x14ac:dyDescent="0.25">
      <c r="E79" s="63"/>
      <c r="I79" s="63"/>
      <c r="J79" s="63"/>
      <c r="N79" s="63"/>
      <c r="R79" s="63"/>
      <c r="S79" s="63"/>
      <c r="W79" s="63"/>
      <c r="AA79" s="63"/>
      <c r="AB79" s="63"/>
      <c r="AF79" s="63"/>
      <c r="AI79" s="171"/>
      <c r="AJ79" s="171"/>
      <c r="AK79" s="63"/>
      <c r="AL79" s="63"/>
      <c r="AQ79" s="63"/>
      <c r="BM79" s="29">
        <v>73</v>
      </c>
      <c r="BN79" s="242">
        <f t="shared" si="31"/>
        <v>42685</v>
      </c>
      <c r="BO79" s="29">
        <f t="shared" si="24"/>
        <v>0</v>
      </c>
      <c r="BP79" s="29">
        <f t="shared" si="23"/>
        <v>0</v>
      </c>
      <c r="BQ79" s="29">
        <f t="shared" si="25"/>
        <v>1</v>
      </c>
      <c r="BR79" s="29">
        <f t="shared" si="32"/>
        <v>52</v>
      </c>
      <c r="BS79" s="243">
        <f t="shared" si="26"/>
        <v>6.9444333333333344E-2</v>
      </c>
      <c r="BT79">
        <f t="shared" si="27"/>
        <v>6.9444333333333344E-2</v>
      </c>
      <c r="BU79" t="str">
        <f t="shared" si="28"/>
        <v>ok</v>
      </c>
      <c r="BV79">
        <f t="shared" si="29"/>
        <v>0</v>
      </c>
      <c r="BW79">
        <f t="shared" si="30"/>
        <v>0</v>
      </c>
    </row>
    <row r="80" spans="5:75" hidden="1" x14ac:dyDescent="0.25">
      <c r="E80" s="63"/>
      <c r="I80" s="63"/>
      <c r="J80" s="63"/>
      <c r="N80" s="63"/>
      <c r="R80" s="63"/>
      <c r="S80" s="63"/>
      <c r="W80" s="63"/>
      <c r="AA80" s="63"/>
      <c r="AB80" s="63"/>
      <c r="AF80" s="63"/>
      <c r="AG80" s="171"/>
      <c r="AH80" s="171"/>
      <c r="AI80" s="171"/>
      <c r="AJ80" s="171"/>
      <c r="AK80" s="63"/>
      <c r="AL80" s="63"/>
      <c r="AQ80" s="63"/>
      <c r="BM80" s="29">
        <v>74</v>
      </c>
      <c r="BN80" s="242">
        <f t="shared" si="31"/>
        <v>42686</v>
      </c>
      <c r="BO80" s="29">
        <f t="shared" si="24"/>
        <v>0</v>
      </c>
      <c r="BP80" s="29">
        <f t="shared" si="23"/>
        <v>0</v>
      </c>
      <c r="BQ80" s="29">
        <f t="shared" si="25"/>
        <v>1</v>
      </c>
      <c r="BR80" s="29">
        <f t="shared" si="32"/>
        <v>53</v>
      </c>
      <c r="BS80" s="243">
        <f t="shared" si="26"/>
        <v>6.9444333333333344E-2</v>
      </c>
      <c r="BT80">
        <f t="shared" si="27"/>
        <v>6.9444333333333344E-2</v>
      </c>
      <c r="BU80" t="str">
        <f t="shared" si="28"/>
        <v>ok</v>
      </c>
      <c r="BV80">
        <f t="shared" si="29"/>
        <v>0</v>
      </c>
      <c r="BW80">
        <f t="shared" si="30"/>
        <v>0</v>
      </c>
    </row>
    <row r="81" spans="2:75" hidden="1" x14ac:dyDescent="0.25">
      <c r="E81" s="63"/>
      <c r="I81" s="63"/>
      <c r="J81" s="63"/>
      <c r="N81" s="63"/>
      <c r="R81" s="63"/>
      <c r="S81" s="63"/>
      <c r="W81" s="63"/>
      <c r="AA81" s="63"/>
      <c r="AB81" s="63"/>
      <c r="AK81" s="63"/>
      <c r="AL81" s="63"/>
      <c r="AQ81" s="63"/>
      <c r="BM81" s="29">
        <v>75</v>
      </c>
      <c r="BN81" s="242">
        <f t="shared" si="31"/>
        <v>42687</v>
      </c>
      <c r="BO81" s="29">
        <f t="shared" si="24"/>
        <v>1</v>
      </c>
      <c r="BP81" s="29">
        <f t="shared" si="23"/>
        <v>0</v>
      </c>
      <c r="BQ81" s="29">
        <f t="shared" si="25"/>
        <v>0</v>
      </c>
      <c r="BR81" s="29">
        <f t="shared" si="32"/>
        <v>53</v>
      </c>
      <c r="BS81" s="243">
        <f t="shared" si="26"/>
        <v>6.9444333333333344E-2</v>
      </c>
      <c r="BT81">
        <f t="shared" si="27"/>
        <v>6.9444333333333344E-2</v>
      </c>
      <c r="BU81" t="str">
        <f t="shared" si="28"/>
        <v>ok</v>
      </c>
      <c r="BV81">
        <f t="shared" si="29"/>
        <v>0</v>
      </c>
      <c r="BW81">
        <f t="shared" si="30"/>
        <v>0</v>
      </c>
    </row>
    <row r="82" spans="2:75" hidden="1" x14ac:dyDescent="0.25">
      <c r="E82" s="63"/>
      <c r="I82" s="63"/>
      <c r="J82" s="63"/>
      <c r="N82" s="63"/>
      <c r="R82" s="63"/>
      <c r="S82" s="63"/>
      <c r="W82" s="63"/>
      <c r="AA82" s="63"/>
      <c r="AB82" s="63"/>
      <c r="AK82" s="63"/>
      <c r="AL82" s="63"/>
      <c r="AQ82" s="63"/>
      <c r="BM82" s="29">
        <v>76</v>
      </c>
      <c r="BN82" s="242">
        <f t="shared" si="31"/>
        <v>42688</v>
      </c>
      <c r="BO82" s="29">
        <f t="shared" si="24"/>
        <v>1</v>
      </c>
      <c r="BP82" s="29">
        <f t="shared" si="23"/>
        <v>0</v>
      </c>
      <c r="BQ82" s="29">
        <f t="shared" si="25"/>
        <v>0</v>
      </c>
      <c r="BR82" s="29">
        <f t="shared" si="32"/>
        <v>53</v>
      </c>
      <c r="BS82" s="243">
        <f t="shared" si="26"/>
        <v>6.9444333333333344E-2</v>
      </c>
      <c r="BT82">
        <f t="shared" si="27"/>
        <v>6.9444333333333344E-2</v>
      </c>
      <c r="BU82" t="str">
        <f t="shared" si="28"/>
        <v>ok</v>
      </c>
      <c r="BV82">
        <f t="shared" si="29"/>
        <v>0</v>
      </c>
      <c r="BW82">
        <f t="shared" si="30"/>
        <v>0</v>
      </c>
    </row>
    <row r="83" spans="2:75" hidden="1" x14ac:dyDescent="0.25">
      <c r="E83" s="63"/>
      <c r="I83" s="63"/>
      <c r="J83" s="63"/>
      <c r="N83" s="63"/>
      <c r="R83" s="63"/>
      <c r="S83" s="63"/>
      <c r="W83" s="63"/>
      <c r="AQ83" s="63"/>
      <c r="BM83" s="29">
        <v>77</v>
      </c>
      <c r="BN83" s="242">
        <f t="shared" si="31"/>
        <v>42689</v>
      </c>
      <c r="BO83" s="29">
        <f t="shared" si="24"/>
        <v>0</v>
      </c>
      <c r="BP83" s="29">
        <f t="shared" si="23"/>
        <v>0</v>
      </c>
      <c r="BQ83" s="29">
        <f t="shared" si="25"/>
        <v>1</v>
      </c>
      <c r="BR83" s="29">
        <f t="shared" si="32"/>
        <v>54</v>
      </c>
      <c r="BS83" s="243">
        <f t="shared" si="26"/>
        <v>6.9444333333333344E-2</v>
      </c>
      <c r="BT83">
        <f t="shared" si="27"/>
        <v>6.9444333333333344E-2</v>
      </c>
      <c r="BU83" t="str">
        <f t="shared" si="28"/>
        <v>ok</v>
      </c>
      <c r="BV83">
        <f t="shared" si="29"/>
        <v>0</v>
      </c>
      <c r="BW83">
        <f t="shared" si="30"/>
        <v>0</v>
      </c>
    </row>
    <row r="84" spans="2:75" hidden="1" x14ac:dyDescent="0.25">
      <c r="AQ84" s="63"/>
      <c r="BM84" s="29">
        <v>78</v>
      </c>
      <c r="BN84" s="242">
        <f t="shared" si="31"/>
        <v>42690</v>
      </c>
      <c r="BO84" s="29">
        <f t="shared" si="24"/>
        <v>0</v>
      </c>
      <c r="BP84" s="29">
        <f t="shared" si="23"/>
        <v>0</v>
      </c>
      <c r="BQ84" s="29">
        <f t="shared" si="25"/>
        <v>1</v>
      </c>
      <c r="BR84" s="29">
        <f t="shared" si="32"/>
        <v>55</v>
      </c>
      <c r="BS84" s="243">
        <f t="shared" si="26"/>
        <v>6.9444333333333344E-2</v>
      </c>
      <c r="BT84">
        <f t="shared" si="27"/>
        <v>6.9444333333333344E-2</v>
      </c>
      <c r="BU84" t="str">
        <f t="shared" si="28"/>
        <v>ok</v>
      </c>
      <c r="BV84">
        <f t="shared" si="29"/>
        <v>0</v>
      </c>
      <c r="BW84">
        <f t="shared" si="30"/>
        <v>0</v>
      </c>
    </row>
    <row r="85" spans="2:75" hidden="1" x14ac:dyDescent="0.25">
      <c r="AQ85" s="63"/>
      <c r="BM85" s="29">
        <v>79</v>
      </c>
      <c r="BN85" s="242">
        <f t="shared" si="31"/>
        <v>42691</v>
      </c>
      <c r="BO85" s="29">
        <f t="shared" si="24"/>
        <v>0</v>
      </c>
      <c r="BP85" s="29">
        <f t="shared" si="23"/>
        <v>0</v>
      </c>
      <c r="BQ85" s="29">
        <f t="shared" si="25"/>
        <v>1</v>
      </c>
      <c r="BR85" s="29">
        <f t="shared" si="32"/>
        <v>56</v>
      </c>
      <c r="BS85" s="243">
        <f t="shared" si="26"/>
        <v>6.9444333333333344E-2</v>
      </c>
      <c r="BT85">
        <f t="shared" si="27"/>
        <v>6.9444333333333344E-2</v>
      </c>
      <c r="BU85" t="str">
        <f t="shared" si="28"/>
        <v>ok</v>
      </c>
      <c r="BV85">
        <f t="shared" si="29"/>
        <v>0</v>
      </c>
      <c r="BW85">
        <f t="shared" si="30"/>
        <v>0</v>
      </c>
    </row>
    <row r="86" spans="2:75" hidden="1" x14ac:dyDescent="0.25">
      <c r="AQ86" s="63"/>
      <c r="BM86" s="29">
        <v>80</v>
      </c>
      <c r="BN86" s="242">
        <f t="shared" si="31"/>
        <v>42692</v>
      </c>
      <c r="BO86" s="29">
        <f t="shared" si="24"/>
        <v>0</v>
      </c>
      <c r="BP86" s="29">
        <f t="shared" si="23"/>
        <v>0</v>
      </c>
      <c r="BQ86" s="29">
        <f t="shared" si="25"/>
        <v>1</v>
      </c>
      <c r="BR86" s="29">
        <f t="shared" si="32"/>
        <v>57</v>
      </c>
      <c r="BS86" s="243">
        <f t="shared" si="26"/>
        <v>6.9444333333333344E-2</v>
      </c>
      <c r="BT86">
        <f t="shared" si="27"/>
        <v>6.9444333333333344E-2</v>
      </c>
      <c r="BU86" t="str">
        <f t="shared" si="28"/>
        <v>ok</v>
      </c>
      <c r="BV86">
        <f t="shared" si="29"/>
        <v>0</v>
      </c>
      <c r="BW86">
        <f t="shared" si="30"/>
        <v>0</v>
      </c>
    </row>
    <row r="87" spans="2:75" hidden="1" x14ac:dyDescent="0.25">
      <c r="B87" s="580" t="s">
        <v>329</v>
      </c>
      <c r="C87" s="581"/>
      <c r="D87" s="581"/>
      <c r="E87" s="581"/>
      <c r="F87" s="581"/>
      <c r="G87" s="582"/>
      <c r="H87" s="304"/>
      <c r="I87" s="305"/>
      <c r="J87" s="305"/>
      <c r="K87" s="304"/>
      <c r="L87" s="304"/>
      <c r="M87" s="304"/>
      <c r="N87" s="305"/>
      <c r="O87" s="304"/>
      <c r="P87" s="304"/>
      <c r="Q87" s="304"/>
      <c r="R87" s="305"/>
      <c r="S87" s="305"/>
      <c r="T87" s="304"/>
      <c r="U87" s="304"/>
      <c r="V87" s="304"/>
      <c r="W87" s="305"/>
      <c r="X87" s="306"/>
      <c r="AQ87" s="63"/>
      <c r="BM87" s="29">
        <v>81</v>
      </c>
      <c r="BN87" s="242">
        <f t="shared" si="31"/>
        <v>42693</v>
      </c>
      <c r="BO87" s="29">
        <f t="shared" si="24"/>
        <v>0</v>
      </c>
      <c r="BP87" s="29">
        <f t="shared" si="23"/>
        <v>0</v>
      </c>
      <c r="BQ87" s="29">
        <f t="shared" si="25"/>
        <v>1</v>
      </c>
      <c r="BR87" s="29">
        <f t="shared" si="32"/>
        <v>58</v>
      </c>
      <c r="BS87" s="243">
        <f t="shared" si="26"/>
        <v>6.9444333333333344E-2</v>
      </c>
      <c r="BT87">
        <f t="shared" si="27"/>
        <v>6.9444333333333344E-2</v>
      </c>
      <c r="BU87" t="str">
        <f t="shared" si="28"/>
        <v>ok</v>
      </c>
      <c r="BV87">
        <f t="shared" si="29"/>
        <v>0</v>
      </c>
      <c r="BW87">
        <f t="shared" si="30"/>
        <v>0</v>
      </c>
    </row>
    <row r="88" spans="2:75" ht="15.75" hidden="1" thickBot="1" x14ac:dyDescent="0.3">
      <c r="B88" s="307"/>
      <c r="X88" s="308"/>
      <c r="AK88" s="528" t="s">
        <v>270</v>
      </c>
      <c r="AL88" s="528" t="s">
        <v>271</v>
      </c>
      <c r="AQ88" s="63"/>
      <c r="BM88" s="29">
        <v>82</v>
      </c>
      <c r="BN88" s="242">
        <f t="shared" si="31"/>
        <v>42694</v>
      </c>
      <c r="BO88" s="29">
        <f t="shared" si="24"/>
        <v>1</v>
      </c>
      <c r="BP88" s="29">
        <f t="shared" si="23"/>
        <v>0</v>
      </c>
      <c r="BQ88" s="29">
        <f t="shared" si="25"/>
        <v>0</v>
      </c>
      <c r="BR88" s="29">
        <f t="shared" si="32"/>
        <v>58</v>
      </c>
      <c r="BS88" s="243">
        <f t="shared" si="26"/>
        <v>6.9444333333333344E-2</v>
      </c>
      <c r="BT88">
        <f t="shared" si="27"/>
        <v>6.9444333333333344E-2</v>
      </c>
      <c r="BU88" t="str">
        <f t="shared" si="28"/>
        <v>ok</v>
      </c>
      <c r="BV88">
        <f t="shared" si="29"/>
        <v>0</v>
      </c>
      <c r="BW88">
        <f t="shared" si="30"/>
        <v>0</v>
      </c>
    </row>
    <row r="89" spans="2:75" ht="15.75" hidden="1" thickTop="1" x14ac:dyDescent="0.25">
      <c r="B89" s="307"/>
      <c r="C89" s="596" t="s">
        <v>96</v>
      </c>
      <c r="D89" s="597"/>
      <c r="E89" s="597"/>
      <c r="F89" s="597"/>
      <c r="G89" s="597"/>
      <c r="H89" s="597"/>
      <c r="I89" s="594">
        <f>période1!I10</f>
        <v>0</v>
      </c>
      <c r="J89" s="594"/>
      <c r="K89" s="594"/>
      <c r="L89" s="595"/>
      <c r="N89" s="63"/>
      <c r="O89" s="559" t="str">
        <f>période1!X10</f>
        <v>Nombre de jours CP à prendre :</v>
      </c>
      <c r="P89" s="560"/>
      <c r="Q89" s="560"/>
      <c r="R89" s="560"/>
      <c r="S89" s="560"/>
      <c r="T89" s="560"/>
      <c r="U89" s="561">
        <f>période1!AD10</f>
        <v>0</v>
      </c>
      <c r="V89" s="562"/>
      <c r="W89" s="63"/>
      <c r="X89" s="308"/>
      <c r="AK89" s="528"/>
      <c r="AL89" s="528"/>
      <c r="AQ89" s="63"/>
      <c r="BM89" s="29">
        <v>83</v>
      </c>
      <c r="BN89" s="242">
        <f t="shared" si="31"/>
        <v>42695</v>
      </c>
      <c r="BO89" s="29">
        <f t="shared" si="24"/>
        <v>1</v>
      </c>
      <c r="BP89" s="29">
        <f t="shared" si="23"/>
        <v>0</v>
      </c>
      <c r="BQ89" s="29">
        <f t="shared" si="25"/>
        <v>0</v>
      </c>
      <c r="BR89" s="29">
        <f t="shared" si="32"/>
        <v>58</v>
      </c>
      <c r="BS89" s="243">
        <f t="shared" si="26"/>
        <v>6.9444333333333344E-2</v>
      </c>
      <c r="BT89">
        <f t="shared" si="27"/>
        <v>6.9444333333333344E-2</v>
      </c>
      <c r="BU89" t="str">
        <f t="shared" si="28"/>
        <v>ok</v>
      </c>
      <c r="BV89">
        <f t="shared" si="29"/>
        <v>0</v>
      </c>
      <c r="BW89">
        <f t="shared" si="30"/>
        <v>0</v>
      </c>
    </row>
    <row r="90" spans="2:75" hidden="1" x14ac:dyDescent="0.25">
      <c r="B90" s="307"/>
      <c r="C90" s="491"/>
      <c r="D90" s="492"/>
      <c r="E90" s="492"/>
      <c r="F90" s="492"/>
      <c r="G90" s="492"/>
      <c r="H90" s="492"/>
      <c r="I90" s="592"/>
      <c r="J90" s="592"/>
      <c r="K90" s="592"/>
      <c r="L90" s="593"/>
      <c r="N90" s="63"/>
      <c r="O90" s="559" t="str">
        <f>période1!X11</f>
        <v>Nombre de jours JC à prendre :</v>
      </c>
      <c r="P90" s="560"/>
      <c r="Q90" s="560"/>
      <c r="R90" s="560"/>
      <c r="S90" s="560"/>
      <c r="T90" s="560"/>
      <c r="U90" s="561">
        <f>période1!AD11</f>
        <v>0</v>
      </c>
      <c r="V90" s="562"/>
      <c r="W90" s="63"/>
      <c r="X90" s="308"/>
      <c r="AK90" s="268">
        <f>IF(W89&gt;U89,U89,W89)</f>
        <v>0</v>
      </c>
      <c r="AL90" s="268">
        <f>IF(U89-W89&lt;0,0,U89-W89)</f>
        <v>0</v>
      </c>
      <c r="AQ90" s="63"/>
      <c r="BM90" s="29">
        <v>84</v>
      </c>
      <c r="BN90" s="242">
        <f t="shared" si="31"/>
        <v>42696</v>
      </c>
      <c r="BO90" s="29">
        <f t="shared" si="24"/>
        <v>0</v>
      </c>
      <c r="BP90" s="29">
        <f t="shared" si="23"/>
        <v>0</v>
      </c>
      <c r="BQ90" s="29">
        <f t="shared" si="25"/>
        <v>1</v>
      </c>
      <c r="BR90" s="29">
        <f t="shared" si="32"/>
        <v>59</v>
      </c>
      <c r="BS90" s="243">
        <f t="shared" si="26"/>
        <v>6.9444333333333344E-2</v>
      </c>
      <c r="BT90">
        <f t="shared" si="27"/>
        <v>6.9444333333333344E-2</v>
      </c>
      <c r="BU90" t="str">
        <f t="shared" si="28"/>
        <v>ok</v>
      </c>
      <c r="BV90">
        <f t="shared" si="29"/>
        <v>0</v>
      </c>
      <c r="BW90">
        <f t="shared" si="30"/>
        <v>0</v>
      </c>
    </row>
    <row r="91" spans="2:75" hidden="1" x14ac:dyDescent="0.25">
      <c r="B91" s="307"/>
      <c r="C91" s="491" t="s">
        <v>100</v>
      </c>
      <c r="D91" s="492"/>
      <c r="E91" s="492"/>
      <c r="F91" s="492"/>
      <c r="G91" s="492"/>
      <c r="H91" s="492"/>
      <c r="I91" s="589">
        <f>période1!I12</f>
        <v>0</v>
      </c>
      <c r="J91" s="590"/>
      <c r="K91" s="590"/>
      <c r="L91" s="591"/>
      <c r="N91" s="63"/>
      <c r="O91" s="559" t="str">
        <f>période1!X12</f>
        <v>Heures de fractionnement :</v>
      </c>
      <c r="P91" s="560"/>
      <c r="Q91" s="560"/>
      <c r="R91" s="560"/>
      <c r="S91" s="560"/>
      <c r="T91" s="560"/>
      <c r="U91" s="613">
        <f>période1!AD12</f>
        <v>0</v>
      </c>
      <c r="V91" s="614"/>
      <c r="W91" s="63"/>
      <c r="X91" s="308"/>
      <c r="AK91" s="268">
        <f>IF(W90&gt;U90,U90,W90)</f>
        <v>0</v>
      </c>
      <c r="AL91" s="268">
        <f>IF(U90-W90&lt;0,0,U90-W90)</f>
        <v>0</v>
      </c>
      <c r="AQ91" s="63"/>
      <c r="BM91" s="29">
        <v>85</v>
      </c>
      <c r="BN91" s="242">
        <f t="shared" si="31"/>
        <v>42697</v>
      </c>
      <c r="BO91" s="29">
        <f t="shared" si="24"/>
        <v>0</v>
      </c>
      <c r="BP91" s="29">
        <f t="shared" si="23"/>
        <v>0</v>
      </c>
      <c r="BQ91" s="29">
        <f t="shared" si="25"/>
        <v>1</v>
      </c>
      <c r="BR91" s="29">
        <f t="shared" si="32"/>
        <v>60</v>
      </c>
      <c r="BS91" s="243">
        <f t="shared" si="26"/>
        <v>6.9444333333333344E-2</v>
      </c>
      <c r="BT91">
        <f t="shared" si="27"/>
        <v>6.9444333333333344E-2</v>
      </c>
      <c r="BU91" t="str">
        <f t="shared" si="28"/>
        <v>ok</v>
      </c>
      <c r="BV91">
        <f t="shared" si="29"/>
        <v>0</v>
      </c>
      <c r="BW91">
        <f t="shared" si="30"/>
        <v>0</v>
      </c>
    </row>
    <row r="92" spans="2:75" ht="15.75" hidden="1" thickBot="1" x14ac:dyDescent="0.3">
      <c r="B92" s="307"/>
      <c r="C92" s="565" t="s">
        <v>281</v>
      </c>
      <c r="D92" s="566"/>
      <c r="E92" s="566"/>
      <c r="F92" s="566"/>
      <c r="G92" s="566"/>
      <c r="H92" s="566"/>
      <c r="I92" s="586" t="e">
        <f>période1!I13</f>
        <v>#DIV/0!</v>
      </c>
      <c r="J92" s="587"/>
      <c r="K92" s="587"/>
      <c r="L92" s="588"/>
      <c r="N92" s="63"/>
      <c r="R92" s="63"/>
      <c r="S92" s="63"/>
      <c r="W92" s="63"/>
      <c r="X92" s="308"/>
      <c r="AK92" s="171"/>
      <c r="AL92" s="171"/>
      <c r="AQ92" s="63"/>
      <c r="BM92" s="29">
        <v>86</v>
      </c>
      <c r="BN92" s="242">
        <f t="shared" si="31"/>
        <v>42698</v>
      </c>
      <c r="BO92" s="29">
        <f t="shared" si="24"/>
        <v>0</v>
      </c>
      <c r="BP92" s="29">
        <f t="shared" si="23"/>
        <v>0</v>
      </c>
      <c r="BQ92" s="29">
        <f t="shared" si="25"/>
        <v>1</v>
      </c>
      <c r="BR92" s="29">
        <f t="shared" si="32"/>
        <v>61</v>
      </c>
      <c r="BS92" s="243">
        <f t="shared" si="26"/>
        <v>6.9444333333333344E-2</v>
      </c>
      <c r="BT92">
        <f t="shared" si="27"/>
        <v>6.9444333333333344E-2</v>
      </c>
      <c r="BU92" t="str">
        <f t="shared" si="28"/>
        <v>ok</v>
      </c>
      <c r="BV92">
        <f t="shared" si="29"/>
        <v>0</v>
      </c>
      <c r="BW92">
        <f t="shared" si="30"/>
        <v>0</v>
      </c>
    </row>
    <row r="93" spans="2:75" ht="16.5" hidden="1" thickTop="1" thickBot="1" x14ac:dyDescent="0.3">
      <c r="B93" s="307"/>
      <c r="C93" s="552" t="s">
        <v>102</v>
      </c>
      <c r="D93" s="553"/>
      <c r="E93" s="553"/>
      <c r="F93" s="553"/>
      <c r="G93" s="553"/>
      <c r="H93" s="553"/>
      <c r="I93" s="583" t="e">
        <f>période1!I14</f>
        <v>#DIV/0!</v>
      </c>
      <c r="J93" s="584"/>
      <c r="K93" s="584"/>
      <c r="L93" s="585"/>
      <c r="N93" s="63"/>
      <c r="R93" s="63"/>
      <c r="S93" s="63"/>
      <c r="W93" s="63"/>
      <c r="X93" s="308"/>
      <c r="AK93" s="171"/>
      <c r="AL93" s="171"/>
      <c r="AQ93" s="63"/>
      <c r="BM93" s="29">
        <v>87</v>
      </c>
      <c r="BN93" s="242">
        <f t="shared" si="31"/>
        <v>42699</v>
      </c>
      <c r="BO93" s="29">
        <f t="shared" si="24"/>
        <v>0</v>
      </c>
      <c r="BP93" s="29">
        <f t="shared" si="23"/>
        <v>0</v>
      </c>
      <c r="BQ93" s="29">
        <f t="shared" si="25"/>
        <v>1</v>
      </c>
      <c r="BR93" s="29">
        <f t="shared" si="32"/>
        <v>62</v>
      </c>
      <c r="BS93" s="243">
        <f t="shared" si="26"/>
        <v>6.9444333333333344E-2</v>
      </c>
      <c r="BT93">
        <f t="shared" si="27"/>
        <v>6.9444333333333344E-2</v>
      </c>
      <c r="BU93" t="str">
        <f t="shared" si="28"/>
        <v>ok</v>
      </c>
      <c r="BV93">
        <f t="shared" si="29"/>
        <v>0</v>
      </c>
      <c r="BW93">
        <f t="shared" si="30"/>
        <v>0</v>
      </c>
    </row>
    <row r="94" spans="2:75" ht="15.75" hidden="1" thickTop="1" x14ac:dyDescent="0.25">
      <c r="B94" s="309"/>
      <c r="C94" s="310"/>
      <c r="D94" s="310"/>
      <c r="E94" s="310"/>
      <c r="F94" s="310"/>
      <c r="G94" s="310"/>
      <c r="H94" s="310"/>
      <c r="I94" s="310"/>
      <c r="J94" s="310"/>
      <c r="K94" s="310"/>
      <c r="L94" s="310"/>
      <c r="M94" s="310"/>
      <c r="N94" s="310"/>
      <c r="O94" s="310"/>
      <c r="P94" s="310"/>
      <c r="Q94" s="310"/>
      <c r="R94" s="310"/>
      <c r="S94" s="310"/>
      <c r="T94" s="310"/>
      <c r="U94" s="310"/>
      <c r="V94" s="310"/>
      <c r="W94" s="310"/>
      <c r="X94" s="311"/>
      <c r="AK94" s="182" t="s">
        <v>289</v>
      </c>
      <c r="AL94" s="288">
        <f>IF(AND(Y55=BE61,Y56=BE427),#REF!/8*U90,IF(BE427=Y56,-(U90*BT83/227),-(AK91*BT83/227)))</f>
        <v>0</v>
      </c>
      <c r="AQ94" s="63"/>
      <c r="BM94" s="29">
        <v>88</v>
      </c>
      <c r="BN94" s="242">
        <f t="shared" si="31"/>
        <v>42700</v>
      </c>
      <c r="BO94" s="29">
        <f t="shared" si="24"/>
        <v>0</v>
      </c>
      <c r="BP94" s="29">
        <f t="shared" si="23"/>
        <v>0</v>
      </c>
      <c r="BQ94" s="29">
        <f t="shared" si="25"/>
        <v>1</v>
      </c>
      <c r="BR94" s="29">
        <f t="shared" si="32"/>
        <v>63</v>
      </c>
      <c r="BS94" s="243">
        <f t="shared" si="26"/>
        <v>6.9444333333333344E-2</v>
      </c>
      <c r="BT94">
        <f t="shared" si="27"/>
        <v>6.9444333333333344E-2</v>
      </c>
      <c r="BU94" t="str">
        <f t="shared" si="28"/>
        <v>ok</v>
      </c>
      <c r="BV94">
        <f t="shared" si="29"/>
        <v>0</v>
      </c>
      <c r="BW94">
        <f t="shared" si="30"/>
        <v>0</v>
      </c>
    </row>
    <row r="95" spans="2:75" hidden="1" x14ac:dyDescent="0.25">
      <c r="AK95" s="63"/>
      <c r="AL95" s="63"/>
      <c r="AQ95" s="63"/>
      <c r="BM95" s="29">
        <v>89</v>
      </c>
      <c r="BN95" s="242">
        <f t="shared" si="31"/>
        <v>42701</v>
      </c>
      <c r="BO95" s="29">
        <f t="shared" si="24"/>
        <v>1</v>
      </c>
      <c r="BP95" s="29">
        <f t="shared" si="23"/>
        <v>0</v>
      </c>
      <c r="BQ95" s="29">
        <f t="shared" si="25"/>
        <v>0</v>
      </c>
      <c r="BR95" s="29">
        <f t="shared" si="32"/>
        <v>63</v>
      </c>
      <c r="BS95" s="243">
        <f t="shared" si="26"/>
        <v>6.9444333333333344E-2</v>
      </c>
      <c r="BT95">
        <f t="shared" si="27"/>
        <v>6.9444333333333344E-2</v>
      </c>
      <c r="BU95" t="str">
        <f t="shared" si="28"/>
        <v>ok</v>
      </c>
      <c r="BV95">
        <f t="shared" si="29"/>
        <v>0</v>
      </c>
      <c r="BW95">
        <f t="shared" si="30"/>
        <v>0</v>
      </c>
    </row>
    <row r="96" spans="2:75" hidden="1" x14ac:dyDescent="0.25">
      <c r="E96" s="63"/>
      <c r="I96" s="63"/>
      <c r="J96" s="63"/>
      <c r="N96" s="63"/>
      <c r="R96" s="63"/>
      <c r="S96" s="63"/>
      <c r="W96" s="63"/>
      <c r="AK96" s="63"/>
      <c r="AL96" s="63"/>
      <c r="AQ96" s="63"/>
      <c r="BM96" s="29">
        <v>90</v>
      </c>
      <c r="BN96" s="242">
        <f t="shared" si="31"/>
        <v>42702</v>
      </c>
      <c r="BO96" s="29">
        <f t="shared" si="24"/>
        <v>1</v>
      </c>
      <c r="BP96" s="29">
        <f t="shared" si="23"/>
        <v>0</v>
      </c>
      <c r="BQ96" s="29">
        <f t="shared" si="25"/>
        <v>0</v>
      </c>
      <c r="BR96" s="29">
        <f t="shared" si="32"/>
        <v>63</v>
      </c>
      <c r="BS96" s="243">
        <f t="shared" si="26"/>
        <v>6.9444333333333344E-2</v>
      </c>
      <c r="BT96">
        <f t="shared" si="27"/>
        <v>6.9444333333333344E-2</v>
      </c>
      <c r="BU96" t="str">
        <f t="shared" si="28"/>
        <v>ok</v>
      </c>
      <c r="BV96">
        <f t="shared" si="29"/>
        <v>0</v>
      </c>
      <c r="BW96">
        <f t="shared" si="30"/>
        <v>0</v>
      </c>
    </row>
    <row r="97" spans="2:75" hidden="1" x14ac:dyDescent="0.25">
      <c r="E97" s="63"/>
      <c r="I97" s="63"/>
      <c r="J97" s="63"/>
      <c r="N97" s="63"/>
      <c r="R97" s="63"/>
      <c r="S97" s="63"/>
      <c r="W97" s="63"/>
      <c r="AL97" s="63"/>
      <c r="AQ97" s="63"/>
      <c r="BM97" s="29">
        <v>91</v>
      </c>
      <c r="BN97" s="242">
        <f t="shared" si="31"/>
        <v>42703</v>
      </c>
      <c r="BO97" s="29">
        <f t="shared" si="24"/>
        <v>0</v>
      </c>
      <c r="BP97" s="29">
        <f t="shared" si="23"/>
        <v>0</v>
      </c>
      <c r="BQ97" s="29">
        <f t="shared" si="25"/>
        <v>1</v>
      </c>
      <c r="BR97" s="29">
        <f t="shared" si="32"/>
        <v>64</v>
      </c>
      <c r="BS97" s="243">
        <f t="shared" si="26"/>
        <v>6.9444333333333344E-2</v>
      </c>
      <c r="BT97">
        <f t="shared" si="27"/>
        <v>6.9444333333333344E-2</v>
      </c>
      <c r="BU97" t="str">
        <f t="shared" si="28"/>
        <v>ok</v>
      </c>
      <c r="BV97">
        <f t="shared" si="29"/>
        <v>0</v>
      </c>
      <c r="BW97">
        <f t="shared" si="30"/>
        <v>0</v>
      </c>
    </row>
    <row r="98" spans="2:75" hidden="1" x14ac:dyDescent="0.25">
      <c r="B98" s="580" t="s">
        <v>330</v>
      </c>
      <c r="C98" s="581"/>
      <c r="D98" s="581"/>
      <c r="E98" s="581"/>
      <c r="F98" s="581"/>
      <c r="G98" s="582"/>
      <c r="H98" s="304"/>
      <c r="I98" s="305"/>
      <c r="J98" s="305"/>
      <c r="K98" s="304"/>
      <c r="L98" s="304"/>
      <c r="M98" s="304"/>
      <c r="N98" s="305"/>
      <c r="O98" s="304"/>
      <c r="P98" s="304"/>
      <c r="Q98" s="304"/>
      <c r="R98" s="305"/>
      <c r="S98" s="305"/>
      <c r="T98" s="304"/>
      <c r="U98" s="304"/>
      <c r="V98" s="304"/>
      <c r="W98" s="305"/>
      <c r="X98" s="306"/>
      <c r="AL98" s="63"/>
      <c r="AQ98" s="63"/>
      <c r="BM98" s="29">
        <v>92</v>
      </c>
      <c r="BN98" s="242">
        <f t="shared" si="31"/>
        <v>42704</v>
      </c>
      <c r="BO98" s="29">
        <f t="shared" si="24"/>
        <v>0</v>
      </c>
      <c r="BP98" s="29">
        <f t="shared" si="23"/>
        <v>0</v>
      </c>
      <c r="BQ98" s="29">
        <f t="shared" si="25"/>
        <v>1</v>
      </c>
      <c r="BR98" s="29">
        <f t="shared" si="32"/>
        <v>65</v>
      </c>
      <c r="BS98" s="243">
        <f t="shared" si="26"/>
        <v>6.7204193548387095E-2</v>
      </c>
      <c r="BT98">
        <f t="shared" si="27"/>
        <v>6.7204193548387095E-2</v>
      </c>
      <c r="BU98" t="str">
        <f t="shared" si="28"/>
        <v>ok</v>
      </c>
      <c r="BV98">
        <f t="shared" si="29"/>
        <v>0</v>
      </c>
      <c r="BW98">
        <f t="shared" si="30"/>
        <v>0</v>
      </c>
    </row>
    <row r="99" spans="2:75" ht="15.75" hidden="1" thickBot="1" x14ac:dyDescent="0.3">
      <c r="B99" s="307"/>
      <c r="X99" s="308"/>
      <c r="AK99" s="528" t="s">
        <v>270</v>
      </c>
      <c r="AL99" s="528" t="s">
        <v>271</v>
      </c>
      <c r="AQ99" s="63"/>
      <c r="BM99" s="29">
        <v>93</v>
      </c>
      <c r="BN99" s="242">
        <f t="shared" si="31"/>
        <v>42705</v>
      </c>
      <c r="BO99" s="29">
        <f t="shared" si="24"/>
        <v>0</v>
      </c>
      <c r="BP99" s="29">
        <f t="shared" si="23"/>
        <v>0</v>
      </c>
      <c r="BQ99" s="29">
        <f t="shared" si="25"/>
        <v>1</v>
      </c>
      <c r="BR99" s="29">
        <f t="shared" si="32"/>
        <v>66</v>
      </c>
      <c r="BS99" s="243">
        <f t="shared" si="26"/>
        <v>6.7204193548387095E-2</v>
      </c>
      <c r="BT99">
        <f t="shared" si="27"/>
        <v>6.7204193548387095E-2</v>
      </c>
      <c r="BU99" t="str">
        <f t="shared" si="28"/>
        <v>ok</v>
      </c>
      <c r="BV99">
        <f t="shared" si="29"/>
        <v>0</v>
      </c>
      <c r="BW99">
        <f t="shared" si="30"/>
        <v>0</v>
      </c>
    </row>
    <row r="100" spans="2:75" ht="15.75" hidden="1" thickTop="1" x14ac:dyDescent="0.25">
      <c r="B100" s="307"/>
      <c r="C100" s="596" t="s">
        <v>96</v>
      </c>
      <c r="D100" s="597"/>
      <c r="E100" s="597"/>
      <c r="F100" s="597"/>
      <c r="G100" s="597"/>
      <c r="H100" s="597"/>
      <c r="I100" s="594">
        <f>période2!I10</f>
        <v>0</v>
      </c>
      <c r="J100" s="594"/>
      <c r="K100" s="594"/>
      <c r="L100" s="595"/>
      <c r="N100" s="63"/>
      <c r="O100" s="559" t="str">
        <f>période2!X10</f>
        <v>Nombre de jours CP à prendre :</v>
      </c>
      <c r="P100" s="560"/>
      <c r="Q100" s="560"/>
      <c r="R100" s="560"/>
      <c r="S100" s="560"/>
      <c r="T100" s="560"/>
      <c r="U100" s="561">
        <f>période2!AD10</f>
        <v>24.999960000000062</v>
      </c>
      <c r="V100" s="562"/>
      <c r="W100" s="63"/>
      <c r="X100" s="308"/>
      <c r="AK100" s="528"/>
      <c r="AL100" s="528"/>
      <c r="AQ100" s="63"/>
      <c r="BM100" s="29">
        <v>94</v>
      </c>
      <c r="BN100" s="242">
        <f t="shared" si="31"/>
        <v>42706</v>
      </c>
      <c r="BO100" s="29">
        <f t="shared" si="24"/>
        <v>0</v>
      </c>
      <c r="BP100" s="29">
        <f t="shared" si="23"/>
        <v>0</v>
      </c>
      <c r="BQ100" s="29">
        <f t="shared" si="25"/>
        <v>1</v>
      </c>
      <c r="BR100" s="29">
        <f t="shared" si="32"/>
        <v>67</v>
      </c>
      <c r="BS100" s="243">
        <f t="shared" si="26"/>
        <v>6.7204193548387095E-2</v>
      </c>
      <c r="BT100">
        <f t="shared" si="27"/>
        <v>6.7204193548387095E-2</v>
      </c>
      <c r="BU100" t="str">
        <f t="shared" si="28"/>
        <v>ok</v>
      </c>
      <c r="BV100">
        <f t="shared" si="29"/>
        <v>0</v>
      </c>
      <c r="BW100">
        <f t="shared" si="30"/>
        <v>0</v>
      </c>
    </row>
    <row r="101" spans="2:75" hidden="1" x14ac:dyDescent="0.25">
      <c r="B101" s="307"/>
      <c r="C101" s="491"/>
      <c r="D101" s="492"/>
      <c r="E101" s="492"/>
      <c r="F101" s="492"/>
      <c r="G101" s="492"/>
      <c r="H101" s="492"/>
      <c r="I101" s="592">
        <f>période2!I11</f>
        <v>0</v>
      </c>
      <c r="J101" s="592"/>
      <c r="K101" s="592"/>
      <c r="L101" s="593"/>
      <c r="N101" s="63"/>
      <c r="O101" s="559" t="str">
        <f>période2!X11</f>
        <v>Nombre de jours JC à prendre :</v>
      </c>
      <c r="P101" s="560"/>
      <c r="Q101" s="560"/>
      <c r="R101" s="560"/>
      <c r="S101" s="560"/>
      <c r="T101" s="560"/>
      <c r="U101" s="561">
        <f>période2!AD11</f>
        <v>0</v>
      </c>
      <c r="V101" s="562"/>
      <c r="W101" s="63"/>
      <c r="X101" s="308"/>
      <c r="AK101" s="268">
        <f>IF(W100&gt;U100,U100,W100)</f>
        <v>0</v>
      </c>
      <c r="AL101" s="268">
        <f>IF(U100-W100&lt;0,0,U100-W100)</f>
        <v>24.999960000000062</v>
      </c>
      <c r="AQ101" s="63"/>
      <c r="BM101" s="29">
        <v>95</v>
      </c>
      <c r="BN101" s="242">
        <f t="shared" si="31"/>
        <v>42707</v>
      </c>
      <c r="BO101" s="29">
        <f t="shared" si="24"/>
        <v>0</v>
      </c>
      <c r="BP101" s="29">
        <f t="shared" si="23"/>
        <v>0</v>
      </c>
      <c r="BQ101" s="29">
        <f t="shared" si="25"/>
        <v>1</v>
      </c>
      <c r="BR101" s="29">
        <f t="shared" si="32"/>
        <v>68</v>
      </c>
      <c r="BS101" s="243">
        <f t="shared" si="26"/>
        <v>6.7204193548387095E-2</v>
      </c>
      <c r="BT101">
        <f t="shared" si="27"/>
        <v>6.7204193548387095E-2</v>
      </c>
      <c r="BU101" t="str">
        <f t="shared" si="28"/>
        <v>ok</v>
      </c>
      <c r="BV101">
        <f t="shared" si="29"/>
        <v>0</v>
      </c>
      <c r="BW101">
        <f t="shared" si="30"/>
        <v>0</v>
      </c>
    </row>
    <row r="102" spans="2:75" hidden="1" x14ac:dyDescent="0.25">
      <c r="B102" s="307"/>
      <c r="C102" s="491" t="s">
        <v>100</v>
      </c>
      <c r="D102" s="492"/>
      <c r="E102" s="492"/>
      <c r="F102" s="492"/>
      <c r="G102" s="492"/>
      <c r="H102" s="492"/>
      <c r="I102" s="563">
        <f>période2!I12</f>
        <v>0</v>
      </c>
      <c r="J102" s="563"/>
      <c r="K102" s="563"/>
      <c r="L102" s="564"/>
      <c r="N102" s="63"/>
      <c r="O102" s="559" t="str">
        <f>période2!X12</f>
        <v>Heures de fractionnement :</v>
      </c>
      <c r="P102" s="560"/>
      <c r="Q102" s="560"/>
      <c r="R102" s="560"/>
      <c r="S102" s="560"/>
      <c r="T102" s="560"/>
      <c r="U102" s="578">
        <f>période2!AD12</f>
        <v>0</v>
      </c>
      <c r="V102" s="579"/>
      <c r="W102" s="63"/>
      <c r="X102" s="308"/>
      <c r="AK102" s="268">
        <f>IF(W101&gt;U101,U101,W101)</f>
        <v>0</v>
      </c>
      <c r="AL102" s="268">
        <f>IF(U101-W101&lt;0,0,U101-W101)</f>
        <v>0</v>
      </c>
      <c r="AQ102" s="63"/>
      <c r="BM102" s="29">
        <v>96</v>
      </c>
      <c r="BN102" s="242">
        <f t="shared" si="31"/>
        <v>42708</v>
      </c>
      <c r="BO102" s="29">
        <f t="shared" si="24"/>
        <v>1</v>
      </c>
      <c r="BP102" s="29">
        <f t="shared" si="23"/>
        <v>0</v>
      </c>
      <c r="BQ102" s="29">
        <f t="shared" si="25"/>
        <v>0</v>
      </c>
      <c r="BR102" s="29">
        <f t="shared" si="32"/>
        <v>68</v>
      </c>
      <c r="BS102" s="243">
        <f t="shared" si="26"/>
        <v>6.7204193548387095E-2</v>
      </c>
      <c r="BT102">
        <f t="shared" si="27"/>
        <v>6.7204193548387095E-2</v>
      </c>
      <c r="BU102" t="str">
        <f t="shared" si="28"/>
        <v>ok</v>
      </c>
      <c r="BV102">
        <f t="shared" si="29"/>
        <v>0</v>
      </c>
      <c r="BW102">
        <f t="shared" si="30"/>
        <v>0</v>
      </c>
    </row>
    <row r="103" spans="2:75" ht="15.75" hidden="1" thickBot="1" x14ac:dyDescent="0.3">
      <c r="B103" s="307"/>
      <c r="C103" s="565" t="s">
        <v>281</v>
      </c>
      <c r="D103" s="566"/>
      <c r="E103" s="566"/>
      <c r="F103" s="566"/>
      <c r="G103" s="566"/>
      <c r="H103" s="566"/>
      <c r="I103" s="567">
        <f>période2!I13</f>
        <v>0</v>
      </c>
      <c r="J103" s="567"/>
      <c r="K103" s="567"/>
      <c r="L103" s="568"/>
      <c r="N103" s="63"/>
      <c r="R103" s="63"/>
      <c r="S103" s="63"/>
      <c r="W103" s="63"/>
      <c r="X103" s="308"/>
      <c r="AK103" s="171"/>
      <c r="AL103" s="171"/>
      <c r="AQ103" s="63"/>
      <c r="BM103" s="29">
        <v>97</v>
      </c>
      <c r="BN103" s="242">
        <f t="shared" si="31"/>
        <v>42709</v>
      </c>
      <c r="BO103" s="29">
        <f t="shared" si="24"/>
        <v>1</v>
      </c>
      <c r="BP103" s="29">
        <f t="shared" si="23"/>
        <v>0</v>
      </c>
      <c r="BQ103" s="29">
        <f t="shared" si="25"/>
        <v>0</v>
      </c>
      <c r="BR103" s="29">
        <f t="shared" si="32"/>
        <v>68</v>
      </c>
      <c r="BS103" s="243">
        <f t="shared" si="26"/>
        <v>6.7204193548387095E-2</v>
      </c>
      <c r="BT103">
        <f t="shared" si="27"/>
        <v>6.7204193548387095E-2</v>
      </c>
      <c r="BU103" t="str">
        <f t="shared" si="28"/>
        <v>ok</v>
      </c>
      <c r="BV103">
        <f t="shared" si="29"/>
        <v>0</v>
      </c>
      <c r="BW103">
        <f t="shared" si="30"/>
        <v>0</v>
      </c>
    </row>
    <row r="104" spans="2:75" ht="16.5" hidden="1" thickTop="1" thickBot="1" x14ac:dyDescent="0.3">
      <c r="B104" s="307"/>
      <c r="C104" s="552" t="s">
        <v>102</v>
      </c>
      <c r="D104" s="553"/>
      <c r="E104" s="553"/>
      <c r="F104" s="553"/>
      <c r="G104" s="553"/>
      <c r="H104" s="553"/>
      <c r="I104" s="554">
        <f>I100+I101+I102+I103</f>
        <v>0</v>
      </c>
      <c r="J104" s="554"/>
      <c r="K104" s="554"/>
      <c r="L104" s="555"/>
      <c r="N104" s="63"/>
      <c r="R104" s="63"/>
      <c r="S104" s="63"/>
      <c r="W104" s="63"/>
      <c r="X104" s="308"/>
      <c r="AK104" s="171"/>
      <c r="AL104" s="171"/>
      <c r="AQ104" s="63"/>
      <c r="BM104" s="29">
        <v>98</v>
      </c>
      <c r="BN104" s="242">
        <f t="shared" si="31"/>
        <v>42710</v>
      </c>
      <c r="BO104" s="29">
        <f t="shared" si="24"/>
        <v>0</v>
      </c>
      <c r="BP104" s="29">
        <f t="shared" si="23"/>
        <v>0</v>
      </c>
      <c r="BQ104" s="29">
        <f t="shared" si="25"/>
        <v>1</v>
      </c>
      <c r="BR104" s="29">
        <f t="shared" si="32"/>
        <v>69</v>
      </c>
      <c r="BS104" s="243">
        <f t="shared" si="26"/>
        <v>6.7204193548387095E-2</v>
      </c>
      <c r="BT104">
        <f t="shared" si="27"/>
        <v>6.7204193548387095E-2</v>
      </c>
      <c r="BU104" t="str">
        <f t="shared" si="28"/>
        <v>ok</v>
      </c>
      <c r="BV104">
        <f t="shared" si="29"/>
        <v>0</v>
      </c>
      <c r="BW104">
        <f t="shared" si="30"/>
        <v>0</v>
      </c>
    </row>
    <row r="105" spans="2:75" ht="15.75" hidden="1" thickTop="1" x14ac:dyDescent="0.25">
      <c r="B105" s="309"/>
      <c r="C105" s="310"/>
      <c r="D105" s="310"/>
      <c r="E105" s="310"/>
      <c r="F105" s="310"/>
      <c r="G105" s="310"/>
      <c r="H105" s="310"/>
      <c r="I105" s="310"/>
      <c r="J105" s="310"/>
      <c r="K105" s="310"/>
      <c r="L105" s="310"/>
      <c r="M105" s="310"/>
      <c r="N105" s="310"/>
      <c r="O105" s="310"/>
      <c r="P105" s="310"/>
      <c r="Q105" s="310"/>
      <c r="R105" s="310"/>
      <c r="S105" s="310"/>
      <c r="T105" s="310"/>
      <c r="U105" s="310"/>
      <c r="V105" s="310"/>
      <c r="W105" s="310"/>
      <c r="X105" s="311"/>
      <c r="AK105" s="182" t="s">
        <v>289</v>
      </c>
      <c r="AL105" s="288">
        <f>IF(AND(Y60=BE72,Y61=BE438),#REF!/8*U101,IF(BE438=Y61,-(U101*BT94/227),-(AK102*BT94/227)))</f>
        <v>0</v>
      </c>
      <c r="AQ105" s="63"/>
      <c r="BM105" s="29">
        <v>99</v>
      </c>
      <c r="BN105" s="242">
        <f t="shared" si="31"/>
        <v>42711</v>
      </c>
      <c r="BO105" s="29">
        <f t="shared" si="24"/>
        <v>0</v>
      </c>
      <c r="BP105" s="29">
        <f t="shared" si="23"/>
        <v>0</v>
      </c>
      <c r="BQ105" s="29">
        <f t="shared" si="25"/>
        <v>1</v>
      </c>
      <c r="BR105" s="29">
        <f t="shared" si="32"/>
        <v>70</v>
      </c>
      <c r="BS105" s="243">
        <f t="shared" si="26"/>
        <v>6.7204193548387095E-2</v>
      </c>
      <c r="BT105">
        <f t="shared" si="27"/>
        <v>6.7204193548387095E-2</v>
      </c>
      <c r="BU105" t="str">
        <f t="shared" si="28"/>
        <v>ok</v>
      </c>
      <c r="BV105">
        <f t="shared" si="29"/>
        <v>0</v>
      </c>
      <c r="BW105">
        <f t="shared" si="30"/>
        <v>0</v>
      </c>
    </row>
    <row r="106" spans="2:75" hidden="1" x14ac:dyDescent="0.25">
      <c r="E106" s="63"/>
      <c r="I106" s="63"/>
      <c r="J106" s="63"/>
      <c r="N106" s="63"/>
      <c r="R106" s="63"/>
      <c r="S106" s="63"/>
      <c r="W106" s="63"/>
      <c r="AQ106" s="63"/>
      <c r="BM106" s="29">
        <v>100</v>
      </c>
      <c r="BN106" s="242">
        <f t="shared" si="31"/>
        <v>42712</v>
      </c>
      <c r="BO106" s="29">
        <f t="shared" si="24"/>
        <v>0</v>
      </c>
      <c r="BP106" s="29">
        <f t="shared" si="23"/>
        <v>0</v>
      </c>
      <c r="BQ106" s="29">
        <f t="shared" si="25"/>
        <v>1</v>
      </c>
      <c r="BR106" s="29">
        <f t="shared" si="32"/>
        <v>71</v>
      </c>
      <c r="BS106" s="243">
        <f t="shared" si="26"/>
        <v>6.7204193548387095E-2</v>
      </c>
      <c r="BT106">
        <f t="shared" si="27"/>
        <v>6.7204193548387095E-2</v>
      </c>
      <c r="BU106" t="str">
        <f t="shared" si="28"/>
        <v>ok</v>
      </c>
      <c r="BV106">
        <f t="shared" si="29"/>
        <v>0</v>
      </c>
      <c r="BW106">
        <f t="shared" si="30"/>
        <v>0</v>
      </c>
    </row>
    <row r="107" spans="2:75" hidden="1" x14ac:dyDescent="0.25">
      <c r="E107" s="63"/>
      <c r="I107" s="63"/>
      <c r="J107" s="63"/>
      <c r="N107" s="63"/>
      <c r="R107" s="63"/>
      <c r="S107" s="63"/>
      <c r="W107" s="63"/>
      <c r="AQ107" s="63"/>
      <c r="BM107" s="29">
        <v>101</v>
      </c>
      <c r="BN107" s="242">
        <f t="shared" si="31"/>
        <v>42713</v>
      </c>
      <c r="BO107" s="29">
        <f t="shared" si="24"/>
        <v>0</v>
      </c>
      <c r="BP107" s="29">
        <f t="shared" si="23"/>
        <v>0</v>
      </c>
      <c r="BQ107" s="29">
        <f t="shared" si="25"/>
        <v>1</v>
      </c>
      <c r="BR107" s="29">
        <f t="shared" si="32"/>
        <v>72</v>
      </c>
      <c r="BS107" s="243">
        <f t="shared" si="26"/>
        <v>6.7204193548387095E-2</v>
      </c>
      <c r="BT107">
        <f t="shared" si="27"/>
        <v>6.7204193548387095E-2</v>
      </c>
      <c r="BU107" t="str">
        <f t="shared" si="28"/>
        <v>ok</v>
      </c>
      <c r="BV107">
        <f t="shared" si="29"/>
        <v>0</v>
      </c>
      <c r="BW107">
        <f t="shared" si="30"/>
        <v>0</v>
      </c>
    </row>
    <row r="108" spans="2:75" hidden="1" x14ac:dyDescent="0.25">
      <c r="E108" s="63"/>
      <c r="I108" s="63"/>
      <c r="J108" s="63"/>
      <c r="N108" s="63"/>
      <c r="R108" s="63"/>
      <c r="S108" s="63"/>
      <c r="W108" s="63"/>
      <c r="AQ108" s="63"/>
      <c r="BM108" s="29">
        <v>102</v>
      </c>
      <c r="BN108" s="242">
        <f t="shared" si="31"/>
        <v>42714</v>
      </c>
      <c r="BO108" s="29">
        <f t="shared" si="24"/>
        <v>0</v>
      </c>
      <c r="BP108" s="29">
        <f t="shared" si="23"/>
        <v>0</v>
      </c>
      <c r="BQ108" s="29">
        <f t="shared" si="25"/>
        <v>1</v>
      </c>
      <c r="BR108" s="29">
        <f t="shared" si="32"/>
        <v>73</v>
      </c>
      <c r="BS108" s="243">
        <f t="shared" si="26"/>
        <v>6.7204193548387095E-2</v>
      </c>
      <c r="BT108">
        <f t="shared" si="27"/>
        <v>6.7204193548387095E-2</v>
      </c>
      <c r="BU108" t="str">
        <f t="shared" si="28"/>
        <v>ok</v>
      </c>
      <c r="BV108">
        <f t="shared" si="29"/>
        <v>0</v>
      </c>
      <c r="BW108">
        <f t="shared" si="30"/>
        <v>0</v>
      </c>
    </row>
    <row r="109" spans="2:75" hidden="1" x14ac:dyDescent="0.25">
      <c r="E109" s="63"/>
      <c r="I109" s="63"/>
      <c r="J109" s="63"/>
      <c r="N109" s="63"/>
      <c r="R109" s="63"/>
      <c r="S109" s="63"/>
      <c r="W109" s="63"/>
      <c r="AQ109" s="63"/>
      <c r="BM109" s="29">
        <v>103</v>
      </c>
      <c r="BN109" s="242">
        <f t="shared" si="31"/>
        <v>42715</v>
      </c>
      <c r="BO109" s="29">
        <f t="shared" si="24"/>
        <v>1</v>
      </c>
      <c r="BP109" s="29">
        <f t="shared" si="23"/>
        <v>0</v>
      </c>
      <c r="BQ109" s="29">
        <f t="shared" si="25"/>
        <v>0</v>
      </c>
      <c r="BR109" s="29">
        <f t="shared" si="32"/>
        <v>73</v>
      </c>
      <c r="BS109" s="243">
        <f t="shared" si="26"/>
        <v>6.7204193548387095E-2</v>
      </c>
      <c r="BT109">
        <f t="shared" si="27"/>
        <v>6.7204193548387095E-2</v>
      </c>
      <c r="BU109" t="str">
        <f t="shared" si="28"/>
        <v>ok</v>
      </c>
      <c r="BV109">
        <f t="shared" si="29"/>
        <v>0</v>
      </c>
      <c r="BW109">
        <f t="shared" si="30"/>
        <v>0</v>
      </c>
    </row>
    <row r="110" spans="2:75" hidden="1" x14ac:dyDescent="0.25">
      <c r="E110" s="63"/>
      <c r="I110" s="63"/>
      <c r="J110" s="63"/>
      <c r="N110" s="63"/>
      <c r="R110" s="63"/>
      <c r="S110" s="63"/>
      <c r="W110" s="63"/>
      <c r="AQ110" s="63"/>
      <c r="BM110" s="29">
        <v>104</v>
      </c>
      <c r="BN110" s="242">
        <f t="shared" si="31"/>
        <v>42716</v>
      </c>
      <c r="BO110" s="29">
        <f t="shared" si="24"/>
        <v>1</v>
      </c>
      <c r="BP110" s="29">
        <f t="shared" si="23"/>
        <v>0</v>
      </c>
      <c r="BQ110" s="29">
        <f t="shared" si="25"/>
        <v>0</v>
      </c>
      <c r="BR110" s="29">
        <f t="shared" si="32"/>
        <v>73</v>
      </c>
      <c r="BS110" s="243">
        <f t="shared" si="26"/>
        <v>6.7204193548387095E-2</v>
      </c>
      <c r="BT110">
        <f t="shared" si="27"/>
        <v>6.7204193548387095E-2</v>
      </c>
      <c r="BU110" t="str">
        <f t="shared" si="28"/>
        <v>ok</v>
      </c>
      <c r="BV110">
        <f t="shared" si="29"/>
        <v>0</v>
      </c>
      <c r="BW110">
        <f t="shared" si="30"/>
        <v>0</v>
      </c>
    </row>
    <row r="111" spans="2:75" hidden="1" x14ac:dyDescent="0.25">
      <c r="E111" s="63"/>
      <c r="I111" s="63"/>
      <c r="J111" s="63"/>
      <c r="N111" s="63"/>
      <c r="R111" s="63"/>
      <c r="S111" s="63"/>
      <c r="W111" s="63"/>
      <c r="AQ111" s="63"/>
      <c r="BM111" s="29">
        <v>105</v>
      </c>
      <c r="BN111" s="242">
        <f t="shared" si="31"/>
        <v>42717</v>
      </c>
      <c r="BO111" s="29">
        <f t="shared" si="24"/>
        <v>0</v>
      </c>
      <c r="BP111" s="29">
        <f t="shared" si="23"/>
        <v>0</v>
      </c>
      <c r="BQ111" s="29">
        <f t="shared" si="25"/>
        <v>1</v>
      </c>
      <c r="BR111" s="29">
        <f t="shared" si="32"/>
        <v>74</v>
      </c>
      <c r="BS111" s="243">
        <f t="shared" si="26"/>
        <v>6.7204193548387095E-2</v>
      </c>
      <c r="BT111">
        <f t="shared" si="27"/>
        <v>6.7204193548387095E-2</v>
      </c>
      <c r="BU111" t="str">
        <f t="shared" si="28"/>
        <v>ok</v>
      </c>
      <c r="BV111">
        <f t="shared" si="29"/>
        <v>0</v>
      </c>
      <c r="BW111">
        <f t="shared" si="30"/>
        <v>0</v>
      </c>
    </row>
    <row r="112" spans="2:75" hidden="1" x14ac:dyDescent="0.25">
      <c r="E112" s="63"/>
      <c r="I112" s="63"/>
      <c r="J112" s="63"/>
      <c r="N112" s="63"/>
      <c r="R112" s="63"/>
      <c r="S112" s="63"/>
      <c r="W112" s="63"/>
      <c r="AQ112" s="63"/>
      <c r="BM112" s="29">
        <v>106</v>
      </c>
      <c r="BN112" s="242">
        <f t="shared" si="31"/>
        <v>42718</v>
      </c>
      <c r="BO112" s="29">
        <f t="shared" si="24"/>
        <v>0</v>
      </c>
      <c r="BP112" s="29">
        <f t="shared" si="23"/>
        <v>0</v>
      </c>
      <c r="BQ112" s="29">
        <f t="shared" si="25"/>
        <v>1</v>
      </c>
      <c r="BR112" s="29">
        <f t="shared" si="32"/>
        <v>75</v>
      </c>
      <c r="BS112" s="243">
        <f t="shared" si="26"/>
        <v>6.7204193548387095E-2</v>
      </c>
      <c r="BT112">
        <f t="shared" si="27"/>
        <v>6.7204193548387095E-2</v>
      </c>
      <c r="BU112" t="str">
        <f t="shared" si="28"/>
        <v>ok</v>
      </c>
      <c r="BV112">
        <f t="shared" si="29"/>
        <v>0</v>
      </c>
      <c r="BW112">
        <f t="shared" si="30"/>
        <v>0</v>
      </c>
    </row>
    <row r="113" spans="5:75" hidden="1" x14ac:dyDescent="0.25">
      <c r="E113" s="63"/>
      <c r="I113" s="63"/>
      <c r="J113" s="63"/>
      <c r="N113" s="63"/>
      <c r="R113" s="63"/>
      <c r="S113" s="63"/>
      <c r="W113" s="63"/>
      <c r="AQ113" s="63"/>
      <c r="BM113" s="29">
        <v>107</v>
      </c>
      <c r="BN113" s="242">
        <f t="shared" si="31"/>
        <v>42719</v>
      </c>
      <c r="BO113" s="29">
        <f t="shared" si="24"/>
        <v>0</v>
      </c>
      <c r="BP113" s="29">
        <f t="shared" si="23"/>
        <v>0</v>
      </c>
      <c r="BQ113" s="29">
        <f t="shared" si="25"/>
        <v>1</v>
      </c>
      <c r="BR113" s="29">
        <f t="shared" si="32"/>
        <v>76</v>
      </c>
      <c r="BS113" s="243">
        <f t="shared" si="26"/>
        <v>6.7204193548387095E-2</v>
      </c>
      <c r="BT113">
        <f t="shared" si="27"/>
        <v>6.7204193548387095E-2</v>
      </c>
      <c r="BU113" t="str">
        <f t="shared" si="28"/>
        <v>ok</v>
      </c>
      <c r="BV113">
        <f t="shared" si="29"/>
        <v>0</v>
      </c>
      <c r="BW113">
        <f t="shared" si="30"/>
        <v>0</v>
      </c>
    </row>
    <row r="114" spans="5:75" hidden="1" x14ac:dyDescent="0.25">
      <c r="AQ114" s="63"/>
      <c r="BM114" s="29">
        <v>108</v>
      </c>
      <c r="BN114" s="242">
        <f t="shared" si="31"/>
        <v>42720</v>
      </c>
      <c r="BO114" s="29">
        <f t="shared" si="24"/>
        <v>0</v>
      </c>
      <c r="BP114" s="29">
        <f t="shared" si="23"/>
        <v>0</v>
      </c>
      <c r="BQ114" s="29">
        <f t="shared" si="25"/>
        <v>1</v>
      </c>
      <c r="BR114" s="29">
        <f t="shared" si="32"/>
        <v>77</v>
      </c>
      <c r="BS114" s="243">
        <f t="shared" si="26"/>
        <v>6.7204193548387095E-2</v>
      </c>
      <c r="BT114">
        <f t="shared" si="27"/>
        <v>6.7204193548387095E-2</v>
      </c>
      <c r="BU114" t="str">
        <f t="shared" si="28"/>
        <v>ok</v>
      </c>
      <c r="BV114">
        <f t="shared" si="29"/>
        <v>0</v>
      </c>
      <c r="BW114">
        <f t="shared" si="30"/>
        <v>0</v>
      </c>
    </row>
    <row r="115" spans="5:75" hidden="1" x14ac:dyDescent="0.25">
      <c r="AQ115" s="63"/>
      <c r="BM115" s="29">
        <v>109</v>
      </c>
      <c r="BN115" s="242">
        <f t="shared" si="31"/>
        <v>42721</v>
      </c>
      <c r="BO115" s="29">
        <f t="shared" si="24"/>
        <v>0</v>
      </c>
      <c r="BP115" s="29">
        <f t="shared" si="23"/>
        <v>0</v>
      </c>
      <c r="BQ115" s="29">
        <f t="shared" si="25"/>
        <v>1</v>
      </c>
      <c r="BR115" s="29">
        <f t="shared" si="32"/>
        <v>78</v>
      </c>
      <c r="BS115" s="243">
        <f t="shared" si="26"/>
        <v>6.7204193548387095E-2</v>
      </c>
      <c r="BT115">
        <f t="shared" si="27"/>
        <v>6.7204193548387095E-2</v>
      </c>
      <c r="BU115" t="str">
        <f t="shared" si="28"/>
        <v>ok</v>
      </c>
      <c r="BV115">
        <f t="shared" si="29"/>
        <v>0</v>
      </c>
      <c r="BW115">
        <f t="shared" si="30"/>
        <v>0</v>
      </c>
    </row>
    <row r="116" spans="5:75" hidden="1" x14ac:dyDescent="0.25">
      <c r="AQ116" s="63"/>
      <c r="BM116" s="29">
        <v>110</v>
      </c>
      <c r="BN116" s="242">
        <f t="shared" si="31"/>
        <v>42722</v>
      </c>
      <c r="BO116" s="29">
        <f t="shared" si="24"/>
        <v>1</v>
      </c>
      <c r="BP116" s="29">
        <f t="shared" si="23"/>
        <v>0</v>
      </c>
      <c r="BQ116" s="29">
        <f t="shared" si="25"/>
        <v>0</v>
      </c>
      <c r="BR116" s="29">
        <f t="shared" si="32"/>
        <v>78</v>
      </c>
      <c r="BS116" s="243">
        <f t="shared" si="26"/>
        <v>6.7204193548387095E-2</v>
      </c>
      <c r="BT116">
        <f t="shared" si="27"/>
        <v>6.7204193548387095E-2</v>
      </c>
      <c r="BU116" t="str">
        <f t="shared" si="28"/>
        <v>ok</v>
      </c>
      <c r="BV116">
        <f t="shared" si="29"/>
        <v>0</v>
      </c>
      <c r="BW116">
        <f t="shared" si="30"/>
        <v>0</v>
      </c>
    </row>
    <row r="117" spans="5:75" hidden="1" x14ac:dyDescent="0.25">
      <c r="AQ117" s="63"/>
      <c r="BM117" s="29">
        <v>111</v>
      </c>
      <c r="BN117" s="242">
        <f t="shared" si="31"/>
        <v>42723</v>
      </c>
      <c r="BO117" s="29">
        <f t="shared" si="24"/>
        <v>1</v>
      </c>
      <c r="BP117" s="29">
        <f t="shared" si="23"/>
        <v>0</v>
      </c>
      <c r="BQ117" s="29">
        <f t="shared" si="25"/>
        <v>0</v>
      </c>
      <c r="BR117" s="29">
        <f t="shared" si="32"/>
        <v>78</v>
      </c>
      <c r="BS117" s="243">
        <f t="shared" si="26"/>
        <v>6.7204193548387095E-2</v>
      </c>
      <c r="BT117">
        <f t="shared" si="27"/>
        <v>6.7204193548387095E-2</v>
      </c>
      <c r="BU117" t="str">
        <f t="shared" si="28"/>
        <v>ok</v>
      </c>
      <c r="BV117">
        <f t="shared" si="29"/>
        <v>0</v>
      </c>
      <c r="BW117">
        <f t="shared" si="30"/>
        <v>0</v>
      </c>
    </row>
    <row r="118" spans="5:75" hidden="1" x14ac:dyDescent="0.25">
      <c r="AQ118" s="63"/>
      <c r="BM118" s="29">
        <v>112</v>
      </c>
      <c r="BN118" s="242">
        <f t="shared" si="31"/>
        <v>42724</v>
      </c>
      <c r="BO118" s="29">
        <f t="shared" si="24"/>
        <v>0</v>
      </c>
      <c r="BP118" s="29">
        <f t="shared" si="23"/>
        <v>0</v>
      </c>
      <c r="BQ118" s="29">
        <f t="shared" si="25"/>
        <v>1</v>
      </c>
      <c r="BR118" s="29">
        <f t="shared" si="32"/>
        <v>79</v>
      </c>
      <c r="BS118" s="243">
        <f t="shared" si="26"/>
        <v>6.7204193548387095E-2</v>
      </c>
      <c r="BT118">
        <f t="shared" si="27"/>
        <v>6.7204193548387095E-2</v>
      </c>
      <c r="BU118" t="str">
        <f t="shared" si="28"/>
        <v>ok</v>
      </c>
      <c r="BV118">
        <f t="shared" si="29"/>
        <v>0</v>
      </c>
      <c r="BW118">
        <f t="shared" si="30"/>
        <v>0</v>
      </c>
    </row>
    <row r="119" spans="5:75" hidden="1" x14ac:dyDescent="0.25">
      <c r="AQ119" s="63"/>
      <c r="BM119" s="29">
        <v>113</v>
      </c>
      <c r="BN119" s="242">
        <f t="shared" si="31"/>
        <v>42725</v>
      </c>
      <c r="BO119" s="29">
        <f t="shared" si="24"/>
        <v>0</v>
      </c>
      <c r="BP119" s="29">
        <f t="shared" si="23"/>
        <v>0</v>
      </c>
      <c r="BQ119" s="29">
        <f t="shared" si="25"/>
        <v>1</v>
      </c>
      <c r="BR119" s="29">
        <f t="shared" si="32"/>
        <v>80</v>
      </c>
      <c r="BS119" s="243">
        <f t="shared" si="26"/>
        <v>6.7204193548387095E-2</v>
      </c>
      <c r="BT119">
        <f t="shared" si="27"/>
        <v>6.7204193548387095E-2</v>
      </c>
      <c r="BU119" t="str">
        <f t="shared" si="28"/>
        <v>ok</v>
      </c>
      <c r="BV119">
        <f t="shared" si="29"/>
        <v>0</v>
      </c>
      <c r="BW119">
        <f t="shared" si="30"/>
        <v>0</v>
      </c>
    </row>
    <row r="120" spans="5:75" hidden="1" x14ac:dyDescent="0.25">
      <c r="AQ120" s="63"/>
      <c r="BM120" s="29">
        <v>114</v>
      </c>
      <c r="BN120" s="242">
        <f t="shared" si="31"/>
        <v>42726</v>
      </c>
      <c r="BO120" s="29">
        <f t="shared" si="24"/>
        <v>0</v>
      </c>
      <c r="BP120" s="29">
        <f t="shared" si="23"/>
        <v>0</v>
      </c>
      <c r="BQ120" s="29">
        <f t="shared" si="25"/>
        <v>1</v>
      </c>
      <c r="BR120" s="29">
        <f t="shared" si="32"/>
        <v>81</v>
      </c>
      <c r="BS120" s="243">
        <f t="shared" si="26"/>
        <v>6.7204193548387095E-2</v>
      </c>
      <c r="BT120">
        <f t="shared" si="27"/>
        <v>6.7204193548387095E-2</v>
      </c>
      <c r="BU120" t="str">
        <f t="shared" si="28"/>
        <v>ok</v>
      </c>
      <c r="BV120">
        <f t="shared" si="29"/>
        <v>0</v>
      </c>
      <c r="BW120">
        <f t="shared" si="30"/>
        <v>0</v>
      </c>
    </row>
    <row r="121" spans="5:75" hidden="1" x14ac:dyDescent="0.25">
      <c r="AQ121" s="63"/>
      <c r="BM121" s="29">
        <v>115</v>
      </c>
      <c r="BN121" s="242">
        <f t="shared" si="31"/>
        <v>42727</v>
      </c>
      <c r="BO121" s="29">
        <f t="shared" si="24"/>
        <v>0</v>
      </c>
      <c r="BP121" s="29">
        <f t="shared" si="23"/>
        <v>0</v>
      </c>
      <c r="BQ121" s="29">
        <f t="shared" si="25"/>
        <v>1</v>
      </c>
      <c r="BR121" s="29">
        <f t="shared" si="32"/>
        <v>82</v>
      </c>
      <c r="BS121" s="243">
        <f t="shared" si="26"/>
        <v>6.7204193548387095E-2</v>
      </c>
      <c r="BT121">
        <f t="shared" si="27"/>
        <v>6.7204193548387095E-2</v>
      </c>
      <c r="BU121" t="str">
        <f t="shared" si="28"/>
        <v>ok</v>
      </c>
      <c r="BV121">
        <f t="shared" si="29"/>
        <v>0</v>
      </c>
      <c r="BW121">
        <f t="shared" si="30"/>
        <v>0</v>
      </c>
    </row>
    <row r="122" spans="5:75" hidden="1" x14ac:dyDescent="0.25">
      <c r="AQ122" s="63"/>
      <c r="BM122" s="29">
        <v>116</v>
      </c>
      <c r="BN122" s="242">
        <f t="shared" si="31"/>
        <v>42728</v>
      </c>
      <c r="BO122" s="29">
        <f t="shared" si="24"/>
        <v>0</v>
      </c>
      <c r="BP122" s="29">
        <f t="shared" si="23"/>
        <v>1</v>
      </c>
      <c r="BQ122" s="29">
        <f t="shared" si="25"/>
        <v>0</v>
      </c>
      <c r="BR122" s="29">
        <f t="shared" si="32"/>
        <v>82</v>
      </c>
      <c r="BS122" s="243">
        <f t="shared" si="26"/>
        <v>6.7204193548387095E-2</v>
      </c>
      <c r="BT122">
        <f t="shared" si="27"/>
        <v>6.7204193548387095E-2</v>
      </c>
      <c r="BU122" t="str">
        <f t="shared" si="28"/>
        <v>ok</v>
      </c>
      <c r="BV122">
        <f t="shared" si="29"/>
        <v>0</v>
      </c>
      <c r="BW122">
        <f t="shared" si="30"/>
        <v>0</v>
      </c>
    </row>
    <row r="123" spans="5:75" hidden="1" x14ac:dyDescent="0.25">
      <c r="AQ123" s="63"/>
      <c r="BM123" s="29">
        <v>117</v>
      </c>
      <c r="BN123" s="242">
        <f t="shared" si="31"/>
        <v>42729</v>
      </c>
      <c r="BO123" s="29">
        <f t="shared" si="24"/>
        <v>1</v>
      </c>
      <c r="BP123" s="29">
        <f t="shared" si="23"/>
        <v>0</v>
      </c>
      <c r="BQ123" s="29">
        <f t="shared" si="25"/>
        <v>0</v>
      </c>
      <c r="BR123" s="29">
        <f t="shared" si="32"/>
        <v>82</v>
      </c>
      <c r="BS123" s="243">
        <f t="shared" si="26"/>
        <v>6.7204193548387095E-2</v>
      </c>
      <c r="BT123">
        <f t="shared" si="27"/>
        <v>6.7204193548387095E-2</v>
      </c>
      <c r="BU123" t="str">
        <f t="shared" si="28"/>
        <v>ok</v>
      </c>
      <c r="BV123">
        <f t="shared" si="29"/>
        <v>0</v>
      </c>
      <c r="BW123">
        <f t="shared" si="30"/>
        <v>0</v>
      </c>
    </row>
    <row r="124" spans="5:75" hidden="1" x14ac:dyDescent="0.25">
      <c r="AQ124" s="63"/>
      <c r="BM124" s="29">
        <v>118</v>
      </c>
      <c r="BN124" s="242">
        <f t="shared" si="31"/>
        <v>42730</v>
      </c>
      <c r="BO124" s="29">
        <f t="shared" si="24"/>
        <v>1</v>
      </c>
      <c r="BP124" s="29">
        <f t="shared" si="23"/>
        <v>0</v>
      </c>
      <c r="BQ124" s="29">
        <f t="shared" si="25"/>
        <v>0</v>
      </c>
      <c r="BR124" s="29">
        <f t="shared" si="32"/>
        <v>82</v>
      </c>
      <c r="BS124" s="243">
        <f t="shared" si="26"/>
        <v>6.7204193548387095E-2</v>
      </c>
      <c r="BT124">
        <f t="shared" si="27"/>
        <v>6.7204193548387095E-2</v>
      </c>
      <c r="BU124" t="str">
        <f t="shared" si="28"/>
        <v>ok</v>
      </c>
      <c r="BV124">
        <f t="shared" si="29"/>
        <v>0</v>
      </c>
      <c r="BW124">
        <f t="shared" si="30"/>
        <v>0</v>
      </c>
    </row>
    <row r="125" spans="5:75" hidden="1" x14ac:dyDescent="0.25">
      <c r="AQ125" s="63"/>
      <c r="BM125" s="29">
        <v>119</v>
      </c>
      <c r="BN125" s="242">
        <f t="shared" si="31"/>
        <v>42731</v>
      </c>
      <c r="BO125" s="29">
        <f t="shared" si="24"/>
        <v>0</v>
      </c>
      <c r="BP125" s="29">
        <f t="shared" si="23"/>
        <v>0</v>
      </c>
      <c r="BQ125" s="29">
        <f t="shared" si="25"/>
        <v>1</v>
      </c>
      <c r="BR125" s="29">
        <f t="shared" si="32"/>
        <v>83</v>
      </c>
      <c r="BS125" s="243">
        <f t="shared" si="26"/>
        <v>6.7204193548387095E-2</v>
      </c>
      <c r="BT125">
        <f t="shared" si="27"/>
        <v>6.7204193548387095E-2</v>
      </c>
      <c r="BU125" t="str">
        <f t="shared" si="28"/>
        <v>ok</v>
      </c>
      <c r="BV125">
        <f t="shared" si="29"/>
        <v>0</v>
      </c>
      <c r="BW125">
        <f t="shared" si="30"/>
        <v>0</v>
      </c>
    </row>
    <row r="126" spans="5:75" hidden="1" x14ac:dyDescent="0.25">
      <c r="AQ126" s="63"/>
      <c r="BM126" s="29">
        <v>120</v>
      </c>
      <c r="BN126" s="242">
        <f t="shared" si="31"/>
        <v>42732</v>
      </c>
      <c r="BO126" s="29">
        <f t="shared" si="24"/>
        <v>0</v>
      </c>
      <c r="BP126" s="29">
        <f t="shared" si="23"/>
        <v>0</v>
      </c>
      <c r="BQ126" s="29">
        <f t="shared" si="25"/>
        <v>1</v>
      </c>
      <c r="BR126" s="29">
        <f t="shared" si="32"/>
        <v>84</v>
      </c>
      <c r="BS126" s="243">
        <f t="shared" si="26"/>
        <v>6.7204193548387095E-2</v>
      </c>
      <c r="BT126">
        <f t="shared" si="27"/>
        <v>6.7204193548387095E-2</v>
      </c>
      <c r="BU126" t="str">
        <f t="shared" si="28"/>
        <v>ok</v>
      </c>
      <c r="BV126">
        <f t="shared" si="29"/>
        <v>0</v>
      </c>
      <c r="BW126">
        <f t="shared" si="30"/>
        <v>0</v>
      </c>
    </row>
    <row r="127" spans="5:75" hidden="1" x14ac:dyDescent="0.25">
      <c r="AQ127" s="63"/>
      <c r="BM127" s="29">
        <v>121</v>
      </c>
      <c r="BN127" s="242">
        <f t="shared" si="31"/>
        <v>42733</v>
      </c>
      <c r="BO127" s="29">
        <f t="shared" si="24"/>
        <v>0</v>
      </c>
      <c r="BP127" s="29">
        <f t="shared" si="23"/>
        <v>0</v>
      </c>
      <c r="BQ127" s="29">
        <f t="shared" si="25"/>
        <v>1</v>
      </c>
      <c r="BR127" s="29">
        <f t="shared" si="32"/>
        <v>85</v>
      </c>
      <c r="BS127" s="243">
        <f t="shared" si="26"/>
        <v>6.7204193548387095E-2</v>
      </c>
      <c r="BT127">
        <f t="shared" si="27"/>
        <v>6.7204193548387095E-2</v>
      </c>
      <c r="BU127" t="str">
        <f t="shared" si="28"/>
        <v>ok</v>
      </c>
      <c r="BV127">
        <f t="shared" si="29"/>
        <v>0</v>
      </c>
      <c r="BW127">
        <f t="shared" si="30"/>
        <v>0</v>
      </c>
    </row>
    <row r="128" spans="5:75" hidden="1" x14ac:dyDescent="0.25">
      <c r="AQ128" s="63"/>
      <c r="BM128" s="29">
        <v>122</v>
      </c>
      <c r="BN128" s="242">
        <f t="shared" si="31"/>
        <v>42734</v>
      </c>
      <c r="BO128" s="29">
        <f t="shared" si="24"/>
        <v>0</v>
      </c>
      <c r="BP128" s="29">
        <f t="shared" si="23"/>
        <v>0</v>
      </c>
      <c r="BQ128" s="29">
        <f t="shared" si="25"/>
        <v>1</v>
      </c>
      <c r="BR128" s="29">
        <f t="shared" si="32"/>
        <v>86</v>
      </c>
      <c r="BS128" s="243">
        <f t="shared" si="26"/>
        <v>6.7204193548387095E-2</v>
      </c>
      <c r="BT128">
        <f t="shared" si="27"/>
        <v>6.7204193548387095E-2</v>
      </c>
      <c r="BU128" t="str">
        <f t="shared" si="28"/>
        <v>ok</v>
      </c>
      <c r="BV128">
        <f t="shared" si="29"/>
        <v>0</v>
      </c>
      <c r="BW128">
        <f t="shared" si="30"/>
        <v>0</v>
      </c>
    </row>
    <row r="129" spans="43:75" hidden="1" x14ac:dyDescent="0.25">
      <c r="AQ129" s="63"/>
      <c r="BM129" s="29">
        <v>123</v>
      </c>
      <c r="BN129" s="242">
        <f t="shared" si="31"/>
        <v>42735</v>
      </c>
      <c r="BO129" s="29">
        <f t="shared" si="24"/>
        <v>0</v>
      </c>
      <c r="BP129" s="29">
        <f t="shared" si="23"/>
        <v>1</v>
      </c>
      <c r="BQ129" s="29">
        <f t="shared" si="25"/>
        <v>0</v>
      </c>
      <c r="BR129" s="29">
        <f t="shared" si="32"/>
        <v>86</v>
      </c>
      <c r="BS129" s="243">
        <f t="shared" si="26"/>
        <v>6.7204193548387095E-2</v>
      </c>
      <c r="BT129">
        <f t="shared" si="27"/>
        <v>6.7204193548387095E-2</v>
      </c>
      <c r="BU129" t="str">
        <f t="shared" si="28"/>
        <v>ok</v>
      </c>
      <c r="BV129">
        <f t="shared" si="29"/>
        <v>0</v>
      </c>
      <c r="BW129">
        <f t="shared" si="30"/>
        <v>0</v>
      </c>
    </row>
    <row r="130" spans="43:75" hidden="1" x14ac:dyDescent="0.25">
      <c r="AQ130" s="63"/>
      <c r="BM130" s="29">
        <v>124</v>
      </c>
      <c r="BN130" s="242">
        <f t="shared" si="31"/>
        <v>42736</v>
      </c>
      <c r="BO130" s="29">
        <f t="shared" si="24"/>
        <v>1</v>
      </c>
      <c r="BP130" s="29">
        <f t="shared" si="23"/>
        <v>0</v>
      </c>
      <c r="BQ130" s="29">
        <f t="shared" si="25"/>
        <v>0</v>
      </c>
      <c r="BR130" s="29">
        <f t="shared" si="32"/>
        <v>86</v>
      </c>
      <c r="BS130" s="243">
        <f t="shared" si="26"/>
        <v>6.7204193548387095E-2</v>
      </c>
      <c r="BT130">
        <f t="shared" si="27"/>
        <v>6.7204193548387095E-2</v>
      </c>
      <c r="BU130" t="str">
        <f t="shared" si="28"/>
        <v>ok</v>
      </c>
      <c r="BV130">
        <f t="shared" si="29"/>
        <v>0</v>
      </c>
      <c r="BW130">
        <f t="shared" si="30"/>
        <v>0</v>
      </c>
    </row>
    <row r="131" spans="43:75" hidden="1" x14ac:dyDescent="0.25">
      <c r="AQ131" s="63"/>
      <c r="BM131" s="29">
        <v>125</v>
      </c>
      <c r="BN131" s="242">
        <f t="shared" si="31"/>
        <v>42737</v>
      </c>
      <c r="BO131" s="29">
        <f t="shared" si="24"/>
        <v>1</v>
      </c>
      <c r="BP131" s="29">
        <f t="shared" si="23"/>
        <v>0</v>
      </c>
      <c r="BQ131" s="29">
        <f t="shared" si="25"/>
        <v>0</v>
      </c>
      <c r="BR131" s="29">
        <f t="shared" si="32"/>
        <v>86</v>
      </c>
      <c r="BS131" s="243">
        <f t="shared" si="26"/>
        <v>6.7204193548387095E-2</v>
      </c>
      <c r="BT131">
        <f t="shared" si="27"/>
        <v>6.7204193548387095E-2</v>
      </c>
      <c r="BU131" t="str">
        <f t="shared" si="28"/>
        <v>ok</v>
      </c>
      <c r="BV131">
        <f t="shared" si="29"/>
        <v>0</v>
      </c>
      <c r="BW131">
        <f t="shared" si="30"/>
        <v>0</v>
      </c>
    </row>
    <row r="132" spans="43:75" hidden="1" x14ac:dyDescent="0.25">
      <c r="AQ132" s="63"/>
      <c r="BM132" s="29">
        <v>126</v>
      </c>
      <c r="BN132" s="242">
        <f t="shared" si="31"/>
        <v>42738</v>
      </c>
      <c r="BO132" s="29">
        <f t="shared" si="24"/>
        <v>0</v>
      </c>
      <c r="BP132" s="29">
        <f t="shared" si="23"/>
        <v>0</v>
      </c>
      <c r="BQ132" s="29">
        <f t="shared" si="25"/>
        <v>1</v>
      </c>
      <c r="BR132" s="29">
        <f t="shared" si="32"/>
        <v>87</v>
      </c>
      <c r="BS132" s="243">
        <f t="shared" si="26"/>
        <v>6.7204193548387095E-2</v>
      </c>
      <c r="BT132">
        <f t="shared" si="27"/>
        <v>6.7204193548387095E-2</v>
      </c>
      <c r="BU132" t="str">
        <f t="shared" si="28"/>
        <v>ok</v>
      </c>
      <c r="BV132">
        <f t="shared" si="29"/>
        <v>0</v>
      </c>
      <c r="BW132">
        <f t="shared" si="30"/>
        <v>0</v>
      </c>
    </row>
    <row r="133" spans="43:75" hidden="1" x14ac:dyDescent="0.25">
      <c r="AQ133" s="63"/>
      <c r="BM133" s="29">
        <v>127</v>
      </c>
      <c r="BN133" s="242">
        <f t="shared" si="31"/>
        <v>42739</v>
      </c>
      <c r="BO133" s="29">
        <f t="shared" si="24"/>
        <v>0</v>
      </c>
      <c r="BP133" s="29">
        <f t="shared" si="23"/>
        <v>0</v>
      </c>
      <c r="BQ133" s="29">
        <f t="shared" si="25"/>
        <v>1</v>
      </c>
      <c r="BR133" s="29">
        <f t="shared" si="32"/>
        <v>88</v>
      </c>
      <c r="BS133" s="243">
        <f t="shared" si="26"/>
        <v>6.7204193548387095E-2</v>
      </c>
      <c r="BT133">
        <f t="shared" si="27"/>
        <v>6.7204193548387095E-2</v>
      </c>
      <c r="BU133" t="str">
        <f t="shared" si="28"/>
        <v>ok</v>
      </c>
      <c r="BV133">
        <f t="shared" si="29"/>
        <v>0</v>
      </c>
      <c r="BW133">
        <f t="shared" si="30"/>
        <v>0</v>
      </c>
    </row>
    <row r="134" spans="43:75" hidden="1" x14ac:dyDescent="0.25">
      <c r="AQ134" s="63"/>
      <c r="BM134" s="29">
        <v>128</v>
      </c>
      <c r="BN134" s="242">
        <f t="shared" si="31"/>
        <v>42740</v>
      </c>
      <c r="BO134" s="29">
        <f t="shared" si="24"/>
        <v>0</v>
      </c>
      <c r="BP134" s="29">
        <f t="shared" si="23"/>
        <v>0</v>
      </c>
      <c r="BQ134" s="29">
        <f t="shared" si="25"/>
        <v>1</v>
      </c>
      <c r="BR134" s="29">
        <f t="shared" si="32"/>
        <v>89</v>
      </c>
      <c r="BS134" s="243">
        <f t="shared" si="26"/>
        <v>6.7204193548387095E-2</v>
      </c>
      <c r="BT134">
        <f t="shared" si="27"/>
        <v>6.7204193548387095E-2</v>
      </c>
      <c r="BU134" t="str">
        <f t="shared" si="28"/>
        <v>ok</v>
      </c>
      <c r="BV134">
        <f t="shared" si="29"/>
        <v>0</v>
      </c>
      <c r="BW134">
        <f t="shared" si="30"/>
        <v>0</v>
      </c>
    </row>
    <row r="135" spans="43:75" hidden="1" x14ac:dyDescent="0.25">
      <c r="AQ135" s="63"/>
      <c r="BM135" s="29">
        <v>129</v>
      </c>
      <c r="BN135" s="242">
        <f t="shared" si="31"/>
        <v>42741</v>
      </c>
      <c r="BO135" s="29">
        <f t="shared" si="24"/>
        <v>0</v>
      </c>
      <c r="BP135" s="29">
        <f t="shared" ref="BP135:BP198" si="33">IF(BO135=1,0,COUNTIF(tab_ferie,BN135))</f>
        <v>0</v>
      </c>
      <c r="BQ135" s="29">
        <f t="shared" si="25"/>
        <v>1</v>
      </c>
      <c r="BR135" s="29">
        <f t="shared" si="32"/>
        <v>90</v>
      </c>
      <c r="BS135" s="243">
        <f t="shared" si="26"/>
        <v>6.7204193548387095E-2</v>
      </c>
      <c r="BT135">
        <f t="shared" si="27"/>
        <v>6.7204193548387095E-2</v>
      </c>
      <c r="BU135" t="str">
        <f t="shared" si="28"/>
        <v>ok</v>
      </c>
      <c r="BV135">
        <f t="shared" si="29"/>
        <v>0</v>
      </c>
      <c r="BW135">
        <f t="shared" si="30"/>
        <v>0</v>
      </c>
    </row>
    <row r="136" spans="43:75" hidden="1" x14ac:dyDescent="0.25">
      <c r="AQ136" s="63"/>
      <c r="BM136" s="29">
        <v>130</v>
      </c>
      <c r="BN136" s="242">
        <f t="shared" si="31"/>
        <v>42742</v>
      </c>
      <c r="BO136" s="29">
        <f t="shared" ref="BO136:BO199" si="34">IF(OR(WEEKDAY(BN136)=1,WEEKDAY(BN136)=7),1,0)</f>
        <v>0</v>
      </c>
      <c r="BP136" s="29">
        <f t="shared" si="33"/>
        <v>0</v>
      </c>
      <c r="BQ136" s="29">
        <f t="shared" ref="BQ136:BQ199" si="35">IF(AND(BN136&gt;=$AF$5,BN136&lt;=$AF$6),IF(BO136+BP136=0,1,0),0)</f>
        <v>1</v>
      </c>
      <c r="BR136" s="29">
        <f t="shared" si="32"/>
        <v>91</v>
      </c>
      <c r="BS136" s="243">
        <f t="shared" ref="BS136:BS199" si="36">2.08333/(EOMONTH(BN136,0)-(EOMONTH(BN136,-1)))</f>
        <v>6.7204193548387095E-2</v>
      </c>
      <c r="BT136">
        <f t="shared" ref="BT136:BT199" si="37">IF(AND(BN136&gt;=$AF$5,BN136&lt;=$AF$6),BS136,0)</f>
        <v>6.7204193548387095E-2</v>
      </c>
      <c r="BU136" t="str">
        <f t="shared" ref="BU136:BU199" si="38">IF(OR(MONTH(BN136)&gt;=10,MONTH(BN136)&lt;=5),"ok","non")</f>
        <v>ok</v>
      </c>
      <c r="BV136">
        <f t="shared" ref="BV136:BV199" si="39">IF(BU136="ok",$CC$30/(EOMONTH(BN136,0)-(EOMONTH(BN136,-1))),0)</f>
        <v>0</v>
      </c>
      <c r="BW136">
        <f t="shared" ref="BW136:BW199" si="40">IF(AND(BN136&gt;=$AF$5,BN136&lt;=$AF$6),BV136,0)</f>
        <v>0</v>
      </c>
    </row>
    <row r="137" spans="43:75" hidden="1" x14ac:dyDescent="0.25">
      <c r="AQ137" s="63"/>
      <c r="BM137" s="29">
        <v>131</v>
      </c>
      <c r="BN137" s="242">
        <f t="shared" ref="BN137:BN200" si="41">BN136+1</f>
        <v>42743</v>
      </c>
      <c r="BO137" s="29">
        <f t="shared" si="34"/>
        <v>1</v>
      </c>
      <c r="BP137" s="29">
        <f t="shared" si="33"/>
        <v>0</v>
      </c>
      <c r="BQ137" s="29">
        <f t="shared" si="35"/>
        <v>0</v>
      </c>
      <c r="BR137" s="29">
        <f t="shared" ref="BR137:BR200" si="42">BR136+1-BP137-BO137</f>
        <v>91</v>
      </c>
      <c r="BS137" s="243">
        <f t="shared" si="36"/>
        <v>6.7204193548387095E-2</v>
      </c>
      <c r="BT137">
        <f t="shared" si="37"/>
        <v>6.7204193548387095E-2</v>
      </c>
      <c r="BU137" t="str">
        <f t="shared" si="38"/>
        <v>ok</v>
      </c>
      <c r="BV137">
        <f t="shared" si="39"/>
        <v>0</v>
      </c>
      <c r="BW137">
        <f t="shared" si="40"/>
        <v>0</v>
      </c>
    </row>
    <row r="138" spans="43:75" hidden="1" x14ac:dyDescent="0.25">
      <c r="AQ138" s="63"/>
      <c r="BM138" s="29">
        <v>132</v>
      </c>
      <c r="BN138" s="242">
        <f t="shared" si="41"/>
        <v>42744</v>
      </c>
      <c r="BO138" s="29">
        <f t="shared" si="34"/>
        <v>1</v>
      </c>
      <c r="BP138" s="29">
        <f t="shared" si="33"/>
        <v>0</v>
      </c>
      <c r="BQ138" s="29">
        <f t="shared" si="35"/>
        <v>0</v>
      </c>
      <c r="BR138" s="29">
        <f t="shared" si="42"/>
        <v>91</v>
      </c>
      <c r="BS138" s="243">
        <f t="shared" si="36"/>
        <v>6.7204193548387095E-2</v>
      </c>
      <c r="BT138">
        <f t="shared" si="37"/>
        <v>6.7204193548387095E-2</v>
      </c>
      <c r="BU138" t="str">
        <f t="shared" si="38"/>
        <v>ok</v>
      </c>
      <c r="BV138">
        <f t="shared" si="39"/>
        <v>0</v>
      </c>
      <c r="BW138">
        <f t="shared" si="40"/>
        <v>0</v>
      </c>
    </row>
    <row r="139" spans="43:75" hidden="1" x14ac:dyDescent="0.25">
      <c r="AQ139" s="63"/>
      <c r="BM139" s="29">
        <v>133</v>
      </c>
      <c r="BN139" s="242">
        <f t="shared" si="41"/>
        <v>42745</v>
      </c>
      <c r="BO139" s="29">
        <f t="shared" si="34"/>
        <v>0</v>
      </c>
      <c r="BP139" s="29">
        <f t="shared" si="33"/>
        <v>0</v>
      </c>
      <c r="BQ139" s="29">
        <f t="shared" si="35"/>
        <v>1</v>
      </c>
      <c r="BR139" s="29">
        <f t="shared" si="42"/>
        <v>92</v>
      </c>
      <c r="BS139" s="243">
        <f t="shared" si="36"/>
        <v>6.7204193548387095E-2</v>
      </c>
      <c r="BT139">
        <f t="shared" si="37"/>
        <v>6.7204193548387095E-2</v>
      </c>
      <c r="BU139" t="str">
        <f t="shared" si="38"/>
        <v>ok</v>
      </c>
      <c r="BV139">
        <f t="shared" si="39"/>
        <v>0</v>
      </c>
      <c r="BW139">
        <f t="shared" si="40"/>
        <v>0</v>
      </c>
    </row>
    <row r="140" spans="43:75" x14ac:dyDescent="0.25">
      <c r="AQ140" s="63"/>
      <c r="BM140" s="29">
        <v>134</v>
      </c>
      <c r="BN140" s="242">
        <f t="shared" si="41"/>
        <v>42746</v>
      </c>
      <c r="BO140" s="29">
        <f t="shared" si="34"/>
        <v>0</v>
      </c>
      <c r="BP140" s="29">
        <f t="shared" si="33"/>
        <v>0</v>
      </c>
      <c r="BQ140" s="29">
        <f t="shared" si="35"/>
        <v>1</v>
      </c>
      <c r="BR140" s="29">
        <f t="shared" si="42"/>
        <v>93</v>
      </c>
      <c r="BS140" s="243">
        <f t="shared" si="36"/>
        <v>6.7204193548387095E-2</v>
      </c>
      <c r="BT140">
        <f t="shared" si="37"/>
        <v>6.7204193548387095E-2</v>
      </c>
      <c r="BU140" t="str">
        <f t="shared" si="38"/>
        <v>ok</v>
      </c>
      <c r="BV140">
        <f t="shared" si="39"/>
        <v>0</v>
      </c>
      <c r="BW140">
        <f t="shared" si="40"/>
        <v>0</v>
      </c>
    </row>
    <row r="141" spans="43:75" x14ac:dyDescent="0.25">
      <c r="AQ141" s="63"/>
      <c r="BM141" s="29">
        <v>135</v>
      </c>
      <c r="BN141" s="242">
        <f t="shared" si="41"/>
        <v>42747</v>
      </c>
      <c r="BO141" s="29">
        <f t="shared" si="34"/>
        <v>0</v>
      </c>
      <c r="BP141" s="29">
        <f t="shared" si="33"/>
        <v>0</v>
      </c>
      <c r="BQ141" s="29">
        <f t="shared" si="35"/>
        <v>1</v>
      </c>
      <c r="BR141" s="29">
        <f t="shared" si="42"/>
        <v>94</v>
      </c>
      <c r="BS141" s="243">
        <f t="shared" si="36"/>
        <v>6.7204193548387095E-2</v>
      </c>
      <c r="BT141">
        <f t="shared" si="37"/>
        <v>6.7204193548387095E-2</v>
      </c>
      <c r="BU141" t="str">
        <f t="shared" si="38"/>
        <v>ok</v>
      </c>
      <c r="BV141">
        <f t="shared" si="39"/>
        <v>0</v>
      </c>
      <c r="BW141">
        <f t="shared" si="40"/>
        <v>0</v>
      </c>
    </row>
    <row r="142" spans="43:75" x14ac:dyDescent="0.25">
      <c r="AQ142" s="63"/>
      <c r="BM142" s="29">
        <v>136</v>
      </c>
      <c r="BN142" s="242">
        <f t="shared" si="41"/>
        <v>42748</v>
      </c>
      <c r="BO142" s="29">
        <f t="shared" si="34"/>
        <v>0</v>
      </c>
      <c r="BP142" s="29">
        <f t="shared" si="33"/>
        <v>0</v>
      </c>
      <c r="BQ142" s="29">
        <f t="shared" si="35"/>
        <v>1</v>
      </c>
      <c r="BR142" s="29">
        <f t="shared" si="42"/>
        <v>95</v>
      </c>
      <c r="BS142" s="243">
        <f t="shared" si="36"/>
        <v>6.7204193548387095E-2</v>
      </c>
      <c r="BT142">
        <f t="shared" si="37"/>
        <v>6.7204193548387095E-2</v>
      </c>
      <c r="BU142" t="str">
        <f t="shared" si="38"/>
        <v>ok</v>
      </c>
      <c r="BV142">
        <f t="shared" si="39"/>
        <v>0</v>
      </c>
      <c r="BW142">
        <f t="shared" si="40"/>
        <v>0</v>
      </c>
    </row>
    <row r="143" spans="43:75" x14ac:dyDescent="0.25">
      <c r="AQ143" s="63"/>
      <c r="BM143" s="29">
        <v>137</v>
      </c>
      <c r="BN143" s="242">
        <f t="shared" si="41"/>
        <v>42749</v>
      </c>
      <c r="BO143" s="29">
        <f t="shared" si="34"/>
        <v>0</v>
      </c>
      <c r="BP143" s="29">
        <f t="shared" si="33"/>
        <v>0</v>
      </c>
      <c r="BQ143" s="29">
        <f t="shared" si="35"/>
        <v>1</v>
      </c>
      <c r="BR143" s="29">
        <f t="shared" si="42"/>
        <v>96</v>
      </c>
      <c r="BS143" s="243">
        <f t="shared" si="36"/>
        <v>6.7204193548387095E-2</v>
      </c>
      <c r="BT143">
        <f t="shared" si="37"/>
        <v>6.7204193548387095E-2</v>
      </c>
      <c r="BU143" t="str">
        <f t="shared" si="38"/>
        <v>ok</v>
      </c>
      <c r="BV143">
        <f t="shared" si="39"/>
        <v>0</v>
      </c>
      <c r="BW143">
        <f t="shared" si="40"/>
        <v>0</v>
      </c>
    </row>
    <row r="144" spans="43:75" x14ac:dyDescent="0.25">
      <c r="AQ144" s="63"/>
      <c r="BM144" s="29">
        <v>138</v>
      </c>
      <c r="BN144" s="242">
        <f t="shared" si="41"/>
        <v>42750</v>
      </c>
      <c r="BO144" s="29">
        <f t="shared" si="34"/>
        <v>1</v>
      </c>
      <c r="BP144" s="29">
        <f t="shared" si="33"/>
        <v>0</v>
      </c>
      <c r="BQ144" s="29">
        <f t="shared" si="35"/>
        <v>0</v>
      </c>
      <c r="BR144" s="29">
        <f t="shared" si="42"/>
        <v>96</v>
      </c>
      <c r="BS144" s="243">
        <f t="shared" si="36"/>
        <v>6.7204193548387095E-2</v>
      </c>
      <c r="BT144">
        <f t="shared" si="37"/>
        <v>6.7204193548387095E-2</v>
      </c>
      <c r="BU144" t="str">
        <f t="shared" si="38"/>
        <v>ok</v>
      </c>
      <c r="BV144">
        <f t="shared" si="39"/>
        <v>0</v>
      </c>
      <c r="BW144">
        <f t="shared" si="40"/>
        <v>0</v>
      </c>
    </row>
    <row r="145" spans="43:75" x14ac:dyDescent="0.25">
      <c r="AQ145" s="63"/>
      <c r="BM145" s="29">
        <v>139</v>
      </c>
      <c r="BN145" s="242">
        <f t="shared" si="41"/>
        <v>42751</v>
      </c>
      <c r="BO145" s="29">
        <f t="shared" si="34"/>
        <v>1</v>
      </c>
      <c r="BP145" s="29">
        <f t="shared" si="33"/>
        <v>0</v>
      </c>
      <c r="BQ145" s="29">
        <f t="shared" si="35"/>
        <v>0</v>
      </c>
      <c r="BR145" s="29">
        <f t="shared" si="42"/>
        <v>96</v>
      </c>
      <c r="BS145" s="243">
        <f t="shared" si="36"/>
        <v>6.7204193548387095E-2</v>
      </c>
      <c r="BT145">
        <f t="shared" si="37"/>
        <v>6.7204193548387095E-2</v>
      </c>
      <c r="BU145" t="str">
        <f t="shared" si="38"/>
        <v>ok</v>
      </c>
      <c r="BV145">
        <f t="shared" si="39"/>
        <v>0</v>
      </c>
      <c r="BW145">
        <f t="shared" si="40"/>
        <v>0</v>
      </c>
    </row>
    <row r="146" spans="43:75" x14ac:dyDescent="0.25">
      <c r="AQ146" s="63"/>
      <c r="BM146" s="29">
        <v>140</v>
      </c>
      <c r="BN146" s="242">
        <f t="shared" si="41"/>
        <v>42752</v>
      </c>
      <c r="BO146" s="29">
        <f t="shared" si="34"/>
        <v>0</v>
      </c>
      <c r="BP146" s="29">
        <f t="shared" si="33"/>
        <v>0</v>
      </c>
      <c r="BQ146" s="29">
        <f t="shared" si="35"/>
        <v>1</v>
      </c>
      <c r="BR146" s="29">
        <f t="shared" si="42"/>
        <v>97</v>
      </c>
      <c r="BS146" s="243">
        <f t="shared" si="36"/>
        <v>6.7204193548387095E-2</v>
      </c>
      <c r="BT146">
        <f t="shared" si="37"/>
        <v>6.7204193548387095E-2</v>
      </c>
      <c r="BU146" t="str">
        <f t="shared" si="38"/>
        <v>ok</v>
      </c>
      <c r="BV146">
        <f t="shared" si="39"/>
        <v>0</v>
      </c>
      <c r="BW146">
        <f t="shared" si="40"/>
        <v>0</v>
      </c>
    </row>
    <row r="147" spans="43:75" x14ac:dyDescent="0.25">
      <c r="AQ147" s="63"/>
      <c r="BM147" s="29">
        <v>141</v>
      </c>
      <c r="BN147" s="242">
        <f t="shared" si="41"/>
        <v>42753</v>
      </c>
      <c r="BO147" s="29">
        <f t="shared" si="34"/>
        <v>0</v>
      </c>
      <c r="BP147" s="29">
        <f t="shared" si="33"/>
        <v>0</v>
      </c>
      <c r="BQ147" s="29">
        <f t="shared" si="35"/>
        <v>1</v>
      </c>
      <c r="BR147" s="29">
        <f t="shared" si="42"/>
        <v>98</v>
      </c>
      <c r="BS147" s="243">
        <f t="shared" si="36"/>
        <v>6.7204193548387095E-2</v>
      </c>
      <c r="BT147">
        <f t="shared" si="37"/>
        <v>6.7204193548387095E-2</v>
      </c>
      <c r="BU147" t="str">
        <f t="shared" si="38"/>
        <v>ok</v>
      </c>
      <c r="BV147">
        <f t="shared" si="39"/>
        <v>0</v>
      </c>
      <c r="BW147">
        <f t="shared" si="40"/>
        <v>0</v>
      </c>
    </row>
    <row r="148" spans="43:75" x14ac:dyDescent="0.25">
      <c r="AQ148" s="63"/>
      <c r="BM148" s="29">
        <v>142</v>
      </c>
      <c r="BN148" s="242">
        <f t="shared" si="41"/>
        <v>42754</v>
      </c>
      <c r="BO148" s="29">
        <f t="shared" si="34"/>
        <v>0</v>
      </c>
      <c r="BP148" s="29">
        <f t="shared" si="33"/>
        <v>0</v>
      </c>
      <c r="BQ148" s="29">
        <f t="shared" si="35"/>
        <v>1</v>
      </c>
      <c r="BR148" s="29">
        <f t="shared" si="42"/>
        <v>99</v>
      </c>
      <c r="BS148" s="243">
        <f t="shared" si="36"/>
        <v>6.7204193548387095E-2</v>
      </c>
      <c r="BT148">
        <f t="shared" si="37"/>
        <v>6.7204193548387095E-2</v>
      </c>
      <c r="BU148" t="str">
        <f t="shared" si="38"/>
        <v>ok</v>
      </c>
      <c r="BV148">
        <f t="shared" si="39"/>
        <v>0</v>
      </c>
      <c r="BW148">
        <f t="shared" si="40"/>
        <v>0</v>
      </c>
    </row>
    <row r="149" spans="43:75" x14ac:dyDescent="0.25">
      <c r="AQ149" s="63"/>
      <c r="BM149" s="29">
        <v>143</v>
      </c>
      <c r="BN149" s="242">
        <f t="shared" si="41"/>
        <v>42755</v>
      </c>
      <c r="BO149" s="29">
        <f t="shared" si="34"/>
        <v>0</v>
      </c>
      <c r="BP149" s="29">
        <f t="shared" si="33"/>
        <v>0</v>
      </c>
      <c r="BQ149" s="29">
        <f t="shared" si="35"/>
        <v>1</v>
      </c>
      <c r="BR149" s="29">
        <f t="shared" si="42"/>
        <v>100</v>
      </c>
      <c r="BS149" s="243">
        <f t="shared" si="36"/>
        <v>6.7204193548387095E-2</v>
      </c>
      <c r="BT149">
        <f t="shared" si="37"/>
        <v>6.7204193548387095E-2</v>
      </c>
      <c r="BU149" t="str">
        <f t="shared" si="38"/>
        <v>ok</v>
      </c>
      <c r="BV149">
        <f t="shared" si="39"/>
        <v>0</v>
      </c>
      <c r="BW149">
        <f t="shared" si="40"/>
        <v>0</v>
      </c>
    </row>
    <row r="150" spans="43:75" x14ac:dyDescent="0.25">
      <c r="AQ150" s="63"/>
      <c r="BM150" s="29">
        <v>144</v>
      </c>
      <c r="BN150" s="242">
        <f t="shared" si="41"/>
        <v>42756</v>
      </c>
      <c r="BO150" s="29">
        <f t="shared" si="34"/>
        <v>0</v>
      </c>
      <c r="BP150" s="29">
        <f t="shared" si="33"/>
        <v>0</v>
      </c>
      <c r="BQ150" s="29">
        <f t="shared" si="35"/>
        <v>1</v>
      </c>
      <c r="BR150" s="29">
        <f t="shared" si="42"/>
        <v>101</v>
      </c>
      <c r="BS150" s="243">
        <f t="shared" si="36"/>
        <v>6.7204193548387095E-2</v>
      </c>
      <c r="BT150">
        <f t="shared" si="37"/>
        <v>6.7204193548387095E-2</v>
      </c>
      <c r="BU150" t="str">
        <f t="shared" si="38"/>
        <v>ok</v>
      </c>
      <c r="BV150">
        <f t="shared" si="39"/>
        <v>0</v>
      </c>
      <c r="BW150">
        <f t="shared" si="40"/>
        <v>0</v>
      </c>
    </row>
    <row r="151" spans="43:75" x14ac:dyDescent="0.25">
      <c r="AQ151" s="63"/>
      <c r="BM151" s="29">
        <v>145</v>
      </c>
      <c r="BN151" s="242">
        <f t="shared" si="41"/>
        <v>42757</v>
      </c>
      <c r="BO151" s="29">
        <f t="shared" si="34"/>
        <v>1</v>
      </c>
      <c r="BP151" s="29">
        <f t="shared" si="33"/>
        <v>0</v>
      </c>
      <c r="BQ151" s="29">
        <f t="shared" si="35"/>
        <v>0</v>
      </c>
      <c r="BR151" s="29">
        <f t="shared" si="42"/>
        <v>101</v>
      </c>
      <c r="BS151" s="243">
        <f t="shared" si="36"/>
        <v>6.7204193548387095E-2</v>
      </c>
      <c r="BT151">
        <f t="shared" si="37"/>
        <v>6.7204193548387095E-2</v>
      </c>
      <c r="BU151" t="str">
        <f t="shared" si="38"/>
        <v>ok</v>
      </c>
      <c r="BV151">
        <f t="shared" si="39"/>
        <v>0</v>
      </c>
      <c r="BW151">
        <f t="shared" si="40"/>
        <v>0</v>
      </c>
    </row>
    <row r="152" spans="43:75" x14ac:dyDescent="0.25">
      <c r="AQ152" s="63"/>
      <c r="BM152" s="29">
        <v>146</v>
      </c>
      <c r="BN152" s="242">
        <f t="shared" si="41"/>
        <v>42758</v>
      </c>
      <c r="BO152" s="29">
        <f t="shared" si="34"/>
        <v>1</v>
      </c>
      <c r="BP152" s="29">
        <f t="shared" si="33"/>
        <v>0</v>
      </c>
      <c r="BQ152" s="29">
        <f t="shared" si="35"/>
        <v>0</v>
      </c>
      <c r="BR152" s="29">
        <f t="shared" si="42"/>
        <v>101</v>
      </c>
      <c r="BS152" s="243">
        <f t="shared" si="36"/>
        <v>6.7204193548387095E-2</v>
      </c>
      <c r="BT152">
        <f t="shared" si="37"/>
        <v>6.7204193548387095E-2</v>
      </c>
      <c r="BU152" t="str">
        <f t="shared" si="38"/>
        <v>ok</v>
      </c>
      <c r="BV152">
        <f t="shared" si="39"/>
        <v>0</v>
      </c>
      <c r="BW152">
        <f t="shared" si="40"/>
        <v>0</v>
      </c>
    </row>
    <row r="153" spans="43:75" x14ac:dyDescent="0.25">
      <c r="AQ153" s="63"/>
      <c r="BM153" s="29">
        <v>147</v>
      </c>
      <c r="BN153" s="242">
        <f t="shared" si="41"/>
        <v>42759</v>
      </c>
      <c r="BO153" s="29">
        <f t="shared" si="34"/>
        <v>0</v>
      </c>
      <c r="BP153" s="29">
        <f t="shared" si="33"/>
        <v>0</v>
      </c>
      <c r="BQ153" s="29">
        <f t="shared" si="35"/>
        <v>1</v>
      </c>
      <c r="BR153" s="29">
        <f t="shared" si="42"/>
        <v>102</v>
      </c>
      <c r="BS153" s="243">
        <f t="shared" si="36"/>
        <v>6.7204193548387095E-2</v>
      </c>
      <c r="BT153">
        <f t="shared" si="37"/>
        <v>6.7204193548387095E-2</v>
      </c>
      <c r="BU153" t="str">
        <f t="shared" si="38"/>
        <v>ok</v>
      </c>
      <c r="BV153">
        <f t="shared" si="39"/>
        <v>0</v>
      </c>
      <c r="BW153">
        <f t="shared" si="40"/>
        <v>0</v>
      </c>
    </row>
    <row r="154" spans="43:75" x14ac:dyDescent="0.25">
      <c r="AQ154" s="63"/>
      <c r="BM154" s="29">
        <v>148</v>
      </c>
      <c r="BN154" s="242">
        <f t="shared" si="41"/>
        <v>42760</v>
      </c>
      <c r="BO154" s="29">
        <f t="shared" si="34"/>
        <v>0</v>
      </c>
      <c r="BP154" s="29">
        <f t="shared" si="33"/>
        <v>0</v>
      </c>
      <c r="BQ154" s="29">
        <f t="shared" si="35"/>
        <v>1</v>
      </c>
      <c r="BR154" s="29">
        <f t="shared" si="42"/>
        <v>103</v>
      </c>
      <c r="BS154" s="243">
        <f t="shared" si="36"/>
        <v>6.7204193548387095E-2</v>
      </c>
      <c r="BT154">
        <f t="shared" si="37"/>
        <v>6.7204193548387095E-2</v>
      </c>
      <c r="BU154" t="str">
        <f t="shared" si="38"/>
        <v>ok</v>
      </c>
      <c r="BV154">
        <f t="shared" si="39"/>
        <v>0</v>
      </c>
      <c r="BW154">
        <f t="shared" si="40"/>
        <v>0</v>
      </c>
    </row>
    <row r="155" spans="43:75" x14ac:dyDescent="0.25">
      <c r="AQ155" s="63"/>
      <c r="BM155" s="29">
        <v>149</v>
      </c>
      <c r="BN155" s="242">
        <f t="shared" si="41"/>
        <v>42761</v>
      </c>
      <c r="BO155" s="29">
        <f t="shared" si="34"/>
        <v>0</v>
      </c>
      <c r="BP155" s="29">
        <f t="shared" si="33"/>
        <v>0</v>
      </c>
      <c r="BQ155" s="29">
        <f t="shared" si="35"/>
        <v>1</v>
      </c>
      <c r="BR155" s="29">
        <f t="shared" si="42"/>
        <v>104</v>
      </c>
      <c r="BS155" s="243">
        <f t="shared" si="36"/>
        <v>6.7204193548387095E-2</v>
      </c>
      <c r="BT155">
        <f t="shared" si="37"/>
        <v>6.7204193548387095E-2</v>
      </c>
      <c r="BU155" t="str">
        <f t="shared" si="38"/>
        <v>ok</v>
      </c>
      <c r="BV155">
        <f t="shared" si="39"/>
        <v>0</v>
      </c>
      <c r="BW155">
        <f t="shared" si="40"/>
        <v>0</v>
      </c>
    </row>
    <row r="156" spans="43:75" x14ac:dyDescent="0.25">
      <c r="AQ156" s="63"/>
      <c r="BM156" s="29">
        <v>150</v>
      </c>
      <c r="BN156" s="242">
        <f t="shared" si="41"/>
        <v>42762</v>
      </c>
      <c r="BO156" s="29">
        <f t="shared" si="34"/>
        <v>0</v>
      </c>
      <c r="BP156" s="29">
        <f t="shared" si="33"/>
        <v>0</v>
      </c>
      <c r="BQ156" s="29">
        <f t="shared" si="35"/>
        <v>1</v>
      </c>
      <c r="BR156" s="29">
        <f t="shared" si="42"/>
        <v>105</v>
      </c>
      <c r="BS156" s="243">
        <f t="shared" si="36"/>
        <v>6.7204193548387095E-2</v>
      </c>
      <c r="BT156">
        <f t="shared" si="37"/>
        <v>6.7204193548387095E-2</v>
      </c>
      <c r="BU156" t="str">
        <f t="shared" si="38"/>
        <v>ok</v>
      </c>
      <c r="BV156">
        <f t="shared" si="39"/>
        <v>0</v>
      </c>
      <c r="BW156">
        <f t="shared" si="40"/>
        <v>0</v>
      </c>
    </row>
    <row r="157" spans="43:75" x14ac:dyDescent="0.25">
      <c r="AQ157" s="63"/>
      <c r="BM157" s="29">
        <v>151</v>
      </c>
      <c r="BN157" s="242">
        <f t="shared" si="41"/>
        <v>42763</v>
      </c>
      <c r="BO157" s="29">
        <f t="shared" si="34"/>
        <v>0</v>
      </c>
      <c r="BP157" s="29">
        <f t="shared" si="33"/>
        <v>0</v>
      </c>
      <c r="BQ157" s="29">
        <f t="shared" si="35"/>
        <v>1</v>
      </c>
      <c r="BR157" s="29">
        <f t="shared" si="42"/>
        <v>106</v>
      </c>
      <c r="BS157" s="243">
        <f t="shared" si="36"/>
        <v>6.7204193548387095E-2</v>
      </c>
      <c r="BT157">
        <f t="shared" si="37"/>
        <v>6.7204193548387095E-2</v>
      </c>
      <c r="BU157" t="str">
        <f t="shared" si="38"/>
        <v>ok</v>
      </c>
      <c r="BV157">
        <f t="shared" si="39"/>
        <v>0</v>
      </c>
      <c r="BW157">
        <f t="shared" si="40"/>
        <v>0</v>
      </c>
    </row>
    <row r="158" spans="43:75" x14ac:dyDescent="0.25">
      <c r="AQ158" s="63"/>
      <c r="BM158" s="29">
        <v>152</v>
      </c>
      <c r="BN158" s="242">
        <f t="shared" si="41"/>
        <v>42764</v>
      </c>
      <c r="BO158" s="29">
        <f t="shared" si="34"/>
        <v>1</v>
      </c>
      <c r="BP158" s="29">
        <f t="shared" si="33"/>
        <v>0</v>
      </c>
      <c r="BQ158" s="29">
        <f t="shared" si="35"/>
        <v>0</v>
      </c>
      <c r="BR158" s="29">
        <f t="shared" si="42"/>
        <v>106</v>
      </c>
      <c r="BS158" s="243">
        <f t="shared" si="36"/>
        <v>6.7204193548387095E-2</v>
      </c>
      <c r="BT158">
        <f t="shared" si="37"/>
        <v>6.7204193548387095E-2</v>
      </c>
      <c r="BU158" t="str">
        <f t="shared" si="38"/>
        <v>ok</v>
      </c>
      <c r="BV158">
        <f t="shared" si="39"/>
        <v>0</v>
      </c>
      <c r="BW158">
        <f t="shared" si="40"/>
        <v>0</v>
      </c>
    </row>
    <row r="159" spans="43:75" x14ac:dyDescent="0.25">
      <c r="AQ159" s="63"/>
      <c r="BM159" s="29">
        <v>153</v>
      </c>
      <c r="BN159" s="242">
        <f t="shared" si="41"/>
        <v>42765</v>
      </c>
      <c r="BO159" s="29">
        <f t="shared" si="34"/>
        <v>1</v>
      </c>
      <c r="BP159" s="29">
        <f t="shared" si="33"/>
        <v>0</v>
      </c>
      <c r="BQ159" s="29">
        <f t="shared" si="35"/>
        <v>0</v>
      </c>
      <c r="BR159" s="29">
        <f t="shared" si="42"/>
        <v>106</v>
      </c>
      <c r="BS159" s="243">
        <f t="shared" si="36"/>
        <v>6.7204193548387095E-2</v>
      </c>
      <c r="BT159">
        <f t="shared" si="37"/>
        <v>6.7204193548387095E-2</v>
      </c>
      <c r="BU159" t="str">
        <f t="shared" si="38"/>
        <v>ok</v>
      </c>
      <c r="BV159">
        <f t="shared" si="39"/>
        <v>0</v>
      </c>
      <c r="BW159">
        <f t="shared" si="40"/>
        <v>0</v>
      </c>
    </row>
    <row r="160" spans="43:75" x14ac:dyDescent="0.25">
      <c r="AQ160" s="63"/>
      <c r="BM160" s="29">
        <v>154</v>
      </c>
      <c r="BN160" s="242">
        <f t="shared" si="41"/>
        <v>42766</v>
      </c>
      <c r="BO160" s="29">
        <f t="shared" si="34"/>
        <v>0</v>
      </c>
      <c r="BP160" s="29">
        <f t="shared" si="33"/>
        <v>0</v>
      </c>
      <c r="BQ160" s="29">
        <f t="shared" si="35"/>
        <v>1</v>
      </c>
      <c r="BR160" s="29">
        <f t="shared" si="42"/>
        <v>107</v>
      </c>
      <c r="BS160" s="243">
        <f t="shared" si="36"/>
        <v>7.4404642857142864E-2</v>
      </c>
      <c r="BT160">
        <f t="shared" si="37"/>
        <v>7.4404642857142864E-2</v>
      </c>
      <c r="BU160" t="str">
        <f t="shared" si="38"/>
        <v>ok</v>
      </c>
      <c r="BV160">
        <f t="shared" si="39"/>
        <v>0</v>
      </c>
      <c r="BW160">
        <f t="shared" si="40"/>
        <v>0</v>
      </c>
    </row>
    <row r="161" spans="43:75" x14ac:dyDescent="0.25">
      <c r="AQ161" s="63"/>
      <c r="BM161" s="29">
        <v>155</v>
      </c>
      <c r="BN161" s="242">
        <f t="shared" si="41"/>
        <v>42767</v>
      </c>
      <c r="BO161" s="29">
        <f t="shared" si="34"/>
        <v>0</v>
      </c>
      <c r="BP161" s="29">
        <f t="shared" si="33"/>
        <v>0</v>
      </c>
      <c r="BQ161" s="29">
        <f t="shared" si="35"/>
        <v>1</v>
      </c>
      <c r="BR161" s="29">
        <f t="shared" si="42"/>
        <v>108</v>
      </c>
      <c r="BS161" s="243">
        <f t="shared" si="36"/>
        <v>7.4404642857142864E-2</v>
      </c>
      <c r="BT161">
        <f t="shared" si="37"/>
        <v>7.4404642857142864E-2</v>
      </c>
      <c r="BU161" t="str">
        <f t="shared" si="38"/>
        <v>ok</v>
      </c>
      <c r="BV161">
        <f t="shared" si="39"/>
        <v>0</v>
      </c>
      <c r="BW161">
        <f t="shared" si="40"/>
        <v>0</v>
      </c>
    </row>
    <row r="162" spans="43:75" x14ac:dyDescent="0.25">
      <c r="AQ162" s="63"/>
      <c r="BM162" s="29">
        <v>156</v>
      </c>
      <c r="BN162" s="242">
        <f t="shared" si="41"/>
        <v>42768</v>
      </c>
      <c r="BO162" s="29">
        <f t="shared" si="34"/>
        <v>0</v>
      </c>
      <c r="BP162" s="29">
        <f t="shared" si="33"/>
        <v>0</v>
      </c>
      <c r="BQ162" s="29">
        <f t="shared" si="35"/>
        <v>1</v>
      </c>
      <c r="BR162" s="29">
        <f t="shared" si="42"/>
        <v>109</v>
      </c>
      <c r="BS162" s="243">
        <f t="shared" si="36"/>
        <v>7.4404642857142864E-2</v>
      </c>
      <c r="BT162">
        <f t="shared" si="37"/>
        <v>7.4404642857142864E-2</v>
      </c>
      <c r="BU162" t="str">
        <f t="shared" si="38"/>
        <v>ok</v>
      </c>
      <c r="BV162">
        <f t="shared" si="39"/>
        <v>0</v>
      </c>
      <c r="BW162">
        <f t="shared" si="40"/>
        <v>0</v>
      </c>
    </row>
    <row r="163" spans="43:75" x14ac:dyDescent="0.25">
      <c r="AQ163" s="63"/>
      <c r="BM163" s="29">
        <v>157</v>
      </c>
      <c r="BN163" s="242">
        <f t="shared" si="41"/>
        <v>42769</v>
      </c>
      <c r="BO163" s="29">
        <f t="shared" si="34"/>
        <v>0</v>
      </c>
      <c r="BP163" s="29">
        <f t="shared" si="33"/>
        <v>0</v>
      </c>
      <c r="BQ163" s="29">
        <f t="shared" si="35"/>
        <v>1</v>
      </c>
      <c r="BR163" s="29">
        <f t="shared" si="42"/>
        <v>110</v>
      </c>
      <c r="BS163" s="243">
        <f t="shared" si="36"/>
        <v>7.4404642857142864E-2</v>
      </c>
      <c r="BT163">
        <f t="shared" si="37"/>
        <v>7.4404642857142864E-2</v>
      </c>
      <c r="BU163" t="str">
        <f t="shared" si="38"/>
        <v>ok</v>
      </c>
      <c r="BV163">
        <f t="shared" si="39"/>
        <v>0</v>
      </c>
      <c r="BW163">
        <f t="shared" si="40"/>
        <v>0</v>
      </c>
    </row>
    <row r="164" spans="43:75" x14ac:dyDescent="0.25">
      <c r="AQ164" s="63"/>
      <c r="BM164" s="29">
        <v>158</v>
      </c>
      <c r="BN164" s="242">
        <f t="shared" si="41"/>
        <v>42770</v>
      </c>
      <c r="BO164" s="29">
        <f t="shared" si="34"/>
        <v>0</v>
      </c>
      <c r="BP164" s="29">
        <f t="shared" si="33"/>
        <v>0</v>
      </c>
      <c r="BQ164" s="29">
        <f t="shared" si="35"/>
        <v>1</v>
      </c>
      <c r="BR164" s="29">
        <f t="shared" si="42"/>
        <v>111</v>
      </c>
      <c r="BS164" s="243">
        <f t="shared" si="36"/>
        <v>7.4404642857142864E-2</v>
      </c>
      <c r="BT164">
        <f t="shared" si="37"/>
        <v>7.4404642857142864E-2</v>
      </c>
      <c r="BU164" t="str">
        <f t="shared" si="38"/>
        <v>ok</v>
      </c>
      <c r="BV164">
        <f t="shared" si="39"/>
        <v>0</v>
      </c>
      <c r="BW164">
        <f t="shared" si="40"/>
        <v>0</v>
      </c>
    </row>
    <row r="165" spans="43:75" x14ac:dyDescent="0.25">
      <c r="AQ165" s="63"/>
      <c r="BM165" s="29">
        <v>159</v>
      </c>
      <c r="BN165" s="242">
        <f t="shared" si="41"/>
        <v>42771</v>
      </c>
      <c r="BO165" s="29">
        <f t="shared" si="34"/>
        <v>1</v>
      </c>
      <c r="BP165" s="29">
        <f t="shared" si="33"/>
        <v>0</v>
      </c>
      <c r="BQ165" s="29">
        <f t="shared" si="35"/>
        <v>0</v>
      </c>
      <c r="BR165" s="29">
        <f t="shared" si="42"/>
        <v>111</v>
      </c>
      <c r="BS165" s="243">
        <f t="shared" si="36"/>
        <v>7.4404642857142864E-2</v>
      </c>
      <c r="BT165">
        <f t="shared" si="37"/>
        <v>7.4404642857142864E-2</v>
      </c>
      <c r="BU165" t="str">
        <f t="shared" si="38"/>
        <v>ok</v>
      </c>
      <c r="BV165">
        <f t="shared" si="39"/>
        <v>0</v>
      </c>
      <c r="BW165">
        <f t="shared" si="40"/>
        <v>0</v>
      </c>
    </row>
    <row r="166" spans="43:75" x14ac:dyDescent="0.25">
      <c r="AQ166" s="63"/>
      <c r="BM166" s="29">
        <v>160</v>
      </c>
      <c r="BN166" s="242">
        <f t="shared" si="41"/>
        <v>42772</v>
      </c>
      <c r="BO166" s="29">
        <f t="shared" si="34"/>
        <v>1</v>
      </c>
      <c r="BP166" s="29">
        <f t="shared" si="33"/>
        <v>0</v>
      </c>
      <c r="BQ166" s="29">
        <f t="shared" si="35"/>
        <v>0</v>
      </c>
      <c r="BR166" s="29">
        <f t="shared" si="42"/>
        <v>111</v>
      </c>
      <c r="BS166" s="243">
        <f t="shared" si="36"/>
        <v>7.4404642857142864E-2</v>
      </c>
      <c r="BT166">
        <f t="shared" si="37"/>
        <v>7.4404642857142864E-2</v>
      </c>
      <c r="BU166" t="str">
        <f t="shared" si="38"/>
        <v>ok</v>
      </c>
      <c r="BV166">
        <f t="shared" si="39"/>
        <v>0</v>
      </c>
      <c r="BW166">
        <f t="shared" si="40"/>
        <v>0</v>
      </c>
    </row>
    <row r="167" spans="43:75" x14ac:dyDescent="0.25">
      <c r="AQ167" s="63"/>
      <c r="BM167" s="29">
        <v>161</v>
      </c>
      <c r="BN167" s="242">
        <f t="shared" si="41"/>
        <v>42773</v>
      </c>
      <c r="BO167" s="29">
        <f t="shared" si="34"/>
        <v>0</v>
      </c>
      <c r="BP167" s="29">
        <f t="shared" si="33"/>
        <v>0</v>
      </c>
      <c r="BQ167" s="29">
        <f t="shared" si="35"/>
        <v>1</v>
      </c>
      <c r="BR167" s="29">
        <f t="shared" si="42"/>
        <v>112</v>
      </c>
      <c r="BS167" s="243">
        <f t="shared" si="36"/>
        <v>7.4404642857142864E-2</v>
      </c>
      <c r="BT167">
        <f t="shared" si="37"/>
        <v>7.4404642857142864E-2</v>
      </c>
      <c r="BU167" t="str">
        <f t="shared" si="38"/>
        <v>ok</v>
      </c>
      <c r="BV167">
        <f t="shared" si="39"/>
        <v>0</v>
      </c>
      <c r="BW167">
        <f t="shared" si="40"/>
        <v>0</v>
      </c>
    </row>
    <row r="168" spans="43:75" x14ac:dyDescent="0.25">
      <c r="AQ168" s="63"/>
      <c r="BM168" s="29">
        <v>162</v>
      </c>
      <c r="BN168" s="242">
        <f t="shared" si="41"/>
        <v>42774</v>
      </c>
      <c r="BO168" s="29">
        <f t="shared" si="34"/>
        <v>0</v>
      </c>
      <c r="BP168" s="29">
        <f t="shared" si="33"/>
        <v>0</v>
      </c>
      <c r="BQ168" s="29">
        <f t="shared" si="35"/>
        <v>1</v>
      </c>
      <c r="BR168" s="29">
        <f t="shared" si="42"/>
        <v>113</v>
      </c>
      <c r="BS168" s="243">
        <f t="shared" si="36"/>
        <v>7.4404642857142864E-2</v>
      </c>
      <c r="BT168">
        <f t="shared" si="37"/>
        <v>7.4404642857142864E-2</v>
      </c>
      <c r="BU168" t="str">
        <f t="shared" si="38"/>
        <v>ok</v>
      </c>
      <c r="BV168">
        <f t="shared" si="39"/>
        <v>0</v>
      </c>
      <c r="BW168">
        <f t="shared" si="40"/>
        <v>0</v>
      </c>
    </row>
    <row r="169" spans="43:75" x14ac:dyDescent="0.25">
      <c r="AQ169" s="63"/>
      <c r="BM169" s="29">
        <v>163</v>
      </c>
      <c r="BN169" s="242">
        <f t="shared" si="41"/>
        <v>42775</v>
      </c>
      <c r="BO169" s="29">
        <f t="shared" si="34"/>
        <v>0</v>
      </c>
      <c r="BP169" s="29">
        <f t="shared" si="33"/>
        <v>0</v>
      </c>
      <c r="BQ169" s="29">
        <f t="shared" si="35"/>
        <v>1</v>
      </c>
      <c r="BR169" s="29">
        <f t="shared" si="42"/>
        <v>114</v>
      </c>
      <c r="BS169" s="243">
        <f t="shared" si="36"/>
        <v>7.4404642857142864E-2</v>
      </c>
      <c r="BT169">
        <f t="shared" si="37"/>
        <v>7.4404642857142864E-2</v>
      </c>
      <c r="BU169" t="str">
        <f t="shared" si="38"/>
        <v>ok</v>
      </c>
      <c r="BV169">
        <f t="shared" si="39"/>
        <v>0</v>
      </c>
      <c r="BW169">
        <f t="shared" si="40"/>
        <v>0</v>
      </c>
    </row>
    <row r="170" spans="43:75" x14ac:dyDescent="0.25">
      <c r="AQ170" s="63"/>
      <c r="BM170" s="29">
        <v>164</v>
      </c>
      <c r="BN170" s="242">
        <f t="shared" si="41"/>
        <v>42776</v>
      </c>
      <c r="BO170" s="29">
        <f t="shared" si="34"/>
        <v>0</v>
      </c>
      <c r="BP170" s="29">
        <f t="shared" si="33"/>
        <v>0</v>
      </c>
      <c r="BQ170" s="29">
        <f t="shared" si="35"/>
        <v>1</v>
      </c>
      <c r="BR170" s="29">
        <f t="shared" si="42"/>
        <v>115</v>
      </c>
      <c r="BS170" s="243">
        <f t="shared" si="36"/>
        <v>7.4404642857142864E-2</v>
      </c>
      <c r="BT170">
        <f t="shared" si="37"/>
        <v>7.4404642857142864E-2</v>
      </c>
      <c r="BU170" t="str">
        <f t="shared" si="38"/>
        <v>ok</v>
      </c>
      <c r="BV170">
        <f t="shared" si="39"/>
        <v>0</v>
      </c>
      <c r="BW170">
        <f t="shared" si="40"/>
        <v>0</v>
      </c>
    </row>
    <row r="171" spans="43:75" x14ac:dyDescent="0.25">
      <c r="AQ171" s="63"/>
      <c r="BM171" s="29">
        <v>165</v>
      </c>
      <c r="BN171" s="242">
        <f t="shared" si="41"/>
        <v>42777</v>
      </c>
      <c r="BO171" s="29">
        <f t="shared" si="34"/>
        <v>0</v>
      </c>
      <c r="BP171" s="29">
        <f t="shared" si="33"/>
        <v>0</v>
      </c>
      <c r="BQ171" s="29">
        <f t="shared" si="35"/>
        <v>1</v>
      </c>
      <c r="BR171" s="29">
        <f t="shared" si="42"/>
        <v>116</v>
      </c>
      <c r="BS171" s="243">
        <f t="shared" si="36"/>
        <v>7.4404642857142864E-2</v>
      </c>
      <c r="BT171">
        <f t="shared" si="37"/>
        <v>7.4404642857142864E-2</v>
      </c>
      <c r="BU171" t="str">
        <f t="shared" si="38"/>
        <v>ok</v>
      </c>
      <c r="BV171">
        <f t="shared" si="39"/>
        <v>0</v>
      </c>
      <c r="BW171">
        <f t="shared" si="40"/>
        <v>0</v>
      </c>
    </row>
    <row r="172" spans="43:75" x14ac:dyDescent="0.25">
      <c r="AQ172" s="63"/>
      <c r="BM172" s="29">
        <v>166</v>
      </c>
      <c r="BN172" s="242">
        <f t="shared" si="41"/>
        <v>42778</v>
      </c>
      <c r="BO172" s="29">
        <f t="shared" si="34"/>
        <v>1</v>
      </c>
      <c r="BP172" s="29">
        <f t="shared" si="33"/>
        <v>0</v>
      </c>
      <c r="BQ172" s="29">
        <f t="shared" si="35"/>
        <v>0</v>
      </c>
      <c r="BR172" s="29">
        <f t="shared" si="42"/>
        <v>116</v>
      </c>
      <c r="BS172" s="243">
        <f t="shared" si="36"/>
        <v>7.4404642857142864E-2</v>
      </c>
      <c r="BT172">
        <f t="shared" si="37"/>
        <v>7.4404642857142864E-2</v>
      </c>
      <c r="BU172" t="str">
        <f t="shared" si="38"/>
        <v>ok</v>
      </c>
      <c r="BV172">
        <f t="shared" si="39"/>
        <v>0</v>
      </c>
      <c r="BW172">
        <f t="shared" si="40"/>
        <v>0</v>
      </c>
    </row>
    <row r="173" spans="43:75" x14ac:dyDescent="0.25">
      <c r="AQ173" s="63"/>
      <c r="BM173" s="29">
        <v>167</v>
      </c>
      <c r="BN173" s="242">
        <f t="shared" si="41"/>
        <v>42779</v>
      </c>
      <c r="BO173" s="29">
        <f t="shared" si="34"/>
        <v>1</v>
      </c>
      <c r="BP173" s="29">
        <f t="shared" si="33"/>
        <v>0</v>
      </c>
      <c r="BQ173" s="29">
        <f t="shared" si="35"/>
        <v>0</v>
      </c>
      <c r="BR173" s="29">
        <f t="shared" si="42"/>
        <v>116</v>
      </c>
      <c r="BS173" s="243">
        <f t="shared" si="36"/>
        <v>7.4404642857142864E-2</v>
      </c>
      <c r="BT173">
        <f t="shared" si="37"/>
        <v>7.4404642857142864E-2</v>
      </c>
      <c r="BU173" t="str">
        <f t="shared" si="38"/>
        <v>ok</v>
      </c>
      <c r="BV173">
        <f t="shared" si="39"/>
        <v>0</v>
      </c>
      <c r="BW173">
        <f t="shared" si="40"/>
        <v>0</v>
      </c>
    </row>
    <row r="174" spans="43:75" x14ac:dyDescent="0.25">
      <c r="AQ174" s="63"/>
      <c r="BM174" s="29">
        <v>168</v>
      </c>
      <c r="BN174" s="242">
        <f t="shared" si="41"/>
        <v>42780</v>
      </c>
      <c r="BO174" s="29">
        <f t="shared" si="34"/>
        <v>0</v>
      </c>
      <c r="BP174" s="29">
        <f t="shared" si="33"/>
        <v>0</v>
      </c>
      <c r="BQ174" s="29">
        <f t="shared" si="35"/>
        <v>1</v>
      </c>
      <c r="BR174" s="29">
        <f t="shared" si="42"/>
        <v>117</v>
      </c>
      <c r="BS174" s="243">
        <f t="shared" si="36"/>
        <v>7.4404642857142864E-2</v>
      </c>
      <c r="BT174">
        <f t="shared" si="37"/>
        <v>7.4404642857142864E-2</v>
      </c>
      <c r="BU174" t="str">
        <f t="shared" si="38"/>
        <v>ok</v>
      </c>
      <c r="BV174">
        <f t="shared" si="39"/>
        <v>0</v>
      </c>
      <c r="BW174">
        <f t="shared" si="40"/>
        <v>0</v>
      </c>
    </row>
    <row r="175" spans="43:75" x14ac:dyDescent="0.25">
      <c r="AQ175" s="63"/>
      <c r="BM175" s="29">
        <v>169</v>
      </c>
      <c r="BN175" s="242">
        <f t="shared" si="41"/>
        <v>42781</v>
      </c>
      <c r="BO175" s="29">
        <f t="shared" si="34"/>
        <v>0</v>
      </c>
      <c r="BP175" s="29">
        <f t="shared" si="33"/>
        <v>0</v>
      </c>
      <c r="BQ175" s="29">
        <f t="shared" si="35"/>
        <v>1</v>
      </c>
      <c r="BR175" s="29">
        <f t="shared" si="42"/>
        <v>118</v>
      </c>
      <c r="BS175" s="243">
        <f t="shared" si="36"/>
        <v>7.4404642857142864E-2</v>
      </c>
      <c r="BT175">
        <f t="shared" si="37"/>
        <v>7.4404642857142864E-2</v>
      </c>
      <c r="BU175" t="str">
        <f t="shared" si="38"/>
        <v>ok</v>
      </c>
      <c r="BV175">
        <f t="shared" si="39"/>
        <v>0</v>
      </c>
      <c r="BW175">
        <f t="shared" si="40"/>
        <v>0</v>
      </c>
    </row>
    <row r="176" spans="43:75" x14ac:dyDescent="0.25">
      <c r="AQ176" s="63"/>
      <c r="BM176" s="29">
        <v>170</v>
      </c>
      <c r="BN176" s="242">
        <f t="shared" si="41"/>
        <v>42782</v>
      </c>
      <c r="BO176" s="29">
        <f t="shared" si="34"/>
        <v>0</v>
      </c>
      <c r="BP176" s="29">
        <f t="shared" si="33"/>
        <v>0</v>
      </c>
      <c r="BQ176" s="29">
        <f t="shared" si="35"/>
        <v>1</v>
      </c>
      <c r="BR176" s="29">
        <f t="shared" si="42"/>
        <v>119</v>
      </c>
      <c r="BS176" s="243">
        <f t="shared" si="36"/>
        <v>7.4404642857142864E-2</v>
      </c>
      <c r="BT176">
        <f t="shared" si="37"/>
        <v>7.4404642857142864E-2</v>
      </c>
      <c r="BU176" t="str">
        <f t="shared" si="38"/>
        <v>ok</v>
      </c>
      <c r="BV176">
        <f t="shared" si="39"/>
        <v>0</v>
      </c>
      <c r="BW176">
        <f t="shared" si="40"/>
        <v>0</v>
      </c>
    </row>
    <row r="177" spans="43:75" x14ac:dyDescent="0.25">
      <c r="AQ177" s="63"/>
      <c r="BM177" s="29">
        <v>171</v>
      </c>
      <c r="BN177" s="242">
        <f t="shared" si="41"/>
        <v>42783</v>
      </c>
      <c r="BO177" s="29">
        <f t="shared" si="34"/>
        <v>0</v>
      </c>
      <c r="BP177" s="29">
        <f t="shared" si="33"/>
        <v>0</v>
      </c>
      <c r="BQ177" s="29">
        <f t="shared" si="35"/>
        <v>1</v>
      </c>
      <c r="BR177" s="29">
        <f t="shared" si="42"/>
        <v>120</v>
      </c>
      <c r="BS177" s="243">
        <f t="shared" si="36"/>
        <v>7.4404642857142864E-2</v>
      </c>
      <c r="BT177">
        <f t="shared" si="37"/>
        <v>7.4404642857142864E-2</v>
      </c>
      <c r="BU177" t="str">
        <f t="shared" si="38"/>
        <v>ok</v>
      </c>
      <c r="BV177">
        <f t="shared" si="39"/>
        <v>0</v>
      </c>
      <c r="BW177">
        <f t="shared" si="40"/>
        <v>0</v>
      </c>
    </row>
    <row r="178" spans="43:75" x14ac:dyDescent="0.25">
      <c r="AQ178" s="63"/>
      <c r="BM178" s="29">
        <v>172</v>
      </c>
      <c r="BN178" s="242">
        <f t="shared" si="41"/>
        <v>42784</v>
      </c>
      <c r="BO178" s="29">
        <f t="shared" si="34"/>
        <v>0</v>
      </c>
      <c r="BP178" s="29">
        <f t="shared" si="33"/>
        <v>0</v>
      </c>
      <c r="BQ178" s="29">
        <f t="shared" si="35"/>
        <v>1</v>
      </c>
      <c r="BR178" s="29">
        <f t="shared" si="42"/>
        <v>121</v>
      </c>
      <c r="BS178" s="243">
        <f t="shared" si="36"/>
        <v>7.4404642857142864E-2</v>
      </c>
      <c r="BT178">
        <f t="shared" si="37"/>
        <v>7.4404642857142864E-2</v>
      </c>
      <c r="BU178" t="str">
        <f t="shared" si="38"/>
        <v>ok</v>
      </c>
      <c r="BV178">
        <f t="shared" si="39"/>
        <v>0</v>
      </c>
      <c r="BW178">
        <f t="shared" si="40"/>
        <v>0</v>
      </c>
    </row>
    <row r="179" spans="43:75" x14ac:dyDescent="0.25">
      <c r="AQ179" s="63"/>
      <c r="BM179" s="29">
        <v>173</v>
      </c>
      <c r="BN179" s="242">
        <f t="shared" si="41"/>
        <v>42785</v>
      </c>
      <c r="BO179" s="29">
        <f t="shared" si="34"/>
        <v>1</v>
      </c>
      <c r="BP179" s="29">
        <f t="shared" si="33"/>
        <v>0</v>
      </c>
      <c r="BQ179" s="29">
        <f t="shared" si="35"/>
        <v>0</v>
      </c>
      <c r="BR179" s="29">
        <f t="shared" si="42"/>
        <v>121</v>
      </c>
      <c r="BS179" s="243">
        <f t="shared" si="36"/>
        <v>7.4404642857142864E-2</v>
      </c>
      <c r="BT179">
        <f t="shared" si="37"/>
        <v>7.4404642857142864E-2</v>
      </c>
      <c r="BU179" t="str">
        <f t="shared" si="38"/>
        <v>ok</v>
      </c>
      <c r="BV179">
        <f t="shared" si="39"/>
        <v>0</v>
      </c>
      <c r="BW179">
        <f t="shared" si="40"/>
        <v>0</v>
      </c>
    </row>
    <row r="180" spans="43:75" x14ac:dyDescent="0.25">
      <c r="AQ180" s="63"/>
      <c r="BM180" s="29">
        <v>174</v>
      </c>
      <c r="BN180" s="242">
        <f t="shared" si="41"/>
        <v>42786</v>
      </c>
      <c r="BO180" s="29">
        <f t="shared" si="34"/>
        <v>1</v>
      </c>
      <c r="BP180" s="29">
        <f t="shared" si="33"/>
        <v>0</v>
      </c>
      <c r="BQ180" s="29">
        <f t="shared" si="35"/>
        <v>0</v>
      </c>
      <c r="BR180" s="29">
        <f t="shared" si="42"/>
        <v>121</v>
      </c>
      <c r="BS180" s="243">
        <f t="shared" si="36"/>
        <v>7.4404642857142864E-2</v>
      </c>
      <c r="BT180">
        <f t="shared" si="37"/>
        <v>7.4404642857142864E-2</v>
      </c>
      <c r="BU180" t="str">
        <f t="shared" si="38"/>
        <v>ok</v>
      </c>
      <c r="BV180">
        <f t="shared" si="39"/>
        <v>0</v>
      </c>
      <c r="BW180">
        <f t="shared" si="40"/>
        <v>0</v>
      </c>
    </row>
    <row r="181" spans="43:75" x14ac:dyDescent="0.25">
      <c r="AQ181" s="63"/>
      <c r="BM181" s="29">
        <v>175</v>
      </c>
      <c r="BN181" s="242">
        <f t="shared" si="41"/>
        <v>42787</v>
      </c>
      <c r="BO181" s="29">
        <f t="shared" si="34"/>
        <v>0</v>
      </c>
      <c r="BP181" s="29">
        <f t="shared" si="33"/>
        <v>0</v>
      </c>
      <c r="BQ181" s="29">
        <f t="shared" si="35"/>
        <v>1</v>
      </c>
      <c r="BR181" s="29">
        <f t="shared" si="42"/>
        <v>122</v>
      </c>
      <c r="BS181" s="243">
        <f t="shared" si="36"/>
        <v>7.4404642857142864E-2</v>
      </c>
      <c r="BT181">
        <f t="shared" si="37"/>
        <v>7.4404642857142864E-2</v>
      </c>
      <c r="BU181" t="str">
        <f t="shared" si="38"/>
        <v>ok</v>
      </c>
      <c r="BV181">
        <f t="shared" si="39"/>
        <v>0</v>
      </c>
      <c r="BW181">
        <f t="shared" si="40"/>
        <v>0</v>
      </c>
    </row>
    <row r="182" spans="43:75" x14ac:dyDescent="0.25">
      <c r="AQ182" s="63"/>
      <c r="BM182" s="29">
        <v>176</v>
      </c>
      <c r="BN182" s="242">
        <f t="shared" si="41"/>
        <v>42788</v>
      </c>
      <c r="BO182" s="29">
        <f t="shared" si="34"/>
        <v>0</v>
      </c>
      <c r="BP182" s="29">
        <f t="shared" si="33"/>
        <v>0</v>
      </c>
      <c r="BQ182" s="29">
        <f t="shared" si="35"/>
        <v>1</v>
      </c>
      <c r="BR182" s="29">
        <f t="shared" si="42"/>
        <v>123</v>
      </c>
      <c r="BS182" s="243">
        <f t="shared" si="36"/>
        <v>7.4404642857142864E-2</v>
      </c>
      <c r="BT182">
        <f t="shared" si="37"/>
        <v>7.4404642857142864E-2</v>
      </c>
      <c r="BU182" t="str">
        <f t="shared" si="38"/>
        <v>ok</v>
      </c>
      <c r="BV182">
        <f t="shared" si="39"/>
        <v>0</v>
      </c>
      <c r="BW182">
        <f t="shared" si="40"/>
        <v>0</v>
      </c>
    </row>
    <row r="183" spans="43:75" x14ac:dyDescent="0.25">
      <c r="AQ183" s="63"/>
      <c r="BM183" s="29">
        <v>177</v>
      </c>
      <c r="BN183" s="242">
        <f t="shared" si="41"/>
        <v>42789</v>
      </c>
      <c r="BO183" s="29">
        <f t="shared" si="34"/>
        <v>0</v>
      </c>
      <c r="BP183" s="29">
        <f t="shared" si="33"/>
        <v>0</v>
      </c>
      <c r="BQ183" s="29">
        <f t="shared" si="35"/>
        <v>1</v>
      </c>
      <c r="BR183" s="29">
        <f t="shared" si="42"/>
        <v>124</v>
      </c>
      <c r="BS183" s="243">
        <f t="shared" si="36"/>
        <v>7.4404642857142864E-2</v>
      </c>
      <c r="BT183">
        <f t="shared" si="37"/>
        <v>7.4404642857142864E-2</v>
      </c>
      <c r="BU183" t="str">
        <f t="shared" si="38"/>
        <v>ok</v>
      </c>
      <c r="BV183">
        <f t="shared" si="39"/>
        <v>0</v>
      </c>
      <c r="BW183">
        <f t="shared" si="40"/>
        <v>0</v>
      </c>
    </row>
    <row r="184" spans="43:75" x14ac:dyDescent="0.25">
      <c r="AQ184" s="63"/>
      <c r="BM184" s="29">
        <v>178</v>
      </c>
      <c r="BN184" s="242">
        <f t="shared" si="41"/>
        <v>42790</v>
      </c>
      <c r="BO184" s="29">
        <f t="shared" si="34"/>
        <v>0</v>
      </c>
      <c r="BP184" s="29">
        <f t="shared" si="33"/>
        <v>0</v>
      </c>
      <c r="BQ184" s="29">
        <f t="shared" si="35"/>
        <v>1</v>
      </c>
      <c r="BR184" s="29">
        <f t="shared" si="42"/>
        <v>125</v>
      </c>
      <c r="BS184" s="243">
        <f t="shared" si="36"/>
        <v>7.4404642857142864E-2</v>
      </c>
      <c r="BT184">
        <f t="shared" si="37"/>
        <v>7.4404642857142864E-2</v>
      </c>
      <c r="BU184" t="str">
        <f t="shared" si="38"/>
        <v>ok</v>
      </c>
      <c r="BV184">
        <f t="shared" si="39"/>
        <v>0</v>
      </c>
      <c r="BW184">
        <f t="shared" si="40"/>
        <v>0</v>
      </c>
    </row>
    <row r="185" spans="43:75" x14ac:dyDescent="0.25">
      <c r="AQ185" s="63"/>
      <c r="BM185" s="29">
        <v>179</v>
      </c>
      <c r="BN185" s="242">
        <f t="shared" si="41"/>
        <v>42791</v>
      </c>
      <c r="BO185" s="29">
        <f t="shared" si="34"/>
        <v>0</v>
      </c>
      <c r="BP185" s="29">
        <f t="shared" si="33"/>
        <v>0</v>
      </c>
      <c r="BQ185" s="29">
        <f t="shared" si="35"/>
        <v>1</v>
      </c>
      <c r="BR185" s="29">
        <f t="shared" si="42"/>
        <v>126</v>
      </c>
      <c r="BS185" s="243">
        <f t="shared" si="36"/>
        <v>7.4404642857142864E-2</v>
      </c>
      <c r="BT185">
        <f t="shared" si="37"/>
        <v>7.4404642857142864E-2</v>
      </c>
      <c r="BU185" t="str">
        <f t="shared" si="38"/>
        <v>ok</v>
      </c>
      <c r="BV185">
        <f t="shared" si="39"/>
        <v>0</v>
      </c>
      <c r="BW185">
        <f t="shared" si="40"/>
        <v>0</v>
      </c>
    </row>
    <row r="186" spans="43:75" x14ac:dyDescent="0.25">
      <c r="AQ186" s="63"/>
      <c r="BM186" s="29">
        <v>180</v>
      </c>
      <c r="BN186" s="242">
        <f t="shared" si="41"/>
        <v>42792</v>
      </c>
      <c r="BO186" s="29">
        <f t="shared" si="34"/>
        <v>1</v>
      </c>
      <c r="BP186" s="29">
        <f t="shared" si="33"/>
        <v>0</v>
      </c>
      <c r="BQ186" s="29">
        <f t="shared" si="35"/>
        <v>0</v>
      </c>
      <c r="BR186" s="29">
        <f t="shared" si="42"/>
        <v>126</v>
      </c>
      <c r="BS186" s="243">
        <f t="shared" si="36"/>
        <v>7.4404642857142864E-2</v>
      </c>
      <c r="BT186">
        <f t="shared" si="37"/>
        <v>7.4404642857142864E-2</v>
      </c>
      <c r="BU186" t="str">
        <f t="shared" si="38"/>
        <v>ok</v>
      </c>
      <c r="BV186">
        <f t="shared" si="39"/>
        <v>0</v>
      </c>
      <c r="BW186">
        <f t="shared" si="40"/>
        <v>0</v>
      </c>
    </row>
    <row r="187" spans="43:75" x14ac:dyDescent="0.25">
      <c r="AQ187" s="63"/>
      <c r="BM187" s="29">
        <v>181</v>
      </c>
      <c r="BN187" s="242">
        <f t="shared" si="41"/>
        <v>42793</v>
      </c>
      <c r="BO187" s="29">
        <f t="shared" si="34"/>
        <v>1</v>
      </c>
      <c r="BP187" s="29">
        <f t="shared" si="33"/>
        <v>0</v>
      </c>
      <c r="BQ187" s="29">
        <f t="shared" si="35"/>
        <v>0</v>
      </c>
      <c r="BR187" s="29">
        <f t="shared" si="42"/>
        <v>126</v>
      </c>
      <c r="BS187" s="243">
        <f t="shared" si="36"/>
        <v>7.4404642857142864E-2</v>
      </c>
      <c r="BT187">
        <f t="shared" si="37"/>
        <v>7.4404642857142864E-2</v>
      </c>
      <c r="BU187" t="str">
        <f t="shared" si="38"/>
        <v>ok</v>
      </c>
      <c r="BV187">
        <f t="shared" si="39"/>
        <v>0</v>
      </c>
      <c r="BW187">
        <f t="shared" si="40"/>
        <v>0</v>
      </c>
    </row>
    <row r="188" spans="43:75" x14ac:dyDescent="0.25">
      <c r="AQ188" s="63"/>
      <c r="BM188" s="29">
        <v>182</v>
      </c>
      <c r="BN188" s="242">
        <f t="shared" si="41"/>
        <v>42794</v>
      </c>
      <c r="BO188" s="29">
        <f t="shared" si="34"/>
        <v>0</v>
      </c>
      <c r="BP188" s="29">
        <f t="shared" si="33"/>
        <v>0</v>
      </c>
      <c r="BQ188" s="29">
        <f t="shared" si="35"/>
        <v>1</v>
      </c>
      <c r="BR188" s="29">
        <f t="shared" si="42"/>
        <v>127</v>
      </c>
      <c r="BS188" s="243">
        <f t="shared" si="36"/>
        <v>6.7204193548387095E-2</v>
      </c>
      <c r="BT188">
        <f t="shared" si="37"/>
        <v>6.7204193548387095E-2</v>
      </c>
      <c r="BU188" t="str">
        <f t="shared" si="38"/>
        <v>ok</v>
      </c>
      <c r="BV188">
        <f t="shared" si="39"/>
        <v>0</v>
      </c>
      <c r="BW188">
        <f t="shared" si="40"/>
        <v>0</v>
      </c>
    </row>
    <row r="189" spans="43:75" x14ac:dyDescent="0.25">
      <c r="AQ189" s="63"/>
      <c r="BM189" s="29">
        <v>183</v>
      </c>
      <c r="BN189" s="242">
        <f t="shared" si="41"/>
        <v>42795</v>
      </c>
      <c r="BO189" s="29">
        <f t="shared" si="34"/>
        <v>0</v>
      </c>
      <c r="BP189" s="29">
        <f t="shared" si="33"/>
        <v>0</v>
      </c>
      <c r="BQ189" s="29">
        <f t="shared" si="35"/>
        <v>1</v>
      </c>
      <c r="BR189" s="29">
        <f t="shared" si="42"/>
        <v>128</v>
      </c>
      <c r="BS189" s="243">
        <f t="shared" si="36"/>
        <v>6.7204193548387095E-2</v>
      </c>
      <c r="BT189">
        <f t="shared" si="37"/>
        <v>6.7204193548387095E-2</v>
      </c>
      <c r="BU189" t="str">
        <f t="shared" si="38"/>
        <v>ok</v>
      </c>
      <c r="BV189">
        <f t="shared" si="39"/>
        <v>0</v>
      </c>
      <c r="BW189">
        <f t="shared" si="40"/>
        <v>0</v>
      </c>
    </row>
    <row r="190" spans="43:75" x14ac:dyDescent="0.25">
      <c r="AQ190" s="63"/>
      <c r="BM190" s="29">
        <v>184</v>
      </c>
      <c r="BN190" s="242">
        <f t="shared" si="41"/>
        <v>42796</v>
      </c>
      <c r="BO190" s="29">
        <f t="shared" si="34"/>
        <v>0</v>
      </c>
      <c r="BP190" s="29">
        <f t="shared" si="33"/>
        <v>0</v>
      </c>
      <c r="BQ190" s="29">
        <f t="shared" si="35"/>
        <v>1</v>
      </c>
      <c r="BR190" s="29">
        <f t="shared" si="42"/>
        <v>129</v>
      </c>
      <c r="BS190" s="243">
        <f t="shared" si="36"/>
        <v>6.7204193548387095E-2</v>
      </c>
      <c r="BT190">
        <f t="shared" si="37"/>
        <v>6.7204193548387095E-2</v>
      </c>
      <c r="BU190" t="str">
        <f t="shared" si="38"/>
        <v>ok</v>
      </c>
      <c r="BV190">
        <f t="shared" si="39"/>
        <v>0</v>
      </c>
      <c r="BW190">
        <f t="shared" si="40"/>
        <v>0</v>
      </c>
    </row>
    <row r="191" spans="43:75" x14ac:dyDescent="0.25">
      <c r="AQ191" s="63"/>
      <c r="BM191" s="29">
        <v>185</v>
      </c>
      <c r="BN191" s="242">
        <f t="shared" si="41"/>
        <v>42797</v>
      </c>
      <c r="BO191" s="29">
        <f t="shared" si="34"/>
        <v>0</v>
      </c>
      <c r="BP191" s="29">
        <f t="shared" si="33"/>
        <v>0</v>
      </c>
      <c r="BQ191" s="29">
        <f t="shared" si="35"/>
        <v>1</v>
      </c>
      <c r="BR191" s="29">
        <f t="shared" si="42"/>
        <v>130</v>
      </c>
      <c r="BS191" s="243">
        <f t="shared" si="36"/>
        <v>6.7204193548387095E-2</v>
      </c>
      <c r="BT191">
        <f t="shared" si="37"/>
        <v>6.7204193548387095E-2</v>
      </c>
      <c r="BU191" t="str">
        <f t="shared" si="38"/>
        <v>ok</v>
      </c>
      <c r="BV191">
        <f t="shared" si="39"/>
        <v>0</v>
      </c>
      <c r="BW191">
        <f t="shared" si="40"/>
        <v>0</v>
      </c>
    </row>
    <row r="192" spans="43:75" x14ac:dyDescent="0.25">
      <c r="AQ192" s="63"/>
      <c r="BM192" s="29">
        <v>186</v>
      </c>
      <c r="BN192" s="242">
        <f t="shared" si="41"/>
        <v>42798</v>
      </c>
      <c r="BO192" s="29">
        <f t="shared" si="34"/>
        <v>0</v>
      </c>
      <c r="BP192" s="29">
        <f t="shared" si="33"/>
        <v>0</v>
      </c>
      <c r="BQ192" s="29">
        <f t="shared" si="35"/>
        <v>1</v>
      </c>
      <c r="BR192" s="29">
        <f t="shared" si="42"/>
        <v>131</v>
      </c>
      <c r="BS192" s="243">
        <f t="shared" si="36"/>
        <v>6.7204193548387095E-2</v>
      </c>
      <c r="BT192">
        <f t="shared" si="37"/>
        <v>6.7204193548387095E-2</v>
      </c>
      <c r="BU192" t="str">
        <f t="shared" si="38"/>
        <v>ok</v>
      </c>
      <c r="BV192">
        <f t="shared" si="39"/>
        <v>0</v>
      </c>
      <c r="BW192">
        <f t="shared" si="40"/>
        <v>0</v>
      </c>
    </row>
    <row r="193" spans="43:75" x14ac:dyDescent="0.25">
      <c r="AQ193" s="63"/>
      <c r="BM193" s="29">
        <v>187</v>
      </c>
      <c r="BN193" s="242">
        <f t="shared" si="41"/>
        <v>42799</v>
      </c>
      <c r="BO193" s="29">
        <f t="shared" si="34"/>
        <v>1</v>
      </c>
      <c r="BP193" s="29">
        <f t="shared" si="33"/>
        <v>0</v>
      </c>
      <c r="BQ193" s="29">
        <f t="shared" si="35"/>
        <v>0</v>
      </c>
      <c r="BR193" s="29">
        <f t="shared" si="42"/>
        <v>131</v>
      </c>
      <c r="BS193" s="243">
        <f t="shared" si="36"/>
        <v>6.7204193548387095E-2</v>
      </c>
      <c r="BT193">
        <f t="shared" si="37"/>
        <v>6.7204193548387095E-2</v>
      </c>
      <c r="BU193" t="str">
        <f t="shared" si="38"/>
        <v>ok</v>
      </c>
      <c r="BV193">
        <f t="shared" si="39"/>
        <v>0</v>
      </c>
      <c r="BW193">
        <f t="shared" si="40"/>
        <v>0</v>
      </c>
    </row>
    <row r="194" spans="43:75" x14ac:dyDescent="0.25">
      <c r="AQ194" s="63"/>
      <c r="BM194" s="29">
        <v>188</v>
      </c>
      <c r="BN194" s="242">
        <f t="shared" si="41"/>
        <v>42800</v>
      </c>
      <c r="BO194" s="29">
        <f t="shared" si="34"/>
        <v>1</v>
      </c>
      <c r="BP194" s="29">
        <f t="shared" si="33"/>
        <v>0</v>
      </c>
      <c r="BQ194" s="29">
        <f t="shared" si="35"/>
        <v>0</v>
      </c>
      <c r="BR194" s="29">
        <f t="shared" si="42"/>
        <v>131</v>
      </c>
      <c r="BS194" s="243">
        <f t="shared" si="36"/>
        <v>6.7204193548387095E-2</v>
      </c>
      <c r="BT194">
        <f t="shared" si="37"/>
        <v>6.7204193548387095E-2</v>
      </c>
      <c r="BU194" t="str">
        <f t="shared" si="38"/>
        <v>ok</v>
      </c>
      <c r="BV194">
        <f t="shared" si="39"/>
        <v>0</v>
      </c>
      <c r="BW194">
        <f t="shared" si="40"/>
        <v>0</v>
      </c>
    </row>
    <row r="195" spans="43:75" x14ac:dyDescent="0.25">
      <c r="AQ195" s="63"/>
      <c r="BM195" s="29">
        <v>189</v>
      </c>
      <c r="BN195" s="242">
        <f t="shared" si="41"/>
        <v>42801</v>
      </c>
      <c r="BO195" s="29">
        <f t="shared" si="34"/>
        <v>0</v>
      </c>
      <c r="BP195" s="29">
        <f t="shared" si="33"/>
        <v>0</v>
      </c>
      <c r="BQ195" s="29">
        <f t="shared" si="35"/>
        <v>1</v>
      </c>
      <c r="BR195" s="29">
        <f t="shared" si="42"/>
        <v>132</v>
      </c>
      <c r="BS195" s="243">
        <f t="shared" si="36"/>
        <v>6.7204193548387095E-2</v>
      </c>
      <c r="BT195">
        <f t="shared" si="37"/>
        <v>6.7204193548387095E-2</v>
      </c>
      <c r="BU195" t="str">
        <f t="shared" si="38"/>
        <v>ok</v>
      </c>
      <c r="BV195">
        <f t="shared" si="39"/>
        <v>0</v>
      </c>
      <c r="BW195">
        <f t="shared" si="40"/>
        <v>0</v>
      </c>
    </row>
    <row r="196" spans="43:75" x14ac:dyDescent="0.25">
      <c r="AQ196" s="63"/>
      <c r="BM196" s="29">
        <v>190</v>
      </c>
      <c r="BN196" s="242">
        <f t="shared" si="41"/>
        <v>42802</v>
      </c>
      <c r="BO196" s="29">
        <f t="shared" si="34"/>
        <v>0</v>
      </c>
      <c r="BP196" s="29">
        <f t="shared" si="33"/>
        <v>0</v>
      </c>
      <c r="BQ196" s="29">
        <f t="shared" si="35"/>
        <v>1</v>
      </c>
      <c r="BR196" s="29">
        <f t="shared" si="42"/>
        <v>133</v>
      </c>
      <c r="BS196" s="243">
        <f t="shared" si="36"/>
        <v>6.7204193548387095E-2</v>
      </c>
      <c r="BT196">
        <f t="shared" si="37"/>
        <v>6.7204193548387095E-2</v>
      </c>
      <c r="BU196" t="str">
        <f t="shared" si="38"/>
        <v>ok</v>
      </c>
      <c r="BV196">
        <f t="shared" si="39"/>
        <v>0</v>
      </c>
      <c r="BW196">
        <f t="shared" si="40"/>
        <v>0</v>
      </c>
    </row>
    <row r="197" spans="43:75" x14ac:dyDescent="0.25">
      <c r="AQ197" s="63"/>
      <c r="BM197" s="29">
        <v>191</v>
      </c>
      <c r="BN197" s="242">
        <f t="shared" si="41"/>
        <v>42803</v>
      </c>
      <c r="BO197" s="29">
        <f t="shared" si="34"/>
        <v>0</v>
      </c>
      <c r="BP197" s="29">
        <f t="shared" si="33"/>
        <v>0</v>
      </c>
      <c r="BQ197" s="29">
        <f t="shared" si="35"/>
        <v>1</v>
      </c>
      <c r="BR197" s="29">
        <f t="shared" si="42"/>
        <v>134</v>
      </c>
      <c r="BS197" s="243">
        <f t="shared" si="36"/>
        <v>6.7204193548387095E-2</v>
      </c>
      <c r="BT197">
        <f t="shared" si="37"/>
        <v>6.7204193548387095E-2</v>
      </c>
      <c r="BU197" t="str">
        <f t="shared" si="38"/>
        <v>ok</v>
      </c>
      <c r="BV197">
        <f t="shared" si="39"/>
        <v>0</v>
      </c>
      <c r="BW197">
        <f t="shared" si="40"/>
        <v>0</v>
      </c>
    </row>
    <row r="198" spans="43:75" x14ac:dyDescent="0.25">
      <c r="AQ198" s="63"/>
      <c r="BM198" s="29">
        <v>192</v>
      </c>
      <c r="BN198" s="242">
        <f t="shared" si="41"/>
        <v>42804</v>
      </c>
      <c r="BO198" s="29">
        <f t="shared" si="34"/>
        <v>0</v>
      </c>
      <c r="BP198" s="29">
        <f t="shared" si="33"/>
        <v>0</v>
      </c>
      <c r="BQ198" s="29">
        <f t="shared" si="35"/>
        <v>1</v>
      </c>
      <c r="BR198" s="29">
        <f t="shared" si="42"/>
        <v>135</v>
      </c>
      <c r="BS198" s="243">
        <f t="shared" si="36"/>
        <v>6.7204193548387095E-2</v>
      </c>
      <c r="BT198">
        <f t="shared" si="37"/>
        <v>6.7204193548387095E-2</v>
      </c>
      <c r="BU198" t="str">
        <f t="shared" si="38"/>
        <v>ok</v>
      </c>
      <c r="BV198">
        <f t="shared" si="39"/>
        <v>0</v>
      </c>
      <c r="BW198">
        <f t="shared" si="40"/>
        <v>0</v>
      </c>
    </row>
    <row r="199" spans="43:75" x14ac:dyDescent="0.25">
      <c r="AQ199" s="63"/>
      <c r="BM199" s="29">
        <v>193</v>
      </c>
      <c r="BN199" s="242">
        <f t="shared" si="41"/>
        <v>42805</v>
      </c>
      <c r="BO199" s="29">
        <f t="shared" si="34"/>
        <v>0</v>
      </c>
      <c r="BP199" s="29">
        <f t="shared" ref="BP199:BP262" si="43">IF(BO199=1,0,COUNTIF(tab_ferie,BN199))</f>
        <v>0</v>
      </c>
      <c r="BQ199" s="29">
        <f t="shared" si="35"/>
        <v>1</v>
      </c>
      <c r="BR199" s="29">
        <f t="shared" si="42"/>
        <v>136</v>
      </c>
      <c r="BS199" s="243">
        <f t="shared" si="36"/>
        <v>6.7204193548387095E-2</v>
      </c>
      <c r="BT199">
        <f t="shared" si="37"/>
        <v>6.7204193548387095E-2</v>
      </c>
      <c r="BU199" t="str">
        <f t="shared" si="38"/>
        <v>ok</v>
      </c>
      <c r="BV199">
        <f t="shared" si="39"/>
        <v>0</v>
      </c>
      <c r="BW199">
        <f t="shared" si="40"/>
        <v>0</v>
      </c>
    </row>
    <row r="200" spans="43:75" x14ac:dyDescent="0.25">
      <c r="AQ200" s="63"/>
      <c r="BM200" s="29">
        <v>194</v>
      </c>
      <c r="BN200" s="242">
        <f t="shared" si="41"/>
        <v>42806</v>
      </c>
      <c r="BO200" s="29">
        <f t="shared" ref="BO200:BO263" si="44">IF(OR(WEEKDAY(BN200)=1,WEEKDAY(BN200)=7),1,0)</f>
        <v>1</v>
      </c>
      <c r="BP200" s="29">
        <f t="shared" si="43"/>
        <v>0</v>
      </c>
      <c r="BQ200" s="29">
        <f t="shared" ref="BQ200:BQ263" si="45">IF(AND(BN200&gt;=$AF$5,BN200&lt;=$AF$6),IF(BO200+BP200=0,1,0),0)</f>
        <v>0</v>
      </c>
      <c r="BR200" s="29">
        <f t="shared" si="42"/>
        <v>136</v>
      </c>
      <c r="BS200" s="243">
        <f t="shared" ref="BS200:BS263" si="46">2.08333/(EOMONTH(BN200,0)-(EOMONTH(BN200,-1)))</f>
        <v>6.7204193548387095E-2</v>
      </c>
      <c r="BT200">
        <f t="shared" ref="BT200:BT263" si="47">IF(AND(BN200&gt;=$AF$5,BN200&lt;=$AF$6),BS200,0)</f>
        <v>6.7204193548387095E-2</v>
      </c>
      <c r="BU200" t="str">
        <f t="shared" ref="BU200:BU263" si="48">IF(OR(MONTH(BN200)&gt;=10,MONTH(BN200)&lt;=5),"ok","non")</f>
        <v>ok</v>
      </c>
      <c r="BV200">
        <f t="shared" ref="BV200:BV263" si="49">IF(BU200="ok",$CC$30/(EOMONTH(BN200,0)-(EOMONTH(BN200,-1))),0)</f>
        <v>0</v>
      </c>
      <c r="BW200">
        <f t="shared" ref="BW200:BW263" si="50">IF(AND(BN200&gt;=$AF$5,BN200&lt;=$AF$6),BV200,0)</f>
        <v>0</v>
      </c>
    </row>
    <row r="201" spans="43:75" x14ac:dyDescent="0.25">
      <c r="AQ201" s="63"/>
      <c r="BM201" s="29">
        <v>195</v>
      </c>
      <c r="BN201" s="242">
        <f t="shared" ref="BN201:BN264" si="51">BN200+1</f>
        <v>42807</v>
      </c>
      <c r="BO201" s="29">
        <f t="shared" si="44"/>
        <v>1</v>
      </c>
      <c r="BP201" s="29">
        <f t="shared" si="43"/>
        <v>0</v>
      </c>
      <c r="BQ201" s="29">
        <f t="shared" si="45"/>
        <v>0</v>
      </c>
      <c r="BR201" s="29">
        <f t="shared" ref="BR201:BR264" si="52">BR200+1-BP201-BO201</f>
        <v>136</v>
      </c>
      <c r="BS201" s="243">
        <f t="shared" si="46"/>
        <v>6.7204193548387095E-2</v>
      </c>
      <c r="BT201">
        <f t="shared" si="47"/>
        <v>6.7204193548387095E-2</v>
      </c>
      <c r="BU201" t="str">
        <f t="shared" si="48"/>
        <v>ok</v>
      </c>
      <c r="BV201">
        <f t="shared" si="49"/>
        <v>0</v>
      </c>
      <c r="BW201">
        <f t="shared" si="50"/>
        <v>0</v>
      </c>
    </row>
    <row r="202" spans="43:75" x14ac:dyDescent="0.25">
      <c r="AQ202" s="63"/>
      <c r="BM202" s="29">
        <v>196</v>
      </c>
      <c r="BN202" s="242">
        <f t="shared" si="51"/>
        <v>42808</v>
      </c>
      <c r="BO202" s="29">
        <f t="shared" si="44"/>
        <v>0</v>
      </c>
      <c r="BP202" s="29">
        <f t="shared" si="43"/>
        <v>0</v>
      </c>
      <c r="BQ202" s="29">
        <f t="shared" si="45"/>
        <v>1</v>
      </c>
      <c r="BR202" s="29">
        <f t="shared" si="52"/>
        <v>137</v>
      </c>
      <c r="BS202" s="243">
        <f t="shared" si="46"/>
        <v>6.7204193548387095E-2</v>
      </c>
      <c r="BT202">
        <f t="shared" si="47"/>
        <v>6.7204193548387095E-2</v>
      </c>
      <c r="BU202" t="str">
        <f t="shared" si="48"/>
        <v>ok</v>
      </c>
      <c r="BV202">
        <f t="shared" si="49"/>
        <v>0</v>
      </c>
      <c r="BW202">
        <f t="shared" si="50"/>
        <v>0</v>
      </c>
    </row>
    <row r="203" spans="43:75" x14ac:dyDescent="0.25">
      <c r="AQ203" s="63"/>
      <c r="BM203" s="29">
        <v>197</v>
      </c>
      <c r="BN203" s="242">
        <f t="shared" si="51"/>
        <v>42809</v>
      </c>
      <c r="BO203" s="29">
        <f t="shared" si="44"/>
        <v>0</v>
      </c>
      <c r="BP203" s="29">
        <f t="shared" si="43"/>
        <v>0</v>
      </c>
      <c r="BQ203" s="29">
        <f t="shared" si="45"/>
        <v>1</v>
      </c>
      <c r="BR203" s="29">
        <f t="shared" si="52"/>
        <v>138</v>
      </c>
      <c r="BS203" s="243">
        <f t="shared" si="46"/>
        <v>6.7204193548387095E-2</v>
      </c>
      <c r="BT203">
        <f t="shared" si="47"/>
        <v>6.7204193548387095E-2</v>
      </c>
      <c r="BU203" t="str">
        <f t="shared" si="48"/>
        <v>ok</v>
      </c>
      <c r="BV203">
        <f t="shared" si="49"/>
        <v>0</v>
      </c>
      <c r="BW203">
        <f t="shared" si="50"/>
        <v>0</v>
      </c>
    </row>
    <row r="204" spans="43:75" x14ac:dyDescent="0.25">
      <c r="AQ204" s="63"/>
      <c r="BM204" s="29">
        <v>198</v>
      </c>
      <c r="BN204" s="242">
        <f t="shared" si="51"/>
        <v>42810</v>
      </c>
      <c r="BO204" s="29">
        <f t="shared" si="44"/>
        <v>0</v>
      </c>
      <c r="BP204" s="29">
        <f t="shared" si="43"/>
        <v>0</v>
      </c>
      <c r="BQ204" s="29">
        <f t="shared" si="45"/>
        <v>1</v>
      </c>
      <c r="BR204" s="29">
        <f t="shared" si="52"/>
        <v>139</v>
      </c>
      <c r="BS204" s="243">
        <f t="shared" si="46"/>
        <v>6.7204193548387095E-2</v>
      </c>
      <c r="BT204">
        <f t="shared" si="47"/>
        <v>6.7204193548387095E-2</v>
      </c>
      <c r="BU204" t="str">
        <f t="shared" si="48"/>
        <v>ok</v>
      </c>
      <c r="BV204">
        <f t="shared" si="49"/>
        <v>0</v>
      </c>
      <c r="BW204">
        <f t="shared" si="50"/>
        <v>0</v>
      </c>
    </row>
    <row r="205" spans="43:75" x14ac:dyDescent="0.25">
      <c r="AQ205" s="63"/>
      <c r="BM205" s="29">
        <v>199</v>
      </c>
      <c r="BN205" s="242">
        <f t="shared" si="51"/>
        <v>42811</v>
      </c>
      <c r="BO205" s="29">
        <f t="shared" si="44"/>
        <v>0</v>
      </c>
      <c r="BP205" s="29">
        <f t="shared" si="43"/>
        <v>0</v>
      </c>
      <c r="BQ205" s="29">
        <f t="shared" si="45"/>
        <v>1</v>
      </c>
      <c r="BR205" s="29">
        <f t="shared" si="52"/>
        <v>140</v>
      </c>
      <c r="BS205" s="243">
        <f t="shared" si="46"/>
        <v>6.7204193548387095E-2</v>
      </c>
      <c r="BT205">
        <f t="shared" si="47"/>
        <v>6.7204193548387095E-2</v>
      </c>
      <c r="BU205" t="str">
        <f t="shared" si="48"/>
        <v>ok</v>
      </c>
      <c r="BV205">
        <f t="shared" si="49"/>
        <v>0</v>
      </c>
      <c r="BW205">
        <f t="shared" si="50"/>
        <v>0</v>
      </c>
    </row>
    <row r="206" spans="43:75" x14ac:dyDescent="0.25">
      <c r="AQ206" s="63"/>
      <c r="BM206" s="29">
        <v>200</v>
      </c>
      <c r="BN206" s="242">
        <f t="shared" si="51"/>
        <v>42812</v>
      </c>
      <c r="BO206" s="29">
        <f t="shared" si="44"/>
        <v>0</v>
      </c>
      <c r="BP206" s="29">
        <f t="shared" si="43"/>
        <v>0</v>
      </c>
      <c r="BQ206" s="29">
        <f t="shared" si="45"/>
        <v>1</v>
      </c>
      <c r="BR206" s="29">
        <f t="shared" si="52"/>
        <v>141</v>
      </c>
      <c r="BS206" s="243">
        <f t="shared" si="46"/>
        <v>6.7204193548387095E-2</v>
      </c>
      <c r="BT206">
        <f t="shared" si="47"/>
        <v>6.7204193548387095E-2</v>
      </c>
      <c r="BU206" t="str">
        <f t="shared" si="48"/>
        <v>ok</v>
      </c>
      <c r="BV206">
        <f t="shared" si="49"/>
        <v>0</v>
      </c>
      <c r="BW206">
        <f t="shared" si="50"/>
        <v>0</v>
      </c>
    </row>
    <row r="207" spans="43:75" x14ac:dyDescent="0.25">
      <c r="AQ207" s="63"/>
      <c r="BM207" s="29">
        <v>201</v>
      </c>
      <c r="BN207" s="242">
        <f t="shared" si="51"/>
        <v>42813</v>
      </c>
      <c r="BO207" s="29">
        <f t="shared" si="44"/>
        <v>1</v>
      </c>
      <c r="BP207" s="29">
        <f t="shared" si="43"/>
        <v>0</v>
      </c>
      <c r="BQ207" s="29">
        <f t="shared" si="45"/>
        <v>0</v>
      </c>
      <c r="BR207" s="29">
        <f t="shared" si="52"/>
        <v>141</v>
      </c>
      <c r="BS207" s="243">
        <f t="shared" si="46"/>
        <v>6.7204193548387095E-2</v>
      </c>
      <c r="BT207">
        <f t="shared" si="47"/>
        <v>6.7204193548387095E-2</v>
      </c>
      <c r="BU207" t="str">
        <f t="shared" si="48"/>
        <v>ok</v>
      </c>
      <c r="BV207">
        <f t="shared" si="49"/>
        <v>0</v>
      </c>
      <c r="BW207">
        <f t="shared" si="50"/>
        <v>0</v>
      </c>
    </row>
    <row r="208" spans="43:75" x14ac:dyDescent="0.25">
      <c r="AQ208" s="63"/>
      <c r="BM208" s="29">
        <v>202</v>
      </c>
      <c r="BN208" s="242">
        <f t="shared" si="51"/>
        <v>42814</v>
      </c>
      <c r="BO208" s="29">
        <f t="shared" si="44"/>
        <v>1</v>
      </c>
      <c r="BP208" s="29">
        <f t="shared" si="43"/>
        <v>0</v>
      </c>
      <c r="BQ208" s="29">
        <f t="shared" si="45"/>
        <v>0</v>
      </c>
      <c r="BR208" s="29">
        <f t="shared" si="52"/>
        <v>141</v>
      </c>
      <c r="BS208" s="243">
        <f t="shared" si="46"/>
        <v>6.7204193548387095E-2</v>
      </c>
      <c r="BT208">
        <f t="shared" si="47"/>
        <v>6.7204193548387095E-2</v>
      </c>
      <c r="BU208" t="str">
        <f t="shared" si="48"/>
        <v>ok</v>
      </c>
      <c r="BV208">
        <f t="shared" si="49"/>
        <v>0</v>
      </c>
      <c r="BW208">
        <f t="shared" si="50"/>
        <v>0</v>
      </c>
    </row>
    <row r="209" spans="43:75" x14ac:dyDescent="0.25">
      <c r="AQ209" s="63"/>
      <c r="BM209" s="29">
        <v>203</v>
      </c>
      <c r="BN209" s="242">
        <f t="shared" si="51"/>
        <v>42815</v>
      </c>
      <c r="BO209" s="29">
        <f t="shared" si="44"/>
        <v>0</v>
      </c>
      <c r="BP209" s="29">
        <f t="shared" si="43"/>
        <v>0</v>
      </c>
      <c r="BQ209" s="29">
        <f t="shared" si="45"/>
        <v>1</v>
      </c>
      <c r="BR209" s="29">
        <f t="shared" si="52"/>
        <v>142</v>
      </c>
      <c r="BS209" s="243">
        <f t="shared" si="46"/>
        <v>6.7204193548387095E-2</v>
      </c>
      <c r="BT209">
        <f t="shared" si="47"/>
        <v>6.7204193548387095E-2</v>
      </c>
      <c r="BU209" t="str">
        <f t="shared" si="48"/>
        <v>ok</v>
      </c>
      <c r="BV209">
        <f t="shared" si="49"/>
        <v>0</v>
      </c>
      <c r="BW209">
        <f t="shared" si="50"/>
        <v>0</v>
      </c>
    </row>
    <row r="210" spans="43:75" x14ac:dyDescent="0.25">
      <c r="AQ210" s="63"/>
      <c r="BM210" s="29">
        <v>204</v>
      </c>
      <c r="BN210" s="242">
        <f t="shared" si="51"/>
        <v>42816</v>
      </c>
      <c r="BO210" s="29">
        <f t="shared" si="44"/>
        <v>0</v>
      </c>
      <c r="BP210" s="29">
        <f t="shared" si="43"/>
        <v>0</v>
      </c>
      <c r="BQ210" s="29">
        <f t="shared" si="45"/>
        <v>1</v>
      </c>
      <c r="BR210" s="29">
        <f t="shared" si="52"/>
        <v>143</v>
      </c>
      <c r="BS210" s="243">
        <f t="shared" si="46"/>
        <v>6.7204193548387095E-2</v>
      </c>
      <c r="BT210">
        <f t="shared" si="47"/>
        <v>6.7204193548387095E-2</v>
      </c>
      <c r="BU210" t="str">
        <f t="shared" si="48"/>
        <v>ok</v>
      </c>
      <c r="BV210">
        <f t="shared" si="49"/>
        <v>0</v>
      </c>
      <c r="BW210">
        <f t="shared" si="50"/>
        <v>0</v>
      </c>
    </row>
    <row r="211" spans="43:75" x14ac:dyDescent="0.25">
      <c r="AQ211" s="63"/>
      <c r="BM211" s="29">
        <v>205</v>
      </c>
      <c r="BN211" s="242">
        <f t="shared" si="51"/>
        <v>42817</v>
      </c>
      <c r="BO211" s="29">
        <f t="shared" si="44"/>
        <v>0</v>
      </c>
      <c r="BP211" s="29">
        <f t="shared" si="43"/>
        <v>0</v>
      </c>
      <c r="BQ211" s="29">
        <f t="shared" si="45"/>
        <v>1</v>
      </c>
      <c r="BR211" s="29">
        <f t="shared" si="52"/>
        <v>144</v>
      </c>
      <c r="BS211" s="243">
        <f t="shared" si="46"/>
        <v>6.7204193548387095E-2</v>
      </c>
      <c r="BT211">
        <f t="shared" si="47"/>
        <v>6.7204193548387095E-2</v>
      </c>
      <c r="BU211" t="str">
        <f t="shared" si="48"/>
        <v>ok</v>
      </c>
      <c r="BV211">
        <f t="shared" si="49"/>
        <v>0</v>
      </c>
      <c r="BW211">
        <f t="shared" si="50"/>
        <v>0</v>
      </c>
    </row>
    <row r="212" spans="43:75" x14ac:dyDescent="0.25">
      <c r="AQ212" s="63"/>
      <c r="BM212" s="29">
        <v>206</v>
      </c>
      <c r="BN212" s="242">
        <f t="shared" si="51"/>
        <v>42818</v>
      </c>
      <c r="BO212" s="29">
        <f t="shared" si="44"/>
        <v>0</v>
      </c>
      <c r="BP212" s="29">
        <f t="shared" si="43"/>
        <v>0</v>
      </c>
      <c r="BQ212" s="29">
        <f t="shared" si="45"/>
        <v>1</v>
      </c>
      <c r="BR212" s="29">
        <f t="shared" si="52"/>
        <v>145</v>
      </c>
      <c r="BS212" s="243">
        <f t="shared" si="46"/>
        <v>6.7204193548387095E-2</v>
      </c>
      <c r="BT212">
        <f t="shared" si="47"/>
        <v>6.7204193548387095E-2</v>
      </c>
      <c r="BU212" t="str">
        <f t="shared" si="48"/>
        <v>ok</v>
      </c>
      <c r="BV212">
        <f t="shared" si="49"/>
        <v>0</v>
      </c>
      <c r="BW212">
        <f t="shared" si="50"/>
        <v>0</v>
      </c>
    </row>
    <row r="213" spans="43:75" x14ac:dyDescent="0.25">
      <c r="AQ213" s="63"/>
      <c r="BM213" s="29">
        <v>207</v>
      </c>
      <c r="BN213" s="242">
        <f t="shared" si="51"/>
        <v>42819</v>
      </c>
      <c r="BO213" s="29">
        <f t="shared" si="44"/>
        <v>0</v>
      </c>
      <c r="BP213" s="29">
        <f t="shared" si="43"/>
        <v>0</v>
      </c>
      <c r="BQ213" s="29">
        <f t="shared" si="45"/>
        <v>1</v>
      </c>
      <c r="BR213" s="29">
        <f t="shared" si="52"/>
        <v>146</v>
      </c>
      <c r="BS213" s="243">
        <f t="shared" si="46"/>
        <v>6.7204193548387095E-2</v>
      </c>
      <c r="BT213">
        <f t="shared" si="47"/>
        <v>6.7204193548387095E-2</v>
      </c>
      <c r="BU213" t="str">
        <f t="shared" si="48"/>
        <v>ok</v>
      </c>
      <c r="BV213">
        <f t="shared" si="49"/>
        <v>0</v>
      </c>
      <c r="BW213">
        <f t="shared" si="50"/>
        <v>0</v>
      </c>
    </row>
    <row r="214" spans="43:75" x14ac:dyDescent="0.25">
      <c r="AQ214" s="63"/>
      <c r="BM214" s="29">
        <v>208</v>
      </c>
      <c r="BN214" s="242">
        <f t="shared" si="51"/>
        <v>42820</v>
      </c>
      <c r="BO214" s="29">
        <f t="shared" si="44"/>
        <v>1</v>
      </c>
      <c r="BP214" s="29">
        <f t="shared" si="43"/>
        <v>0</v>
      </c>
      <c r="BQ214" s="29">
        <f t="shared" si="45"/>
        <v>0</v>
      </c>
      <c r="BR214" s="29">
        <f t="shared" si="52"/>
        <v>146</v>
      </c>
      <c r="BS214" s="243">
        <f t="shared" si="46"/>
        <v>6.7204193548387095E-2</v>
      </c>
      <c r="BT214">
        <f t="shared" si="47"/>
        <v>6.7204193548387095E-2</v>
      </c>
      <c r="BU214" t="str">
        <f t="shared" si="48"/>
        <v>ok</v>
      </c>
      <c r="BV214">
        <f t="shared" si="49"/>
        <v>0</v>
      </c>
      <c r="BW214">
        <f t="shared" si="50"/>
        <v>0</v>
      </c>
    </row>
    <row r="215" spans="43:75" x14ac:dyDescent="0.25">
      <c r="AQ215" s="63"/>
      <c r="BM215" s="29">
        <v>209</v>
      </c>
      <c r="BN215" s="242">
        <f t="shared" si="51"/>
        <v>42821</v>
      </c>
      <c r="BO215" s="29">
        <f t="shared" si="44"/>
        <v>1</v>
      </c>
      <c r="BP215" s="29">
        <f t="shared" si="43"/>
        <v>0</v>
      </c>
      <c r="BQ215" s="29">
        <f t="shared" si="45"/>
        <v>0</v>
      </c>
      <c r="BR215" s="29">
        <f t="shared" si="52"/>
        <v>146</v>
      </c>
      <c r="BS215" s="243">
        <f t="shared" si="46"/>
        <v>6.7204193548387095E-2</v>
      </c>
      <c r="BT215">
        <f t="shared" si="47"/>
        <v>6.7204193548387095E-2</v>
      </c>
      <c r="BU215" t="str">
        <f t="shared" si="48"/>
        <v>ok</v>
      </c>
      <c r="BV215">
        <f t="shared" si="49"/>
        <v>0</v>
      </c>
      <c r="BW215">
        <f t="shared" si="50"/>
        <v>0</v>
      </c>
    </row>
    <row r="216" spans="43:75" x14ac:dyDescent="0.25">
      <c r="AQ216" s="63"/>
      <c r="BM216" s="29">
        <v>210</v>
      </c>
      <c r="BN216" s="242">
        <f t="shared" si="51"/>
        <v>42822</v>
      </c>
      <c r="BO216" s="29">
        <f t="shared" si="44"/>
        <v>0</v>
      </c>
      <c r="BP216" s="29">
        <f t="shared" si="43"/>
        <v>0</v>
      </c>
      <c r="BQ216" s="29">
        <f t="shared" si="45"/>
        <v>1</v>
      </c>
      <c r="BR216" s="29">
        <f t="shared" si="52"/>
        <v>147</v>
      </c>
      <c r="BS216" s="243">
        <f t="shared" si="46"/>
        <v>6.7204193548387095E-2</v>
      </c>
      <c r="BT216">
        <f t="shared" si="47"/>
        <v>6.7204193548387095E-2</v>
      </c>
      <c r="BU216" t="str">
        <f t="shared" si="48"/>
        <v>ok</v>
      </c>
      <c r="BV216">
        <f t="shared" si="49"/>
        <v>0</v>
      </c>
      <c r="BW216">
        <f t="shared" si="50"/>
        <v>0</v>
      </c>
    </row>
    <row r="217" spans="43:75" x14ac:dyDescent="0.25">
      <c r="AQ217" s="63"/>
      <c r="BM217" s="29">
        <v>211</v>
      </c>
      <c r="BN217" s="242">
        <f t="shared" si="51"/>
        <v>42823</v>
      </c>
      <c r="BO217" s="29">
        <f t="shared" si="44"/>
        <v>0</v>
      </c>
      <c r="BP217" s="29">
        <f t="shared" si="43"/>
        <v>0</v>
      </c>
      <c r="BQ217" s="29">
        <f t="shared" si="45"/>
        <v>1</v>
      </c>
      <c r="BR217" s="29">
        <f t="shared" si="52"/>
        <v>148</v>
      </c>
      <c r="BS217" s="243">
        <f t="shared" si="46"/>
        <v>6.7204193548387095E-2</v>
      </c>
      <c r="BT217">
        <f t="shared" si="47"/>
        <v>6.7204193548387095E-2</v>
      </c>
      <c r="BU217" t="str">
        <f t="shared" si="48"/>
        <v>ok</v>
      </c>
      <c r="BV217">
        <f t="shared" si="49"/>
        <v>0</v>
      </c>
      <c r="BW217">
        <f t="shared" si="50"/>
        <v>0</v>
      </c>
    </row>
    <row r="218" spans="43:75" x14ac:dyDescent="0.25">
      <c r="AQ218" s="63"/>
      <c r="BM218" s="29">
        <v>212</v>
      </c>
      <c r="BN218" s="242">
        <f t="shared" si="51"/>
        <v>42824</v>
      </c>
      <c r="BO218" s="29">
        <f t="shared" si="44"/>
        <v>0</v>
      </c>
      <c r="BP218" s="29">
        <f t="shared" si="43"/>
        <v>0</v>
      </c>
      <c r="BQ218" s="29">
        <f t="shared" si="45"/>
        <v>1</v>
      </c>
      <c r="BR218" s="29">
        <f t="shared" si="52"/>
        <v>149</v>
      </c>
      <c r="BS218" s="243">
        <f t="shared" si="46"/>
        <v>6.7204193548387095E-2</v>
      </c>
      <c r="BT218">
        <f t="shared" si="47"/>
        <v>6.7204193548387095E-2</v>
      </c>
      <c r="BU218" t="str">
        <f t="shared" si="48"/>
        <v>ok</v>
      </c>
      <c r="BV218">
        <f t="shared" si="49"/>
        <v>0</v>
      </c>
      <c r="BW218">
        <f t="shared" si="50"/>
        <v>0</v>
      </c>
    </row>
    <row r="219" spans="43:75" x14ac:dyDescent="0.25">
      <c r="AQ219" s="63"/>
      <c r="BM219" s="29">
        <v>213</v>
      </c>
      <c r="BN219" s="242">
        <f t="shared" si="51"/>
        <v>42825</v>
      </c>
      <c r="BO219" s="29">
        <f t="shared" si="44"/>
        <v>0</v>
      </c>
      <c r="BP219" s="29">
        <f t="shared" si="43"/>
        <v>0</v>
      </c>
      <c r="BQ219" s="29">
        <f t="shared" si="45"/>
        <v>1</v>
      </c>
      <c r="BR219" s="29">
        <f t="shared" si="52"/>
        <v>150</v>
      </c>
      <c r="BS219" s="243">
        <f t="shared" si="46"/>
        <v>6.9444333333333344E-2</v>
      </c>
      <c r="BT219">
        <f t="shared" si="47"/>
        <v>6.9444333333333344E-2</v>
      </c>
      <c r="BU219" t="str">
        <f t="shared" si="48"/>
        <v>ok</v>
      </c>
      <c r="BV219">
        <f t="shared" si="49"/>
        <v>0</v>
      </c>
      <c r="BW219">
        <f t="shared" si="50"/>
        <v>0</v>
      </c>
    </row>
    <row r="220" spans="43:75" x14ac:dyDescent="0.25">
      <c r="AQ220" s="63"/>
      <c r="BM220" s="29">
        <v>214</v>
      </c>
      <c r="BN220" s="242">
        <f t="shared" si="51"/>
        <v>42826</v>
      </c>
      <c r="BO220" s="29">
        <f t="shared" si="44"/>
        <v>0</v>
      </c>
      <c r="BP220" s="29">
        <f t="shared" si="43"/>
        <v>1</v>
      </c>
      <c r="BQ220" s="29">
        <f t="shared" si="45"/>
        <v>0</v>
      </c>
      <c r="BR220" s="29">
        <f t="shared" si="52"/>
        <v>150</v>
      </c>
      <c r="BS220" s="243">
        <f t="shared" si="46"/>
        <v>6.9444333333333344E-2</v>
      </c>
      <c r="BT220">
        <f t="shared" si="47"/>
        <v>6.9444333333333344E-2</v>
      </c>
      <c r="BU220" t="str">
        <f t="shared" si="48"/>
        <v>ok</v>
      </c>
      <c r="BV220">
        <f t="shared" si="49"/>
        <v>0</v>
      </c>
      <c r="BW220">
        <f t="shared" si="50"/>
        <v>0</v>
      </c>
    </row>
    <row r="221" spans="43:75" x14ac:dyDescent="0.25">
      <c r="AQ221" s="63"/>
      <c r="BM221" s="29">
        <v>215</v>
      </c>
      <c r="BN221" s="242">
        <f t="shared" si="51"/>
        <v>42827</v>
      </c>
      <c r="BO221" s="29">
        <f t="shared" si="44"/>
        <v>1</v>
      </c>
      <c r="BP221" s="29">
        <f t="shared" si="43"/>
        <v>0</v>
      </c>
      <c r="BQ221" s="29">
        <f t="shared" si="45"/>
        <v>0</v>
      </c>
      <c r="BR221" s="29">
        <f t="shared" si="52"/>
        <v>150</v>
      </c>
      <c r="BS221" s="243">
        <f t="shared" si="46"/>
        <v>6.9444333333333344E-2</v>
      </c>
      <c r="BT221">
        <f t="shared" si="47"/>
        <v>6.9444333333333344E-2</v>
      </c>
      <c r="BU221" t="str">
        <f t="shared" si="48"/>
        <v>ok</v>
      </c>
      <c r="BV221">
        <f t="shared" si="49"/>
        <v>0</v>
      </c>
      <c r="BW221">
        <f t="shared" si="50"/>
        <v>0</v>
      </c>
    </row>
    <row r="222" spans="43:75" x14ac:dyDescent="0.25">
      <c r="AQ222" s="63"/>
      <c r="BM222" s="29">
        <v>216</v>
      </c>
      <c r="BN222" s="242">
        <f t="shared" si="51"/>
        <v>42828</v>
      </c>
      <c r="BO222" s="29">
        <f t="shared" si="44"/>
        <v>1</v>
      </c>
      <c r="BP222" s="29">
        <f t="shared" si="43"/>
        <v>0</v>
      </c>
      <c r="BQ222" s="29">
        <f t="shared" si="45"/>
        <v>0</v>
      </c>
      <c r="BR222" s="29">
        <f t="shared" si="52"/>
        <v>150</v>
      </c>
      <c r="BS222" s="243">
        <f t="shared" si="46"/>
        <v>6.9444333333333344E-2</v>
      </c>
      <c r="BT222">
        <f t="shared" si="47"/>
        <v>6.9444333333333344E-2</v>
      </c>
      <c r="BU222" t="str">
        <f t="shared" si="48"/>
        <v>ok</v>
      </c>
      <c r="BV222">
        <f t="shared" si="49"/>
        <v>0</v>
      </c>
      <c r="BW222">
        <f t="shared" si="50"/>
        <v>0</v>
      </c>
    </row>
    <row r="223" spans="43:75" x14ac:dyDescent="0.25">
      <c r="AQ223" s="63"/>
      <c r="BM223" s="29">
        <v>217</v>
      </c>
      <c r="BN223" s="242">
        <f t="shared" si="51"/>
        <v>42829</v>
      </c>
      <c r="BO223" s="29">
        <f t="shared" si="44"/>
        <v>0</v>
      </c>
      <c r="BP223" s="29">
        <f t="shared" si="43"/>
        <v>1</v>
      </c>
      <c r="BQ223" s="29">
        <f t="shared" si="45"/>
        <v>0</v>
      </c>
      <c r="BR223" s="29">
        <f t="shared" si="52"/>
        <v>150</v>
      </c>
      <c r="BS223" s="243">
        <f t="shared" si="46"/>
        <v>6.9444333333333344E-2</v>
      </c>
      <c r="BT223">
        <f t="shared" si="47"/>
        <v>6.9444333333333344E-2</v>
      </c>
      <c r="BU223" t="str">
        <f t="shared" si="48"/>
        <v>ok</v>
      </c>
      <c r="BV223">
        <f t="shared" si="49"/>
        <v>0</v>
      </c>
      <c r="BW223">
        <f t="shared" si="50"/>
        <v>0</v>
      </c>
    </row>
    <row r="224" spans="43:75" x14ac:dyDescent="0.25">
      <c r="AQ224" s="63"/>
      <c r="BM224" s="29">
        <v>218</v>
      </c>
      <c r="BN224" s="242">
        <f t="shared" si="51"/>
        <v>42830</v>
      </c>
      <c r="BO224" s="29">
        <f t="shared" si="44"/>
        <v>0</v>
      </c>
      <c r="BP224" s="29">
        <f t="shared" si="43"/>
        <v>0</v>
      </c>
      <c r="BQ224" s="29">
        <f t="shared" si="45"/>
        <v>1</v>
      </c>
      <c r="BR224" s="29">
        <f t="shared" si="52"/>
        <v>151</v>
      </c>
      <c r="BS224" s="243">
        <f t="shared" si="46"/>
        <v>6.9444333333333344E-2</v>
      </c>
      <c r="BT224">
        <f t="shared" si="47"/>
        <v>6.9444333333333344E-2</v>
      </c>
      <c r="BU224" t="str">
        <f t="shared" si="48"/>
        <v>ok</v>
      </c>
      <c r="BV224">
        <f t="shared" si="49"/>
        <v>0</v>
      </c>
      <c r="BW224">
        <f t="shared" si="50"/>
        <v>0</v>
      </c>
    </row>
    <row r="225" spans="43:75" x14ac:dyDescent="0.25">
      <c r="AQ225" s="63"/>
      <c r="BM225" s="29">
        <v>219</v>
      </c>
      <c r="BN225" s="242">
        <f t="shared" si="51"/>
        <v>42831</v>
      </c>
      <c r="BO225" s="29">
        <f t="shared" si="44"/>
        <v>0</v>
      </c>
      <c r="BP225" s="29">
        <f t="shared" si="43"/>
        <v>0</v>
      </c>
      <c r="BQ225" s="29">
        <f t="shared" si="45"/>
        <v>1</v>
      </c>
      <c r="BR225" s="29">
        <f t="shared" si="52"/>
        <v>152</v>
      </c>
      <c r="BS225" s="243">
        <f t="shared" si="46"/>
        <v>6.9444333333333344E-2</v>
      </c>
      <c r="BT225">
        <f t="shared" si="47"/>
        <v>6.9444333333333344E-2</v>
      </c>
      <c r="BU225" t="str">
        <f t="shared" si="48"/>
        <v>ok</v>
      </c>
      <c r="BV225">
        <f t="shared" si="49"/>
        <v>0</v>
      </c>
      <c r="BW225">
        <f t="shared" si="50"/>
        <v>0</v>
      </c>
    </row>
    <row r="226" spans="43:75" x14ac:dyDescent="0.25">
      <c r="AQ226" s="63"/>
      <c r="BM226" s="29">
        <v>220</v>
      </c>
      <c r="BN226" s="242">
        <f t="shared" si="51"/>
        <v>42832</v>
      </c>
      <c r="BO226" s="29">
        <f t="shared" si="44"/>
        <v>0</v>
      </c>
      <c r="BP226" s="29">
        <f t="shared" si="43"/>
        <v>0</v>
      </c>
      <c r="BQ226" s="29">
        <f t="shared" si="45"/>
        <v>1</v>
      </c>
      <c r="BR226" s="29">
        <f t="shared" si="52"/>
        <v>153</v>
      </c>
      <c r="BS226" s="243">
        <f t="shared" si="46"/>
        <v>6.9444333333333344E-2</v>
      </c>
      <c r="BT226">
        <f t="shared" si="47"/>
        <v>6.9444333333333344E-2</v>
      </c>
      <c r="BU226" t="str">
        <f t="shared" si="48"/>
        <v>ok</v>
      </c>
      <c r="BV226">
        <f t="shared" si="49"/>
        <v>0</v>
      </c>
      <c r="BW226">
        <f t="shared" si="50"/>
        <v>0</v>
      </c>
    </row>
    <row r="227" spans="43:75" x14ac:dyDescent="0.25">
      <c r="AQ227" s="63"/>
      <c r="BM227" s="29">
        <v>221</v>
      </c>
      <c r="BN227" s="242">
        <f t="shared" si="51"/>
        <v>42833</v>
      </c>
      <c r="BO227" s="29">
        <f t="shared" si="44"/>
        <v>0</v>
      </c>
      <c r="BP227" s="29">
        <f t="shared" si="43"/>
        <v>0</v>
      </c>
      <c r="BQ227" s="29">
        <f t="shared" si="45"/>
        <v>1</v>
      </c>
      <c r="BR227" s="29">
        <f t="shared" si="52"/>
        <v>154</v>
      </c>
      <c r="BS227" s="243">
        <f t="shared" si="46"/>
        <v>6.9444333333333344E-2</v>
      </c>
      <c r="BT227">
        <f t="shared" si="47"/>
        <v>6.9444333333333344E-2</v>
      </c>
      <c r="BU227" t="str">
        <f t="shared" si="48"/>
        <v>ok</v>
      </c>
      <c r="BV227">
        <f t="shared" si="49"/>
        <v>0</v>
      </c>
      <c r="BW227">
        <f t="shared" si="50"/>
        <v>0</v>
      </c>
    </row>
    <row r="228" spans="43:75" x14ac:dyDescent="0.25">
      <c r="AQ228" s="63"/>
      <c r="BM228" s="29">
        <v>222</v>
      </c>
      <c r="BN228" s="242">
        <f t="shared" si="51"/>
        <v>42834</v>
      </c>
      <c r="BO228" s="29">
        <f t="shared" si="44"/>
        <v>1</v>
      </c>
      <c r="BP228" s="29">
        <f t="shared" si="43"/>
        <v>0</v>
      </c>
      <c r="BQ228" s="29">
        <f t="shared" si="45"/>
        <v>0</v>
      </c>
      <c r="BR228" s="29">
        <f t="shared" si="52"/>
        <v>154</v>
      </c>
      <c r="BS228" s="243">
        <f t="shared" si="46"/>
        <v>6.9444333333333344E-2</v>
      </c>
      <c r="BT228">
        <f t="shared" si="47"/>
        <v>6.9444333333333344E-2</v>
      </c>
      <c r="BU228" t="str">
        <f t="shared" si="48"/>
        <v>ok</v>
      </c>
      <c r="BV228">
        <f t="shared" si="49"/>
        <v>0</v>
      </c>
      <c r="BW228">
        <f t="shared" si="50"/>
        <v>0</v>
      </c>
    </row>
    <row r="229" spans="43:75" x14ac:dyDescent="0.25">
      <c r="AQ229" s="63"/>
      <c r="BM229" s="29">
        <v>223</v>
      </c>
      <c r="BN229" s="242">
        <f t="shared" si="51"/>
        <v>42835</v>
      </c>
      <c r="BO229" s="29">
        <f t="shared" si="44"/>
        <v>1</v>
      </c>
      <c r="BP229" s="29">
        <f t="shared" si="43"/>
        <v>0</v>
      </c>
      <c r="BQ229" s="29">
        <f t="shared" si="45"/>
        <v>0</v>
      </c>
      <c r="BR229" s="29">
        <f t="shared" si="52"/>
        <v>154</v>
      </c>
      <c r="BS229" s="243">
        <f t="shared" si="46"/>
        <v>6.9444333333333344E-2</v>
      </c>
      <c r="BT229">
        <f t="shared" si="47"/>
        <v>6.9444333333333344E-2</v>
      </c>
      <c r="BU229" t="str">
        <f t="shared" si="48"/>
        <v>ok</v>
      </c>
      <c r="BV229">
        <f t="shared" si="49"/>
        <v>0</v>
      </c>
      <c r="BW229">
        <f t="shared" si="50"/>
        <v>0</v>
      </c>
    </row>
    <row r="230" spans="43:75" x14ac:dyDescent="0.25">
      <c r="AQ230" s="63"/>
      <c r="BM230" s="29">
        <v>224</v>
      </c>
      <c r="BN230" s="242">
        <f t="shared" si="51"/>
        <v>42836</v>
      </c>
      <c r="BO230" s="29">
        <f t="shared" si="44"/>
        <v>0</v>
      </c>
      <c r="BP230" s="29">
        <f t="shared" si="43"/>
        <v>0</v>
      </c>
      <c r="BQ230" s="29">
        <f t="shared" si="45"/>
        <v>1</v>
      </c>
      <c r="BR230" s="29">
        <f t="shared" si="52"/>
        <v>155</v>
      </c>
      <c r="BS230" s="243">
        <f t="shared" si="46"/>
        <v>6.9444333333333344E-2</v>
      </c>
      <c r="BT230">
        <f t="shared" si="47"/>
        <v>6.9444333333333344E-2</v>
      </c>
      <c r="BU230" t="str">
        <f t="shared" si="48"/>
        <v>ok</v>
      </c>
      <c r="BV230">
        <f t="shared" si="49"/>
        <v>0</v>
      </c>
      <c r="BW230">
        <f t="shared" si="50"/>
        <v>0</v>
      </c>
    </row>
    <row r="231" spans="43:75" x14ac:dyDescent="0.25">
      <c r="AQ231" s="63"/>
      <c r="BM231" s="29">
        <v>225</v>
      </c>
      <c r="BN231" s="242">
        <f t="shared" si="51"/>
        <v>42837</v>
      </c>
      <c r="BO231" s="29">
        <f t="shared" si="44"/>
        <v>0</v>
      </c>
      <c r="BP231" s="29">
        <f t="shared" si="43"/>
        <v>0</v>
      </c>
      <c r="BQ231" s="29">
        <f t="shared" si="45"/>
        <v>1</v>
      </c>
      <c r="BR231" s="29">
        <f t="shared" si="52"/>
        <v>156</v>
      </c>
      <c r="BS231" s="243">
        <f t="shared" si="46"/>
        <v>6.9444333333333344E-2</v>
      </c>
      <c r="BT231">
        <f t="shared" si="47"/>
        <v>6.9444333333333344E-2</v>
      </c>
      <c r="BU231" t="str">
        <f t="shared" si="48"/>
        <v>ok</v>
      </c>
      <c r="BV231">
        <f t="shared" si="49"/>
        <v>0</v>
      </c>
      <c r="BW231">
        <f t="shared" si="50"/>
        <v>0</v>
      </c>
    </row>
    <row r="232" spans="43:75" x14ac:dyDescent="0.25">
      <c r="AQ232" s="63"/>
      <c r="BM232" s="29">
        <v>226</v>
      </c>
      <c r="BN232" s="242">
        <f t="shared" si="51"/>
        <v>42838</v>
      </c>
      <c r="BO232" s="29">
        <f t="shared" si="44"/>
        <v>0</v>
      </c>
      <c r="BP232" s="29">
        <f t="shared" si="43"/>
        <v>0</v>
      </c>
      <c r="BQ232" s="29">
        <f t="shared" si="45"/>
        <v>1</v>
      </c>
      <c r="BR232" s="29">
        <f t="shared" si="52"/>
        <v>157</v>
      </c>
      <c r="BS232" s="243">
        <f t="shared" si="46"/>
        <v>6.9444333333333344E-2</v>
      </c>
      <c r="BT232">
        <f t="shared" si="47"/>
        <v>6.9444333333333344E-2</v>
      </c>
      <c r="BU232" t="str">
        <f t="shared" si="48"/>
        <v>ok</v>
      </c>
      <c r="BV232">
        <f t="shared" si="49"/>
        <v>0</v>
      </c>
      <c r="BW232">
        <f t="shared" si="50"/>
        <v>0</v>
      </c>
    </row>
    <row r="233" spans="43:75" x14ac:dyDescent="0.25">
      <c r="AQ233" s="63"/>
      <c r="BM233" s="29">
        <v>227</v>
      </c>
      <c r="BN233" s="242">
        <f t="shared" si="51"/>
        <v>42839</v>
      </c>
      <c r="BO233" s="29">
        <f t="shared" si="44"/>
        <v>0</v>
      </c>
      <c r="BP233" s="29">
        <f t="shared" si="43"/>
        <v>0</v>
      </c>
      <c r="BQ233" s="29">
        <f t="shared" si="45"/>
        <v>1</v>
      </c>
      <c r="BR233" s="29">
        <f t="shared" si="52"/>
        <v>158</v>
      </c>
      <c r="BS233" s="243">
        <f t="shared" si="46"/>
        <v>6.9444333333333344E-2</v>
      </c>
      <c r="BT233">
        <f t="shared" si="47"/>
        <v>6.9444333333333344E-2</v>
      </c>
      <c r="BU233" t="str">
        <f t="shared" si="48"/>
        <v>ok</v>
      </c>
      <c r="BV233">
        <f t="shared" si="49"/>
        <v>0</v>
      </c>
      <c r="BW233">
        <f t="shared" si="50"/>
        <v>0</v>
      </c>
    </row>
    <row r="234" spans="43:75" x14ac:dyDescent="0.25">
      <c r="AQ234" s="63"/>
      <c r="BM234" s="29">
        <v>228</v>
      </c>
      <c r="BN234" s="242">
        <f t="shared" si="51"/>
        <v>42840</v>
      </c>
      <c r="BO234" s="29">
        <f t="shared" si="44"/>
        <v>0</v>
      </c>
      <c r="BP234" s="29">
        <f t="shared" si="43"/>
        <v>0</v>
      </c>
      <c r="BQ234" s="29">
        <f t="shared" si="45"/>
        <v>1</v>
      </c>
      <c r="BR234" s="29">
        <f t="shared" si="52"/>
        <v>159</v>
      </c>
      <c r="BS234" s="243">
        <f t="shared" si="46"/>
        <v>6.9444333333333344E-2</v>
      </c>
      <c r="BT234">
        <f t="shared" si="47"/>
        <v>6.9444333333333344E-2</v>
      </c>
      <c r="BU234" t="str">
        <f t="shared" si="48"/>
        <v>ok</v>
      </c>
      <c r="BV234">
        <f t="shared" si="49"/>
        <v>0</v>
      </c>
      <c r="BW234">
        <f t="shared" si="50"/>
        <v>0</v>
      </c>
    </row>
    <row r="235" spans="43:75" x14ac:dyDescent="0.25">
      <c r="AQ235" s="63"/>
      <c r="BM235" s="29">
        <v>229</v>
      </c>
      <c r="BN235" s="242">
        <f t="shared" si="51"/>
        <v>42841</v>
      </c>
      <c r="BO235" s="29">
        <f t="shared" si="44"/>
        <v>1</v>
      </c>
      <c r="BP235" s="29">
        <f t="shared" si="43"/>
        <v>0</v>
      </c>
      <c r="BQ235" s="29">
        <f t="shared" si="45"/>
        <v>0</v>
      </c>
      <c r="BR235" s="29">
        <f t="shared" si="52"/>
        <v>159</v>
      </c>
      <c r="BS235" s="243">
        <f t="shared" si="46"/>
        <v>6.9444333333333344E-2</v>
      </c>
      <c r="BT235">
        <f t="shared" si="47"/>
        <v>6.9444333333333344E-2</v>
      </c>
      <c r="BU235" t="str">
        <f t="shared" si="48"/>
        <v>ok</v>
      </c>
      <c r="BV235">
        <f t="shared" si="49"/>
        <v>0</v>
      </c>
      <c r="BW235">
        <f t="shared" si="50"/>
        <v>0</v>
      </c>
    </row>
    <row r="236" spans="43:75" x14ac:dyDescent="0.25">
      <c r="AQ236" s="63"/>
      <c r="BM236" s="29">
        <v>230</v>
      </c>
      <c r="BN236" s="242">
        <f t="shared" si="51"/>
        <v>42842</v>
      </c>
      <c r="BO236" s="29">
        <f t="shared" si="44"/>
        <v>1</v>
      </c>
      <c r="BP236" s="29">
        <f t="shared" si="43"/>
        <v>0</v>
      </c>
      <c r="BQ236" s="29">
        <f t="shared" si="45"/>
        <v>0</v>
      </c>
      <c r="BR236" s="29">
        <f t="shared" si="52"/>
        <v>159</v>
      </c>
      <c r="BS236" s="243">
        <f t="shared" si="46"/>
        <v>6.9444333333333344E-2</v>
      </c>
      <c r="BT236">
        <f t="shared" si="47"/>
        <v>6.9444333333333344E-2</v>
      </c>
      <c r="BU236" t="str">
        <f t="shared" si="48"/>
        <v>ok</v>
      </c>
      <c r="BV236">
        <f t="shared" si="49"/>
        <v>0</v>
      </c>
      <c r="BW236">
        <f t="shared" si="50"/>
        <v>0</v>
      </c>
    </row>
    <row r="237" spans="43:75" x14ac:dyDescent="0.25">
      <c r="AQ237" s="63"/>
      <c r="BM237" s="29">
        <v>231</v>
      </c>
      <c r="BN237" s="242">
        <f t="shared" si="51"/>
        <v>42843</v>
      </c>
      <c r="BO237" s="29">
        <f t="shared" si="44"/>
        <v>0</v>
      </c>
      <c r="BP237" s="29">
        <f t="shared" si="43"/>
        <v>0</v>
      </c>
      <c r="BQ237" s="29">
        <f t="shared" si="45"/>
        <v>1</v>
      </c>
      <c r="BR237" s="29">
        <f t="shared" si="52"/>
        <v>160</v>
      </c>
      <c r="BS237" s="243">
        <f t="shared" si="46"/>
        <v>6.9444333333333344E-2</v>
      </c>
      <c r="BT237">
        <f t="shared" si="47"/>
        <v>6.9444333333333344E-2</v>
      </c>
      <c r="BU237" t="str">
        <f t="shared" si="48"/>
        <v>ok</v>
      </c>
      <c r="BV237">
        <f t="shared" si="49"/>
        <v>0</v>
      </c>
      <c r="BW237">
        <f t="shared" si="50"/>
        <v>0</v>
      </c>
    </row>
    <row r="238" spans="43:75" x14ac:dyDescent="0.25">
      <c r="AQ238" s="63"/>
      <c r="BM238" s="29">
        <v>232</v>
      </c>
      <c r="BN238" s="242">
        <f t="shared" si="51"/>
        <v>42844</v>
      </c>
      <c r="BO238" s="29">
        <f t="shared" si="44"/>
        <v>0</v>
      </c>
      <c r="BP238" s="29">
        <f t="shared" si="43"/>
        <v>0</v>
      </c>
      <c r="BQ238" s="29">
        <f t="shared" si="45"/>
        <v>1</v>
      </c>
      <c r="BR238" s="29">
        <f t="shared" si="52"/>
        <v>161</v>
      </c>
      <c r="BS238" s="243">
        <f t="shared" si="46"/>
        <v>6.9444333333333344E-2</v>
      </c>
      <c r="BT238">
        <f t="shared" si="47"/>
        <v>6.9444333333333344E-2</v>
      </c>
      <c r="BU238" t="str">
        <f t="shared" si="48"/>
        <v>ok</v>
      </c>
      <c r="BV238">
        <f t="shared" si="49"/>
        <v>0</v>
      </c>
      <c r="BW238">
        <f t="shared" si="50"/>
        <v>0</v>
      </c>
    </row>
    <row r="239" spans="43:75" x14ac:dyDescent="0.25">
      <c r="AQ239" s="63"/>
      <c r="BM239" s="29">
        <v>233</v>
      </c>
      <c r="BN239" s="242">
        <f t="shared" si="51"/>
        <v>42845</v>
      </c>
      <c r="BO239" s="29">
        <f t="shared" si="44"/>
        <v>0</v>
      </c>
      <c r="BP239" s="29">
        <f t="shared" si="43"/>
        <v>0</v>
      </c>
      <c r="BQ239" s="29">
        <f t="shared" si="45"/>
        <v>1</v>
      </c>
      <c r="BR239" s="29">
        <f t="shared" si="52"/>
        <v>162</v>
      </c>
      <c r="BS239" s="243">
        <f t="shared" si="46"/>
        <v>6.9444333333333344E-2</v>
      </c>
      <c r="BT239">
        <f t="shared" si="47"/>
        <v>6.9444333333333344E-2</v>
      </c>
      <c r="BU239" t="str">
        <f t="shared" si="48"/>
        <v>ok</v>
      </c>
      <c r="BV239">
        <f t="shared" si="49"/>
        <v>0</v>
      </c>
      <c r="BW239">
        <f t="shared" si="50"/>
        <v>0</v>
      </c>
    </row>
    <row r="240" spans="43:75" x14ac:dyDescent="0.25">
      <c r="AQ240" s="63"/>
      <c r="BM240" s="29">
        <v>234</v>
      </c>
      <c r="BN240" s="242">
        <f t="shared" si="51"/>
        <v>42846</v>
      </c>
      <c r="BO240" s="29">
        <f t="shared" si="44"/>
        <v>0</v>
      </c>
      <c r="BP240" s="29">
        <f t="shared" si="43"/>
        <v>0</v>
      </c>
      <c r="BQ240" s="29">
        <f t="shared" si="45"/>
        <v>1</v>
      </c>
      <c r="BR240" s="29">
        <f t="shared" si="52"/>
        <v>163</v>
      </c>
      <c r="BS240" s="243">
        <f t="shared" si="46"/>
        <v>6.9444333333333344E-2</v>
      </c>
      <c r="BT240">
        <f t="shared" si="47"/>
        <v>6.9444333333333344E-2</v>
      </c>
      <c r="BU240" t="str">
        <f t="shared" si="48"/>
        <v>ok</v>
      </c>
      <c r="BV240">
        <f t="shared" si="49"/>
        <v>0</v>
      </c>
      <c r="BW240">
        <f t="shared" si="50"/>
        <v>0</v>
      </c>
    </row>
    <row r="241" spans="43:75" x14ac:dyDescent="0.25">
      <c r="AQ241" s="63"/>
      <c r="BM241" s="29">
        <v>235</v>
      </c>
      <c r="BN241" s="242">
        <f t="shared" si="51"/>
        <v>42847</v>
      </c>
      <c r="BO241" s="29">
        <f t="shared" si="44"/>
        <v>0</v>
      </c>
      <c r="BP241" s="29">
        <f t="shared" si="43"/>
        <v>0</v>
      </c>
      <c r="BQ241" s="29">
        <f t="shared" si="45"/>
        <v>1</v>
      </c>
      <c r="BR241" s="29">
        <f t="shared" si="52"/>
        <v>164</v>
      </c>
      <c r="BS241" s="243">
        <f t="shared" si="46"/>
        <v>6.9444333333333344E-2</v>
      </c>
      <c r="BT241">
        <f t="shared" si="47"/>
        <v>6.9444333333333344E-2</v>
      </c>
      <c r="BU241" t="str">
        <f t="shared" si="48"/>
        <v>ok</v>
      </c>
      <c r="BV241">
        <f t="shared" si="49"/>
        <v>0</v>
      </c>
      <c r="BW241">
        <f t="shared" si="50"/>
        <v>0</v>
      </c>
    </row>
    <row r="242" spans="43:75" x14ac:dyDescent="0.25">
      <c r="AQ242" s="63"/>
      <c r="BM242" s="29">
        <v>236</v>
      </c>
      <c r="BN242" s="242">
        <f t="shared" si="51"/>
        <v>42848</v>
      </c>
      <c r="BO242" s="29">
        <f t="shared" si="44"/>
        <v>1</v>
      </c>
      <c r="BP242" s="29">
        <f t="shared" si="43"/>
        <v>0</v>
      </c>
      <c r="BQ242" s="29">
        <f t="shared" si="45"/>
        <v>0</v>
      </c>
      <c r="BR242" s="29">
        <f t="shared" si="52"/>
        <v>164</v>
      </c>
      <c r="BS242" s="243">
        <f t="shared" si="46"/>
        <v>6.9444333333333344E-2</v>
      </c>
      <c r="BT242">
        <f t="shared" si="47"/>
        <v>6.9444333333333344E-2</v>
      </c>
      <c r="BU242" t="str">
        <f t="shared" si="48"/>
        <v>ok</v>
      </c>
      <c r="BV242">
        <f t="shared" si="49"/>
        <v>0</v>
      </c>
      <c r="BW242">
        <f t="shared" si="50"/>
        <v>0</v>
      </c>
    </row>
    <row r="243" spans="43:75" x14ac:dyDescent="0.25">
      <c r="AQ243" s="63"/>
      <c r="BM243" s="29">
        <v>237</v>
      </c>
      <c r="BN243" s="242">
        <f t="shared" si="51"/>
        <v>42849</v>
      </c>
      <c r="BO243" s="29">
        <f t="shared" si="44"/>
        <v>1</v>
      </c>
      <c r="BP243" s="29">
        <f t="shared" si="43"/>
        <v>0</v>
      </c>
      <c r="BQ243" s="29">
        <f t="shared" si="45"/>
        <v>0</v>
      </c>
      <c r="BR243" s="29">
        <f t="shared" si="52"/>
        <v>164</v>
      </c>
      <c r="BS243" s="243">
        <f t="shared" si="46"/>
        <v>6.9444333333333344E-2</v>
      </c>
      <c r="BT243">
        <f t="shared" si="47"/>
        <v>6.9444333333333344E-2</v>
      </c>
      <c r="BU243" t="str">
        <f t="shared" si="48"/>
        <v>ok</v>
      </c>
      <c r="BV243">
        <f t="shared" si="49"/>
        <v>0</v>
      </c>
      <c r="BW243">
        <f t="shared" si="50"/>
        <v>0</v>
      </c>
    </row>
    <row r="244" spans="43:75" x14ac:dyDescent="0.25">
      <c r="AQ244" s="63"/>
      <c r="BM244" s="29">
        <v>238</v>
      </c>
      <c r="BN244" s="242">
        <f t="shared" si="51"/>
        <v>42850</v>
      </c>
      <c r="BO244" s="29">
        <f t="shared" si="44"/>
        <v>0</v>
      </c>
      <c r="BP244" s="29">
        <f t="shared" si="43"/>
        <v>0</v>
      </c>
      <c r="BQ244" s="29">
        <f t="shared" si="45"/>
        <v>1</v>
      </c>
      <c r="BR244" s="29">
        <f t="shared" si="52"/>
        <v>165</v>
      </c>
      <c r="BS244" s="243">
        <f t="shared" si="46"/>
        <v>6.9444333333333344E-2</v>
      </c>
      <c r="BT244">
        <f t="shared" si="47"/>
        <v>6.9444333333333344E-2</v>
      </c>
      <c r="BU244" t="str">
        <f t="shared" si="48"/>
        <v>ok</v>
      </c>
      <c r="BV244">
        <f t="shared" si="49"/>
        <v>0</v>
      </c>
      <c r="BW244">
        <f t="shared" si="50"/>
        <v>0</v>
      </c>
    </row>
    <row r="245" spans="43:75" x14ac:dyDescent="0.25">
      <c r="AQ245" s="63"/>
      <c r="BM245" s="29">
        <v>239</v>
      </c>
      <c r="BN245" s="242">
        <f t="shared" si="51"/>
        <v>42851</v>
      </c>
      <c r="BO245" s="29">
        <f t="shared" si="44"/>
        <v>0</v>
      </c>
      <c r="BP245" s="29">
        <f t="shared" si="43"/>
        <v>0</v>
      </c>
      <c r="BQ245" s="29">
        <f t="shared" si="45"/>
        <v>1</v>
      </c>
      <c r="BR245" s="29">
        <f t="shared" si="52"/>
        <v>166</v>
      </c>
      <c r="BS245" s="243">
        <f t="shared" si="46"/>
        <v>6.9444333333333344E-2</v>
      </c>
      <c r="BT245">
        <f t="shared" si="47"/>
        <v>6.9444333333333344E-2</v>
      </c>
      <c r="BU245" t="str">
        <f t="shared" si="48"/>
        <v>ok</v>
      </c>
      <c r="BV245">
        <f t="shared" si="49"/>
        <v>0</v>
      </c>
      <c r="BW245">
        <f t="shared" si="50"/>
        <v>0</v>
      </c>
    </row>
    <row r="246" spans="43:75" x14ac:dyDescent="0.25">
      <c r="AQ246" s="63"/>
      <c r="BM246" s="29">
        <v>240</v>
      </c>
      <c r="BN246" s="242">
        <f t="shared" si="51"/>
        <v>42852</v>
      </c>
      <c r="BO246" s="29">
        <f t="shared" si="44"/>
        <v>0</v>
      </c>
      <c r="BP246" s="29">
        <f t="shared" si="43"/>
        <v>0</v>
      </c>
      <c r="BQ246" s="29">
        <f t="shared" si="45"/>
        <v>1</v>
      </c>
      <c r="BR246" s="29">
        <f t="shared" si="52"/>
        <v>167</v>
      </c>
      <c r="BS246" s="243">
        <f t="shared" si="46"/>
        <v>6.9444333333333344E-2</v>
      </c>
      <c r="BT246">
        <f t="shared" si="47"/>
        <v>6.9444333333333344E-2</v>
      </c>
      <c r="BU246" t="str">
        <f t="shared" si="48"/>
        <v>ok</v>
      </c>
      <c r="BV246">
        <f t="shared" si="49"/>
        <v>0</v>
      </c>
      <c r="BW246">
        <f t="shared" si="50"/>
        <v>0</v>
      </c>
    </row>
    <row r="247" spans="43:75" x14ac:dyDescent="0.25">
      <c r="AQ247" s="63"/>
      <c r="BM247" s="29">
        <v>241</v>
      </c>
      <c r="BN247" s="242">
        <f t="shared" si="51"/>
        <v>42853</v>
      </c>
      <c r="BO247" s="29">
        <f t="shared" si="44"/>
        <v>0</v>
      </c>
      <c r="BP247" s="29">
        <f t="shared" si="43"/>
        <v>0</v>
      </c>
      <c r="BQ247" s="29">
        <f t="shared" si="45"/>
        <v>1</v>
      </c>
      <c r="BR247" s="29">
        <f t="shared" si="52"/>
        <v>168</v>
      </c>
      <c r="BS247" s="243">
        <f t="shared" si="46"/>
        <v>6.9444333333333344E-2</v>
      </c>
      <c r="BT247">
        <f t="shared" si="47"/>
        <v>6.9444333333333344E-2</v>
      </c>
      <c r="BU247" t="str">
        <f t="shared" si="48"/>
        <v>ok</v>
      </c>
      <c r="BV247">
        <f t="shared" si="49"/>
        <v>0</v>
      </c>
      <c r="BW247">
        <f t="shared" si="50"/>
        <v>0</v>
      </c>
    </row>
    <row r="248" spans="43:75" x14ac:dyDescent="0.25">
      <c r="AQ248" s="63"/>
      <c r="BM248" s="29">
        <v>242</v>
      </c>
      <c r="BN248" s="242">
        <f t="shared" si="51"/>
        <v>42854</v>
      </c>
      <c r="BO248" s="29">
        <f t="shared" si="44"/>
        <v>0</v>
      </c>
      <c r="BP248" s="29">
        <f t="shared" si="43"/>
        <v>0</v>
      </c>
      <c r="BQ248" s="29">
        <f t="shared" si="45"/>
        <v>1</v>
      </c>
      <c r="BR248" s="29">
        <f t="shared" si="52"/>
        <v>169</v>
      </c>
      <c r="BS248" s="243">
        <f t="shared" si="46"/>
        <v>6.9444333333333344E-2</v>
      </c>
      <c r="BT248">
        <f t="shared" si="47"/>
        <v>6.9444333333333344E-2</v>
      </c>
      <c r="BU248" t="str">
        <f t="shared" si="48"/>
        <v>ok</v>
      </c>
      <c r="BV248">
        <f t="shared" si="49"/>
        <v>0</v>
      </c>
      <c r="BW248">
        <f t="shared" si="50"/>
        <v>0</v>
      </c>
    </row>
    <row r="249" spans="43:75" x14ac:dyDescent="0.25">
      <c r="AQ249" s="63"/>
      <c r="BM249" s="29">
        <v>243</v>
      </c>
      <c r="BN249" s="242">
        <f t="shared" si="51"/>
        <v>42855</v>
      </c>
      <c r="BO249" s="29">
        <f t="shared" si="44"/>
        <v>1</v>
      </c>
      <c r="BP249" s="29">
        <f t="shared" si="43"/>
        <v>0</v>
      </c>
      <c r="BQ249" s="29">
        <f t="shared" si="45"/>
        <v>0</v>
      </c>
      <c r="BR249" s="29">
        <f t="shared" si="52"/>
        <v>169</v>
      </c>
      <c r="BS249" s="243">
        <f t="shared" si="46"/>
        <v>6.7204193548387095E-2</v>
      </c>
      <c r="BT249">
        <f t="shared" si="47"/>
        <v>6.7204193548387095E-2</v>
      </c>
      <c r="BU249" t="str">
        <f t="shared" si="48"/>
        <v>ok</v>
      </c>
      <c r="BV249">
        <f t="shared" si="49"/>
        <v>0</v>
      </c>
      <c r="BW249">
        <f t="shared" si="50"/>
        <v>0</v>
      </c>
    </row>
    <row r="250" spans="43:75" x14ac:dyDescent="0.25">
      <c r="AQ250" s="63"/>
      <c r="BM250" s="29">
        <v>244</v>
      </c>
      <c r="BN250" s="242">
        <f t="shared" si="51"/>
        <v>42856</v>
      </c>
      <c r="BO250" s="29">
        <f t="shared" si="44"/>
        <v>1</v>
      </c>
      <c r="BP250" s="29">
        <f t="shared" si="43"/>
        <v>0</v>
      </c>
      <c r="BQ250" s="29">
        <f t="shared" si="45"/>
        <v>0</v>
      </c>
      <c r="BR250" s="29">
        <f t="shared" si="52"/>
        <v>169</v>
      </c>
      <c r="BS250" s="243">
        <f t="shared" si="46"/>
        <v>6.7204193548387095E-2</v>
      </c>
      <c r="BT250">
        <f t="shared" si="47"/>
        <v>6.7204193548387095E-2</v>
      </c>
      <c r="BU250" t="str">
        <f t="shared" si="48"/>
        <v>ok</v>
      </c>
      <c r="BV250">
        <f t="shared" si="49"/>
        <v>0</v>
      </c>
      <c r="BW250">
        <f t="shared" si="50"/>
        <v>0</v>
      </c>
    </row>
    <row r="251" spans="43:75" x14ac:dyDescent="0.25">
      <c r="AQ251" s="63"/>
      <c r="BM251" s="29">
        <v>245</v>
      </c>
      <c r="BN251" s="242">
        <f t="shared" si="51"/>
        <v>42857</v>
      </c>
      <c r="BO251" s="29">
        <f t="shared" si="44"/>
        <v>0</v>
      </c>
      <c r="BP251" s="29">
        <f t="shared" si="43"/>
        <v>0</v>
      </c>
      <c r="BQ251" s="29">
        <f t="shared" si="45"/>
        <v>1</v>
      </c>
      <c r="BR251" s="29">
        <f t="shared" si="52"/>
        <v>170</v>
      </c>
      <c r="BS251" s="243">
        <f t="shared" si="46"/>
        <v>6.7204193548387095E-2</v>
      </c>
      <c r="BT251">
        <f t="shared" si="47"/>
        <v>6.7204193548387095E-2</v>
      </c>
      <c r="BU251" t="str">
        <f t="shared" si="48"/>
        <v>ok</v>
      </c>
      <c r="BV251">
        <f t="shared" si="49"/>
        <v>0</v>
      </c>
      <c r="BW251">
        <f t="shared" si="50"/>
        <v>0</v>
      </c>
    </row>
    <row r="252" spans="43:75" x14ac:dyDescent="0.25">
      <c r="AQ252" s="63"/>
      <c r="BM252" s="29">
        <v>246</v>
      </c>
      <c r="BN252" s="242">
        <f t="shared" si="51"/>
        <v>42858</v>
      </c>
      <c r="BO252" s="29">
        <f t="shared" si="44"/>
        <v>0</v>
      </c>
      <c r="BP252" s="29">
        <f t="shared" si="43"/>
        <v>0</v>
      </c>
      <c r="BQ252" s="29">
        <f t="shared" si="45"/>
        <v>1</v>
      </c>
      <c r="BR252" s="29">
        <f t="shared" si="52"/>
        <v>171</v>
      </c>
      <c r="BS252" s="243">
        <f t="shared" si="46"/>
        <v>6.7204193548387095E-2</v>
      </c>
      <c r="BT252">
        <f t="shared" si="47"/>
        <v>6.7204193548387095E-2</v>
      </c>
      <c r="BU252" t="str">
        <f t="shared" si="48"/>
        <v>ok</v>
      </c>
      <c r="BV252">
        <f t="shared" si="49"/>
        <v>0</v>
      </c>
      <c r="BW252">
        <f t="shared" si="50"/>
        <v>0</v>
      </c>
    </row>
    <row r="253" spans="43:75" x14ac:dyDescent="0.25">
      <c r="AQ253" s="63"/>
      <c r="BM253" s="29">
        <v>247</v>
      </c>
      <c r="BN253" s="242">
        <f t="shared" si="51"/>
        <v>42859</v>
      </c>
      <c r="BO253" s="29">
        <f t="shared" si="44"/>
        <v>0</v>
      </c>
      <c r="BP253" s="29">
        <f t="shared" si="43"/>
        <v>0</v>
      </c>
      <c r="BQ253" s="29">
        <f t="shared" si="45"/>
        <v>1</v>
      </c>
      <c r="BR253" s="29">
        <f t="shared" si="52"/>
        <v>172</v>
      </c>
      <c r="BS253" s="243">
        <f t="shared" si="46"/>
        <v>6.7204193548387095E-2</v>
      </c>
      <c r="BT253">
        <f t="shared" si="47"/>
        <v>6.7204193548387095E-2</v>
      </c>
      <c r="BU253" t="str">
        <f t="shared" si="48"/>
        <v>ok</v>
      </c>
      <c r="BV253">
        <f t="shared" si="49"/>
        <v>0</v>
      </c>
      <c r="BW253">
        <f t="shared" si="50"/>
        <v>0</v>
      </c>
    </row>
    <row r="254" spans="43:75" x14ac:dyDescent="0.25">
      <c r="AQ254" s="63"/>
      <c r="BM254" s="29">
        <v>248</v>
      </c>
      <c r="BN254" s="242">
        <f t="shared" si="51"/>
        <v>42860</v>
      </c>
      <c r="BO254" s="29">
        <f t="shared" si="44"/>
        <v>0</v>
      </c>
      <c r="BP254" s="29">
        <f t="shared" si="43"/>
        <v>0</v>
      </c>
      <c r="BQ254" s="29">
        <f t="shared" si="45"/>
        <v>1</v>
      </c>
      <c r="BR254" s="29">
        <f t="shared" si="52"/>
        <v>173</v>
      </c>
      <c r="BS254" s="243">
        <f t="shared" si="46"/>
        <v>6.7204193548387095E-2</v>
      </c>
      <c r="BT254">
        <f t="shared" si="47"/>
        <v>6.7204193548387095E-2</v>
      </c>
      <c r="BU254" t="str">
        <f t="shared" si="48"/>
        <v>ok</v>
      </c>
      <c r="BV254">
        <f t="shared" si="49"/>
        <v>0</v>
      </c>
      <c r="BW254">
        <f t="shared" si="50"/>
        <v>0</v>
      </c>
    </row>
    <row r="255" spans="43:75" x14ac:dyDescent="0.25">
      <c r="AQ255" s="63"/>
      <c r="BM255" s="29">
        <v>249</v>
      </c>
      <c r="BN255" s="242">
        <f t="shared" si="51"/>
        <v>42861</v>
      </c>
      <c r="BO255" s="29">
        <f t="shared" si="44"/>
        <v>0</v>
      </c>
      <c r="BP255" s="29">
        <f t="shared" si="43"/>
        <v>0</v>
      </c>
      <c r="BQ255" s="29">
        <f t="shared" si="45"/>
        <v>1</v>
      </c>
      <c r="BR255" s="29">
        <f t="shared" si="52"/>
        <v>174</v>
      </c>
      <c r="BS255" s="243">
        <f t="shared" si="46"/>
        <v>6.7204193548387095E-2</v>
      </c>
      <c r="BT255">
        <f t="shared" si="47"/>
        <v>6.7204193548387095E-2</v>
      </c>
      <c r="BU255" t="str">
        <f t="shared" si="48"/>
        <v>ok</v>
      </c>
      <c r="BV255">
        <f t="shared" si="49"/>
        <v>0</v>
      </c>
      <c r="BW255">
        <f t="shared" si="50"/>
        <v>0</v>
      </c>
    </row>
    <row r="256" spans="43:75" x14ac:dyDescent="0.25">
      <c r="AQ256" s="63"/>
      <c r="BM256" s="29">
        <v>250</v>
      </c>
      <c r="BN256" s="242">
        <f t="shared" si="51"/>
        <v>42862</v>
      </c>
      <c r="BO256" s="29">
        <f t="shared" si="44"/>
        <v>1</v>
      </c>
      <c r="BP256" s="29">
        <f t="shared" si="43"/>
        <v>0</v>
      </c>
      <c r="BQ256" s="29">
        <f t="shared" si="45"/>
        <v>0</v>
      </c>
      <c r="BR256" s="29">
        <f t="shared" si="52"/>
        <v>174</v>
      </c>
      <c r="BS256" s="243">
        <f t="shared" si="46"/>
        <v>6.7204193548387095E-2</v>
      </c>
      <c r="BT256">
        <f t="shared" si="47"/>
        <v>6.7204193548387095E-2</v>
      </c>
      <c r="BU256" t="str">
        <f t="shared" si="48"/>
        <v>ok</v>
      </c>
      <c r="BV256">
        <f t="shared" si="49"/>
        <v>0</v>
      </c>
      <c r="BW256">
        <f t="shared" si="50"/>
        <v>0</v>
      </c>
    </row>
    <row r="257" spans="43:75" x14ac:dyDescent="0.25">
      <c r="AQ257" s="63"/>
      <c r="BM257" s="29">
        <v>251</v>
      </c>
      <c r="BN257" s="242">
        <f t="shared" si="51"/>
        <v>42863</v>
      </c>
      <c r="BO257" s="29">
        <f t="shared" si="44"/>
        <v>1</v>
      </c>
      <c r="BP257" s="29">
        <f t="shared" si="43"/>
        <v>0</v>
      </c>
      <c r="BQ257" s="29">
        <f t="shared" si="45"/>
        <v>0</v>
      </c>
      <c r="BR257" s="29">
        <f t="shared" si="52"/>
        <v>174</v>
      </c>
      <c r="BS257" s="243">
        <f t="shared" si="46"/>
        <v>6.7204193548387095E-2</v>
      </c>
      <c r="BT257">
        <f t="shared" si="47"/>
        <v>6.7204193548387095E-2</v>
      </c>
      <c r="BU257" t="str">
        <f t="shared" si="48"/>
        <v>ok</v>
      </c>
      <c r="BV257">
        <f t="shared" si="49"/>
        <v>0</v>
      </c>
      <c r="BW257">
        <f t="shared" si="50"/>
        <v>0</v>
      </c>
    </row>
    <row r="258" spans="43:75" x14ac:dyDescent="0.25">
      <c r="AQ258" s="63"/>
      <c r="BM258" s="29">
        <v>252</v>
      </c>
      <c r="BN258" s="242">
        <f t="shared" si="51"/>
        <v>42864</v>
      </c>
      <c r="BO258" s="29">
        <f t="shared" si="44"/>
        <v>0</v>
      </c>
      <c r="BP258" s="29">
        <f t="shared" si="43"/>
        <v>0</v>
      </c>
      <c r="BQ258" s="29">
        <f t="shared" si="45"/>
        <v>1</v>
      </c>
      <c r="BR258" s="29">
        <f t="shared" si="52"/>
        <v>175</v>
      </c>
      <c r="BS258" s="243">
        <f t="shared" si="46"/>
        <v>6.7204193548387095E-2</v>
      </c>
      <c r="BT258">
        <f t="shared" si="47"/>
        <v>6.7204193548387095E-2</v>
      </c>
      <c r="BU258" t="str">
        <f t="shared" si="48"/>
        <v>ok</v>
      </c>
      <c r="BV258">
        <f t="shared" si="49"/>
        <v>0</v>
      </c>
      <c r="BW258">
        <f t="shared" si="50"/>
        <v>0</v>
      </c>
    </row>
    <row r="259" spans="43:75" x14ac:dyDescent="0.25">
      <c r="AQ259" s="63"/>
      <c r="BM259" s="29">
        <v>253</v>
      </c>
      <c r="BN259" s="242">
        <f t="shared" si="51"/>
        <v>42865</v>
      </c>
      <c r="BO259" s="29">
        <f t="shared" si="44"/>
        <v>0</v>
      </c>
      <c r="BP259" s="29">
        <f t="shared" si="43"/>
        <v>0</v>
      </c>
      <c r="BQ259" s="29">
        <f t="shared" si="45"/>
        <v>1</v>
      </c>
      <c r="BR259" s="29">
        <f t="shared" si="52"/>
        <v>176</v>
      </c>
      <c r="BS259" s="243">
        <f t="shared" si="46"/>
        <v>6.7204193548387095E-2</v>
      </c>
      <c r="BT259">
        <f t="shared" si="47"/>
        <v>6.7204193548387095E-2</v>
      </c>
      <c r="BU259" t="str">
        <f t="shared" si="48"/>
        <v>ok</v>
      </c>
      <c r="BV259">
        <f t="shared" si="49"/>
        <v>0</v>
      </c>
      <c r="BW259">
        <f t="shared" si="50"/>
        <v>0</v>
      </c>
    </row>
    <row r="260" spans="43:75" x14ac:dyDescent="0.25">
      <c r="AQ260" s="63"/>
      <c r="BM260" s="29">
        <v>254</v>
      </c>
      <c r="BN260" s="242">
        <f t="shared" si="51"/>
        <v>42866</v>
      </c>
      <c r="BO260" s="29">
        <f t="shared" si="44"/>
        <v>0</v>
      </c>
      <c r="BP260" s="29">
        <f t="shared" si="43"/>
        <v>0</v>
      </c>
      <c r="BQ260" s="29">
        <f t="shared" si="45"/>
        <v>1</v>
      </c>
      <c r="BR260" s="29">
        <f t="shared" si="52"/>
        <v>177</v>
      </c>
      <c r="BS260" s="243">
        <f t="shared" si="46"/>
        <v>6.7204193548387095E-2</v>
      </c>
      <c r="BT260">
        <f t="shared" si="47"/>
        <v>6.7204193548387095E-2</v>
      </c>
      <c r="BU260" t="str">
        <f t="shared" si="48"/>
        <v>ok</v>
      </c>
      <c r="BV260">
        <f t="shared" si="49"/>
        <v>0</v>
      </c>
      <c r="BW260">
        <f t="shared" si="50"/>
        <v>0</v>
      </c>
    </row>
    <row r="261" spans="43:75" x14ac:dyDescent="0.25">
      <c r="AQ261" s="63"/>
      <c r="BM261" s="29">
        <v>255</v>
      </c>
      <c r="BN261" s="242">
        <f t="shared" si="51"/>
        <v>42867</v>
      </c>
      <c r="BO261" s="29">
        <f t="shared" si="44"/>
        <v>0</v>
      </c>
      <c r="BP261" s="29">
        <f t="shared" si="43"/>
        <v>1</v>
      </c>
      <c r="BQ261" s="29">
        <f t="shared" si="45"/>
        <v>0</v>
      </c>
      <c r="BR261" s="29">
        <f t="shared" si="52"/>
        <v>177</v>
      </c>
      <c r="BS261" s="243">
        <f t="shared" si="46"/>
        <v>6.7204193548387095E-2</v>
      </c>
      <c r="BT261">
        <f t="shared" si="47"/>
        <v>6.7204193548387095E-2</v>
      </c>
      <c r="BU261" t="str">
        <f t="shared" si="48"/>
        <v>ok</v>
      </c>
      <c r="BV261">
        <f t="shared" si="49"/>
        <v>0</v>
      </c>
      <c r="BW261">
        <f t="shared" si="50"/>
        <v>0</v>
      </c>
    </row>
    <row r="262" spans="43:75" x14ac:dyDescent="0.25">
      <c r="AQ262" s="63"/>
      <c r="BM262" s="29">
        <v>256</v>
      </c>
      <c r="BN262" s="242">
        <f t="shared" si="51"/>
        <v>42868</v>
      </c>
      <c r="BO262" s="29">
        <f t="shared" si="44"/>
        <v>0</v>
      </c>
      <c r="BP262" s="29">
        <f t="shared" si="43"/>
        <v>0</v>
      </c>
      <c r="BQ262" s="29">
        <f t="shared" si="45"/>
        <v>1</v>
      </c>
      <c r="BR262" s="29">
        <f t="shared" si="52"/>
        <v>178</v>
      </c>
      <c r="BS262" s="243">
        <f t="shared" si="46"/>
        <v>6.7204193548387095E-2</v>
      </c>
      <c r="BT262">
        <f t="shared" si="47"/>
        <v>6.7204193548387095E-2</v>
      </c>
      <c r="BU262" t="str">
        <f t="shared" si="48"/>
        <v>ok</v>
      </c>
      <c r="BV262">
        <f t="shared" si="49"/>
        <v>0</v>
      </c>
      <c r="BW262">
        <f t="shared" si="50"/>
        <v>0</v>
      </c>
    </row>
    <row r="263" spans="43:75" x14ac:dyDescent="0.25">
      <c r="AQ263" s="63"/>
      <c r="BM263" s="29">
        <v>257</v>
      </c>
      <c r="BN263" s="242">
        <f t="shared" si="51"/>
        <v>42869</v>
      </c>
      <c r="BO263" s="29">
        <f t="shared" si="44"/>
        <v>1</v>
      </c>
      <c r="BP263" s="29">
        <f t="shared" ref="BP263:BP326" si="53">IF(BO263=1,0,COUNTIF(tab_ferie,BN263))</f>
        <v>0</v>
      </c>
      <c r="BQ263" s="29">
        <f t="shared" si="45"/>
        <v>0</v>
      </c>
      <c r="BR263" s="29">
        <f t="shared" si="52"/>
        <v>178</v>
      </c>
      <c r="BS263" s="243">
        <f t="shared" si="46"/>
        <v>6.7204193548387095E-2</v>
      </c>
      <c r="BT263">
        <f t="shared" si="47"/>
        <v>6.7204193548387095E-2</v>
      </c>
      <c r="BU263" t="str">
        <f t="shared" si="48"/>
        <v>ok</v>
      </c>
      <c r="BV263">
        <f t="shared" si="49"/>
        <v>0</v>
      </c>
      <c r="BW263">
        <f t="shared" si="50"/>
        <v>0</v>
      </c>
    </row>
    <row r="264" spans="43:75" x14ac:dyDescent="0.25">
      <c r="AQ264" s="63"/>
      <c r="BM264" s="29">
        <v>258</v>
      </c>
      <c r="BN264" s="242">
        <f t="shared" si="51"/>
        <v>42870</v>
      </c>
      <c r="BO264" s="29">
        <f t="shared" ref="BO264:BO327" si="54">IF(OR(WEEKDAY(BN264)=1,WEEKDAY(BN264)=7),1,0)</f>
        <v>1</v>
      </c>
      <c r="BP264" s="29">
        <f t="shared" si="53"/>
        <v>0</v>
      </c>
      <c r="BQ264" s="29">
        <f t="shared" ref="BQ264:BQ327" si="55">IF(AND(BN264&gt;=$AF$5,BN264&lt;=$AF$6),IF(BO264+BP264=0,1,0),0)</f>
        <v>0</v>
      </c>
      <c r="BR264" s="29">
        <f t="shared" si="52"/>
        <v>178</v>
      </c>
      <c r="BS264" s="243">
        <f t="shared" ref="BS264:BS327" si="56">2.08333/(EOMONTH(BN264,0)-(EOMONTH(BN264,-1)))</f>
        <v>6.7204193548387095E-2</v>
      </c>
      <c r="BT264">
        <f t="shared" ref="BT264:BT327" si="57">IF(AND(BN264&gt;=$AF$5,BN264&lt;=$AF$6),BS264,0)</f>
        <v>6.7204193548387095E-2</v>
      </c>
      <c r="BU264" t="str">
        <f t="shared" ref="BU264:BU327" si="58">IF(OR(MONTH(BN264)&gt;=10,MONTH(BN264)&lt;=5),"ok","non")</f>
        <v>ok</v>
      </c>
      <c r="BV264">
        <f t="shared" ref="BV264:BV327" si="59">IF(BU264="ok",$CC$30/(EOMONTH(BN264,0)-(EOMONTH(BN264,-1))),0)</f>
        <v>0</v>
      </c>
      <c r="BW264">
        <f t="shared" ref="BW264:BW327" si="60">IF(AND(BN264&gt;=$AF$5,BN264&lt;=$AF$6),BV264,0)</f>
        <v>0</v>
      </c>
    </row>
    <row r="265" spans="43:75" x14ac:dyDescent="0.25">
      <c r="AQ265" s="63"/>
      <c r="BM265" s="29">
        <v>259</v>
      </c>
      <c r="BN265" s="242">
        <f t="shared" ref="BN265:BN328" si="61">BN264+1</f>
        <v>42871</v>
      </c>
      <c r="BO265" s="29">
        <f t="shared" si="54"/>
        <v>0</v>
      </c>
      <c r="BP265" s="29">
        <f t="shared" si="53"/>
        <v>0</v>
      </c>
      <c r="BQ265" s="29">
        <f t="shared" si="55"/>
        <v>1</v>
      </c>
      <c r="BR265" s="29">
        <f t="shared" ref="BR265:BR328" si="62">BR264+1-BP265-BO265</f>
        <v>179</v>
      </c>
      <c r="BS265" s="243">
        <f t="shared" si="56"/>
        <v>6.7204193548387095E-2</v>
      </c>
      <c r="BT265">
        <f t="shared" si="57"/>
        <v>6.7204193548387095E-2</v>
      </c>
      <c r="BU265" t="str">
        <f t="shared" si="58"/>
        <v>ok</v>
      </c>
      <c r="BV265">
        <f t="shared" si="59"/>
        <v>0</v>
      </c>
      <c r="BW265">
        <f t="shared" si="60"/>
        <v>0</v>
      </c>
    </row>
    <row r="266" spans="43:75" x14ac:dyDescent="0.25">
      <c r="AQ266" s="63"/>
      <c r="BM266" s="29">
        <v>260</v>
      </c>
      <c r="BN266" s="242">
        <f t="shared" si="61"/>
        <v>42872</v>
      </c>
      <c r="BO266" s="29">
        <f t="shared" si="54"/>
        <v>0</v>
      </c>
      <c r="BP266" s="29">
        <f t="shared" si="53"/>
        <v>0</v>
      </c>
      <c r="BQ266" s="29">
        <f t="shared" si="55"/>
        <v>1</v>
      </c>
      <c r="BR266" s="29">
        <f t="shared" si="62"/>
        <v>180</v>
      </c>
      <c r="BS266" s="243">
        <f t="shared" si="56"/>
        <v>6.7204193548387095E-2</v>
      </c>
      <c r="BT266">
        <f t="shared" si="57"/>
        <v>6.7204193548387095E-2</v>
      </c>
      <c r="BU266" t="str">
        <f t="shared" si="58"/>
        <v>ok</v>
      </c>
      <c r="BV266">
        <f t="shared" si="59"/>
        <v>0</v>
      </c>
      <c r="BW266">
        <f t="shared" si="60"/>
        <v>0</v>
      </c>
    </row>
    <row r="267" spans="43:75" x14ac:dyDescent="0.25">
      <c r="AQ267" s="63"/>
      <c r="BM267" s="29">
        <v>261</v>
      </c>
      <c r="BN267" s="242">
        <f t="shared" si="61"/>
        <v>42873</v>
      </c>
      <c r="BO267" s="29">
        <f t="shared" si="54"/>
        <v>0</v>
      </c>
      <c r="BP267" s="29">
        <f t="shared" si="53"/>
        <v>0</v>
      </c>
      <c r="BQ267" s="29">
        <f t="shared" si="55"/>
        <v>1</v>
      </c>
      <c r="BR267" s="29">
        <f t="shared" si="62"/>
        <v>181</v>
      </c>
      <c r="BS267" s="243">
        <f t="shared" si="56"/>
        <v>6.7204193548387095E-2</v>
      </c>
      <c r="BT267">
        <f t="shared" si="57"/>
        <v>6.7204193548387095E-2</v>
      </c>
      <c r="BU267" t="str">
        <f t="shared" si="58"/>
        <v>ok</v>
      </c>
      <c r="BV267">
        <f t="shared" si="59"/>
        <v>0</v>
      </c>
      <c r="BW267">
        <f t="shared" si="60"/>
        <v>0</v>
      </c>
    </row>
    <row r="268" spans="43:75" x14ac:dyDescent="0.25">
      <c r="AQ268" s="63"/>
      <c r="BM268" s="29">
        <v>262</v>
      </c>
      <c r="BN268" s="242">
        <f t="shared" si="61"/>
        <v>42874</v>
      </c>
      <c r="BO268" s="29">
        <f t="shared" si="54"/>
        <v>0</v>
      </c>
      <c r="BP268" s="29">
        <f t="shared" si="53"/>
        <v>0</v>
      </c>
      <c r="BQ268" s="29">
        <f t="shared" si="55"/>
        <v>1</v>
      </c>
      <c r="BR268" s="29">
        <f t="shared" si="62"/>
        <v>182</v>
      </c>
      <c r="BS268" s="243">
        <f t="shared" si="56"/>
        <v>6.7204193548387095E-2</v>
      </c>
      <c r="BT268">
        <f t="shared" si="57"/>
        <v>6.7204193548387095E-2</v>
      </c>
      <c r="BU268" t="str">
        <f t="shared" si="58"/>
        <v>ok</v>
      </c>
      <c r="BV268">
        <f t="shared" si="59"/>
        <v>0</v>
      </c>
      <c r="BW268">
        <f t="shared" si="60"/>
        <v>0</v>
      </c>
    </row>
    <row r="269" spans="43:75" x14ac:dyDescent="0.25">
      <c r="AQ269" s="63"/>
      <c r="BM269" s="29">
        <v>263</v>
      </c>
      <c r="BN269" s="242">
        <f t="shared" si="61"/>
        <v>42875</v>
      </c>
      <c r="BO269" s="29">
        <f t="shared" si="54"/>
        <v>0</v>
      </c>
      <c r="BP269" s="29">
        <f t="shared" si="53"/>
        <v>0</v>
      </c>
      <c r="BQ269" s="29">
        <f t="shared" si="55"/>
        <v>1</v>
      </c>
      <c r="BR269" s="29">
        <f t="shared" si="62"/>
        <v>183</v>
      </c>
      <c r="BS269" s="243">
        <f t="shared" si="56"/>
        <v>6.7204193548387095E-2</v>
      </c>
      <c r="BT269">
        <f t="shared" si="57"/>
        <v>6.7204193548387095E-2</v>
      </c>
      <c r="BU269" t="str">
        <f t="shared" si="58"/>
        <v>ok</v>
      </c>
      <c r="BV269">
        <f t="shared" si="59"/>
        <v>0</v>
      </c>
      <c r="BW269">
        <f t="shared" si="60"/>
        <v>0</v>
      </c>
    </row>
    <row r="270" spans="43:75" x14ac:dyDescent="0.25">
      <c r="AQ270" s="63"/>
      <c r="BM270" s="29">
        <v>264</v>
      </c>
      <c r="BN270" s="242">
        <f t="shared" si="61"/>
        <v>42876</v>
      </c>
      <c r="BO270" s="29">
        <f t="shared" si="54"/>
        <v>1</v>
      </c>
      <c r="BP270" s="29">
        <f t="shared" si="53"/>
        <v>0</v>
      </c>
      <c r="BQ270" s="29">
        <f t="shared" si="55"/>
        <v>0</v>
      </c>
      <c r="BR270" s="29">
        <f t="shared" si="62"/>
        <v>183</v>
      </c>
      <c r="BS270" s="243">
        <f t="shared" si="56"/>
        <v>6.7204193548387095E-2</v>
      </c>
      <c r="BT270">
        <f t="shared" si="57"/>
        <v>6.7204193548387095E-2</v>
      </c>
      <c r="BU270" t="str">
        <f t="shared" si="58"/>
        <v>ok</v>
      </c>
      <c r="BV270">
        <f t="shared" si="59"/>
        <v>0</v>
      </c>
      <c r="BW270">
        <f t="shared" si="60"/>
        <v>0</v>
      </c>
    </row>
    <row r="271" spans="43:75" x14ac:dyDescent="0.25">
      <c r="AQ271" s="63"/>
      <c r="BM271" s="29">
        <v>265</v>
      </c>
      <c r="BN271" s="242">
        <f t="shared" si="61"/>
        <v>42877</v>
      </c>
      <c r="BO271" s="29">
        <f t="shared" si="54"/>
        <v>1</v>
      </c>
      <c r="BP271" s="29">
        <f t="shared" si="53"/>
        <v>0</v>
      </c>
      <c r="BQ271" s="29">
        <f t="shared" si="55"/>
        <v>0</v>
      </c>
      <c r="BR271" s="29">
        <f t="shared" si="62"/>
        <v>183</v>
      </c>
      <c r="BS271" s="243">
        <f t="shared" si="56"/>
        <v>6.7204193548387095E-2</v>
      </c>
      <c r="BT271">
        <f t="shared" si="57"/>
        <v>6.7204193548387095E-2</v>
      </c>
      <c r="BU271" t="str">
        <f t="shared" si="58"/>
        <v>ok</v>
      </c>
      <c r="BV271">
        <f t="shared" si="59"/>
        <v>0</v>
      </c>
      <c r="BW271">
        <f t="shared" si="60"/>
        <v>0</v>
      </c>
    </row>
    <row r="272" spans="43:75" x14ac:dyDescent="0.25">
      <c r="AQ272" s="63"/>
      <c r="BM272" s="29">
        <v>266</v>
      </c>
      <c r="BN272" s="242">
        <f t="shared" si="61"/>
        <v>42878</v>
      </c>
      <c r="BO272" s="29">
        <f t="shared" si="54"/>
        <v>0</v>
      </c>
      <c r="BP272" s="29">
        <f t="shared" si="53"/>
        <v>0</v>
      </c>
      <c r="BQ272" s="29">
        <f t="shared" si="55"/>
        <v>1</v>
      </c>
      <c r="BR272" s="29">
        <f t="shared" si="62"/>
        <v>184</v>
      </c>
      <c r="BS272" s="243">
        <f t="shared" si="56"/>
        <v>6.7204193548387095E-2</v>
      </c>
      <c r="BT272">
        <f t="shared" si="57"/>
        <v>6.7204193548387095E-2</v>
      </c>
      <c r="BU272" t="str">
        <f t="shared" si="58"/>
        <v>ok</v>
      </c>
      <c r="BV272">
        <f t="shared" si="59"/>
        <v>0</v>
      </c>
      <c r="BW272">
        <f t="shared" si="60"/>
        <v>0</v>
      </c>
    </row>
    <row r="273" spans="43:75" x14ac:dyDescent="0.25">
      <c r="AQ273" s="63"/>
      <c r="BM273" s="29">
        <v>267</v>
      </c>
      <c r="BN273" s="242">
        <f t="shared" si="61"/>
        <v>42879</v>
      </c>
      <c r="BO273" s="29">
        <f t="shared" si="54"/>
        <v>0</v>
      </c>
      <c r="BP273" s="29">
        <f t="shared" si="53"/>
        <v>0</v>
      </c>
      <c r="BQ273" s="29">
        <f t="shared" si="55"/>
        <v>1</v>
      </c>
      <c r="BR273" s="29">
        <f t="shared" si="62"/>
        <v>185</v>
      </c>
      <c r="BS273" s="243">
        <f t="shared" si="56"/>
        <v>6.7204193548387095E-2</v>
      </c>
      <c r="BT273">
        <f t="shared" si="57"/>
        <v>6.7204193548387095E-2</v>
      </c>
      <c r="BU273" t="str">
        <f t="shared" si="58"/>
        <v>ok</v>
      </c>
      <c r="BV273">
        <f t="shared" si="59"/>
        <v>0</v>
      </c>
      <c r="BW273">
        <f t="shared" si="60"/>
        <v>0</v>
      </c>
    </row>
    <row r="274" spans="43:75" x14ac:dyDescent="0.25">
      <c r="AQ274" s="63"/>
      <c r="BM274" s="29">
        <v>268</v>
      </c>
      <c r="BN274" s="242">
        <f t="shared" si="61"/>
        <v>42880</v>
      </c>
      <c r="BO274" s="29">
        <f t="shared" si="54"/>
        <v>0</v>
      </c>
      <c r="BP274" s="29">
        <f t="shared" si="53"/>
        <v>0</v>
      </c>
      <c r="BQ274" s="29">
        <f t="shared" si="55"/>
        <v>1</v>
      </c>
      <c r="BR274" s="29">
        <f t="shared" si="62"/>
        <v>186</v>
      </c>
      <c r="BS274" s="243">
        <f t="shared" si="56"/>
        <v>6.7204193548387095E-2</v>
      </c>
      <c r="BT274">
        <f t="shared" si="57"/>
        <v>6.7204193548387095E-2</v>
      </c>
      <c r="BU274" t="str">
        <f t="shared" si="58"/>
        <v>ok</v>
      </c>
      <c r="BV274">
        <f t="shared" si="59"/>
        <v>0</v>
      </c>
      <c r="BW274">
        <f t="shared" si="60"/>
        <v>0</v>
      </c>
    </row>
    <row r="275" spans="43:75" x14ac:dyDescent="0.25">
      <c r="AQ275" s="63"/>
      <c r="BM275" s="29">
        <v>269</v>
      </c>
      <c r="BN275" s="242">
        <f t="shared" si="61"/>
        <v>42881</v>
      </c>
      <c r="BO275" s="29">
        <f t="shared" si="54"/>
        <v>0</v>
      </c>
      <c r="BP275" s="29">
        <f t="shared" si="53"/>
        <v>0</v>
      </c>
      <c r="BQ275" s="29">
        <f t="shared" si="55"/>
        <v>1</v>
      </c>
      <c r="BR275" s="29">
        <f t="shared" si="62"/>
        <v>187</v>
      </c>
      <c r="BS275" s="243">
        <f t="shared" si="56"/>
        <v>6.7204193548387095E-2</v>
      </c>
      <c r="BT275">
        <f t="shared" si="57"/>
        <v>6.7204193548387095E-2</v>
      </c>
      <c r="BU275" t="str">
        <f t="shared" si="58"/>
        <v>ok</v>
      </c>
      <c r="BV275">
        <f t="shared" si="59"/>
        <v>0</v>
      </c>
      <c r="BW275">
        <f t="shared" si="60"/>
        <v>0</v>
      </c>
    </row>
    <row r="276" spans="43:75" x14ac:dyDescent="0.25">
      <c r="AQ276" s="63"/>
      <c r="BM276" s="29">
        <v>270</v>
      </c>
      <c r="BN276" s="242">
        <f t="shared" si="61"/>
        <v>42882</v>
      </c>
      <c r="BO276" s="29">
        <f t="shared" si="54"/>
        <v>0</v>
      </c>
      <c r="BP276" s="29">
        <f t="shared" si="53"/>
        <v>0</v>
      </c>
      <c r="BQ276" s="29">
        <f t="shared" si="55"/>
        <v>1</v>
      </c>
      <c r="BR276" s="29">
        <f t="shared" si="62"/>
        <v>188</v>
      </c>
      <c r="BS276" s="243">
        <f t="shared" si="56"/>
        <v>6.7204193548387095E-2</v>
      </c>
      <c r="BT276">
        <f t="shared" si="57"/>
        <v>6.7204193548387095E-2</v>
      </c>
      <c r="BU276" t="str">
        <f t="shared" si="58"/>
        <v>ok</v>
      </c>
      <c r="BV276">
        <f t="shared" si="59"/>
        <v>0</v>
      </c>
      <c r="BW276">
        <f t="shared" si="60"/>
        <v>0</v>
      </c>
    </row>
    <row r="277" spans="43:75" x14ac:dyDescent="0.25">
      <c r="AQ277" s="63"/>
      <c r="BM277" s="29">
        <v>271</v>
      </c>
      <c r="BN277" s="242">
        <f t="shared" si="61"/>
        <v>42883</v>
      </c>
      <c r="BO277" s="29">
        <f t="shared" si="54"/>
        <v>1</v>
      </c>
      <c r="BP277" s="29">
        <f t="shared" si="53"/>
        <v>0</v>
      </c>
      <c r="BQ277" s="29">
        <f t="shared" si="55"/>
        <v>0</v>
      </c>
      <c r="BR277" s="29">
        <f t="shared" si="62"/>
        <v>188</v>
      </c>
      <c r="BS277" s="243">
        <f t="shared" si="56"/>
        <v>6.7204193548387095E-2</v>
      </c>
      <c r="BT277">
        <f t="shared" si="57"/>
        <v>6.7204193548387095E-2</v>
      </c>
      <c r="BU277" t="str">
        <f t="shared" si="58"/>
        <v>ok</v>
      </c>
      <c r="BV277">
        <f t="shared" si="59"/>
        <v>0</v>
      </c>
      <c r="BW277">
        <f t="shared" si="60"/>
        <v>0</v>
      </c>
    </row>
    <row r="278" spans="43:75" x14ac:dyDescent="0.25">
      <c r="AQ278" s="63"/>
      <c r="BM278" s="29">
        <v>272</v>
      </c>
      <c r="BN278" s="242">
        <f t="shared" si="61"/>
        <v>42884</v>
      </c>
      <c r="BO278" s="29">
        <f t="shared" si="54"/>
        <v>1</v>
      </c>
      <c r="BP278" s="29">
        <f t="shared" si="53"/>
        <v>0</v>
      </c>
      <c r="BQ278" s="29">
        <f t="shared" si="55"/>
        <v>0</v>
      </c>
      <c r="BR278" s="29">
        <f t="shared" si="62"/>
        <v>188</v>
      </c>
      <c r="BS278" s="243">
        <f t="shared" si="56"/>
        <v>6.7204193548387095E-2</v>
      </c>
      <c r="BT278">
        <f t="shared" si="57"/>
        <v>6.7204193548387095E-2</v>
      </c>
      <c r="BU278" t="str">
        <f t="shared" si="58"/>
        <v>ok</v>
      </c>
      <c r="BV278">
        <f t="shared" si="59"/>
        <v>0</v>
      </c>
      <c r="BW278">
        <f t="shared" si="60"/>
        <v>0</v>
      </c>
    </row>
    <row r="279" spans="43:75" x14ac:dyDescent="0.25">
      <c r="AQ279" s="63"/>
      <c r="BM279" s="29">
        <v>273</v>
      </c>
      <c r="BN279" s="242">
        <f t="shared" si="61"/>
        <v>42885</v>
      </c>
      <c r="BO279" s="29">
        <f t="shared" si="54"/>
        <v>0</v>
      </c>
      <c r="BP279" s="29">
        <f t="shared" si="53"/>
        <v>0</v>
      </c>
      <c r="BQ279" s="29">
        <f t="shared" si="55"/>
        <v>1</v>
      </c>
      <c r="BR279" s="29">
        <f t="shared" si="62"/>
        <v>189</v>
      </c>
      <c r="BS279" s="243">
        <f t="shared" si="56"/>
        <v>6.7204193548387095E-2</v>
      </c>
      <c r="BT279">
        <f t="shared" si="57"/>
        <v>6.7204193548387095E-2</v>
      </c>
      <c r="BU279" t="str">
        <f t="shared" si="58"/>
        <v>ok</v>
      </c>
      <c r="BV279">
        <f t="shared" si="59"/>
        <v>0</v>
      </c>
      <c r="BW279">
        <f t="shared" si="60"/>
        <v>0</v>
      </c>
    </row>
    <row r="280" spans="43:75" x14ac:dyDescent="0.25">
      <c r="AQ280" s="63"/>
      <c r="BM280" s="29">
        <v>274</v>
      </c>
      <c r="BN280" s="242">
        <f t="shared" si="61"/>
        <v>42886</v>
      </c>
      <c r="BO280" s="29">
        <f t="shared" si="54"/>
        <v>0</v>
      </c>
      <c r="BP280" s="29">
        <f t="shared" si="53"/>
        <v>0</v>
      </c>
      <c r="BQ280" s="29">
        <f t="shared" si="55"/>
        <v>1</v>
      </c>
      <c r="BR280" s="29">
        <f t="shared" si="62"/>
        <v>190</v>
      </c>
      <c r="BS280" s="243">
        <f t="shared" si="56"/>
        <v>6.9444333333333344E-2</v>
      </c>
      <c r="BT280">
        <f t="shared" si="57"/>
        <v>6.9444333333333344E-2</v>
      </c>
      <c r="BU280" t="str">
        <f t="shared" si="58"/>
        <v>non</v>
      </c>
      <c r="BV280">
        <f t="shared" si="59"/>
        <v>0</v>
      </c>
      <c r="BW280">
        <f t="shared" si="60"/>
        <v>0</v>
      </c>
    </row>
    <row r="281" spans="43:75" x14ac:dyDescent="0.25">
      <c r="AQ281" s="63"/>
      <c r="BM281" s="29">
        <v>275</v>
      </c>
      <c r="BN281" s="242">
        <f t="shared" si="61"/>
        <v>42887</v>
      </c>
      <c r="BO281" s="29">
        <f t="shared" si="54"/>
        <v>0</v>
      </c>
      <c r="BP281" s="29">
        <f t="shared" si="53"/>
        <v>0</v>
      </c>
      <c r="BQ281" s="29">
        <f t="shared" si="55"/>
        <v>1</v>
      </c>
      <c r="BR281" s="29">
        <f t="shared" si="62"/>
        <v>191</v>
      </c>
      <c r="BS281" s="243">
        <f t="shared" si="56"/>
        <v>6.9444333333333344E-2</v>
      </c>
      <c r="BT281">
        <f t="shared" si="57"/>
        <v>6.9444333333333344E-2</v>
      </c>
      <c r="BU281" t="str">
        <f t="shared" si="58"/>
        <v>non</v>
      </c>
      <c r="BV281">
        <f t="shared" si="59"/>
        <v>0</v>
      </c>
      <c r="BW281">
        <f t="shared" si="60"/>
        <v>0</v>
      </c>
    </row>
    <row r="282" spans="43:75" x14ac:dyDescent="0.25">
      <c r="AQ282" s="63"/>
      <c r="BM282" s="29">
        <v>276</v>
      </c>
      <c r="BN282" s="242">
        <f t="shared" si="61"/>
        <v>42888</v>
      </c>
      <c r="BO282" s="29">
        <f t="shared" si="54"/>
        <v>0</v>
      </c>
      <c r="BP282" s="29">
        <f t="shared" si="53"/>
        <v>0</v>
      </c>
      <c r="BQ282" s="29">
        <f t="shared" si="55"/>
        <v>1</v>
      </c>
      <c r="BR282" s="29">
        <f t="shared" si="62"/>
        <v>192</v>
      </c>
      <c r="BS282" s="243">
        <f t="shared" si="56"/>
        <v>6.9444333333333344E-2</v>
      </c>
      <c r="BT282">
        <f t="shared" si="57"/>
        <v>6.9444333333333344E-2</v>
      </c>
      <c r="BU282" t="str">
        <f t="shared" si="58"/>
        <v>non</v>
      </c>
      <c r="BV282">
        <f t="shared" si="59"/>
        <v>0</v>
      </c>
      <c r="BW282">
        <f t="shared" si="60"/>
        <v>0</v>
      </c>
    </row>
    <row r="283" spans="43:75" x14ac:dyDescent="0.25">
      <c r="AQ283" s="63"/>
      <c r="BM283" s="29">
        <v>277</v>
      </c>
      <c r="BN283" s="242">
        <f t="shared" si="61"/>
        <v>42889</v>
      </c>
      <c r="BO283" s="29">
        <f t="shared" si="54"/>
        <v>0</v>
      </c>
      <c r="BP283" s="29">
        <f t="shared" si="53"/>
        <v>0</v>
      </c>
      <c r="BQ283" s="29">
        <f t="shared" si="55"/>
        <v>1</v>
      </c>
      <c r="BR283" s="29">
        <f t="shared" si="62"/>
        <v>193</v>
      </c>
      <c r="BS283" s="243">
        <f t="shared" si="56"/>
        <v>6.9444333333333344E-2</v>
      </c>
      <c r="BT283">
        <f t="shared" si="57"/>
        <v>6.9444333333333344E-2</v>
      </c>
      <c r="BU283" t="str">
        <f t="shared" si="58"/>
        <v>non</v>
      </c>
      <c r="BV283">
        <f t="shared" si="59"/>
        <v>0</v>
      </c>
      <c r="BW283">
        <f t="shared" si="60"/>
        <v>0</v>
      </c>
    </row>
    <row r="284" spans="43:75" x14ac:dyDescent="0.25">
      <c r="AQ284" s="63"/>
      <c r="BM284" s="29">
        <v>278</v>
      </c>
      <c r="BN284" s="242">
        <f t="shared" si="61"/>
        <v>42890</v>
      </c>
      <c r="BO284" s="29">
        <f t="shared" si="54"/>
        <v>1</v>
      </c>
      <c r="BP284" s="29">
        <f t="shared" si="53"/>
        <v>0</v>
      </c>
      <c r="BQ284" s="29">
        <f t="shared" si="55"/>
        <v>0</v>
      </c>
      <c r="BR284" s="29">
        <f t="shared" si="62"/>
        <v>193</v>
      </c>
      <c r="BS284" s="243">
        <f t="shared" si="56"/>
        <v>6.9444333333333344E-2</v>
      </c>
      <c r="BT284">
        <f t="shared" si="57"/>
        <v>6.9444333333333344E-2</v>
      </c>
      <c r="BU284" t="str">
        <f t="shared" si="58"/>
        <v>non</v>
      </c>
      <c r="BV284">
        <f t="shared" si="59"/>
        <v>0</v>
      </c>
      <c r="BW284">
        <f t="shared" si="60"/>
        <v>0</v>
      </c>
    </row>
    <row r="285" spans="43:75" x14ac:dyDescent="0.25">
      <c r="AQ285" s="63"/>
      <c r="BM285" s="29">
        <v>279</v>
      </c>
      <c r="BN285" s="242">
        <f t="shared" si="61"/>
        <v>42891</v>
      </c>
      <c r="BO285" s="29">
        <f t="shared" si="54"/>
        <v>1</v>
      </c>
      <c r="BP285" s="29">
        <f t="shared" si="53"/>
        <v>0</v>
      </c>
      <c r="BQ285" s="29">
        <f t="shared" si="55"/>
        <v>0</v>
      </c>
      <c r="BR285" s="29">
        <f t="shared" si="62"/>
        <v>193</v>
      </c>
      <c r="BS285" s="243">
        <f t="shared" si="56"/>
        <v>6.9444333333333344E-2</v>
      </c>
      <c r="BT285">
        <f t="shared" si="57"/>
        <v>6.9444333333333344E-2</v>
      </c>
      <c r="BU285" t="str">
        <f t="shared" si="58"/>
        <v>non</v>
      </c>
      <c r="BV285">
        <f t="shared" si="59"/>
        <v>0</v>
      </c>
      <c r="BW285">
        <f t="shared" si="60"/>
        <v>0</v>
      </c>
    </row>
    <row r="286" spans="43:75" x14ac:dyDescent="0.25">
      <c r="AQ286" s="63"/>
      <c r="BM286" s="29">
        <v>280</v>
      </c>
      <c r="BN286" s="242">
        <f t="shared" si="61"/>
        <v>42892</v>
      </c>
      <c r="BO286" s="29">
        <f t="shared" si="54"/>
        <v>0</v>
      </c>
      <c r="BP286" s="29">
        <f t="shared" si="53"/>
        <v>0</v>
      </c>
      <c r="BQ286" s="29">
        <f t="shared" si="55"/>
        <v>1</v>
      </c>
      <c r="BR286" s="29">
        <f t="shared" si="62"/>
        <v>194</v>
      </c>
      <c r="BS286" s="243">
        <f t="shared" si="56"/>
        <v>6.9444333333333344E-2</v>
      </c>
      <c r="BT286">
        <f t="shared" si="57"/>
        <v>6.9444333333333344E-2</v>
      </c>
      <c r="BU286" t="str">
        <f t="shared" si="58"/>
        <v>non</v>
      </c>
      <c r="BV286">
        <f t="shared" si="59"/>
        <v>0</v>
      </c>
      <c r="BW286">
        <f t="shared" si="60"/>
        <v>0</v>
      </c>
    </row>
    <row r="287" spans="43:75" x14ac:dyDescent="0.25">
      <c r="AQ287" s="63"/>
      <c r="BM287" s="29">
        <v>281</v>
      </c>
      <c r="BN287" s="242">
        <f t="shared" si="61"/>
        <v>42893</v>
      </c>
      <c r="BO287" s="29">
        <f t="shared" si="54"/>
        <v>0</v>
      </c>
      <c r="BP287" s="29">
        <f t="shared" si="53"/>
        <v>0</v>
      </c>
      <c r="BQ287" s="29">
        <f t="shared" si="55"/>
        <v>1</v>
      </c>
      <c r="BR287" s="29">
        <f t="shared" si="62"/>
        <v>195</v>
      </c>
      <c r="BS287" s="243">
        <f t="shared" si="56"/>
        <v>6.9444333333333344E-2</v>
      </c>
      <c r="BT287">
        <f t="shared" si="57"/>
        <v>6.9444333333333344E-2</v>
      </c>
      <c r="BU287" t="str">
        <f t="shared" si="58"/>
        <v>non</v>
      </c>
      <c r="BV287">
        <f t="shared" si="59"/>
        <v>0</v>
      </c>
      <c r="BW287">
        <f t="shared" si="60"/>
        <v>0</v>
      </c>
    </row>
    <row r="288" spans="43:75" x14ac:dyDescent="0.25">
      <c r="AQ288" s="63"/>
      <c r="BM288" s="29">
        <v>282</v>
      </c>
      <c r="BN288" s="242">
        <f t="shared" si="61"/>
        <v>42894</v>
      </c>
      <c r="BO288" s="29">
        <f t="shared" si="54"/>
        <v>0</v>
      </c>
      <c r="BP288" s="29">
        <f t="shared" si="53"/>
        <v>0</v>
      </c>
      <c r="BQ288" s="29">
        <f t="shared" si="55"/>
        <v>1</v>
      </c>
      <c r="BR288" s="29">
        <f t="shared" si="62"/>
        <v>196</v>
      </c>
      <c r="BS288" s="243">
        <f t="shared" si="56"/>
        <v>6.9444333333333344E-2</v>
      </c>
      <c r="BT288">
        <f t="shared" si="57"/>
        <v>6.9444333333333344E-2</v>
      </c>
      <c r="BU288" t="str">
        <f t="shared" si="58"/>
        <v>non</v>
      </c>
      <c r="BV288">
        <f t="shared" si="59"/>
        <v>0</v>
      </c>
      <c r="BW288">
        <f t="shared" si="60"/>
        <v>0</v>
      </c>
    </row>
    <row r="289" spans="43:75" x14ac:dyDescent="0.25">
      <c r="AQ289" s="63"/>
      <c r="BM289" s="29">
        <v>283</v>
      </c>
      <c r="BN289" s="242">
        <f t="shared" si="61"/>
        <v>42895</v>
      </c>
      <c r="BO289" s="29">
        <f t="shared" si="54"/>
        <v>0</v>
      </c>
      <c r="BP289" s="29">
        <f t="shared" si="53"/>
        <v>0</v>
      </c>
      <c r="BQ289" s="29">
        <f t="shared" si="55"/>
        <v>1</v>
      </c>
      <c r="BR289" s="29">
        <f t="shared" si="62"/>
        <v>197</v>
      </c>
      <c r="BS289" s="243">
        <f t="shared" si="56"/>
        <v>6.9444333333333344E-2</v>
      </c>
      <c r="BT289">
        <f t="shared" si="57"/>
        <v>6.9444333333333344E-2</v>
      </c>
      <c r="BU289" t="str">
        <f t="shared" si="58"/>
        <v>non</v>
      </c>
      <c r="BV289">
        <f t="shared" si="59"/>
        <v>0</v>
      </c>
      <c r="BW289">
        <f t="shared" si="60"/>
        <v>0</v>
      </c>
    </row>
    <row r="290" spans="43:75" x14ac:dyDescent="0.25">
      <c r="AQ290" s="63"/>
      <c r="BM290" s="29">
        <v>284</v>
      </c>
      <c r="BN290" s="242">
        <f t="shared" si="61"/>
        <v>42896</v>
      </c>
      <c r="BO290" s="29">
        <f t="shared" si="54"/>
        <v>0</v>
      </c>
      <c r="BP290" s="29">
        <f t="shared" si="53"/>
        <v>0</v>
      </c>
      <c r="BQ290" s="29">
        <f t="shared" si="55"/>
        <v>1</v>
      </c>
      <c r="BR290" s="29">
        <f t="shared" si="62"/>
        <v>198</v>
      </c>
      <c r="BS290" s="243">
        <f t="shared" si="56"/>
        <v>6.9444333333333344E-2</v>
      </c>
      <c r="BT290">
        <f t="shared" si="57"/>
        <v>6.9444333333333344E-2</v>
      </c>
      <c r="BU290" t="str">
        <f t="shared" si="58"/>
        <v>non</v>
      </c>
      <c r="BV290">
        <f t="shared" si="59"/>
        <v>0</v>
      </c>
      <c r="BW290">
        <f t="shared" si="60"/>
        <v>0</v>
      </c>
    </row>
    <row r="291" spans="43:75" x14ac:dyDescent="0.25">
      <c r="AQ291" s="63"/>
      <c r="BM291" s="29">
        <v>285</v>
      </c>
      <c r="BN291" s="242">
        <f t="shared" si="61"/>
        <v>42897</v>
      </c>
      <c r="BO291" s="29">
        <f t="shared" si="54"/>
        <v>1</v>
      </c>
      <c r="BP291" s="29">
        <f t="shared" si="53"/>
        <v>0</v>
      </c>
      <c r="BQ291" s="29">
        <f t="shared" si="55"/>
        <v>0</v>
      </c>
      <c r="BR291" s="29">
        <f t="shared" si="62"/>
        <v>198</v>
      </c>
      <c r="BS291" s="243">
        <f t="shared" si="56"/>
        <v>6.9444333333333344E-2</v>
      </c>
      <c r="BT291">
        <f t="shared" si="57"/>
        <v>6.9444333333333344E-2</v>
      </c>
      <c r="BU291" t="str">
        <f t="shared" si="58"/>
        <v>non</v>
      </c>
      <c r="BV291">
        <f t="shared" si="59"/>
        <v>0</v>
      </c>
      <c r="BW291">
        <f t="shared" si="60"/>
        <v>0</v>
      </c>
    </row>
    <row r="292" spans="43:75" x14ac:dyDescent="0.25">
      <c r="AQ292" s="63"/>
      <c r="BM292" s="29">
        <v>286</v>
      </c>
      <c r="BN292" s="242">
        <f t="shared" si="61"/>
        <v>42898</v>
      </c>
      <c r="BO292" s="29">
        <f t="shared" si="54"/>
        <v>1</v>
      </c>
      <c r="BP292" s="29">
        <f t="shared" si="53"/>
        <v>0</v>
      </c>
      <c r="BQ292" s="29">
        <f t="shared" si="55"/>
        <v>0</v>
      </c>
      <c r="BR292" s="29">
        <f t="shared" si="62"/>
        <v>198</v>
      </c>
      <c r="BS292" s="243">
        <f t="shared" si="56"/>
        <v>6.9444333333333344E-2</v>
      </c>
      <c r="BT292">
        <f t="shared" si="57"/>
        <v>6.9444333333333344E-2</v>
      </c>
      <c r="BU292" t="str">
        <f t="shared" si="58"/>
        <v>non</v>
      </c>
      <c r="BV292">
        <f t="shared" si="59"/>
        <v>0</v>
      </c>
      <c r="BW292">
        <f t="shared" si="60"/>
        <v>0</v>
      </c>
    </row>
    <row r="293" spans="43:75" x14ac:dyDescent="0.25">
      <c r="AQ293" s="63"/>
      <c r="BM293" s="29">
        <v>287</v>
      </c>
      <c r="BN293" s="242">
        <f t="shared" si="61"/>
        <v>42899</v>
      </c>
      <c r="BO293" s="29">
        <f t="shared" si="54"/>
        <v>0</v>
      </c>
      <c r="BP293" s="29">
        <f t="shared" si="53"/>
        <v>0</v>
      </c>
      <c r="BQ293" s="29">
        <f t="shared" si="55"/>
        <v>1</v>
      </c>
      <c r="BR293" s="29">
        <f t="shared" si="62"/>
        <v>199</v>
      </c>
      <c r="BS293" s="243">
        <f t="shared" si="56"/>
        <v>6.9444333333333344E-2</v>
      </c>
      <c r="BT293">
        <f t="shared" si="57"/>
        <v>6.9444333333333344E-2</v>
      </c>
      <c r="BU293" t="str">
        <f t="shared" si="58"/>
        <v>non</v>
      </c>
      <c r="BV293">
        <f t="shared" si="59"/>
        <v>0</v>
      </c>
      <c r="BW293">
        <f t="shared" si="60"/>
        <v>0</v>
      </c>
    </row>
    <row r="294" spans="43:75" x14ac:dyDescent="0.25">
      <c r="AQ294" s="63"/>
      <c r="BM294" s="29">
        <v>288</v>
      </c>
      <c r="BN294" s="242">
        <f t="shared" si="61"/>
        <v>42900</v>
      </c>
      <c r="BO294" s="29">
        <f t="shared" si="54"/>
        <v>0</v>
      </c>
      <c r="BP294" s="29">
        <f t="shared" si="53"/>
        <v>0</v>
      </c>
      <c r="BQ294" s="29">
        <f t="shared" si="55"/>
        <v>1</v>
      </c>
      <c r="BR294" s="29">
        <f t="shared" si="62"/>
        <v>200</v>
      </c>
      <c r="BS294" s="243">
        <f t="shared" si="56"/>
        <v>6.9444333333333344E-2</v>
      </c>
      <c r="BT294">
        <f t="shared" si="57"/>
        <v>6.9444333333333344E-2</v>
      </c>
      <c r="BU294" t="str">
        <f t="shared" si="58"/>
        <v>non</v>
      </c>
      <c r="BV294">
        <f t="shared" si="59"/>
        <v>0</v>
      </c>
      <c r="BW294">
        <f t="shared" si="60"/>
        <v>0</v>
      </c>
    </row>
    <row r="295" spans="43:75" x14ac:dyDescent="0.25">
      <c r="AQ295" s="63"/>
      <c r="BM295" s="29">
        <v>289</v>
      </c>
      <c r="BN295" s="242">
        <f t="shared" si="61"/>
        <v>42901</v>
      </c>
      <c r="BO295" s="29">
        <f t="shared" si="54"/>
        <v>0</v>
      </c>
      <c r="BP295" s="29">
        <f t="shared" si="53"/>
        <v>0</v>
      </c>
      <c r="BQ295" s="29">
        <f t="shared" si="55"/>
        <v>1</v>
      </c>
      <c r="BR295" s="29">
        <f t="shared" si="62"/>
        <v>201</v>
      </c>
      <c r="BS295" s="243">
        <f t="shared" si="56"/>
        <v>6.9444333333333344E-2</v>
      </c>
      <c r="BT295">
        <f t="shared" si="57"/>
        <v>6.9444333333333344E-2</v>
      </c>
      <c r="BU295" t="str">
        <f t="shared" si="58"/>
        <v>non</v>
      </c>
      <c r="BV295">
        <f t="shared" si="59"/>
        <v>0</v>
      </c>
      <c r="BW295">
        <f t="shared" si="60"/>
        <v>0</v>
      </c>
    </row>
    <row r="296" spans="43:75" x14ac:dyDescent="0.25">
      <c r="AQ296" s="63"/>
      <c r="BM296" s="29">
        <v>290</v>
      </c>
      <c r="BN296" s="242">
        <f t="shared" si="61"/>
        <v>42902</v>
      </c>
      <c r="BO296" s="29">
        <f t="shared" si="54"/>
        <v>0</v>
      </c>
      <c r="BP296" s="29">
        <f t="shared" si="53"/>
        <v>0</v>
      </c>
      <c r="BQ296" s="29">
        <f t="shared" si="55"/>
        <v>1</v>
      </c>
      <c r="BR296" s="29">
        <f t="shared" si="62"/>
        <v>202</v>
      </c>
      <c r="BS296" s="243">
        <f t="shared" si="56"/>
        <v>6.9444333333333344E-2</v>
      </c>
      <c r="BT296">
        <f t="shared" si="57"/>
        <v>6.9444333333333344E-2</v>
      </c>
      <c r="BU296" t="str">
        <f t="shared" si="58"/>
        <v>non</v>
      </c>
      <c r="BV296">
        <f t="shared" si="59"/>
        <v>0</v>
      </c>
      <c r="BW296">
        <f t="shared" si="60"/>
        <v>0</v>
      </c>
    </row>
    <row r="297" spans="43:75" x14ac:dyDescent="0.25">
      <c r="AQ297" s="63"/>
      <c r="BM297" s="29">
        <v>291</v>
      </c>
      <c r="BN297" s="242">
        <f t="shared" si="61"/>
        <v>42903</v>
      </c>
      <c r="BO297" s="29">
        <f t="shared" si="54"/>
        <v>0</v>
      </c>
      <c r="BP297" s="29">
        <f t="shared" si="53"/>
        <v>0</v>
      </c>
      <c r="BQ297" s="29">
        <f t="shared" si="55"/>
        <v>1</v>
      </c>
      <c r="BR297" s="29">
        <f t="shared" si="62"/>
        <v>203</v>
      </c>
      <c r="BS297" s="243">
        <f t="shared" si="56"/>
        <v>6.9444333333333344E-2</v>
      </c>
      <c r="BT297">
        <f t="shared" si="57"/>
        <v>6.9444333333333344E-2</v>
      </c>
      <c r="BU297" t="str">
        <f t="shared" si="58"/>
        <v>non</v>
      </c>
      <c r="BV297">
        <f t="shared" si="59"/>
        <v>0</v>
      </c>
      <c r="BW297">
        <f t="shared" si="60"/>
        <v>0</v>
      </c>
    </row>
    <row r="298" spans="43:75" x14ac:dyDescent="0.25">
      <c r="AQ298" s="63"/>
      <c r="BM298" s="29">
        <v>292</v>
      </c>
      <c r="BN298" s="242">
        <f t="shared" si="61"/>
        <v>42904</v>
      </c>
      <c r="BO298" s="29">
        <f t="shared" si="54"/>
        <v>1</v>
      </c>
      <c r="BP298" s="29">
        <f t="shared" si="53"/>
        <v>0</v>
      </c>
      <c r="BQ298" s="29">
        <f t="shared" si="55"/>
        <v>0</v>
      </c>
      <c r="BR298" s="29">
        <f t="shared" si="62"/>
        <v>203</v>
      </c>
      <c r="BS298" s="243">
        <f t="shared" si="56"/>
        <v>6.9444333333333344E-2</v>
      </c>
      <c r="BT298">
        <f t="shared" si="57"/>
        <v>6.9444333333333344E-2</v>
      </c>
      <c r="BU298" t="str">
        <f t="shared" si="58"/>
        <v>non</v>
      </c>
      <c r="BV298">
        <f t="shared" si="59"/>
        <v>0</v>
      </c>
      <c r="BW298">
        <f t="shared" si="60"/>
        <v>0</v>
      </c>
    </row>
    <row r="299" spans="43:75" x14ac:dyDescent="0.25">
      <c r="AQ299" s="63"/>
      <c r="BM299" s="29">
        <v>293</v>
      </c>
      <c r="BN299" s="242">
        <f t="shared" si="61"/>
        <v>42905</v>
      </c>
      <c r="BO299" s="29">
        <f t="shared" si="54"/>
        <v>1</v>
      </c>
      <c r="BP299" s="29">
        <f t="shared" si="53"/>
        <v>0</v>
      </c>
      <c r="BQ299" s="29">
        <f t="shared" si="55"/>
        <v>0</v>
      </c>
      <c r="BR299" s="29">
        <f t="shared" si="62"/>
        <v>203</v>
      </c>
      <c r="BS299" s="243">
        <f t="shared" si="56"/>
        <v>6.9444333333333344E-2</v>
      </c>
      <c r="BT299">
        <f t="shared" si="57"/>
        <v>6.9444333333333344E-2</v>
      </c>
      <c r="BU299" t="str">
        <f t="shared" si="58"/>
        <v>non</v>
      </c>
      <c r="BV299">
        <f t="shared" si="59"/>
        <v>0</v>
      </c>
      <c r="BW299">
        <f t="shared" si="60"/>
        <v>0</v>
      </c>
    </row>
    <row r="300" spans="43:75" x14ac:dyDescent="0.25">
      <c r="AQ300" s="63"/>
      <c r="BM300" s="29">
        <v>294</v>
      </c>
      <c r="BN300" s="242">
        <f t="shared" si="61"/>
        <v>42906</v>
      </c>
      <c r="BO300" s="29">
        <f t="shared" si="54"/>
        <v>0</v>
      </c>
      <c r="BP300" s="29">
        <f t="shared" si="53"/>
        <v>0</v>
      </c>
      <c r="BQ300" s="29">
        <f t="shared" si="55"/>
        <v>1</v>
      </c>
      <c r="BR300" s="29">
        <f t="shared" si="62"/>
        <v>204</v>
      </c>
      <c r="BS300" s="243">
        <f t="shared" si="56"/>
        <v>6.9444333333333344E-2</v>
      </c>
      <c r="BT300">
        <f t="shared" si="57"/>
        <v>6.9444333333333344E-2</v>
      </c>
      <c r="BU300" t="str">
        <f t="shared" si="58"/>
        <v>non</v>
      </c>
      <c r="BV300">
        <f t="shared" si="59"/>
        <v>0</v>
      </c>
      <c r="BW300">
        <f t="shared" si="60"/>
        <v>0</v>
      </c>
    </row>
    <row r="301" spans="43:75" x14ac:dyDescent="0.25">
      <c r="AQ301" s="63"/>
      <c r="BM301" s="29">
        <v>295</v>
      </c>
      <c r="BN301" s="242">
        <f t="shared" si="61"/>
        <v>42907</v>
      </c>
      <c r="BO301" s="29">
        <f t="shared" si="54"/>
        <v>0</v>
      </c>
      <c r="BP301" s="29">
        <f t="shared" si="53"/>
        <v>0</v>
      </c>
      <c r="BQ301" s="29">
        <f t="shared" si="55"/>
        <v>1</v>
      </c>
      <c r="BR301" s="29">
        <f t="shared" si="62"/>
        <v>205</v>
      </c>
      <c r="BS301" s="243">
        <f t="shared" si="56"/>
        <v>6.9444333333333344E-2</v>
      </c>
      <c r="BT301">
        <f t="shared" si="57"/>
        <v>6.9444333333333344E-2</v>
      </c>
      <c r="BU301" t="str">
        <f t="shared" si="58"/>
        <v>non</v>
      </c>
      <c r="BV301">
        <f t="shared" si="59"/>
        <v>0</v>
      </c>
      <c r="BW301">
        <f t="shared" si="60"/>
        <v>0</v>
      </c>
    </row>
    <row r="302" spans="43:75" x14ac:dyDescent="0.25">
      <c r="AQ302" s="63"/>
      <c r="BM302" s="29">
        <v>296</v>
      </c>
      <c r="BN302" s="242">
        <f t="shared" si="61"/>
        <v>42908</v>
      </c>
      <c r="BO302" s="29">
        <f t="shared" si="54"/>
        <v>0</v>
      </c>
      <c r="BP302" s="29">
        <f t="shared" si="53"/>
        <v>0</v>
      </c>
      <c r="BQ302" s="29">
        <f t="shared" si="55"/>
        <v>1</v>
      </c>
      <c r="BR302" s="29">
        <f t="shared" si="62"/>
        <v>206</v>
      </c>
      <c r="BS302" s="243">
        <f t="shared" si="56"/>
        <v>6.9444333333333344E-2</v>
      </c>
      <c r="BT302">
        <f t="shared" si="57"/>
        <v>6.9444333333333344E-2</v>
      </c>
      <c r="BU302" t="str">
        <f t="shared" si="58"/>
        <v>non</v>
      </c>
      <c r="BV302">
        <f t="shared" si="59"/>
        <v>0</v>
      </c>
      <c r="BW302">
        <f t="shared" si="60"/>
        <v>0</v>
      </c>
    </row>
    <row r="303" spans="43:75" x14ac:dyDescent="0.25">
      <c r="AQ303" s="63"/>
      <c r="BM303" s="29">
        <v>297</v>
      </c>
      <c r="BN303" s="242">
        <f t="shared" si="61"/>
        <v>42909</v>
      </c>
      <c r="BO303" s="29">
        <f t="shared" si="54"/>
        <v>0</v>
      </c>
      <c r="BP303" s="29">
        <f t="shared" si="53"/>
        <v>0</v>
      </c>
      <c r="BQ303" s="29">
        <f t="shared" si="55"/>
        <v>1</v>
      </c>
      <c r="BR303" s="29">
        <f t="shared" si="62"/>
        <v>207</v>
      </c>
      <c r="BS303" s="243">
        <f t="shared" si="56"/>
        <v>6.9444333333333344E-2</v>
      </c>
      <c r="BT303">
        <f t="shared" si="57"/>
        <v>6.9444333333333344E-2</v>
      </c>
      <c r="BU303" t="str">
        <f t="shared" si="58"/>
        <v>non</v>
      </c>
      <c r="BV303">
        <f t="shared" si="59"/>
        <v>0</v>
      </c>
      <c r="BW303">
        <f t="shared" si="60"/>
        <v>0</v>
      </c>
    </row>
    <row r="304" spans="43:75" x14ac:dyDescent="0.25">
      <c r="BM304" s="29">
        <v>298</v>
      </c>
      <c r="BN304" s="242">
        <f t="shared" si="61"/>
        <v>42910</v>
      </c>
      <c r="BO304" s="29">
        <f t="shared" si="54"/>
        <v>0</v>
      </c>
      <c r="BP304" s="29">
        <f t="shared" si="53"/>
        <v>0</v>
      </c>
      <c r="BQ304" s="29">
        <f t="shared" si="55"/>
        <v>1</v>
      </c>
      <c r="BR304" s="29">
        <f t="shared" si="62"/>
        <v>208</v>
      </c>
      <c r="BS304" s="243">
        <f t="shared" si="56"/>
        <v>6.9444333333333344E-2</v>
      </c>
      <c r="BT304">
        <f t="shared" si="57"/>
        <v>6.9444333333333344E-2</v>
      </c>
      <c r="BU304" t="str">
        <f t="shared" si="58"/>
        <v>non</v>
      </c>
      <c r="BV304">
        <f t="shared" si="59"/>
        <v>0</v>
      </c>
      <c r="BW304">
        <f t="shared" si="60"/>
        <v>0</v>
      </c>
    </row>
    <row r="305" spans="65:75" x14ac:dyDescent="0.25">
      <c r="BM305" s="29">
        <v>299</v>
      </c>
      <c r="BN305" s="242">
        <f t="shared" si="61"/>
        <v>42911</v>
      </c>
      <c r="BO305" s="29">
        <f t="shared" si="54"/>
        <v>1</v>
      </c>
      <c r="BP305" s="29">
        <f t="shared" si="53"/>
        <v>0</v>
      </c>
      <c r="BQ305" s="29">
        <f t="shared" si="55"/>
        <v>0</v>
      </c>
      <c r="BR305" s="29">
        <f t="shared" si="62"/>
        <v>208</v>
      </c>
      <c r="BS305" s="243">
        <f t="shared" si="56"/>
        <v>6.9444333333333344E-2</v>
      </c>
      <c r="BT305">
        <f t="shared" si="57"/>
        <v>6.9444333333333344E-2</v>
      </c>
      <c r="BU305" t="str">
        <f t="shared" si="58"/>
        <v>non</v>
      </c>
      <c r="BV305">
        <f t="shared" si="59"/>
        <v>0</v>
      </c>
      <c r="BW305">
        <f t="shared" si="60"/>
        <v>0</v>
      </c>
    </row>
    <row r="306" spans="65:75" x14ac:dyDescent="0.25">
      <c r="BM306" s="29">
        <v>300</v>
      </c>
      <c r="BN306" s="242">
        <f t="shared" si="61"/>
        <v>42912</v>
      </c>
      <c r="BO306" s="29">
        <f t="shared" si="54"/>
        <v>1</v>
      </c>
      <c r="BP306" s="29">
        <f t="shared" si="53"/>
        <v>0</v>
      </c>
      <c r="BQ306" s="29">
        <f t="shared" si="55"/>
        <v>0</v>
      </c>
      <c r="BR306" s="29">
        <f t="shared" si="62"/>
        <v>208</v>
      </c>
      <c r="BS306" s="243">
        <f t="shared" si="56"/>
        <v>6.9444333333333344E-2</v>
      </c>
      <c r="BT306">
        <f t="shared" si="57"/>
        <v>6.9444333333333344E-2</v>
      </c>
      <c r="BU306" t="str">
        <f t="shared" si="58"/>
        <v>non</v>
      </c>
      <c r="BV306">
        <f t="shared" si="59"/>
        <v>0</v>
      </c>
      <c r="BW306">
        <f t="shared" si="60"/>
        <v>0</v>
      </c>
    </row>
    <row r="307" spans="65:75" x14ac:dyDescent="0.25">
      <c r="BM307" s="29">
        <v>301</v>
      </c>
      <c r="BN307" s="242">
        <f t="shared" si="61"/>
        <v>42913</v>
      </c>
      <c r="BO307" s="29">
        <f t="shared" si="54"/>
        <v>0</v>
      </c>
      <c r="BP307" s="29">
        <f t="shared" si="53"/>
        <v>0</v>
      </c>
      <c r="BQ307" s="29">
        <f t="shared" si="55"/>
        <v>1</v>
      </c>
      <c r="BR307" s="29">
        <f t="shared" si="62"/>
        <v>209</v>
      </c>
      <c r="BS307" s="243">
        <f t="shared" si="56"/>
        <v>6.9444333333333344E-2</v>
      </c>
      <c r="BT307">
        <f t="shared" si="57"/>
        <v>6.9444333333333344E-2</v>
      </c>
      <c r="BU307" t="str">
        <f t="shared" si="58"/>
        <v>non</v>
      </c>
      <c r="BV307">
        <f t="shared" si="59"/>
        <v>0</v>
      </c>
      <c r="BW307">
        <f t="shared" si="60"/>
        <v>0</v>
      </c>
    </row>
    <row r="308" spans="65:75" x14ac:dyDescent="0.25">
      <c r="BM308" s="29">
        <v>302</v>
      </c>
      <c r="BN308" s="242">
        <f t="shared" si="61"/>
        <v>42914</v>
      </c>
      <c r="BO308" s="29">
        <f t="shared" si="54"/>
        <v>0</v>
      </c>
      <c r="BP308" s="29">
        <f t="shared" si="53"/>
        <v>0</v>
      </c>
      <c r="BQ308" s="29">
        <f t="shared" si="55"/>
        <v>1</v>
      </c>
      <c r="BR308" s="29">
        <f t="shared" si="62"/>
        <v>210</v>
      </c>
      <c r="BS308" s="243">
        <f t="shared" si="56"/>
        <v>6.9444333333333344E-2</v>
      </c>
      <c r="BT308">
        <f t="shared" si="57"/>
        <v>6.9444333333333344E-2</v>
      </c>
      <c r="BU308" t="str">
        <f t="shared" si="58"/>
        <v>non</v>
      </c>
      <c r="BV308">
        <f t="shared" si="59"/>
        <v>0</v>
      </c>
      <c r="BW308">
        <f t="shared" si="60"/>
        <v>0</v>
      </c>
    </row>
    <row r="309" spans="65:75" x14ac:dyDescent="0.25">
      <c r="BM309" s="29">
        <v>303</v>
      </c>
      <c r="BN309" s="242">
        <f t="shared" si="61"/>
        <v>42915</v>
      </c>
      <c r="BO309" s="29">
        <f t="shared" si="54"/>
        <v>0</v>
      </c>
      <c r="BP309" s="29">
        <f t="shared" si="53"/>
        <v>0</v>
      </c>
      <c r="BQ309" s="29">
        <f t="shared" si="55"/>
        <v>1</v>
      </c>
      <c r="BR309" s="29">
        <f t="shared" si="62"/>
        <v>211</v>
      </c>
      <c r="BS309" s="243">
        <f t="shared" si="56"/>
        <v>6.9444333333333344E-2</v>
      </c>
      <c r="BT309">
        <f t="shared" si="57"/>
        <v>6.9444333333333344E-2</v>
      </c>
      <c r="BU309" t="str">
        <f t="shared" si="58"/>
        <v>non</v>
      </c>
      <c r="BV309">
        <f t="shared" si="59"/>
        <v>0</v>
      </c>
      <c r="BW309">
        <f t="shared" si="60"/>
        <v>0</v>
      </c>
    </row>
    <row r="310" spans="65:75" x14ac:dyDescent="0.25">
      <c r="BM310" s="29">
        <v>304</v>
      </c>
      <c r="BN310" s="242">
        <f t="shared" si="61"/>
        <v>42916</v>
      </c>
      <c r="BO310" s="29">
        <f t="shared" si="54"/>
        <v>0</v>
      </c>
      <c r="BP310" s="29">
        <f t="shared" si="53"/>
        <v>0</v>
      </c>
      <c r="BQ310" s="29">
        <f t="shared" si="55"/>
        <v>1</v>
      </c>
      <c r="BR310" s="29">
        <f t="shared" si="62"/>
        <v>212</v>
      </c>
      <c r="BS310" s="243">
        <f t="shared" si="56"/>
        <v>6.7204193548387095E-2</v>
      </c>
      <c r="BT310">
        <f t="shared" si="57"/>
        <v>6.7204193548387095E-2</v>
      </c>
      <c r="BU310" t="str">
        <f t="shared" si="58"/>
        <v>non</v>
      </c>
      <c r="BV310">
        <f t="shared" si="59"/>
        <v>0</v>
      </c>
      <c r="BW310">
        <f t="shared" si="60"/>
        <v>0</v>
      </c>
    </row>
    <row r="311" spans="65:75" x14ac:dyDescent="0.25">
      <c r="BM311" s="29">
        <v>305</v>
      </c>
      <c r="BN311" s="242">
        <f t="shared" si="61"/>
        <v>42917</v>
      </c>
      <c r="BO311" s="29">
        <f t="shared" si="54"/>
        <v>0</v>
      </c>
      <c r="BP311" s="29">
        <f t="shared" si="53"/>
        <v>0</v>
      </c>
      <c r="BQ311" s="29">
        <f t="shared" si="55"/>
        <v>1</v>
      </c>
      <c r="BR311" s="29">
        <f t="shared" si="62"/>
        <v>213</v>
      </c>
      <c r="BS311" s="243">
        <f t="shared" si="56"/>
        <v>6.7204193548387095E-2</v>
      </c>
      <c r="BT311">
        <f t="shared" si="57"/>
        <v>6.7204193548387095E-2</v>
      </c>
      <c r="BU311" t="str">
        <f t="shared" si="58"/>
        <v>non</v>
      </c>
      <c r="BV311">
        <f t="shared" si="59"/>
        <v>0</v>
      </c>
      <c r="BW311">
        <f t="shared" si="60"/>
        <v>0</v>
      </c>
    </row>
    <row r="312" spans="65:75" x14ac:dyDescent="0.25">
      <c r="BM312" s="29">
        <v>306</v>
      </c>
      <c r="BN312" s="242">
        <f t="shared" si="61"/>
        <v>42918</v>
      </c>
      <c r="BO312" s="29">
        <f t="shared" si="54"/>
        <v>1</v>
      </c>
      <c r="BP312" s="29">
        <f t="shared" si="53"/>
        <v>0</v>
      </c>
      <c r="BQ312" s="29">
        <f t="shared" si="55"/>
        <v>0</v>
      </c>
      <c r="BR312" s="29">
        <f t="shared" si="62"/>
        <v>213</v>
      </c>
      <c r="BS312" s="243">
        <f t="shared" si="56"/>
        <v>6.7204193548387095E-2</v>
      </c>
      <c r="BT312">
        <f t="shared" si="57"/>
        <v>6.7204193548387095E-2</v>
      </c>
      <c r="BU312" t="str">
        <f t="shared" si="58"/>
        <v>non</v>
      </c>
      <c r="BV312">
        <f t="shared" si="59"/>
        <v>0</v>
      </c>
      <c r="BW312">
        <f t="shared" si="60"/>
        <v>0</v>
      </c>
    </row>
    <row r="313" spans="65:75" x14ac:dyDescent="0.25">
      <c r="BM313" s="29">
        <v>307</v>
      </c>
      <c r="BN313" s="242">
        <f t="shared" si="61"/>
        <v>42919</v>
      </c>
      <c r="BO313" s="29">
        <f t="shared" si="54"/>
        <v>1</v>
      </c>
      <c r="BP313" s="29">
        <f t="shared" si="53"/>
        <v>0</v>
      </c>
      <c r="BQ313" s="29">
        <f t="shared" si="55"/>
        <v>0</v>
      </c>
      <c r="BR313" s="29">
        <f t="shared" si="62"/>
        <v>213</v>
      </c>
      <c r="BS313" s="243">
        <f t="shared" si="56"/>
        <v>6.7204193548387095E-2</v>
      </c>
      <c r="BT313">
        <f t="shared" si="57"/>
        <v>6.7204193548387095E-2</v>
      </c>
      <c r="BU313" t="str">
        <f t="shared" si="58"/>
        <v>non</v>
      </c>
      <c r="BV313">
        <f t="shared" si="59"/>
        <v>0</v>
      </c>
      <c r="BW313">
        <f t="shared" si="60"/>
        <v>0</v>
      </c>
    </row>
    <row r="314" spans="65:75" x14ac:dyDescent="0.25">
      <c r="BM314" s="29">
        <v>308</v>
      </c>
      <c r="BN314" s="242">
        <f t="shared" si="61"/>
        <v>42920</v>
      </c>
      <c r="BO314" s="29">
        <f t="shared" si="54"/>
        <v>0</v>
      </c>
      <c r="BP314" s="29">
        <f t="shared" si="53"/>
        <v>0</v>
      </c>
      <c r="BQ314" s="29">
        <f t="shared" si="55"/>
        <v>1</v>
      </c>
      <c r="BR314" s="29">
        <f t="shared" si="62"/>
        <v>214</v>
      </c>
      <c r="BS314" s="243">
        <f t="shared" si="56"/>
        <v>6.7204193548387095E-2</v>
      </c>
      <c r="BT314">
        <f t="shared" si="57"/>
        <v>6.7204193548387095E-2</v>
      </c>
      <c r="BU314" t="str">
        <f t="shared" si="58"/>
        <v>non</v>
      </c>
      <c r="BV314">
        <f t="shared" si="59"/>
        <v>0</v>
      </c>
      <c r="BW314">
        <f t="shared" si="60"/>
        <v>0</v>
      </c>
    </row>
    <row r="315" spans="65:75" x14ac:dyDescent="0.25">
      <c r="BM315" s="29">
        <v>309</v>
      </c>
      <c r="BN315" s="242">
        <f t="shared" si="61"/>
        <v>42921</v>
      </c>
      <c r="BO315" s="29">
        <f t="shared" si="54"/>
        <v>0</v>
      </c>
      <c r="BP315" s="29">
        <f t="shared" si="53"/>
        <v>0</v>
      </c>
      <c r="BQ315" s="29">
        <f t="shared" si="55"/>
        <v>1</v>
      </c>
      <c r="BR315" s="29">
        <f t="shared" si="62"/>
        <v>215</v>
      </c>
      <c r="BS315" s="243">
        <f t="shared" si="56"/>
        <v>6.7204193548387095E-2</v>
      </c>
      <c r="BT315">
        <f t="shared" si="57"/>
        <v>6.7204193548387095E-2</v>
      </c>
      <c r="BU315" t="str">
        <f t="shared" si="58"/>
        <v>non</v>
      </c>
      <c r="BV315">
        <f t="shared" si="59"/>
        <v>0</v>
      </c>
      <c r="BW315">
        <f t="shared" si="60"/>
        <v>0</v>
      </c>
    </row>
    <row r="316" spans="65:75" x14ac:dyDescent="0.25">
      <c r="BM316" s="29">
        <v>310</v>
      </c>
      <c r="BN316" s="242">
        <f t="shared" si="61"/>
        <v>42922</v>
      </c>
      <c r="BO316" s="29">
        <f t="shared" si="54"/>
        <v>0</v>
      </c>
      <c r="BP316" s="29">
        <f t="shared" si="53"/>
        <v>0</v>
      </c>
      <c r="BQ316" s="29">
        <f t="shared" si="55"/>
        <v>1</v>
      </c>
      <c r="BR316" s="29">
        <f t="shared" si="62"/>
        <v>216</v>
      </c>
      <c r="BS316" s="243">
        <f t="shared" si="56"/>
        <v>6.7204193548387095E-2</v>
      </c>
      <c r="BT316">
        <f t="shared" si="57"/>
        <v>6.7204193548387095E-2</v>
      </c>
      <c r="BU316" t="str">
        <f t="shared" si="58"/>
        <v>non</v>
      </c>
      <c r="BV316">
        <f t="shared" si="59"/>
        <v>0</v>
      </c>
      <c r="BW316">
        <f t="shared" si="60"/>
        <v>0</v>
      </c>
    </row>
    <row r="317" spans="65:75" x14ac:dyDescent="0.25">
      <c r="BM317" s="29">
        <v>311</v>
      </c>
      <c r="BN317" s="242">
        <f t="shared" si="61"/>
        <v>42923</v>
      </c>
      <c r="BO317" s="29">
        <f t="shared" si="54"/>
        <v>0</v>
      </c>
      <c r="BP317" s="29">
        <f t="shared" si="53"/>
        <v>0</v>
      </c>
      <c r="BQ317" s="29">
        <f t="shared" si="55"/>
        <v>1</v>
      </c>
      <c r="BR317" s="29">
        <f t="shared" si="62"/>
        <v>217</v>
      </c>
      <c r="BS317" s="243">
        <f t="shared" si="56"/>
        <v>6.7204193548387095E-2</v>
      </c>
      <c r="BT317">
        <f t="shared" si="57"/>
        <v>6.7204193548387095E-2</v>
      </c>
      <c r="BU317" t="str">
        <f t="shared" si="58"/>
        <v>non</v>
      </c>
      <c r="BV317">
        <f t="shared" si="59"/>
        <v>0</v>
      </c>
      <c r="BW317">
        <f t="shared" si="60"/>
        <v>0</v>
      </c>
    </row>
    <row r="318" spans="65:75" x14ac:dyDescent="0.25">
      <c r="BM318" s="29">
        <v>312</v>
      </c>
      <c r="BN318" s="242">
        <f t="shared" si="61"/>
        <v>42924</v>
      </c>
      <c r="BO318" s="29">
        <f t="shared" si="54"/>
        <v>0</v>
      </c>
      <c r="BP318" s="29">
        <f t="shared" si="53"/>
        <v>0</v>
      </c>
      <c r="BQ318" s="29">
        <f t="shared" si="55"/>
        <v>1</v>
      </c>
      <c r="BR318" s="29">
        <f t="shared" si="62"/>
        <v>218</v>
      </c>
      <c r="BS318" s="243">
        <f t="shared" si="56"/>
        <v>6.7204193548387095E-2</v>
      </c>
      <c r="BT318">
        <f t="shared" si="57"/>
        <v>6.7204193548387095E-2</v>
      </c>
      <c r="BU318" t="str">
        <f t="shared" si="58"/>
        <v>non</v>
      </c>
      <c r="BV318">
        <f t="shared" si="59"/>
        <v>0</v>
      </c>
      <c r="BW318">
        <f t="shared" si="60"/>
        <v>0</v>
      </c>
    </row>
    <row r="319" spans="65:75" x14ac:dyDescent="0.25">
      <c r="BM319" s="29">
        <v>313</v>
      </c>
      <c r="BN319" s="242">
        <f t="shared" si="61"/>
        <v>42925</v>
      </c>
      <c r="BO319" s="29">
        <f t="shared" si="54"/>
        <v>1</v>
      </c>
      <c r="BP319" s="29">
        <f t="shared" si="53"/>
        <v>0</v>
      </c>
      <c r="BQ319" s="29">
        <f t="shared" si="55"/>
        <v>0</v>
      </c>
      <c r="BR319" s="29">
        <f t="shared" si="62"/>
        <v>218</v>
      </c>
      <c r="BS319" s="243">
        <f t="shared" si="56"/>
        <v>6.7204193548387095E-2</v>
      </c>
      <c r="BT319">
        <f t="shared" si="57"/>
        <v>6.7204193548387095E-2</v>
      </c>
      <c r="BU319" t="str">
        <f t="shared" si="58"/>
        <v>non</v>
      </c>
      <c r="BV319">
        <f t="shared" si="59"/>
        <v>0</v>
      </c>
      <c r="BW319">
        <f t="shared" si="60"/>
        <v>0</v>
      </c>
    </row>
    <row r="320" spans="65:75" x14ac:dyDescent="0.25">
      <c r="BM320" s="29">
        <v>314</v>
      </c>
      <c r="BN320" s="242">
        <f t="shared" si="61"/>
        <v>42926</v>
      </c>
      <c r="BO320" s="29">
        <f t="shared" si="54"/>
        <v>1</v>
      </c>
      <c r="BP320" s="29">
        <f t="shared" si="53"/>
        <v>0</v>
      </c>
      <c r="BQ320" s="29">
        <f t="shared" si="55"/>
        <v>0</v>
      </c>
      <c r="BR320" s="29">
        <f t="shared" si="62"/>
        <v>218</v>
      </c>
      <c r="BS320" s="243">
        <f t="shared" si="56"/>
        <v>6.7204193548387095E-2</v>
      </c>
      <c r="BT320">
        <f t="shared" si="57"/>
        <v>6.7204193548387095E-2</v>
      </c>
      <c r="BU320" t="str">
        <f t="shared" si="58"/>
        <v>non</v>
      </c>
      <c r="BV320">
        <f t="shared" si="59"/>
        <v>0</v>
      </c>
      <c r="BW320">
        <f t="shared" si="60"/>
        <v>0</v>
      </c>
    </row>
    <row r="321" spans="65:75" x14ac:dyDescent="0.25">
      <c r="BM321" s="29">
        <v>315</v>
      </c>
      <c r="BN321" s="242">
        <f t="shared" si="61"/>
        <v>42927</v>
      </c>
      <c r="BO321" s="29">
        <f t="shared" si="54"/>
        <v>0</v>
      </c>
      <c r="BP321" s="29">
        <f t="shared" si="53"/>
        <v>0</v>
      </c>
      <c r="BQ321" s="29">
        <f t="shared" si="55"/>
        <v>1</v>
      </c>
      <c r="BR321" s="29">
        <f t="shared" si="62"/>
        <v>219</v>
      </c>
      <c r="BS321" s="243">
        <f t="shared" si="56"/>
        <v>6.7204193548387095E-2</v>
      </c>
      <c r="BT321">
        <f t="shared" si="57"/>
        <v>6.7204193548387095E-2</v>
      </c>
      <c r="BU321" t="str">
        <f t="shared" si="58"/>
        <v>non</v>
      </c>
      <c r="BV321">
        <f t="shared" si="59"/>
        <v>0</v>
      </c>
      <c r="BW321">
        <f t="shared" si="60"/>
        <v>0</v>
      </c>
    </row>
    <row r="322" spans="65:75" x14ac:dyDescent="0.25">
      <c r="BM322" s="29">
        <v>316</v>
      </c>
      <c r="BN322" s="242">
        <f t="shared" si="61"/>
        <v>42928</v>
      </c>
      <c r="BO322" s="29">
        <f t="shared" si="54"/>
        <v>0</v>
      </c>
      <c r="BP322" s="29">
        <f t="shared" si="53"/>
        <v>0</v>
      </c>
      <c r="BQ322" s="29">
        <f t="shared" si="55"/>
        <v>1</v>
      </c>
      <c r="BR322" s="29">
        <f t="shared" si="62"/>
        <v>220</v>
      </c>
      <c r="BS322" s="243">
        <f t="shared" si="56"/>
        <v>6.7204193548387095E-2</v>
      </c>
      <c r="BT322">
        <f t="shared" si="57"/>
        <v>6.7204193548387095E-2</v>
      </c>
      <c r="BU322" t="str">
        <f t="shared" si="58"/>
        <v>non</v>
      </c>
      <c r="BV322">
        <f t="shared" si="59"/>
        <v>0</v>
      </c>
      <c r="BW322">
        <f t="shared" si="60"/>
        <v>0</v>
      </c>
    </row>
    <row r="323" spans="65:75" x14ac:dyDescent="0.25">
      <c r="BM323" s="29">
        <v>317</v>
      </c>
      <c r="BN323" s="242">
        <f t="shared" si="61"/>
        <v>42929</v>
      </c>
      <c r="BO323" s="29">
        <f t="shared" si="54"/>
        <v>0</v>
      </c>
      <c r="BP323" s="29">
        <f t="shared" si="53"/>
        <v>1</v>
      </c>
      <c r="BQ323" s="29">
        <f t="shared" si="55"/>
        <v>0</v>
      </c>
      <c r="BR323" s="29">
        <f t="shared" si="62"/>
        <v>220</v>
      </c>
      <c r="BS323" s="243">
        <f t="shared" si="56"/>
        <v>6.7204193548387095E-2</v>
      </c>
      <c r="BT323">
        <f t="shared" si="57"/>
        <v>6.7204193548387095E-2</v>
      </c>
      <c r="BU323" t="str">
        <f t="shared" si="58"/>
        <v>non</v>
      </c>
      <c r="BV323">
        <f t="shared" si="59"/>
        <v>0</v>
      </c>
      <c r="BW323">
        <f t="shared" si="60"/>
        <v>0</v>
      </c>
    </row>
    <row r="324" spans="65:75" x14ac:dyDescent="0.25">
      <c r="BM324" s="29">
        <v>318</v>
      </c>
      <c r="BN324" s="242">
        <f t="shared" si="61"/>
        <v>42930</v>
      </c>
      <c r="BO324" s="29">
        <f t="shared" si="54"/>
        <v>0</v>
      </c>
      <c r="BP324" s="29">
        <f t="shared" si="53"/>
        <v>0</v>
      </c>
      <c r="BQ324" s="29">
        <f t="shared" si="55"/>
        <v>1</v>
      </c>
      <c r="BR324" s="29">
        <f t="shared" si="62"/>
        <v>221</v>
      </c>
      <c r="BS324" s="243">
        <f t="shared" si="56"/>
        <v>6.7204193548387095E-2</v>
      </c>
      <c r="BT324">
        <f t="shared" si="57"/>
        <v>6.7204193548387095E-2</v>
      </c>
      <c r="BU324" t="str">
        <f t="shared" si="58"/>
        <v>non</v>
      </c>
      <c r="BV324">
        <f t="shared" si="59"/>
        <v>0</v>
      </c>
      <c r="BW324">
        <f t="shared" si="60"/>
        <v>0</v>
      </c>
    </row>
    <row r="325" spans="65:75" x14ac:dyDescent="0.25">
      <c r="BM325" s="29">
        <v>319</v>
      </c>
      <c r="BN325" s="242">
        <f t="shared" si="61"/>
        <v>42931</v>
      </c>
      <c r="BO325" s="29">
        <f t="shared" si="54"/>
        <v>0</v>
      </c>
      <c r="BP325" s="29">
        <f t="shared" si="53"/>
        <v>0</v>
      </c>
      <c r="BQ325" s="29">
        <f t="shared" si="55"/>
        <v>1</v>
      </c>
      <c r="BR325" s="29">
        <f t="shared" si="62"/>
        <v>222</v>
      </c>
      <c r="BS325" s="243">
        <f t="shared" si="56"/>
        <v>6.7204193548387095E-2</v>
      </c>
      <c r="BT325">
        <f t="shared" si="57"/>
        <v>6.7204193548387095E-2</v>
      </c>
      <c r="BU325" t="str">
        <f t="shared" si="58"/>
        <v>non</v>
      </c>
      <c r="BV325">
        <f t="shared" si="59"/>
        <v>0</v>
      </c>
      <c r="BW325">
        <f t="shared" si="60"/>
        <v>0</v>
      </c>
    </row>
    <row r="326" spans="65:75" x14ac:dyDescent="0.25">
      <c r="BM326" s="29">
        <v>320</v>
      </c>
      <c r="BN326" s="242">
        <f t="shared" si="61"/>
        <v>42932</v>
      </c>
      <c r="BO326" s="29">
        <f t="shared" si="54"/>
        <v>1</v>
      </c>
      <c r="BP326" s="29">
        <f t="shared" si="53"/>
        <v>0</v>
      </c>
      <c r="BQ326" s="29">
        <f t="shared" si="55"/>
        <v>0</v>
      </c>
      <c r="BR326" s="29">
        <f t="shared" si="62"/>
        <v>222</v>
      </c>
      <c r="BS326" s="243">
        <f t="shared" si="56"/>
        <v>6.7204193548387095E-2</v>
      </c>
      <c r="BT326">
        <f t="shared" si="57"/>
        <v>6.7204193548387095E-2</v>
      </c>
      <c r="BU326" t="str">
        <f t="shared" si="58"/>
        <v>non</v>
      </c>
      <c r="BV326">
        <f t="shared" si="59"/>
        <v>0</v>
      </c>
      <c r="BW326">
        <f t="shared" si="60"/>
        <v>0</v>
      </c>
    </row>
    <row r="327" spans="65:75" x14ac:dyDescent="0.25">
      <c r="BM327" s="29">
        <v>321</v>
      </c>
      <c r="BN327" s="242">
        <f t="shared" si="61"/>
        <v>42933</v>
      </c>
      <c r="BO327" s="29">
        <f t="shared" si="54"/>
        <v>1</v>
      </c>
      <c r="BP327" s="29">
        <f t="shared" ref="BP327:BP371" si="63">IF(BO327=1,0,COUNTIF(tab_ferie,BN327))</f>
        <v>0</v>
      </c>
      <c r="BQ327" s="29">
        <f t="shared" si="55"/>
        <v>0</v>
      </c>
      <c r="BR327" s="29">
        <f t="shared" si="62"/>
        <v>222</v>
      </c>
      <c r="BS327" s="243">
        <f t="shared" si="56"/>
        <v>6.7204193548387095E-2</v>
      </c>
      <c r="BT327">
        <f t="shared" si="57"/>
        <v>6.7204193548387095E-2</v>
      </c>
      <c r="BU327" t="str">
        <f t="shared" si="58"/>
        <v>non</v>
      </c>
      <c r="BV327">
        <f t="shared" si="59"/>
        <v>0</v>
      </c>
      <c r="BW327">
        <f t="shared" si="60"/>
        <v>0</v>
      </c>
    </row>
    <row r="328" spans="65:75" x14ac:dyDescent="0.25">
      <c r="BM328" s="29">
        <v>322</v>
      </c>
      <c r="BN328" s="242">
        <f t="shared" si="61"/>
        <v>42934</v>
      </c>
      <c r="BO328" s="29">
        <f t="shared" ref="BO328:BO371" si="64">IF(OR(WEEKDAY(BN328)=1,WEEKDAY(BN328)=7),1,0)</f>
        <v>0</v>
      </c>
      <c r="BP328" s="29">
        <f t="shared" si="63"/>
        <v>0</v>
      </c>
      <c r="BQ328" s="29">
        <f t="shared" ref="BQ328:BQ371" si="65">IF(AND(BN328&gt;=$AF$5,BN328&lt;=$AF$6),IF(BO328+BP328=0,1,0),0)</f>
        <v>1</v>
      </c>
      <c r="BR328" s="29">
        <f t="shared" si="62"/>
        <v>223</v>
      </c>
      <c r="BS328" s="243">
        <f t="shared" ref="BS328:BS371" si="66">2.08333/(EOMONTH(BN328,0)-(EOMONTH(BN328,-1)))</f>
        <v>6.7204193548387095E-2</v>
      </c>
      <c r="BT328">
        <f t="shared" ref="BT328:BT371" si="67">IF(AND(BN328&gt;=$AF$5,BN328&lt;=$AF$6),BS328,0)</f>
        <v>6.7204193548387095E-2</v>
      </c>
      <c r="BU328" t="str">
        <f t="shared" ref="BU328:BU371" si="68">IF(OR(MONTH(BN328)&gt;=10,MONTH(BN328)&lt;=5),"ok","non")</f>
        <v>non</v>
      </c>
      <c r="BV328">
        <f t="shared" ref="BV328:BV371" si="69">IF(BU328="ok",$CC$30/(EOMONTH(BN328,0)-(EOMONTH(BN328,-1))),0)</f>
        <v>0</v>
      </c>
      <c r="BW328">
        <f t="shared" ref="BW328:BW371" si="70">IF(AND(BN328&gt;=$AF$5,BN328&lt;=$AF$6),BV328,0)</f>
        <v>0</v>
      </c>
    </row>
    <row r="329" spans="65:75" x14ac:dyDescent="0.25">
      <c r="BM329" s="29">
        <v>323</v>
      </c>
      <c r="BN329" s="242">
        <f t="shared" ref="BN329:BN372" si="71">BN328+1</f>
        <v>42935</v>
      </c>
      <c r="BO329" s="29">
        <f t="shared" si="64"/>
        <v>0</v>
      </c>
      <c r="BP329" s="29">
        <f t="shared" si="63"/>
        <v>0</v>
      </c>
      <c r="BQ329" s="29">
        <f t="shared" si="65"/>
        <v>1</v>
      </c>
      <c r="BR329" s="29">
        <f t="shared" ref="BR329:BR371" si="72">BR328+1-BP329-BO329</f>
        <v>224</v>
      </c>
      <c r="BS329" s="243">
        <f t="shared" si="66"/>
        <v>6.7204193548387095E-2</v>
      </c>
      <c r="BT329">
        <f t="shared" si="67"/>
        <v>6.7204193548387095E-2</v>
      </c>
      <c r="BU329" t="str">
        <f t="shared" si="68"/>
        <v>non</v>
      </c>
      <c r="BV329">
        <f t="shared" si="69"/>
        <v>0</v>
      </c>
      <c r="BW329">
        <f t="shared" si="70"/>
        <v>0</v>
      </c>
    </row>
    <row r="330" spans="65:75" x14ac:dyDescent="0.25">
      <c r="BM330" s="29">
        <v>324</v>
      </c>
      <c r="BN330" s="242">
        <f t="shared" si="71"/>
        <v>42936</v>
      </c>
      <c r="BO330" s="29">
        <f t="shared" si="64"/>
        <v>0</v>
      </c>
      <c r="BP330" s="29">
        <f t="shared" si="63"/>
        <v>0</v>
      </c>
      <c r="BQ330" s="29">
        <f t="shared" si="65"/>
        <v>1</v>
      </c>
      <c r="BR330" s="29">
        <f t="shared" si="72"/>
        <v>225</v>
      </c>
      <c r="BS330" s="243">
        <f t="shared" si="66"/>
        <v>6.7204193548387095E-2</v>
      </c>
      <c r="BT330">
        <f t="shared" si="67"/>
        <v>6.7204193548387095E-2</v>
      </c>
      <c r="BU330" t="str">
        <f t="shared" si="68"/>
        <v>non</v>
      </c>
      <c r="BV330">
        <f t="shared" si="69"/>
        <v>0</v>
      </c>
      <c r="BW330">
        <f t="shared" si="70"/>
        <v>0</v>
      </c>
    </row>
    <row r="331" spans="65:75" x14ac:dyDescent="0.25">
      <c r="BM331" s="29">
        <v>325</v>
      </c>
      <c r="BN331" s="242">
        <f t="shared" si="71"/>
        <v>42937</v>
      </c>
      <c r="BO331" s="29">
        <f t="shared" si="64"/>
        <v>0</v>
      </c>
      <c r="BP331" s="29">
        <f t="shared" si="63"/>
        <v>0</v>
      </c>
      <c r="BQ331" s="29">
        <f t="shared" si="65"/>
        <v>1</v>
      </c>
      <c r="BR331" s="29">
        <f t="shared" si="72"/>
        <v>226</v>
      </c>
      <c r="BS331" s="243">
        <f t="shared" si="66"/>
        <v>6.7204193548387095E-2</v>
      </c>
      <c r="BT331">
        <f t="shared" si="67"/>
        <v>6.7204193548387095E-2</v>
      </c>
      <c r="BU331" t="str">
        <f t="shared" si="68"/>
        <v>non</v>
      </c>
      <c r="BV331">
        <f t="shared" si="69"/>
        <v>0</v>
      </c>
      <c r="BW331">
        <f t="shared" si="70"/>
        <v>0</v>
      </c>
    </row>
    <row r="332" spans="65:75" x14ac:dyDescent="0.25">
      <c r="BM332" s="29">
        <v>326</v>
      </c>
      <c r="BN332" s="242">
        <f t="shared" si="71"/>
        <v>42938</v>
      </c>
      <c r="BO332" s="29">
        <f t="shared" si="64"/>
        <v>0</v>
      </c>
      <c r="BP332" s="29">
        <f t="shared" si="63"/>
        <v>0</v>
      </c>
      <c r="BQ332" s="29">
        <f t="shared" si="65"/>
        <v>1</v>
      </c>
      <c r="BR332" s="29">
        <f t="shared" si="72"/>
        <v>227</v>
      </c>
      <c r="BS332" s="243">
        <f t="shared" si="66"/>
        <v>6.7204193548387095E-2</v>
      </c>
      <c r="BT332">
        <f t="shared" si="67"/>
        <v>6.7204193548387095E-2</v>
      </c>
      <c r="BU332" t="str">
        <f t="shared" si="68"/>
        <v>non</v>
      </c>
      <c r="BV332">
        <f t="shared" si="69"/>
        <v>0</v>
      </c>
      <c r="BW332">
        <f t="shared" si="70"/>
        <v>0</v>
      </c>
    </row>
    <row r="333" spans="65:75" x14ac:dyDescent="0.25">
      <c r="BM333" s="29">
        <v>327</v>
      </c>
      <c r="BN333" s="242">
        <f t="shared" si="71"/>
        <v>42939</v>
      </c>
      <c r="BO333" s="29">
        <f t="shared" si="64"/>
        <v>1</v>
      </c>
      <c r="BP333" s="29">
        <f t="shared" si="63"/>
        <v>0</v>
      </c>
      <c r="BQ333" s="29">
        <f t="shared" si="65"/>
        <v>0</v>
      </c>
      <c r="BR333" s="29">
        <f t="shared" si="72"/>
        <v>227</v>
      </c>
      <c r="BS333" s="243">
        <f t="shared" si="66"/>
        <v>6.7204193548387095E-2</v>
      </c>
      <c r="BT333">
        <f t="shared" si="67"/>
        <v>6.7204193548387095E-2</v>
      </c>
      <c r="BU333" t="str">
        <f t="shared" si="68"/>
        <v>non</v>
      </c>
      <c r="BV333">
        <f t="shared" si="69"/>
        <v>0</v>
      </c>
      <c r="BW333">
        <f t="shared" si="70"/>
        <v>0</v>
      </c>
    </row>
    <row r="334" spans="65:75" x14ac:dyDescent="0.25">
      <c r="BM334" s="29">
        <v>328</v>
      </c>
      <c r="BN334" s="242">
        <f t="shared" si="71"/>
        <v>42940</v>
      </c>
      <c r="BO334" s="29">
        <f t="shared" si="64"/>
        <v>1</v>
      </c>
      <c r="BP334" s="29">
        <f t="shared" si="63"/>
        <v>0</v>
      </c>
      <c r="BQ334" s="29">
        <f t="shared" si="65"/>
        <v>0</v>
      </c>
      <c r="BR334" s="29">
        <f t="shared" si="72"/>
        <v>227</v>
      </c>
      <c r="BS334" s="243">
        <f t="shared" si="66"/>
        <v>6.7204193548387095E-2</v>
      </c>
      <c r="BT334">
        <f t="shared" si="67"/>
        <v>6.7204193548387095E-2</v>
      </c>
      <c r="BU334" t="str">
        <f t="shared" si="68"/>
        <v>non</v>
      </c>
      <c r="BV334">
        <f t="shared" si="69"/>
        <v>0</v>
      </c>
      <c r="BW334">
        <f t="shared" si="70"/>
        <v>0</v>
      </c>
    </row>
    <row r="335" spans="65:75" x14ac:dyDescent="0.25">
      <c r="BM335" s="29">
        <v>329</v>
      </c>
      <c r="BN335" s="242">
        <f t="shared" si="71"/>
        <v>42941</v>
      </c>
      <c r="BO335" s="29">
        <f t="shared" si="64"/>
        <v>0</v>
      </c>
      <c r="BP335" s="29">
        <f t="shared" si="63"/>
        <v>0</v>
      </c>
      <c r="BQ335" s="29">
        <f t="shared" si="65"/>
        <v>1</v>
      </c>
      <c r="BR335" s="29">
        <f t="shared" si="72"/>
        <v>228</v>
      </c>
      <c r="BS335" s="243">
        <f t="shared" si="66"/>
        <v>6.7204193548387095E-2</v>
      </c>
      <c r="BT335">
        <f t="shared" si="67"/>
        <v>6.7204193548387095E-2</v>
      </c>
      <c r="BU335" t="str">
        <f t="shared" si="68"/>
        <v>non</v>
      </c>
      <c r="BV335">
        <f t="shared" si="69"/>
        <v>0</v>
      </c>
      <c r="BW335">
        <f t="shared" si="70"/>
        <v>0</v>
      </c>
    </row>
    <row r="336" spans="65:75" x14ac:dyDescent="0.25">
      <c r="BM336" s="29">
        <v>330</v>
      </c>
      <c r="BN336" s="242">
        <f t="shared" si="71"/>
        <v>42942</v>
      </c>
      <c r="BO336" s="29">
        <f t="shared" si="64"/>
        <v>0</v>
      </c>
      <c r="BP336" s="29">
        <f t="shared" si="63"/>
        <v>0</v>
      </c>
      <c r="BQ336" s="29">
        <f t="shared" si="65"/>
        <v>1</v>
      </c>
      <c r="BR336" s="29">
        <f t="shared" si="72"/>
        <v>229</v>
      </c>
      <c r="BS336" s="243">
        <f t="shared" si="66"/>
        <v>6.7204193548387095E-2</v>
      </c>
      <c r="BT336">
        <f t="shared" si="67"/>
        <v>6.7204193548387095E-2</v>
      </c>
      <c r="BU336" t="str">
        <f t="shared" si="68"/>
        <v>non</v>
      </c>
      <c r="BV336">
        <f t="shared" si="69"/>
        <v>0</v>
      </c>
      <c r="BW336">
        <f t="shared" si="70"/>
        <v>0</v>
      </c>
    </row>
    <row r="337" spans="65:75" x14ac:dyDescent="0.25">
      <c r="BM337" s="29">
        <v>331</v>
      </c>
      <c r="BN337" s="242">
        <f t="shared" si="71"/>
        <v>42943</v>
      </c>
      <c r="BO337" s="29">
        <f t="shared" si="64"/>
        <v>0</v>
      </c>
      <c r="BP337" s="29">
        <f t="shared" si="63"/>
        <v>0</v>
      </c>
      <c r="BQ337" s="29">
        <f t="shared" si="65"/>
        <v>1</v>
      </c>
      <c r="BR337" s="29">
        <f t="shared" si="72"/>
        <v>230</v>
      </c>
      <c r="BS337" s="243">
        <f t="shared" si="66"/>
        <v>6.7204193548387095E-2</v>
      </c>
      <c r="BT337">
        <f t="shared" si="67"/>
        <v>6.7204193548387095E-2</v>
      </c>
      <c r="BU337" t="str">
        <f t="shared" si="68"/>
        <v>non</v>
      </c>
      <c r="BV337">
        <f t="shared" si="69"/>
        <v>0</v>
      </c>
      <c r="BW337">
        <f t="shared" si="70"/>
        <v>0</v>
      </c>
    </row>
    <row r="338" spans="65:75" x14ac:dyDescent="0.25">
      <c r="BM338" s="29">
        <v>332</v>
      </c>
      <c r="BN338" s="242">
        <f t="shared" si="71"/>
        <v>42944</v>
      </c>
      <c r="BO338" s="29">
        <f t="shared" si="64"/>
        <v>0</v>
      </c>
      <c r="BP338" s="29">
        <f t="shared" si="63"/>
        <v>0</v>
      </c>
      <c r="BQ338" s="29">
        <f t="shared" si="65"/>
        <v>1</v>
      </c>
      <c r="BR338" s="29">
        <f t="shared" si="72"/>
        <v>231</v>
      </c>
      <c r="BS338" s="243">
        <f t="shared" si="66"/>
        <v>6.7204193548387095E-2</v>
      </c>
      <c r="BT338">
        <f t="shared" si="67"/>
        <v>6.7204193548387095E-2</v>
      </c>
      <c r="BU338" t="str">
        <f t="shared" si="68"/>
        <v>non</v>
      </c>
      <c r="BV338">
        <f t="shared" si="69"/>
        <v>0</v>
      </c>
      <c r="BW338">
        <f t="shared" si="70"/>
        <v>0</v>
      </c>
    </row>
    <row r="339" spans="65:75" x14ac:dyDescent="0.25">
      <c r="BM339" s="29">
        <v>333</v>
      </c>
      <c r="BN339" s="242">
        <f t="shared" si="71"/>
        <v>42945</v>
      </c>
      <c r="BO339" s="29">
        <f t="shared" si="64"/>
        <v>0</v>
      </c>
      <c r="BP339" s="29">
        <f t="shared" si="63"/>
        <v>0</v>
      </c>
      <c r="BQ339" s="29">
        <f t="shared" si="65"/>
        <v>1</v>
      </c>
      <c r="BR339" s="29">
        <f t="shared" si="72"/>
        <v>232</v>
      </c>
      <c r="BS339" s="243">
        <f t="shared" si="66"/>
        <v>6.7204193548387095E-2</v>
      </c>
      <c r="BT339">
        <f t="shared" si="67"/>
        <v>6.7204193548387095E-2</v>
      </c>
      <c r="BU339" t="str">
        <f t="shared" si="68"/>
        <v>non</v>
      </c>
      <c r="BV339">
        <f t="shared" si="69"/>
        <v>0</v>
      </c>
      <c r="BW339">
        <f t="shared" si="70"/>
        <v>0</v>
      </c>
    </row>
    <row r="340" spans="65:75" x14ac:dyDescent="0.25">
      <c r="BM340" s="29">
        <v>334</v>
      </c>
      <c r="BN340" s="242">
        <f t="shared" si="71"/>
        <v>42946</v>
      </c>
      <c r="BO340" s="29">
        <f t="shared" si="64"/>
        <v>1</v>
      </c>
      <c r="BP340" s="29">
        <f t="shared" si="63"/>
        <v>0</v>
      </c>
      <c r="BQ340" s="29">
        <f t="shared" si="65"/>
        <v>0</v>
      </c>
      <c r="BR340" s="29">
        <f t="shared" si="72"/>
        <v>232</v>
      </c>
      <c r="BS340" s="243">
        <f t="shared" si="66"/>
        <v>6.7204193548387095E-2</v>
      </c>
      <c r="BT340">
        <f t="shared" si="67"/>
        <v>6.7204193548387095E-2</v>
      </c>
      <c r="BU340" t="str">
        <f t="shared" si="68"/>
        <v>non</v>
      </c>
      <c r="BV340">
        <f t="shared" si="69"/>
        <v>0</v>
      </c>
      <c r="BW340">
        <f t="shared" si="70"/>
        <v>0</v>
      </c>
    </row>
    <row r="341" spans="65:75" x14ac:dyDescent="0.25">
      <c r="BM341" s="29">
        <v>335</v>
      </c>
      <c r="BN341" s="242">
        <f t="shared" si="71"/>
        <v>42947</v>
      </c>
      <c r="BO341" s="29">
        <f t="shared" si="64"/>
        <v>1</v>
      </c>
      <c r="BP341" s="29">
        <f t="shared" si="63"/>
        <v>0</v>
      </c>
      <c r="BQ341" s="29">
        <f t="shared" si="65"/>
        <v>0</v>
      </c>
      <c r="BR341" s="29">
        <f t="shared" si="72"/>
        <v>232</v>
      </c>
      <c r="BS341" s="243">
        <f t="shared" si="66"/>
        <v>6.7204193548387095E-2</v>
      </c>
      <c r="BT341">
        <f t="shared" si="67"/>
        <v>6.7204193548387095E-2</v>
      </c>
      <c r="BU341" t="str">
        <f t="shared" si="68"/>
        <v>non</v>
      </c>
      <c r="BV341">
        <f t="shared" si="69"/>
        <v>0</v>
      </c>
      <c r="BW341">
        <f t="shared" si="70"/>
        <v>0</v>
      </c>
    </row>
    <row r="342" spans="65:75" x14ac:dyDescent="0.25">
      <c r="BM342" s="29">
        <v>336</v>
      </c>
      <c r="BN342" s="242">
        <f t="shared" si="71"/>
        <v>42948</v>
      </c>
      <c r="BO342" s="29">
        <f t="shared" si="64"/>
        <v>0</v>
      </c>
      <c r="BP342" s="29">
        <f t="shared" si="63"/>
        <v>0</v>
      </c>
      <c r="BQ342" s="29">
        <f t="shared" si="65"/>
        <v>1</v>
      </c>
      <c r="BR342" s="29">
        <f t="shared" si="72"/>
        <v>233</v>
      </c>
      <c r="BS342" s="243">
        <f t="shared" si="66"/>
        <v>6.7204193548387095E-2</v>
      </c>
      <c r="BT342">
        <f t="shared" si="67"/>
        <v>6.7204193548387095E-2</v>
      </c>
      <c r="BU342" t="str">
        <f t="shared" si="68"/>
        <v>non</v>
      </c>
      <c r="BV342">
        <f t="shared" si="69"/>
        <v>0</v>
      </c>
      <c r="BW342">
        <f t="shared" si="70"/>
        <v>0</v>
      </c>
    </row>
    <row r="343" spans="65:75" x14ac:dyDescent="0.25">
      <c r="BM343" s="29">
        <v>337</v>
      </c>
      <c r="BN343" s="242">
        <f t="shared" si="71"/>
        <v>42949</v>
      </c>
      <c r="BO343" s="29">
        <f t="shared" si="64"/>
        <v>0</v>
      </c>
      <c r="BP343" s="29">
        <f t="shared" si="63"/>
        <v>0</v>
      </c>
      <c r="BQ343" s="29">
        <f t="shared" si="65"/>
        <v>1</v>
      </c>
      <c r="BR343" s="29">
        <f t="shared" si="72"/>
        <v>234</v>
      </c>
      <c r="BS343" s="243">
        <f t="shared" si="66"/>
        <v>6.7204193548387095E-2</v>
      </c>
      <c r="BT343">
        <f t="shared" si="67"/>
        <v>6.7204193548387095E-2</v>
      </c>
      <c r="BU343" t="str">
        <f t="shared" si="68"/>
        <v>non</v>
      </c>
      <c r="BV343">
        <f t="shared" si="69"/>
        <v>0</v>
      </c>
      <c r="BW343">
        <f t="shared" si="70"/>
        <v>0</v>
      </c>
    </row>
    <row r="344" spans="65:75" x14ac:dyDescent="0.25">
      <c r="BM344" s="29">
        <v>338</v>
      </c>
      <c r="BN344" s="242">
        <f t="shared" si="71"/>
        <v>42950</v>
      </c>
      <c r="BO344" s="29">
        <f t="shared" si="64"/>
        <v>0</v>
      </c>
      <c r="BP344" s="29">
        <f t="shared" si="63"/>
        <v>0</v>
      </c>
      <c r="BQ344" s="29">
        <f t="shared" si="65"/>
        <v>1</v>
      </c>
      <c r="BR344" s="29">
        <f t="shared" si="72"/>
        <v>235</v>
      </c>
      <c r="BS344" s="243">
        <f t="shared" si="66"/>
        <v>6.7204193548387095E-2</v>
      </c>
      <c r="BT344">
        <f t="shared" si="67"/>
        <v>6.7204193548387095E-2</v>
      </c>
      <c r="BU344" t="str">
        <f t="shared" si="68"/>
        <v>non</v>
      </c>
      <c r="BV344">
        <f t="shared" si="69"/>
        <v>0</v>
      </c>
      <c r="BW344">
        <f t="shared" si="70"/>
        <v>0</v>
      </c>
    </row>
    <row r="345" spans="65:75" x14ac:dyDescent="0.25">
      <c r="BM345" s="29">
        <v>339</v>
      </c>
      <c r="BN345" s="242">
        <f t="shared" si="71"/>
        <v>42951</v>
      </c>
      <c r="BO345" s="29">
        <f t="shared" si="64"/>
        <v>0</v>
      </c>
      <c r="BP345" s="29">
        <f t="shared" si="63"/>
        <v>0</v>
      </c>
      <c r="BQ345" s="29">
        <f t="shared" si="65"/>
        <v>1</v>
      </c>
      <c r="BR345" s="29">
        <f t="shared" si="72"/>
        <v>236</v>
      </c>
      <c r="BS345" s="243">
        <f t="shared" si="66"/>
        <v>6.7204193548387095E-2</v>
      </c>
      <c r="BT345">
        <f t="shared" si="67"/>
        <v>6.7204193548387095E-2</v>
      </c>
      <c r="BU345" t="str">
        <f t="shared" si="68"/>
        <v>non</v>
      </c>
      <c r="BV345">
        <f t="shared" si="69"/>
        <v>0</v>
      </c>
      <c r="BW345">
        <f t="shared" si="70"/>
        <v>0</v>
      </c>
    </row>
    <row r="346" spans="65:75" x14ac:dyDescent="0.25">
      <c r="BM346" s="29">
        <v>340</v>
      </c>
      <c r="BN346" s="242">
        <f t="shared" si="71"/>
        <v>42952</v>
      </c>
      <c r="BO346" s="29">
        <f t="shared" si="64"/>
        <v>0</v>
      </c>
      <c r="BP346" s="29">
        <f t="shared" si="63"/>
        <v>0</v>
      </c>
      <c r="BQ346" s="29">
        <f t="shared" si="65"/>
        <v>1</v>
      </c>
      <c r="BR346" s="29">
        <f t="shared" si="72"/>
        <v>237</v>
      </c>
      <c r="BS346" s="243">
        <f t="shared" si="66"/>
        <v>6.7204193548387095E-2</v>
      </c>
      <c r="BT346">
        <f t="shared" si="67"/>
        <v>6.7204193548387095E-2</v>
      </c>
      <c r="BU346" t="str">
        <f t="shared" si="68"/>
        <v>non</v>
      </c>
      <c r="BV346">
        <f t="shared" si="69"/>
        <v>0</v>
      </c>
      <c r="BW346">
        <f t="shared" si="70"/>
        <v>0</v>
      </c>
    </row>
    <row r="347" spans="65:75" x14ac:dyDescent="0.25">
      <c r="BM347" s="29">
        <v>341</v>
      </c>
      <c r="BN347" s="242">
        <f t="shared" si="71"/>
        <v>42953</v>
      </c>
      <c r="BO347" s="29">
        <f t="shared" si="64"/>
        <v>1</v>
      </c>
      <c r="BP347" s="29">
        <f t="shared" si="63"/>
        <v>0</v>
      </c>
      <c r="BQ347" s="29">
        <f t="shared" si="65"/>
        <v>0</v>
      </c>
      <c r="BR347" s="29">
        <f t="shared" si="72"/>
        <v>237</v>
      </c>
      <c r="BS347" s="243">
        <f t="shared" si="66"/>
        <v>6.7204193548387095E-2</v>
      </c>
      <c r="BT347">
        <f t="shared" si="67"/>
        <v>6.7204193548387095E-2</v>
      </c>
      <c r="BU347" t="str">
        <f t="shared" si="68"/>
        <v>non</v>
      </c>
      <c r="BV347">
        <f t="shared" si="69"/>
        <v>0</v>
      </c>
      <c r="BW347">
        <f t="shared" si="70"/>
        <v>0</v>
      </c>
    </row>
    <row r="348" spans="65:75" x14ac:dyDescent="0.25">
      <c r="BM348" s="29">
        <v>342</v>
      </c>
      <c r="BN348" s="242">
        <f t="shared" si="71"/>
        <v>42954</v>
      </c>
      <c r="BO348" s="29">
        <f t="shared" si="64"/>
        <v>1</v>
      </c>
      <c r="BP348" s="29">
        <f t="shared" si="63"/>
        <v>0</v>
      </c>
      <c r="BQ348" s="29">
        <f t="shared" si="65"/>
        <v>0</v>
      </c>
      <c r="BR348" s="29">
        <f t="shared" si="72"/>
        <v>237</v>
      </c>
      <c r="BS348" s="243">
        <f t="shared" si="66"/>
        <v>6.7204193548387095E-2</v>
      </c>
      <c r="BT348">
        <f t="shared" si="67"/>
        <v>6.7204193548387095E-2</v>
      </c>
      <c r="BU348" t="str">
        <f t="shared" si="68"/>
        <v>non</v>
      </c>
      <c r="BV348">
        <f t="shared" si="69"/>
        <v>0</v>
      </c>
      <c r="BW348">
        <f t="shared" si="70"/>
        <v>0</v>
      </c>
    </row>
    <row r="349" spans="65:75" x14ac:dyDescent="0.25">
      <c r="BM349" s="29">
        <v>343</v>
      </c>
      <c r="BN349" s="242">
        <f t="shared" si="71"/>
        <v>42955</v>
      </c>
      <c r="BO349" s="29">
        <f t="shared" si="64"/>
        <v>0</v>
      </c>
      <c r="BP349" s="29">
        <f t="shared" si="63"/>
        <v>0</v>
      </c>
      <c r="BQ349" s="29">
        <f t="shared" si="65"/>
        <v>1</v>
      </c>
      <c r="BR349" s="29">
        <f t="shared" si="72"/>
        <v>238</v>
      </c>
      <c r="BS349" s="243">
        <f t="shared" si="66"/>
        <v>6.7204193548387095E-2</v>
      </c>
      <c r="BT349">
        <f t="shared" si="67"/>
        <v>6.7204193548387095E-2</v>
      </c>
      <c r="BU349" t="str">
        <f t="shared" si="68"/>
        <v>non</v>
      </c>
      <c r="BV349">
        <f t="shared" si="69"/>
        <v>0</v>
      </c>
      <c r="BW349">
        <f t="shared" si="70"/>
        <v>0</v>
      </c>
    </row>
    <row r="350" spans="65:75" x14ac:dyDescent="0.25">
      <c r="BM350" s="29">
        <v>344</v>
      </c>
      <c r="BN350" s="242">
        <f t="shared" si="71"/>
        <v>42956</v>
      </c>
      <c r="BO350" s="29">
        <f t="shared" si="64"/>
        <v>0</v>
      </c>
      <c r="BP350" s="29">
        <f t="shared" si="63"/>
        <v>0</v>
      </c>
      <c r="BQ350" s="29">
        <f t="shared" si="65"/>
        <v>1</v>
      </c>
      <c r="BR350" s="29">
        <f t="shared" si="72"/>
        <v>239</v>
      </c>
      <c r="BS350" s="243">
        <f t="shared" si="66"/>
        <v>6.7204193548387095E-2</v>
      </c>
      <c r="BT350">
        <f t="shared" si="67"/>
        <v>6.7204193548387095E-2</v>
      </c>
      <c r="BU350" t="str">
        <f t="shared" si="68"/>
        <v>non</v>
      </c>
      <c r="BV350">
        <f t="shared" si="69"/>
        <v>0</v>
      </c>
      <c r="BW350">
        <f t="shared" si="70"/>
        <v>0</v>
      </c>
    </row>
    <row r="351" spans="65:75" x14ac:dyDescent="0.25">
      <c r="BM351" s="29">
        <v>345</v>
      </c>
      <c r="BN351" s="242">
        <f t="shared" si="71"/>
        <v>42957</v>
      </c>
      <c r="BO351" s="29">
        <f t="shared" si="64"/>
        <v>0</v>
      </c>
      <c r="BP351" s="29">
        <f t="shared" si="63"/>
        <v>0</v>
      </c>
      <c r="BQ351" s="29">
        <f t="shared" si="65"/>
        <v>1</v>
      </c>
      <c r="BR351" s="29">
        <f t="shared" si="72"/>
        <v>240</v>
      </c>
      <c r="BS351" s="243">
        <f t="shared" si="66"/>
        <v>6.7204193548387095E-2</v>
      </c>
      <c r="BT351">
        <f t="shared" si="67"/>
        <v>6.7204193548387095E-2</v>
      </c>
      <c r="BU351" t="str">
        <f t="shared" si="68"/>
        <v>non</v>
      </c>
      <c r="BV351">
        <f t="shared" si="69"/>
        <v>0</v>
      </c>
      <c r="BW351">
        <f t="shared" si="70"/>
        <v>0</v>
      </c>
    </row>
    <row r="352" spans="65:75" x14ac:dyDescent="0.25">
      <c r="BM352" s="29">
        <v>346</v>
      </c>
      <c r="BN352" s="242">
        <f t="shared" si="71"/>
        <v>42958</v>
      </c>
      <c r="BO352" s="29">
        <f t="shared" si="64"/>
        <v>0</v>
      </c>
      <c r="BP352" s="29">
        <f t="shared" si="63"/>
        <v>0</v>
      </c>
      <c r="BQ352" s="29">
        <f t="shared" si="65"/>
        <v>1</v>
      </c>
      <c r="BR352" s="29">
        <f t="shared" si="72"/>
        <v>241</v>
      </c>
      <c r="BS352" s="243">
        <f t="shared" si="66"/>
        <v>6.7204193548387095E-2</v>
      </c>
      <c r="BT352">
        <f t="shared" si="67"/>
        <v>6.7204193548387095E-2</v>
      </c>
      <c r="BU352" t="str">
        <f t="shared" si="68"/>
        <v>non</v>
      </c>
      <c r="BV352">
        <f t="shared" si="69"/>
        <v>0</v>
      </c>
      <c r="BW352">
        <f t="shared" si="70"/>
        <v>0</v>
      </c>
    </row>
    <row r="353" spans="65:75" x14ac:dyDescent="0.25">
      <c r="BM353" s="29">
        <v>347</v>
      </c>
      <c r="BN353" s="242">
        <f t="shared" si="71"/>
        <v>42959</v>
      </c>
      <c r="BO353" s="29">
        <f t="shared" si="64"/>
        <v>0</v>
      </c>
      <c r="BP353" s="29">
        <f t="shared" si="63"/>
        <v>0</v>
      </c>
      <c r="BQ353" s="29">
        <f t="shared" si="65"/>
        <v>1</v>
      </c>
      <c r="BR353" s="29">
        <f t="shared" si="72"/>
        <v>242</v>
      </c>
      <c r="BS353" s="243">
        <f t="shared" si="66"/>
        <v>6.7204193548387095E-2</v>
      </c>
      <c r="BT353">
        <f t="shared" si="67"/>
        <v>6.7204193548387095E-2</v>
      </c>
      <c r="BU353" t="str">
        <f t="shared" si="68"/>
        <v>non</v>
      </c>
      <c r="BV353">
        <f t="shared" si="69"/>
        <v>0</v>
      </c>
      <c r="BW353">
        <f t="shared" si="70"/>
        <v>0</v>
      </c>
    </row>
    <row r="354" spans="65:75" x14ac:dyDescent="0.25">
      <c r="BM354" s="29">
        <v>348</v>
      </c>
      <c r="BN354" s="242">
        <f t="shared" si="71"/>
        <v>42960</v>
      </c>
      <c r="BO354" s="29">
        <f t="shared" si="64"/>
        <v>1</v>
      </c>
      <c r="BP354" s="29">
        <f t="shared" si="63"/>
        <v>0</v>
      </c>
      <c r="BQ354" s="29">
        <f t="shared" si="65"/>
        <v>0</v>
      </c>
      <c r="BR354" s="29">
        <f t="shared" si="72"/>
        <v>242</v>
      </c>
      <c r="BS354" s="243">
        <f t="shared" si="66"/>
        <v>6.7204193548387095E-2</v>
      </c>
      <c r="BT354">
        <f t="shared" si="67"/>
        <v>6.7204193548387095E-2</v>
      </c>
      <c r="BU354" t="str">
        <f t="shared" si="68"/>
        <v>non</v>
      </c>
      <c r="BV354">
        <f t="shared" si="69"/>
        <v>0</v>
      </c>
      <c r="BW354">
        <f t="shared" si="70"/>
        <v>0</v>
      </c>
    </row>
    <row r="355" spans="65:75" x14ac:dyDescent="0.25">
      <c r="BM355" s="29">
        <v>349</v>
      </c>
      <c r="BN355" s="242">
        <f t="shared" si="71"/>
        <v>42961</v>
      </c>
      <c r="BO355" s="29">
        <f t="shared" si="64"/>
        <v>1</v>
      </c>
      <c r="BP355" s="29">
        <f t="shared" si="63"/>
        <v>0</v>
      </c>
      <c r="BQ355" s="29">
        <f t="shared" si="65"/>
        <v>0</v>
      </c>
      <c r="BR355" s="29">
        <f t="shared" si="72"/>
        <v>242</v>
      </c>
      <c r="BS355" s="243">
        <f t="shared" si="66"/>
        <v>6.7204193548387095E-2</v>
      </c>
      <c r="BT355">
        <f t="shared" si="67"/>
        <v>6.7204193548387095E-2</v>
      </c>
      <c r="BU355" t="str">
        <f t="shared" si="68"/>
        <v>non</v>
      </c>
      <c r="BV355">
        <f t="shared" si="69"/>
        <v>0</v>
      </c>
      <c r="BW355">
        <f t="shared" si="70"/>
        <v>0</v>
      </c>
    </row>
    <row r="356" spans="65:75" x14ac:dyDescent="0.25">
      <c r="BM356" s="29">
        <v>350</v>
      </c>
      <c r="BN356" s="242">
        <f t="shared" si="71"/>
        <v>42962</v>
      </c>
      <c r="BO356" s="29">
        <f t="shared" si="64"/>
        <v>0</v>
      </c>
      <c r="BP356" s="29">
        <f t="shared" si="63"/>
        <v>0</v>
      </c>
      <c r="BQ356" s="29">
        <f t="shared" si="65"/>
        <v>1</v>
      </c>
      <c r="BR356" s="29">
        <f t="shared" si="72"/>
        <v>243</v>
      </c>
      <c r="BS356" s="243">
        <f t="shared" si="66"/>
        <v>6.7204193548387095E-2</v>
      </c>
      <c r="BT356">
        <f t="shared" si="67"/>
        <v>6.7204193548387095E-2</v>
      </c>
      <c r="BU356" t="str">
        <f t="shared" si="68"/>
        <v>non</v>
      </c>
      <c r="BV356">
        <f t="shared" si="69"/>
        <v>0</v>
      </c>
      <c r="BW356">
        <f t="shared" si="70"/>
        <v>0</v>
      </c>
    </row>
    <row r="357" spans="65:75" x14ac:dyDescent="0.25">
      <c r="BM357" s="29">
        <v>351</v>
      </c>
      <c r="BN357" s="242">
        <f t="shared" si="71"/>
        <v>42963</v>
      </c>
      <c r="BO357" s="29">
        <f t="shared" si="64"/>
        <v>0</v>
      </c>
      <c r="BP357" s="29">
        <f t="shared" si="63"/>
        <v>0</v>
      </c>
      <c r="BQ357" s="29">
        <f t="shared" si="65"/>
        <v>1</v>
      </c>
      <c r="BR357" s="29">
        <f t="shared" si="72"/>
        <v>244</v>
      </c>
      <c r="BS357" s="243">
        <f t="shared" si="66"/>
        <v>6.7204193548387095E-2</v>
      </c>
      <c r="BT357">
        <f t="shared" si="67"/>
        <v>6.7204193548387095E-2</v>
      </c>
      <c r="BU357" t="str">
        <f t="shared" si="68"/>
        <v>non</v>
      </c>
      <c r="BV357">
        <f t="shared" si="69"/>
        <v>0</v>
      </c>
      <c r="BW357">
        <f t="shared" si="70"/>
        <v>0</v>
      </c>
    </row>
    <row r="358" spans="65:75" x14ac:dyDescent="0.25">
      <c r="BM358" s="29">
        <v>352</v>
      </c>
      <c r="BN358" s="242">
        <f t="shared" si="71"/>
        <v>42964</v>
      </c>
      <c r="BO358" s="29">
        <f t="shared" si="64"/>
        <v>0</v>
      </c>
      <c r="BP358" s="29">
        <f t="shared" si="63"/>
        <v>0</v>
      </c>
      <c r="BQ358" s="29">
        <f t="shared" si="65"/>
        <v>1</v>
      </c>
      <c r="BR358" s="29">
        <f t="shared" si="72"/>
        <v>245</v>
      </c>
      <c r="BS358" s="243">
        <f t="shared" si="66"/>
        <v>6.7204193548387095E-2</v>
      </c>
      <c r="BT358">
        <f t="shared" si="67"/>
        <v>6.7204193548387095E-2</v>
      </c>
      <c r="BU358" t="str">
        <f t="shared" si="68"/>
        <v>non</v>
      </c>
      <c r="BV358">
        <f t="shared" si="69"/>
        <v>0</v>
      </c>
      <c r="BW358">
        <f t="shared" si="70"/>
        <v>0</v>
      </c>
    </row>
    <row r="359" spans="65:75" x14ac:dyDescent="0.25">
      <c r="BM359" s="29">
        <v>353</v>
      </c>
      <c r="BN359" s="242">
        <f t="shared" si="71"/>
        <v>42965</v>
      </c>
      <c r="BO359" s="29">
        <f t="shared" si="64"/>
        <v>0</v>
      </c>
      <c r="BP359" s="29">
        <f t="shared" si="63"/>
        <v>0</v>
      </c>
      <c r="BQ359" s="29">
        <f t="shared" si="65"/>
        <v>1</v>
      </c>
      <c r="BR359" s="29">
        <f t="shared" si="72"/>
        <v>246</v>
      </c>
      <c r="BS359" s="243">
        <f t="shared" si="66"/>
        <v>6.7204193548387095E-2</v>
      </c>
      <c r="BT359">
        <f t="shared" si="67"/>
        <v>6.7204193548387095E-2</v>
      </c>
      <c r="BU359" t="str">
        <f t="shared" si="68"/>
        <v>non</v>
      </c>
      <c r="BV359">
        <f t="shared" si="69"/>
        <v>0</v>
      </c>
      <c r="BW359">
        <f t="shared" si="70"/>
        <v>0</v>
      </c>
    </row>
    <row r="360" spans="65:75" x14ac:dyDescent="0.25">
      <c r="BM360" s="29">
        <v>354</v>
      </c>
      <c r="BN360" s="242">
        <f t="shared" si="71"/>
        <v>42966</v>
      </c>
      <c r="BO360" s="29">
        <f t="shared" si="64"/>
        <v>0</v>
      </c>
      <c r="BP360" s="29">
        <f t="shared" si="63"/>
        <v>0</v>
      </c>
      <c r="BQ360" s="29">
        <f t="shared" si="65"/>
        <v>1</v>
      </c>
      <c r="BR360" s="29">
        <f t="shared" si="72"/>
        <v>247</v>
      </c>
      <c r="BS360" s="243">
        <f t="shared" si="66"/>
        <v>6.7204193548387095E-2</v>
      </c>
      <c r="BT360">
        <f t="shared" si="67"/>
        <v>6.7204193548387095E-2</v>
      </c>
      <c r="BU360" t="str">
        <f t="shared" si="68"/>
        <v>non</v>
      </c>
      <c r="BV360">
        <f t="shared" si="69"/>
        <v>0</v>
      </c>
      <c r="BW360">
        <f t="shared" si="70"/>
        <v>0</v>
      </c>
    </row>
    <row r="361" spans="65:75" x14ac:dyDescent="0.25">
      <c r="BM361" s="29">
        <v>355</v>
      </c>
      <c r="BN361" s="242">
        <f t="shared" si="71"/>
        <v>42967</v>
      </c>
      <c r="BO361" s="29">
        <f t="shared" si="64"/>
        <v>1</v>
      </c>
      <c r="BP361" s="29">
        <f t="shared" si="63"/>
        <v>0</v>
      </c>
      <c r="BQ361" s="29">
        <f t="shared" si="65"/>
        <v>0</v>
      </c>
      <c r="BR361" s="29">
        <f t="shared" si="72"/>
        <v>247</v>
      </c>
      <c r="BS361" s="243">
        <f t="shared" si="66"/>
        <v>6.7204193548387095E-2</v>
      </c>
      <c r="BT361">
        <f t="shared" si="67"/>
        <v>6.7204193548387095E-2</v>
      </c>
      <c r="BU361" t="str">
        <f t="shared" si="68"/>
        <v>non</v>
      </c>
      <c r="BV361">
        <f t="shared" si="69"/>
        <v>0</v>
      </c>
      <c r="BW361">
        <f t="shared" si="70"/>
        <v>0</v>
      </c>
    </row>
    <row r="362" spans="65:75" x14ac:dyDescent="0.25">
      <c r="BM362" s="29">
        <v>356</v>
      </c>
      <c r="BN362" s="242">
        <f t="shared" si="71"/>
        <v>42968</v>
      </c>
      <c r="BO362" s="29">
        <f t="shared" si="64"/>
        <v>1</v>
      </c>
      <c r="BP362" s="29">
        <f t="shared" si="63"/>
        <v>0</v>
      </c>
      <c r="BQ362" s="29">
        <f t="shared" si="65"/>
        <v>0</v>
      </c>
      <c r="BR362" s="29">
        <f t="shared" si="72"/>
        <v>247</v>
      </c>
      <c r="BS362" s="243">
        <f t="shared" si="66"/>
        <v>6.7204193548387095E-2</v>
      </c>
      <c r="BT362">
        <f t="shared" si="67"/>
        <v>6.7204193548387095E-2</v>
      </c>
      <c r="BU362" t="str">
        <f t="shared" si="68"/>
        <v>non</v>
      </c>
      <c r="BV362">
        <f t="shared" si="69"/>
        <v>0</v>
      </c>
      <c r="BW362">
        <f t="shared" si="70"/>
        <v>0</v>
      </c>
    </row>
    <row r="363" spans="65:75" x14ac:dyDescent="0.25">
      <c r="BM363" s="29">
        <v>357</v>
      </c>
      <c r="BN363" s="242">
        <f t="shared" si="71"/>
        <v>42969</v>
      </c>
      <c r="BO363" s="29">
        <f t="shared" si="64"/>
        <v>0</v>
      </c>
      <c r="BP363" s="29">
        <f t="shared" si="63"/>
        <v>0</v>
      </c>
      <c r="BQ363" s="29">
        <f t="shared" si="65"/>
        <v>1</v>
      </c>
      <c r="BR363" s="29">
        <f t="shared" si="72"/>
        <v>248</v>
      </c>
      <c r="BS363" s="243">
        <f t="shared" si="66"/>
        <v>6.7204193548387095E-2</v>
      </c>
      <c r="BT363">
        <f t="shared" si="67"/>
        <v>6.7204193548387095E-2</v>
      </c>
      <c r="BU363" t="str">
        <f t="shared" si="68"/>
        <v>non</v>
      </c>
      <c r="BV363">
        <f t="shared" si="69"/>
        <v>0</v>
      </c>
      <c r="BW363">
        <f t="shared" si="70"/>
        <v>0</v>
      </c>
    </row>
    <row r="364" spans="65:75" x14ac:dyDescent="0.25">
      <c r="BM364" s="29">
        <v>358</v>
      </c>
      <c r="BN364" s="242">
        <f t="shared" si="71"/>
        <v>42970</v>
      </c>
      <c r="BO364" s="29">
        <f t="shared" si="64"/>
        <v>0</v>
      </c>
      <c r="BP364" s="29">
        <f t="shared" si="63"/>
        <v>0</v>
      </c>
      <c r="BQ364" s="29">
        <f t="shared" si="65"/>
        <v>1</v>
      </c>
      <c r="BR364" s="29">
        <f t="shared" si="72"/>
        <v>249</v>
      </c>
      <c r="BS364" s="243">
        <f t="shared" si="66"/>
        <v>6.7204193548387095E-2</v>
      </c>
      <c r="BT364">
        <f t="shared" si="67"/>
        <v>6.7204193548387095E-2</v>
      </c>
      <c r="BU364" t="str">
        <f t="shared" si="68"/>
        <v>non</v>
      </c>
      <c r="BV364">
        <f t="shared" si="69"/>
        <v>0</v>
      </c>
      <c r="BW364">
        <f t="shared" si="70"/>
        <v>0</v>
      </c>
    </row>
    <row r="365" spans="65:75" x14ac:dyDescent="0.25">
      <c r="BM365" s="29">
        <v>359</v>
      </c>
      <c r="BN365" s="242">
        <f t="shared" si="71"/>
        <v>42971</v>
      </c>
      <c r="BO365" s="29">
        <f t="shared" si="64"/>
        <v>0</v>
      </c>
      <c r="BP365" s="29">
        <f t="shared" si="63"/>
        <v>0</v>
      </c>
      <c r="BQ365" s="29">
        <f t="shared" si="65"/>
        <v>1</v>
      </c>
      <c r="BR365" s="29">
        <f t="shared" si="72"/>
        <v>250</v>
      </c>
      <c r="BS365" s="243">
        <f t="shared" si="66"/>
        <v>6.7204193548387095E-2</v>
      </c>
      <c r="BT365">
        <f t="shared" si="67"/>
        <v>6.7204193548387095E-2</v>
      </c>
      <c r="BU365" t="str">
        <f t="shared" si="68"/>
        <v>non</v>
      </c>
      <c r="BV365">
        <f t="shared" si="69"/>
        <v>0</v>
      </c>
      <c r="BW365">
        <f t="shared" si="70"/>
        <v>0</v>
      </c>
    </row>
    <row r="366" spans="65:75" x14ac:dyDescent="0.25">
      <c r="BM366" s="29">
        <v>360</v>
      </c>
      <c r="BN366" s="242">
        <f t="shared" si="71"/>
        <v>42972</v>
      </c>
      <c r="BO366" s="29">
        <f t="shared" si="64"/>
        <v>0</v>
      </c>
      <c r="BP366" s="29">
        <f t="shared" si="63"/>
        <v>0</v>
      </c>
      <c r="BQ366" s="29">
        <f t="shared" si="65"/>
        <v>1</v>
      </c>
      <c r="BR366" s="29">
        <f t="shared" si="72"/>
        <v>251</v>
      </c>
      <c r="BS366" s="243">
        <f t="shared" si="66"/>
        <v>6.7204193548387095E-2</v>
      </c>
      <c r="BT366">
        <f t="shared" si="67"/>
        <v>6.7204193548387095E-2</v>
      </c>
      <c r="BU366" t="str">
        <f t="shared" si="68"/>
        <v>non</v>
      </c>
      <c r="BV366">
        <f t="shared" si="69"/>
        <v>0</v>
      </c>
      <c r="BW366">
        <f t="shared" si="70"/>
        <v>0</v>
      </c>
    </row>
    <row r="367" spans="65:75" x14ac:dyDescent="0.25">
      <c r="BM367" s="29">
        <v>361</v>
      </c>
      <c r="BN367" s="242">
        <f t="shared" si="71"/>
        <v>42973</v>
      </c>
      <c r="BO367" s="29">
        <f t="shared" si="64"/>
        <v>0</v>
      </c>
      <c r="BP367" s="29">
        <f t="shared" si="63"/>
        <v>0</v>
      </c>
      <c r="BQ367" s="29">
        <f t="shared" si="65"/>
        <v>1</v>
      </c>
      <c r="BR367" s="29">
        <f t="shared" si="72"/>
        <v>252</v>
      </c>
      <c r="BS367" s="243">
        <f t="shared" si="66"/>
        <v>6.7204193548387095E-2</v>
      </c>
      <c r="BT367">
        <f t="shared" si="67"/>
        <v>6.7204193548387095E-2</v>
      </c>
      <c r="BU367" t="str">
        <f t="shared" si="68"/>
        <v>non</v>
      </c>
      <c r="BV367">
        <f t="shared" si="69"/>
        <v>0</v>
      </c>
      <c r="BW367">
        <f t="shared" si="70"/>
        <v>0</v>
      </c>
    </row>
    <row r="368" spans="65:75" x14ac:dyDescent="0.25">
      <c r="BM368" s="29">
        <v>362</v>
      </c>
      <c r="BN368" s="242">
        <f t="shared" si="71"/>
        <v>42974</v>
      </c>
      <c r="BO368" s="29">
        <f t="shared" si="64"/>
        <v>1</v>
      </c>
      <c r="BP368" s="29">
        <f t="shared" si="63"/>
        <v>0</v>
      </c>
      <c r="BQ368" s="29">
        <f t="shared" si="65"/>
        <v>0</v>
      </c>
      <c r="BR368" s="29">
        <f t="shared" si="72"/>
        <v>252</v>
      </c>
      <c r="BS368" s="243">
        <f t="shared" si="66"/>
        <v>6.7204193548387095E-2</v>
      </c>
      <c r="BT368">
        <f t="shared" si="67"/>
        <v>6.7204193548387095E-2</v>
      </c>
      <c r="BU368" t="str">
        <f t="shared" si="68"/>
        <v>non</v>
      </c>
      <c r="BV368">
        <f t="shared" si="69"/>
        <v>0</v>
      </c>
      <c r="BW368">
        <f t="shared" si="70"/>
        <v>0</v>
      </c>
    </row>
    <row r="369" spans="65:75" x14ac:dyDescent="0.25">
      <c r="BM369" s="29">
        <v>363</v>
      </c>
      <c r="BN369" s="242">
        <f t="shared" si="71"/>
        <v>42975</v>
      </c>
      <c r="BO369" s="29">
        <f t="shared" si="64"/>
        <v>1</v>
      </c>
      <c r="BP369" s="29">
        <f t="shared" si="63"/>
        <v>0</v>
      </c>
      <c r="BQ369" s="29">
        <f t="shared" si="65"/>
        <v>0</v>
      </c>
      <c r="BR369" s="29">
        <f t="shared" si="72"/>
        <v>252</v>
      </c>
      <c r="BS369" s="243">
        <f t="shared" si="66"/>
        <v>6.7204193548387095E-2</v>
      </c>
      <c r="BT369">
        <f t="shared" si="67"/>
        <v>6.7204193548387095E-2</v>
      </c>
      <c r="BU369" t="str">
        <f t="shared" si="68"/>
        <v>non</v>
      </c>
      <c r="BV369">
        <f t="shared" si="69"/>
        <v>0</v>
      </c>
      <c r="BW369">
        <f t="shared" si="70"/>
        <v>0</v>
      </c>
    </row>
    <row r="370" spans="65:75" x14ac:dyDescent="0.25">
      <c r="BM370" s="29">
        <v>364</v>
      </c>
      <c r="BN370" s="242">
        <f t="shared" si="71"/>
        <v>42976</v>
      </c>
      <c r="BO370" s="29">
        <f t="shared" si="64"/>
        <v>0</v>
      </c>
      <c r="BP370" s="29">
        <f t="shared" si="63"/>
        <v>0</v>
      </c>
      <c r="BQ370" s="29">
        <f t="shared" si="65"/>
        <v>1</v>
      </c>
      <c r="BR370" s="29">
        <f t="shared" si="72"/>
        <v>253</v>
      </c>
      <c r="BS370" s="243">
        <f t="shared" si="66"/>
        <v>6.7204193548387095E-2</v>
      </c>
      <c r="BT370">
        <f t="shared" si="67"/>
        <v>6.7204193548387095E-2</v>
      </c>
      <c r="BU370" t="str">
        <f t="shared" si="68"/>
        <v>non</v>
      </c>
      <c r="BV370">
        <f t="shared" si="69"/>
        <v>0</v>
      </c>
      <c r="BW370">
        <f t="shared" si="70"/>
        <v>0</v>
      </c>
    </row>
    <row r="371" spans="65:75" x14ac:dyDescent="0.25">
      <c r="BM371" s="29">
        <v>365</v>
      </c>
      <c r="BN371" s="242">
        <f t="shared" si="71"/>
        <v>42977</v>
      </c>
      <c r="BO371" s="29">
        <f t="shared" si="64"/>
        <v>0</v>
      </c>
      <c r="BP371" s="29">
        <f t="shared" si="63"/>
        <v>0</v>
      </c>
      <c r="BQ371" s="29">
        <f t="shared" si="65"/>
        <v>1</v>
      </c>
      <c r="BR371" s="29">
        <f t="shared" si="72"/>
        <v>254</v>
      </c>
      <c r="BS371" s="243">
        <f t="shared" si="66"/>
        <v>6.7204193548387095E-2</v>
      </c>
      <c r="BT371">
        <f t="shared" si="67"/>
        <v>6.7204193548387095E-2</v>
      </c>
      <c r="BU371" t="str">
        <f t="shared" si="68"/>
        <v>non</v>
      </c>
      <c r="BV371">
        <f t="shared" si="69"/>
        <v>0</v>
      </c>
      <c r="BW371">
        <f t="shared" si="70"/>
        <v>0</v>
      </c>
    </row>
    <row r="372" spans="65:75" x14ac:dyDescent="0.25">
      <c r="BM372" s="355">
        <v>366</v>
      </c>
      <c r="BN372" s="362">
        <f t="shared" si="71"/>
        <v>42978</v>
      </c>
      <c r="BO372" s="355">
        <f t="shared" ref="BO372" si="73">IF(OR(WEEKDAY(BN372)=1,WEEKDAY(BN372)=7),1,0)</f>
        <v>0</v>
      </c>
      <c r="BP372" s="355">
        <f t="shared" ref="BP372" si="74">IF(BO372=1,0,COUNTIF(tab_ferie,BN372))</f>
        <v>0</v>
      </c>
      <c r="BQ372" s="355">
        <f t="shared" ref="BQ372" si="75">IF(AND(BN372&gt;=$AF$5,BN372&lt;=$AF$6),IF(BO372+BP372=0,1,0),0)</f>
        <v>0</v>
      </c>
      <c r="BR372" s="355">
        <f t="shared" ref="BR372" si="76">BR371+1-BP372-BO372</f>
        <v>255</v>
      </c>
      <c r="BS372" s="243">
        <f t="shared" ref="BS372" si="77">2.08333/(EOMONTH(BN372,0)-(EOMONTH(BN372,-1)))</f>
        <v>6.9444333333333344E-2</v>
      </c>
      <c r="BT372">
        <f t="shared" ref="BT372" si="78">IF(AND(BN372&gt;=$AF$5,BN372&lt;=$AF$6),BS372,0)</f>
        <v>0</v>
      </c>
      <c r="BU372" t="str">
        <f t="shared" ref="BU372" si="79">IF(OR(MONTH(BN372)&gt;=10,MONTH(BN372)&lt;=5),"ok","non")</f>
        <v>non</v>
      </c>
      <c r="BV372">
        <f t="shared" ref="BV372" si="80">IF(BU372="ok",$CC$30/(EOMONTH(BN372,0)-(EOMONTH(BN372,-1))),0)</f>
        <v>0</v>
      </c>
      <c r="BW372">
        <f t="shared" ref="BW372" si="81">IF(AND(BN372&gt;=$AF$5,BN372&lt;=$AF$6),BV372,0)</f>
        <v>0</v>
      </c>
    </row>
    <row r="373" spans="65:75" x14ac:dyDescent="0.25">
      <c r="BN373" s="242"/>
    </row>
    <row r="374" spans="65:75" x14ac:dyDescent="0.25">
      <c r="BN374" s="242"/>
    </row>
    <row r="375" spans="65:75" x14ac:dyDescent="0.25">
      <c r="BN375" s="242"/>
    </row>
    <row r="376" spans="65:75" x14ac:dyDescent="0.25">
      <c r="BN376" s="242"/>
    </row>
    <row r="377" spans="65:75" x14ac:dyDescent="0.25">
      <c r="BN377" s="242"/>
    </row>
    <row r="378" spans="65:75" x14ac:dyDescent="0.25">
      <c r="BN378" s="242"/>
    </row>
    <row r="379" spans="65:75" x14ac:dyDescent="0.25">
      <c r="BN379" s="242"/>
    </row>
    <row r="380" spans="65:75" x14ac:dyDescent="0.25">
      <c r="BN380" s="242"/>
    </row>
    <row r="381" spans="65:75" x14ac:dyDescent="0.25">
      <c r="BN381" s="242"/>
    </row>
    <row r="382" spans="65:75" x14ac:dyDescent="0.25">
      <c r="BN382" s="242"/>
    </row>
    <row r="383" spans="65:75" x14ac:dyDescent="0.25">
      <c r="BN383" s="242"/>
    </row>
    <row r="384" spans="65:75" x14ac:dyDescent="0.25">
      <c r="BN384" s="242"/>
    </row>
    <row r="385" spans="66:66" x14ac:dyDescent="0.25">
      <c r="BN385" s="242"/>
    </row>
    <row r="386" spans="66:66" x14ac:dyDescent="0.25">
      <c r="BN386" s="242"/>
    </row>
    <row r="387" spans="66:66" x14ac:dyDescent="0.25">
      <c r="BN387" s="242"/>
    </row>
    <row r="388" spans="66:66" x14ac:dyDescent="0.25">
      <c r="BN388" s="242"/>
    </row>
    <row r="389" spans="66:66" x14ac:dyDescent="0.25">
      <c r="BN389" s="242"/>
    </row>
    <row r="390" spans="66:66" x14ac:dyDescent="0.25">
      <c r="BN390" s="242"/>
    </row>
    <row r="391" spans="66:66" x14ac:dyDescent="0.25">
      <c r="BN391" s="242"/>
    </row>
    <row r="392" spans="66:66" x14ac:dyDescent="0.25">
      <c r="BN392" s="242"/>
    </row>
    <row r="393" spans="66:66" x14ac:dyDescent="0.25">
      <c r="BN393" s="242"/>
    </row>
    <row r="394" spans="66:66" x14ac:dyDescent="0.25">
      <c r="BN394" s="242"/>
    </row>
    <row r="395" spans="66:66" x14ac:dyDescent="0.25">
      <c r="BN395" s="242"/>
    </row>
    <row r="396" spans="66:66" x14ac:dyDescent="0.25">
      <c r="BN396" s="242"/>
    </row>
    <row r="397" spans="66:66" x14ac:dyDescent="0.25">
      <c r="BN397" s="242"/>
    </row>
    <row r="398" spans="66:66" x14ac:dyDescent="0.25">
      <c r="BN398" s="242"/>
    </row>
    <row r="399" spans="66:66" x14ac:dyDescent="0.25">
      <c r="BN399" s="242"/>
    </row>
    <row r="400" spans="66:66" x14ac:dyDescent="0.25">
      <c r="BN400" s="242"/>
    </row>
    <row r="401" spans="66:66" x14ac:dyDescent="0.25">
      <c r="BN401" s="242"/>
    </row>
    <row r="402" spans="66:66" x14ac:dyDescent="0.25">
      <c r="BN402" s="242"/>
    </row>
    <row r="403" spans="66:66" x14ac:dyDescent="0.25">
      <c r="BN403" s="242"/>
    </row>
    <row r="404" spans="66:66" x14ac:dyDescent="0.25">
      <c r="BN404" s="242"/>
    </row>
    <row r="405" spans="66:66" x14ac:dyDescent="0.25">
      <c r="BN405" s="242"/>
    </row>
    <row r="406" spans="66:66" x14ac:dyDescent="0.25">
      <c r="BN406" s="242"/>
    </row>
    <row r="407" spans="66:66" x14ac:dyDescent="0.25">
      <c r="BN407" s="242"/>
    </row>
    <row r="408" spans="66:66" x14ac:dyDescent="0.25">
      <c r="BN408" s="242"/>
    </row>
    <row r="409" spans="66:66" x14ac:dyDescent="0.25">
      <c r="BN409" s="242"/>
    </row>
    <row r="410" spans="66:66" x14ac:dyDescent="0.25">
      <c r="BN410" s="242"/>
    </row>
    <row r="411" spans="66:66" x14ac:dyDescent="0.25">
      <c r="BN411" s="242"/>
    </row>
    <row r="412" spans="66:66" x14ac:dyDescent="0.25">
      <c r="BN412" s="242"/>
    </row>
    <row r="413" spans="66:66" x14ac:dyDescent="0.25">
      <c r="BN413" s="242"/>
    </row>
    <row r="414" spans="66:66" x14ac:dyDescent="0.25">
      <c r="BN414" s="242"/>
    </row>
    <row r="415" spans="66:66" x14ac:dyDescent="0.25">
      <c r="BN415" s="242"/>
    </row>
    <row r="416" spans="66:66" x14ac:dyDescent="0.25">
      <c r="BN416" s="242"/>
    </row>
    <row r="417" spans="66:66" x14ac:dyDescent="0.25">
      <c r="BN417" s="242"/>
    </row>
    <row r="418" spans="66:66" x14ac:dyDescent="0.25">
      <c r="BN418" s="242"/>
    </row>
    <row r="419" spans="66:66" x14ac:dyDescent="0.25">
      <c r="BN419" s="242"/>
    </row>
    <row r="420" spans="66:66" x14ac:dyDescent="0.25">
      <c r="BN420" s="242"/>
    </row>
    <row r="421" spans="66:66" x14ac:dyDescent="0.25">
      <c r="BN421" s="242"/>
    </row>
    <row r="422" spans="66:66" x14ac:dyDescent="0.25">
      <c r="BN422" s="242"/>
    </row>
    <row r="423" spans="66:66" x14ac:dyDescent="0.25">
      <c r="BN423" s="242"/>
    </row>
    <row r="424" spans="66:66" x14ac:dyDescent="0.25">
      <c r="BN424" s="242"/>
    </row>
    <row r="425" spans="66:66" x14ac:dyDescent="0.25">
      <c r="BN425" s="242"/>
    </row>
    <row r="426" spans="66:66" x14ac:dyDescent="0.25">
      <c r="BN426" s="242"/>
    </row>
    <row r="427" spans="66:66" x14ac:dyDescent="0.25">
      <c r="BN427" s="242"/>
    </row>
    <row r="428" spans="66:66" x14ac:dyDescent="0.25">
      <c r="BN428" s="242"/>
    </row>
    <row r="429" spans="66:66" x14ac:dyDescent="0.25">
      <c r="BN429" s="242"/>
    </row>
    <row r="430" spans="66:66" x14ac:dyDescent="0.25">
      <c r="BN430" s="242"/>
    </row>
    <row r="431" spans="66:66" x14ac:dyDescent="0.25">
      <c r="BN431" s="242"/>
    </row>
    <row r="432" spans="66:66" x14ac:dyDescent="0.25">
      <c r="BN432" s="242"/>
    </row>
    <row r="433" spans="66:66" x14ac:dyDescent="0.25">
      <c r="BN433" s="242"/>
    </row>
    <row r="434" spans="66:66" x14ac:dyDescent="0.25">
      <c r="BN434" s="242"/>
    </row>
    <row r="435" spans="66:66" x14ac:dyDescent="0.25">
      <c r="BN435" s="242"/>
    </row>
    <row r="436" spans="66:66" x14ac:dyDescent="0.25">
      <c r="BN436" s="242"/>
    </row>
    <row r="437" spans="66:66" x14ac:dyDescent="0.25">
      <c r="BN437" s="242"/>
    </row>
    <row r="438" spans="66:66" x14ac:dyDescent="0.25">
      <c r="BN438" s="242"/>
    </row>
    <row r="439" spans="66:66" x14ac:dyDescent="0.25">
      <c r="BN439" s="242"/>
    </row>
    <row r="440" spans="66:66" x14ac:dyDescent="0.25">
      <c r="BN440" s="242"/>
    </row>
    <row r="441" spans="66:66" x14ac:dyDescent="0.25">
      <c r="BN441" s="242"/>
    </row>
    <row r="442" spans="66:66" x14ac:dyDescent="0.25">
      <c r="BN442" s="242"/>
    </row>
    <row r="443" spans="66:66" x14ac:dyDescent="0.25">
      <c r="BN443" s="242"/>
    </row>
    <row r="444" spans="66:66" x14ac:dyDescent="0.25">
      <c r="BN444" s="242"/>
    </row>
    <row r="445" spans="66:66" x14ac:dyDescent="0.25">
      <c r="BN445" s="242"/>
    </row>
    <row r="446" spans="66:66" x14ac:dyDescent="0.25">
      <c r="BN446" s="242"/>
    </row>
    <row r="447" spans="66:66" x14ac:dyDescent="0.25">
      <c r="BN447" s="242"/>
    </row>
    <row r="448" spans="66:66" x14ac:dyDescent="0.25">
      <c r="BN448" s="242"/>
    </row>
    <row r="449" spans="66:66" x14ac:dyDescent="0.25">
      <c r="BN449" s="242"/>
    </row>
    <row r="450" spans="66:66" x14ac:dyDescent="0.25">
      <c r="BN450" s="242"/>
    </row>
    <row r="451" spans="66:66" x14ac:dyDescent="0.25">
      <c r="BN451" s="242"/>
    </row>
    <row r="452" spans="66:66" x14ac:dyDescent="0.25">
      <c r="BN452" s="242"/>
    </row>
    <row r="453" spans="66:66" x14ac:dyDescent="0.25">
      <c r="BN453" s="242"/>
    </row>
    <row r="454" spans="66:66" x14ac:dyDescent="0.25">
      <c r="BN454" s="242"/>
    </row>
    <row r="455" spans="66:66" x14ac:dyDescent="0.25">
      <c r="BN455" s="242"/>
    </row>
    <row r="456" spans="66:66" x14ac:dyDescent="0.25">
      <c r="BN456" s="242"/>
    </row>
    <row r="457" spans="66:66" x14ac:dyDescent="0.25">
      <c r="BN457" s="242"/>
    </row>
    <row r="458" spans="66:66" x14ac:dyDescent="0.25">
      <c r="BN458" s="242"/>
    </row>
    <row r="459" spans="66:66" x14ac:dyDescent="0.25">
      <c r="BN459" s="242"/>
    </row>
    <row r="460" spans="66:66" x14ac:dyDescent="0.25">
      <c r="BN460" s="242"/>
    </row>
    <row r="461" spans="66:66" x14ac:dyDescent="0.25">
      <c r="BN461" s="242"/>
    </row>
    <row r="462" spans="66:66" x14ac:dyDescent="0.25">
      <c r="BN462" s="242"/>
    </row>
    <row r="463" spans="66:66" x14ac:dyDescent="0.25">
      <c r="BN463" s="242"/>
    </row>
    <row r="464" spans="66:66" x14ac:dyDescent="0.25">
      <c r="BN464" s="242"/>
    </row>
    <row r="465" spans="66:66" x14ac:dyDescent="0.25">
      <c r="BN465" s="242"/>
    </row>
    <row r="466" spans="66:66" x14ac:dyDescent="0.25">
      <c r="BN466" s="242"/>
    </row>
    <row r="467" spans="66:66" x14ac:dyDescent="0.25">
      <c r="BN467" s="242"/>
    </row>
    <row r="468" spans="66:66" x14ac:dyDescent="0.25">
      <c r="BN468" s="242"/>
    </row>
    <row r="469" spans="66:66" x14ac:dyDescent="0.25">
      <c r="BN469" s="242"/>
    </row>
    <row r="470" spans="66:66" x14ac:dyDescent="0.25">
      <c r="BN470" s="242"/>
    </row>
    <row r="471" spans="66:66" x14ac:dyDescent="0.25">
      <c r="BN471" s="242"/>
    </row>
    <row r="472" spans="66:66" x14ac:dyDescent="0.25">
      <c r="BN472" s="242"/>
    </row>
    <row r="473" spans="66:66" x14ac:dyDescent="0.25">
      <c r="BN473" s="242"/>
    </row>
    <row r="474" spans="66:66" x14ac:dyDescent="0.25">
      <c r="BN474" s="242"/>
    </row>
    <row r="475" spans="66:66" x14ac:dyDescent="0.25">
      <c r="BN475" s="242"/>
    </row>
    <row r="476" spans="66:66" x14ac:dyDescent="0.25">
      <c r="BN476" s="242"/>
    </row>
    <row r="477" spans="66:66" x14ac:dyDescent="0.25">
      <c r="BN477" s="242"/>
    </row>
    <row r="478" spans="66:66" x14ac:dyDescent="0.25">
      <c r="BN478" s="242"/>
    </row>
    <row r="479" spans="66:66" x14ac:dyDescent="0.25">
      <c r="BN479" s="242"/>
    </row>
    <row r="480" spans="66:66" x14ac:dyDescent="0.25">
      <c r="BN480" s="242"/>
    </row>
    <row r="481" spans="66:66" x14ac:dyDescent="0.25">
      <c r="BN481" s="242"/>
    </row>
    <row r="482" spans="66:66" x14ac:dyDescent="0.25">
      <c r="BN482" s="242"/>
    </row>
    <row r="483" spans="66:66" x14ac:dyDescent="0.25">
      <c r="BN483" s="242"/>
    </row>
    <row r="484" spans="66:66" x14ac:dyDescent="0.25">
      <c r="BN484" s="242"/>
    </row>
    <row r="485" spans="66:66" x14ac:dyDescent="0.25">
      <c r="BN485" s="242"/>
    </row>
    <row r="486" spans="66:66" x14ac:dyDescent="0.25">
      <c r="BN486" s="242"/>
    </row>
    <row r="487" spans="66:66" x14ac:dyDescent="0.25">
      <c r="BN487" s="242"/>
    </row>
    <row r="488" spans="66:66" x14ac:dyDescent="0.25">
      <c r="BN488" s="242"/>
    </row>
    <row r="489" spans="66:66" x14ac:dyDescent="0.25">
      <c r="BN489" s="242"/>
    </row>
    <row r="490" spans="66:66" x14ac:dyDescent="0.25">
      <c r="BN490" s="242"/>
    </row>
    <row r="491" spans="66:66" x14ac:dyDescent="0.25">
      <c r="BN491" s="242"/>
    </row>
    <row r="492" spans="66:66" x14ac:dyDescent="0.25">
      <c r="BN492" s="242"/>
    </row>
    <row r="493" spans="66:66" x14ac:dyDescent="0.25">
      <c r="BN493" s="242"/>
    </row>
    <row r="494" spans="66:66" x14ac:dyDescent="0.25">
      <c r="BN494" s="242"/>
    </row>
    <row r="495" spans="66:66" x14ac:dyDescent="0.25">
      <c r="BN495" s="242"/>
    </row>
    <row r="496" spans="66:66" x14ac:dyDescent="0.25">
      <c r="BN496" s="242"/>
    </row>
    <row r="497" spans="66:66" x14ac:dyDescent="0.25">
      <c r="BN497" s="242"/>
    </row>
    <row r="498" spans="66:66" x14ac:dyDescent="0.25">
      <c r="BN498" s="242"/>
    </row>
    <row r="499" spans="66:66" x14ac:dyDescent="0.25">
      <c r="BN499" s="242"/>
    </row>
    <row r="500" spans="66:66" x14ac:dyDescent="0.25">
      <c r="BN500" s="242"/>
    </row>
    <row r="501" spans="66:66" x14ac:dyDescent="0.25">
      <c r="BN501" s="242"/>
    </row>
    <row r="502" spans="66:66" x14ac:dyDescent="0.25">
      <c r="BN502" s="242"/>
    </row>
    <row r="503" spans="66:66" x14ac:dyDescent="0.25">
      <c r="BN503" s="242"/>
    </row>
    <row r="504" spans="66:66" x14ac:dyDescent="0.25">
      <c r="BN504" s="242"/>
    </row>
    <row r="505" spans="66:66" x14ac:dyDescent="0.25">
      <c r="BN505" s="242"/>
    </row>
    <row r="506" spans="66:66" x14ac:dyDescent="0.25">
      <c r="BN506" s="242"/>
    </row>
    <row r="507" spans="66:66" x14ac:dyDescent="0.25">
      <c r="BN507" s="242"/>
    </row>
    <row r="508" spans="66:66" x14ac:dyDescent="0.25">
      <c r="BN508" s="242"/>
    </row>
    <row r="509" spans="66:66" x14ac:dyDescent="0.25">
      <c r="BN509" s="242"/>
    </row>
    <row r="510" spans="66:66" x14ac:dyDescent="0.25">
      <c r="BN510" s="242"/>
    </row>
    <row r="511" spans="66:66" x14ac:dyDescent="0.25">
      <c r="BN511" s="242"/>
    </row>
    <row r="512" spans="66:66" x14ac:dyDescent="0.25">
      <c r="BN512" s="242"/>
    </row>
    <row r="513" spans="66:66" x14ac:dyDescent="0.25">
      <c r="BN513" s="242"/>
    </row>
  </sheetData>
  <sheetProtection algorithmName="SHA-512" hashValue="ZIRvWmeWteXt5zmOrD+CvdAkb/wbwUN97VNyeaqSiJpecIhBjbsz3zkLly5kuI+RBjHZvJUTK92h+6EjP2BxyA==" saltValue="ucy+ewb+XQDDXHYBsQAvsA==" spinCount="100000" sheet="1" selectLockedCells="1"/>
  <mergeCells count="207">
    <mergeCell ref="BG13:BH13"/>
    <mergeCell ref="BG12:BH12"/>
    <mergeCell ref="C5:G5"/>
    <mergeCell ref="K5:O5"/>
    <mergeCell ref="C20:E20"/>
    <mergeCell ref="F20:H20"/>
    <mergeCell ref="BJ9:BK13"/>
    <mergeCell ref="G8:H8"/>
    <mergeCell ref="B87:G87"/>
    <mergeCell ref="U44:V44"/>
    <mergeCell ref="M45:N45"/>
    <mergeCell ref="O45:P45"/>
    <mergeCell ref="R45:S45"/>
    <mergeCell ref="U45:V45"/>
    <mergeCell ref="M46:N46"/>
    <mergeCell ref="O46:P46"/>
    <mergeCell ref="R46:S46"/>
    <mergeCell ref="U46:V46"/>
    <mergeCell ref="BG31:BK31"/>
    <mergeCell ref="BG32:BK32"/>
    <mergeCell ref="AD22:AI22"/>
    <mergeCell ref="V21:W21"/>
    <mergeCell ref="X21:AB21"/>
    <mergeCell ref="BG16:BH16"/>
    <mergeCell ref="M48:N48"/>
    <mergeCell ref="O48:P48"/>
    <mergeCell ref="A10:E10"/>
    <mergeCell ref="F10:H10"/>
    <mergeCell ref="A11:E11"/>
    <mergeCell ref="F11:H11"/>
    <mergeCell ref="S12:U12"/>
    <mergeCell ref="R50:V50"/>
    <mergeCell ref="O91:T91"/>
    <mergeCell ref="U91:V91"/>
    <mergeCell ref="I12:K12"/>
    <mergeCell ref="R48:S48"/>
    <mergeCell ref="U48:V48"/>
    <mergeCell ref="F14:H14"/>
    <mergeCell ref="I14:K14"/>
    <mergeCell ref="A19:B23"/>
    <mergeCell ref="C22:E22"/>
    <mergeCell ref="F22:H22"/>
    <mergeCell ref="M44:N44"/>
    <mergeCell ref="O44:P44"/>
    <mergeCell ref="R44:S44"/>
    <mergeCell ref="M47:N47"/>
    <mergeCell ref="O47:P47"/>
    <mergeCell ref="M39:W39"/>
    <mergeCell ref="AG2:AI2"/>
    <mergeCell ref="S19:U19"/>
    <mergeCell ref="X20:AB20"/>
    <mergeCell ref="M7:N7"/>
    <mergeCell ref="V18:AI18"/>
    <mergeCell ref="V22:W22"/>
    <mergeCell ref="S23:U23"/>
    <mergeCell ref="S5:W5"/>
    <mergeCell ref="S7:W7"/>
    <mergeCell ref="A1:AI1"/>
    <mergeCell ref="AA51:AI51"/>
    <mergeCell ref="AA38:AI43"/>
    <mergeCell ref="AA45:AI50"/>
    <mergeCell ref="AA37:AI37"/>
    <mergeCell ref="AA44:AI44"/>
    <mergeCell ref="AI77:AJ77"/>
    <mergeCell ref="AI78:AJ78"/>
    <mergeCell ref="AL99:AL100"/>
    <mergeCell ref="Y55:AC55"/>
    <mergeCell ref="Y56:AC56"/>
    <mergeCell ref="AK88:AK89"/>
    <mergeCell ref="AL88:AL89"/>
    <mergeCell ref="Y60:AC60"/>
    <mergeCell ref="S13:U13"/>
    <mergeCell ref="AD13:AE13"/>
    <mergeCell ref="I13:K13"/>
    <mergeCell ref="S11:U11"/>
    <mergeCell ref="I10:K10"/>
    <mergeCell ref="I11:K11"/>
    <mergeCell ref="X11:AC11"/>
    <mergeCell ref="AD11:AE11"/>
    <mergeCell ref="X12:AC12"/>
    <mergeCell ref="AD12:AE12"/>
    <mergeCell ref="U102:V102"/>
    <mergeCell ref="H54:M54"/>
    <mergeCell ref="H59:M59"/>
    <mergeCell ref="I93:L93"/>
    <mergeCell ref="I92:L92"/>
    <mergeCell ref="I91:L91"/>
    <mergeCell ref="I90:L90"/>
    <mergeCell ref="I89:L89"/>
    <mergeCell ref="C93:H93"/>
    <mergeCell ref="C92:H92"/>
    <mergeCell ref="C91:H91"/>
    <mergeCell ref="C90:H90"/>
    <mergeCell ref="C89:H89"/>
    <mergeCell ref="C100:H100"/>
    <mergeCell ref="I100:L100"/>
    <mergeCell ref="C101:H101"/>
    <mergeCell ref="I101:L101"/>
    <mergeCell ref="O56:P56"/>
    <mergeCell ref="O100:T100"/>
    <mergeCell ref="B98:G98"/>
    <mergeCell ref="BC5:BE5"/>
    <mergeCell ref="BB13:BF13"/>
    <mergeCell ref="C104:H104"/>
    <mergeCell ref="I104:L104"/>
    <mergeCell ref="AI75:AJ75"/>
    <mergeCell ref="AI76:AJ76"/>
    <mergeCell ref="O61:P61"/>
    <mergeCell ref="Y61:AC61"/>
    <mergeCell ref="O101:T101"/>
    <mergeCell ref="U101:V101"/>
    <mergeCell ref="O102:T102"/>
    <mergeCell ref="U100:V100"/>
    <mergeCell ref="I102:L102"/>
    <mergeCell ref="C103:H103"/>
    <mergeCell ref="I103:L103"/>
    <mergeCell ref="C102:H102"/>
    <mergeCell ref="O89:T89"/>
    <mergeCell ref="U89:V89"/>
    <mergeCell ref="O90:T90"/>
    <mergeCell ref="U90:V90"/>
    <mergeCell ref="I20:K20"/>
    <mergeCell ref="P18:R23"/>
    <mergeCell ref="S20:U20"/>
    <mergeCell ref="AK99:AK100"/>
    <mergeCell ref="BY1:BZ1"/>
    <mergeCell ref="AF14:AG14"/>
    <mergeCell ref="AH14:AI14"/>
    <mergeCell ref="X16:AC16"/>
    <mergeCell ref="X15:AC15"/>
    <mergeCell ref="AD15:AE15"/>
    <mergeCell ref="AD16:AE16"/>
    <mergeCell ref="AK9:AK10"/>
    <mergeCell ref="AH9:AI10"/>
    <mergeCell ref="AH11:AI11"/>
    <mergeCell ref="AH12:AI12"/>
    <mergeCell ref="AH13:AI13"/>
    <mergeCell ref="AL9:AL10"/>
    <mergeCell ref="AF13:AG13"/>
    <mergeCell ref="AF12:AG12"/>
    <mergeCell ref="AF11:AG11"/>
    <mergeCell ref="AF9:AG10"/>
    <mergeCell ref="BG5:BI5"/>
    <mergeCell ref="BB16:BF16"/>
    <mergeCell ref="BB12:BF12"/>
    <mergeCell ref="AF6:AI6"/>
    <mergeCell ref="AF5:AI5"/>
    <mergeCell ref="X9:AE10"/>
    <mergeCell ref="BS2:BT2"/>
    <mergeCell ref="AR20:AS20"/>
    <mergeCell ref="AR19:AS19"/>
    <mergeCell ref="AR21:AS21"/>
    <mergeCell ref="S21:U21"/>
    <mergeCell ref="V19:W19"/>
    <mergeCell ref="X22:AB22"/>
    <mergeCell ref="AD21:AI21"/>
    <mergeCell ref="V20:W20"/>
    <mergeCell ref="AD20:AI20"/>
    <mergeCell ref="AD19:AI19"/>
    <mergeCell ref="G7:H7"/>
    <mergeCell ref="I19:K19"/>
    <mergeCell ref="S18:U18"/>
    <mergeCell ref="W35:Y35"/>
    <mergeCell ref="C21:E21"/>
    <mergeCell ref="F21:H21"/>
    <mergeCell ref="I21:K21"/>
    <mergeCell ref="I22:K22"/>
    <mergeCell ref="W33:Y33"/>
    <mergeCell ref="W30:Y30"/>
    <mergeCell ref="F23:H23"/>
    <mergeCell ref="C23:E23"/>
    <mergeCell ref="A12:E12"/>
    <mergeCell ref="F12:H12"/>
    <mergeCell ref="A13:E13"/>
    <mergeCell ref="F19:H19"/>
    <mergeCell ref="X19:AB19"/>
    <mergeCell ref="A15:E15"/>
    <mergeCell ref="F15:H15"/>
    <mergeCell ref="F13:H13"/>
    <mergeCell ref="C19:E19"/>
    <mergeCell ref="X13:AC13"/>
    <mergeCell ref="I15:K15"/>
    <mergeCell ref="A14:E14"/>
    <mergeCell ref="AA33:AH33"/>
    <mergeCell ref="AA32:AH32"/>
    <mergeCell ref="S22:U22"/>
    <mergeCell ref="W28:Y28"/>
    <mergeCell ref="I23:K23"/>
    <mergeCell ref="X23:AB23"/>
    <mergeCell ref="V23:W23"/>
    <mergeCell ref="J26:Y26"/>
    <mergeCell ref="A28:H28"/>
    <mergeCell ref="AD23:AI23"/>
    <mergeCell ref="AA27:AH27"/>
    <mergeCell ref="R47:S47"/>
    <mergeCell ref="U47:V47"/>
    <mergeCell ref="O41:P41"/>
    <mergeCell ref="R41:S41"/>
    <mergeCell ref="U41:V41"/>
    <mergeCell ref="M42:N42"/>
    <mergeCell ref="O42:P42"/>
    <mergeCell ref="R42:S42"/>
    <mergeCell ref="U42:V42"/>
    <mergeCell ref="M43:N43"/>
    <mergeCell ref="O43:P43"/>
    <mergeCell ref="R43:S43"/>
    <mergeCell ref="U43:V43"/>
  </mergeCells>
  <phoneticPr fontId="34" type="noConversion"/>
  <conditionalFormatting sqref="BN4:BN25">
    <cfRule type="expression" dxfId="1981" priority="37">
      <formula>AND($L4=0,$M4=0)</formula>
    </cfRule>
  </conditionalFormatting>
  <conditionalFormatting sqref="BO4:BQ4">
    <cfRule type="cellIs" dxfId="1980" priority="36" operator="equal">
      <formula>1</formula>
    </cfRule>
  </conditionalFormatting>
  <conditionalFormatting sqref="BO5:BO372 BQ5:BQ372">
    <cfRule type="cellIs" dxfId="1979" priority="35" operator="equal">
      <formula>1</formula>
    </cfRule>
  </conditionalFormatting>
  <conditionalFormatting sqref="BP5:BP371">
    <cfRule type="cellIs" dxfId="1978" priority="34" operator="equal">
      <formula>1</formula>
    </cfRule>
  </conditionalFormatting>
  <conditionalFormatting sqref="I11:K11 I89">
    <cfRule type="cellIs" dxfId="1977" priority="32" operator="equal">
      <formula>"CP payés ?"</formula>
    </cfRule>
  </conditionalFormatting>
  <conditionalFormatting sqref="X11:AC12">
    <cfRule type="cellIs" dxfId="1976" priority="31" operator="equal">
      <formula>"ERREUR"</formula>
    </cfRule>
  </conditionalFormatting>
  <conditionalFormatting sqref="AF9:AI10 AH11:AI13 AI75:AJ77 AG73:AJ74">
    <cfRule type="expression" dxfId="1975" priority="29">
      <formula>IF($AF$6=$BN$371,TRUE,FALSE)</formula>
    </cfRule>
  </conditionalFormatting>
  <conditionalFormatting sqref="AF11:AG13">
    <cfRule type="expression" dxfId="1974" priority="28">
      <formula>IF($AF$6=$BN$371,TRUE,FALSE)</formula>
    </cfRule>
  </conditionalFormatting>
  <conditionalFormatting sqref="BN101:BN105 BN112 BN131:BN371">
    <cfRule type="expression" dxfId="1973" priority="9723">
      <formula>AND($L84=0,$M84=0)</formula>
    </cfRule>
  </conditionalFormatting>
  <conditionalFormatting sqref="BN46:BN61">
    <cfRule type="expression" dxfId="1972" priority="9724">
      <formula>AND(#REF!=0,#REF!=0)</formula>
    </cfRule>
  </conditionalFormatting>
  <conditionalFormatting sqref="BN65:BN70">
    <cfRule type="expression" dxfId="1971" priority="9726">
      <formula>AND($L48=0,#REF!=0)</formula>
    </cfRule>
  </conditionalFormatting>
  <conditionalFormatting sqref="BN62">
    <cfRule type="expression" dxfId="1970" priority="9732">
      <formula>AND(#REF!=0,#REF!=0)</formula>
    </cfRule>
  </conditionalFormatting>
  <conditionalFormatting sqref="AH30:AH31">
    <cfRule type="cellIs" dxfId="1969" priority="25" operator="greaterThan">
      <formula>25</formula>
    </cfRule>
  </conditionalFormatting>
  <conditionalFormatting sqref="AA32">
    <cfRule type="expression" dxfId="1968" priority="24">
      <formula>IF(AH30&gt;0,TRUE,FALSE)</formula>
    </cfRule>
  </conditionalFormatting>
  <conditionalFormatting sqref="AA33:AH33">
    <cfRule type="expression" dxfId="1967" priority="23">
      <formula>IF($AH$31&gt;0,TRUE,FALSE)</formula>
    </cfRule>
  </conditionalFormatting>
  <conditionalFormatting sqref="O89:T90">
    <cfRule type="cellIs" dxfId="1966" priority="15" operator="equal">
      <formula>"ERREUR"</formula>
    </cfRule>
  </conditionalFormatting>
  <conditionalFormatting sqref="BN90:BN98 BN80 BN106:BN111 BN115:BN130">
    <cfRule type="expression" dxfId="1965" priority="9735">
      <formula>AND(#REF!=0,#REF!=0)</formula>
    </cfRule>
  </conditionalFormatting>
  <conditionalFormatting sqref="I100">
    <cfRule type="cellIs" dxfId="1964" priority="14" operator="equal">
      <formula>"CP payés ?"</formula>
    </cfRule>
  </conditionalFormatting>
  <conditionalFormatting sqref="O100:T100">
    <cfRule type="cellIs" dxfId="1963" priority="12" operator="equal">
      <formula>"ERREUR"</formula>
    </cfRule>
  </conditionalFormatting>
  <conditionalFormatting sqref="O91:T91">
    <cfRule type="cellIs" dxfId="1962" priority="9" operator="equal">
      <formula>"ERREUR"</formula>
    </cfRule>
  </conditionalFormatting>
  <conditionalFormatting sqref="O101:T102">
    <cfRule type="cellIs" dxfId="1961" priority="8" operator="equal">
      <formula>"ERREUR"</formula>
    </cfRule>
  </conditionalFormatting>
  <conditionalFormatting sqref="BN85:BN89">
    <cfRule type="expression" dxfId="1960" priority="9742">
      <formula>AND($M89=0,$N89=0)</formula>
    </cfRule>
  </conditionalFormatting>
  <conditionalFormatting sqref="BN113:BN114">
    <cfRule type="expression" dxfId="1959" priority="9751">
      <formula>AND($L98=0,$M98=0)</formula>
    </cfRule>
  </conditionalFormatting>
  <conditionalFormatting sqref="BN100">
    <cfRule type="expression" dxfId="1958" priority="9752">
      <formula>AND($L105=0,$M105=0)</formula>
    </cfRule>
  </conditionalFormatting>
  <conditionalFormatting sqref="BN99">
    <cfRule type="expression" dxfId="1957" priority="9755">
      <formula>AND($J104=0,$K104=0)</formula>
    </cfRule>
  </conditionalFormatting>
  <conditionalFormatting sqref="BN26:BN45">
    <cfRule type="expression" dxfId="1956" priority="9757">
      <formula>AND(#REF!=0,#REF!=0)</formula>
    </cfRule>
  </conditionalFormatting>
  <conditionalFormatting sqref="AB32:AH32">
    <cfRule type="expression" dxfId="1955" priority="9763">
      <formula>IF(AJ29&gt;0,TRUE,FALSE)</formula>
    </cfRule>
  </conditionalFormatting>
  <conditionalFormatting sqref="BN63:BN64 BN77:BN79">
    <cfRule type="expression" dxfId="1954" priority="9783">
      <formula>AND(#REF!=0,#REF!=0)</formula>
    </cfRule>
  </conditionalFormatting>
  <conditionalFormatting sqref="I12:K12 I90 I101">
    <cfRule type="expression" dxfId="1953" priority="9785">
      <formula>IF(OR($W$28="",$W$30=""),TRUE,FALSE)</formula>
    </cfRule>
  </conditionalFormatting>
  <conditionalFormatting sqref="BN71:BN74">
    <cfRule type="expression" dxfId="1952" priority="9801">
      <formula>AND(#REF!=0,#REF!=0)</formula>
    </cfRule>
  </conditionalFormatting>
  <conditionalFormatting sqref="BN81:BN84">
    <cfRule type="expression" dxfId="1951" priority="9802">
      <formula>AND($S54=0,$T54=0)</formula>
    </cfRule>
  </conditionalFormatting>
  <conditionalFormatting sqref="BN75:BN76">
    <cfRule type="expression" dxfId="1950" priority="9803">
      <formula>AND(#REF!=0,$M49=0)</formula>
    </cfRule>
  </conditionalFormatting>
  <conditionalFormatting sqref="H54:AD62">
    <cfRule type="expression" dxfId="1949" priority="4">
      <formula>IF(OR($G$8="N",$G$8="Non"),TRUE,FALSE)</formula>
    </cfRule>
  </conditionalFormatting>
  <conditionalFormatting sqref="BO372 BQ372">
    <cfRule type="cellIs" dxfId="1948" priority="2" operator="equal">
      <formula>1</formula>
    </cfRule>
  </conditionalFormatting>
  <conditionalFormatting sqref="BP372">
    <cfRule type="cellIs" dxfId="1947" priority="1" operator="equal">
      <formula>1</formula>
    </cfRule>
  </conditionalFormatting>
  <conditionalFormatting sqref="BN372">
    <cfRule type="expression" dxfId="1946" priority="3">
      <formula>AND($L355=0,$M355=0)</formula>
    </cfRule>
  </conditionalFormatting>
  <dataValidations count="2">
    <dataValidation type="list" errorStyle="warning" allowBlank="1" showInputMessage="1" showErrorMessage="1" error="Saisie du pôe obligatoire" sqref="S5:W5" xr:uid="{78B40EFA-E909-4B1A-A8BC-6996C32C71CB}">
      <formula1>$AK$54:$AK$58</formula1>
    </dataValidation>
    <dataValidation type="list" errorStyle="warning" allowBlank="1" showInputMessage="1" showErrorMessage="1" error="Choisir un site sélectionnable" sqref="S7:W7" xr:uid="{AAB80A9C-7AF1-479F-9A15-75D5F14D92B6}">
      <formula1>$AJ$34:$AJ$42</formula1>
    </dataValidation>
  </dataValidations>
  <hyperlinks>
    <hyperlink ref="BG31:BK31" r:id="rId1" display="Pour 228 jours : décret n°2000-815" xr:uid="{00000000-0004-0000-0100-000000000000}"/>
  </hyperlinks>
  <printOptions horizontalCentered="1"/>
  <pageMargins left="0.78740157480314965" right="0.78740157480314965" top="0.55118110236220474" bottom="0.34" header="0.51181102362204722" footer="0.28000000000000003"/>
  <pageSetup paperSize="9" scale="56" orientation="landscape" verticalDpi="4294967293" r:id="rId2"/>
  <headerFooter alignWithMargins="0"/>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F84C0-23C9-4DFA-AFD3-DFD488DE9A18}">
  <sheetPr codeName="Feuil8"/>
  <dimension ref="A1:CD512"/>
  <sheetViews>
    <sheetView workbookViewId="0">
      <selection sqref="A1:AJ1"/>
    </sheetView>
  </sheetViews>
  <sheetFormatPr baseColWidth="10" defaultRowHeight="15" x14ac:dyDescent="0.25"/>
  <cols>
    <col min="1" max="1" width="2.7109375" style="63" customWidth="1"/>
    <col min="2" max="2" width="6.7109375" style="63" customWidth="1"/>
    <col min="3" max="3" width="3.7109375" style="63" customWidth="1"/>
    <col min="4" max="4" width="2.7109375" style="63" customWidth="1"/>
    <col min="5" max="5" width="6.7109375" style="76" customWidth="1"/>
    <col min="6" max="6" width="3.7109375" style="63" customWidth="1"/>
    <col min="7" max="7" width="2.7109375" style="63" customWidth="1"/>
    <col min="8" max="8" width="7.42578125" style="63" customWidth="1"/>
    <col min="9" max="9" width="3.7109375" style="76" customWidth="1"/>
    <col min="10" max="10" width="2.7109375" style="76" customWidth="1"/>
    <col min="11" max="11" width="6.7109375" style="63" customWidth="1"/>
    <col min="12" max="12" width="3.7109375" style="63" customWidth="1"/>
    <col min="13" max="13" width="2.7109375" style="63" customWidth="1"/>
    <col min="14" max="14" width="6.7109375" style="76" customWidth="1"/>
    <col min="15" max="15" width="3.7109375" style="63" customWidth="1"/>
    <col min="16" max="16" width="2.7109375" style="63" customWidth="1"/>
    <col min="17" max="17" width="6.7109375" style="63" customWidth="1"/>
    <col min="18" max="18" width="3.7109375" style="76" customWidth="1"/>
    <col min="19" max="19" width="2.7109375" style="76" customWidth="1"/>
    <col min="20" max="20" width="6.7109375" style="63" customWidth="1"/>
    <col min="21" max="21" width="3.7109375" style="63" customWidth="1"/>
    <col min="22" max="22" width="2.7109375" style="63" customWidth="1"/>
    <col min="23" max="23" width="7.28515625" style="76" customWidth="1"/>
    <col min="24" max="24" width="4.7109375" style="63" customWidth="1"/>
    <col min="25" max="25" width="2.7109375" style="63" customWidth="1"/>
    <col min="26" max="26" width="8" style="63" customWidth="1"/>
    <col min="27" max="27" width="3.7109375" style="76" customWidth="1"/>
    <col min="28" max="28" width="2.7109375" style="76" customWidth="1"/>
    <col min="29" max="29" width="6.7109375" style="63" customWidth="1"/>
    <col min="30" max="30" width="3.7109375" style="63" customWidth="1"/>
    <col min="31" max="31" width="2.7109375" style="63" customWidth="1"/>
    <col min="32" max="32" width="6.7109375" style="76" customWidth="1"/>
    <col min="33" max="33" width="3.7109375" style="63" customWidth="1"/>
    <col min="34" max="34" width="2.7109375" style="63" customWidth="1"/>
    <col min="35" max="35" width="6.7109375" style="63" customWidth="1"/>
    <col min="36" max="36" width="3.7109375" style="76" customWidth="1"/>
    <col min="37" max="38" width="10.85546875" style="76" customWidth="1"/>
    <col min="39" max="43" width="10.7109375" style="75" customWidth="1"/>
    <col min="44" max="44" width="11.42578125" style="63" customWidth="1"/>
    <col min="45" max="45" width="18.28515625" style="63" customWidth="1"/>
    <col min="46" max="46" width="11.5703125" style="63" customWidth="1"/>
    <col min="47" max="48" width="11.42578125" style="63" customWidth="1"/>
    <col min="49" max="49" width="11.5703125" style="63" customWidth="1"/>
    <col min="50" max="50" width="12.42578125" style="63" customWidth="1"/>
    <col min="51" max="61" width="11.42578125" style="63" customWidth="1"/>
    <col min="62" max="62" width="14.7109375" style="63" customWidth="1"/>
    <col min="63" max="64" width="11.42578125" style="63" customWidth="1"/>
    <col min="65" max="65" width="11.42578125" style="355" customWidth="1"/>
    <col min="66" max="66" width="11.85546875" style="355" customWidth="1"/>
    <col min="67" max="67" width="11.42578125" style="355" customWidth="1"/>
    <col min="68" max="69" width="12.5703125" style="355" customWidth="1"/>
    <col min="70" max="70" width="11.42578125" style="355" customWidth="1"/>
    <col min="71" max="71" width="12.42578125" customWidth="1"/>
    <col min="72" max="78" width="11.42578125" customWidth="1"/>
    <col min="79" max="79" width="27" customWidth="1"/>
    <col min="80" max="80" width="28.7109375" customWidth="1"/>
    <col min="81" max="82" width="11.42578125" customWidth="1"/>
    <col min="83" max="16384" width="11.42578125" style="63"/>
  </cols>
  <sheetData>
    <row r="1" spans="1:82" s="70" customFormat="1" ht="24" customHeight="1" x14ac:dyDescent="0.35">
      <c r="A1" s="598" t="s">
        <v>119</v>
      </c>
      <c r="B1" s="599"/>
      <c r="C1" s="599"/>
      <c r="D1" s="599"/>
      <c r="E1" s="599"/>
      <c r="F1" s="599"/>
      <c r="G1" s="599"/>
      <c r="H1" s="599"/>
      <c r="I1" s="599"/>
      <c r="J1" s="599"/>
      <c r="K1" s="599"/>
      <c r="L1" s="599"/>
      <c r="M1" s="599"/>
      <c r="N1" s="599"/>
      <c r="O1" s="599"/>
      <c r="P1" s="599"/>
      <c r="Q1" s="599"/>
      <c r="R1" s="599"/>
      <c r="S1" s="599"/>
      <c r="T1" s="599"/>
      <c r="U1" s="599"/>
      <c r="V1" s="599"/>
      <c r="W1" s="599"/>
      <c r="X1" s="599"/>
      <c r="Y1" s="599"/>
      <c r="Z1" s="599"/>
      <c r="AA1" s="599"/>
      <c r="AB1" s="599"/>
      <c r="AC1" s="599"/>
      <c r="AD1" s="599"/>
      <c r="AE1" s="599"/>
      <c r="AF1" s="599"/>
      <c r="AG1" s="599"/>
      <c r="AH1" s="599"/>
      <c r="AI1" s="599"/>
      <c r="AJ1" s="600"/>
      <c r="AK1" s="68"/>
      <c r="AL1" s="68"/>
      <c r="AM1" s="69"/>
      <c r="AN1" s="69"/>
      <c r="AO1" s="69"/>
      <c r="AP1" s="69"/>
      <c r="AQ1" s="69"/>
      <c r="BM1" s="355"/>
      <c r="BN1" s="355"/>
      <c r="BO1" s="355"/>
      <c r="BP1" s="355"/>
      <c r="BQ1" s="355"/>
      <c r="BR1" s="355"/>
      <c r="BS1"/>
      <c r="BT1"/>
      <c r="BU1"/>
      <c r="BV1"/>
      <c r="BW1"/>
      <c r="BX1"/>
      <c r="BY1" s="520" t="s">
        <v>278</v>
      </c>
      <c r="BZ1" s="520"/>
      <c r="CA1"/>
      <c r="CB1"/>
      <c r="CC1"/>
      <c r="CD1"/>
    </row>
    <row r="2" spans="1:82" s="168" customFormat="1" ht="24" customHeight="1" x14ac:dyDescent="0.25">
      <c r="A2" s="166"/>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624" t="s">
        <v>301</v>
      </c>
      <c r="AI2" s="624"/>
      <c r="AJ2" s="624"/>
      <c r="AK2" s="166"/>
      <c r="AL2" s="166"/>
      <c r="AM2" s="167"/>
      <c r="AN2" s="167"/>
      <c r="AO2" s="167"/>
      <c r="AP2" s="167"/>
      <c r="AQ2" s="167"/>
      <c r="BJ2" s="169">
        <v>1.4583333333333333</v>
      </c>
      <c r="BM2" s="355"/>
      <c r="BN2" s="355" t="s">
        <v>250</v>
      </c>
      <c r="BO2" s="355" t="s">
        <v>251</v>
      </c>
      <c r="BP2" s="355" t="s">
        <v>252</v>
      </c>
      <c r="BQ2" s="355" t="s">
        <v>253</v>
      </c>
      <c r="BR2" s="240" t="s">
        <v>118</v>
      </c>
      <c r="BS2" s="520" t="s">
        <v>254</v>
      </c>
      <c r="BT2" s="520"/>
      <c r="BU2" s="355" t="s">
        <v>255</v>
      </c>
      <c r="BV2" s="355"/>
      <c r="BW2" s="355"/>
      <c r="BX2" s="355"/>
      <c r="BY2" s="355" t="s">
        <v>176</v>
      </c>
      <c r="BZ2" s="355" t="s">
        <v>279</v>
      </c>
      <c r="CA2"/>
      <c r="CB2"/>
      <c r="CC2"/>
      <c r="CD2"/>
    </row>
    <row r="3" spans="1:82" s="171" customFormat="1" ht="15.95" customHeight="1" x14ac:dyDescent="0.25">
      <c r="A3" s="165"/>
      <c r="B3" s="165"/>
      <c r="C3" s="165"/>
      <c r="D3" s="165"/>
      <c r="E3" s="165"/>
      <c r="F3" s="165"/>
      <c r="G3" s="165"/>
      <c r="H3" s="165"/>
      <c r="I3" s="165"/>
      <c r="J3" s="165"/>
      <c r="K3" s="165"/>
      <c r="L3" s="165"/>
      <c r="M3" s="165"/>
      <c r="N3" s="165"/>
      <c r="O3" s="165"/>
      <c r="P3" s="165"/>
      <c r="Q3" s="165"/>
      <c r="R3" s="165"/>
      <c r="S3" s="165"/>
      <c r="U3" s="165"/>
      <c r="V3" s="165"/>
      <c r="W3" s="165"/>
      <c r="X3" s="165"/>
      <c r="Y3" s="165"/>
      <c r="Z3" s="165"/>
      <c r="AA3" s="165"/>
      <c r="AB3" s="165"/>
      <c r="AC3" s="165"/>
      <c r="AD3" s="165"/>
      <c r="AE3" s="165"/>
      <c r="AF3" s="165"/>
      <c r="AG3" s="165"/>
      <c r="AH3" s="165"/>
      <c r="AI3" s="165"/>
      <c r="AJ3" s="165"/>
      <c r="AK3" s="165"/>
      <c r="AL3" s="165"/>
      <c r="AM3" s="170"/>
      <c r="AN3" s="170"/>
      <c r="AO3" s="170"/>
      <c r="AP3" s="170"/>
      <c r="AQ3" s="170"/>
      <c r="BJ3" s="172">
        <v>0.29166666666666669</v>
      </c>
      <c r="BM3" s="240" t="s">
        <v>102</v>
      </c>
      <c r="BN3" s="240">
        <f>COUNTA(BN4:BN374)</f>
        <v>366</v>
      </c>
      <c r="BO3" s="240">
        <f>SUM(BO4:BO374)</f>
        <v>104</v>
      </c>
      <c r="BP3" s="240">
        <f>SUM(BP4:BP374)</f>
        <v>7</v>
      </c>
      <c r="BQ3" s="241">
        <f>SUM(BQ4:BQ374)</f>
        <v>0</v>
      </c>
      <c r="BR3" s="240">
        <f>BN3-BP3-BO3</f>
        <v>255</v>
      </c>
      <c r="BS3" s="241">
        <f>SUM(BS4:BS374)</f>
        <v>25.069404333333395</v>
      </c>
      <c r="BT3" s="241">
        <f>SUM(BT4:BT374)</f>
        <v>0</v>
      </c>
      <c r="BU3"/>
      <c r="BV3" s="241">
        <f>SUM(BV4:BV374)</f>
        <v>0</v>
      </c>
      <c r="BW3" s="241">
        <f>SUM(BW4:BW374)</f>
        <v>0</v>
      </c>
      <c r="BX3" s="355"/>
      <c r="BY3" s="274">
        <f>COUNTIF('T1'!B6:B156,"css")+COUNTIF('T2'!B6:B156,"css")+COUNTIF('T3'!B6:B168,"css")+COUNTIF('T4'!B6:B156,"css")</f>
        <v>0</v>
      </c>
      <c r="BZ3" s="274">
        <f>COUNTIF('T1'!C6:C156,"css")+COUNTIF('T2'!C6:C156,"css")+COUNTIF('T3'!C6:C168,"css")+COUNTIF('T4'!C6:C156,"css")</f>
        <v>0</v>
      </c>
      <c r="CA3"/>
      <c r="CB3"/>
      <c r="CC3"/>
      <c r="CD3"/>
    </row>
    <row r="4" spans="1:82" s="171" customFormat="1" ht="15.95" customHeight="1" x14ac:dyDescent="0.25">
      <c r="A4" s="165"/>
      <c r="B4" s="165"/>
      <c r="C4" s="165"/>
      <c r="D4" s="165"/>
      <c r="E4" s="165"/>
      <c r="F4" s="165"/>
      <c r="G4" s="165"/>
      <c r="H4" s="165"/>
      <c r="I4" s="165"/>
      <c r="J4" s="165"/>
      <c r="K4" s="165"/>
      <c r="L4" s="165"/>
      <c r="M4" s="165"/>
      <c r="N4" s="165"/>
      <c r="O4" s="165"/>
      <c r="P4" s="165"/>
      <c r="Q4" s="165"/>
      <c r="R4" s="165"/>
      <c r="S4" s="165"/>
      <c r="T4" s="165"/>
      <c r="U4" s="165"/>
      <c r="V4" s="165"/>
      <c r="W4" s="165"/>
      <c r="X4" s="165"/>
      <c r="Y4" s="165"/>
      <c r="Z4" s="165"/>
      <c r="AA4" s="165"/>
      <c r="AB4" s="165"/>
      <c r="AC4" s="165"/>
      <c r="AD4" s="165"/>
      <c r="AE4" s="165"/>
      <c r="AF4" s="165"/>
      <c r="AG4" s="165"/>
      <c r="AH4" s="165"/>
      <c r="AI4" s="165"/>
      <c r="AJ4" s="165"/>
      <c r="AK4" s="165"/>
      <c r="AL4" s="165"/>
      <c r="AM4" s="170"/>
      <c r="AN4" s="170"/>
      <c r="AO4" s="170"/>
      <c r="AP4" s="170"/>
      <c r="AQ4" s="170"/>
      <c r="BM4" s="355">
        <v>1</v>
      </c>
      <c r="BN4" s="362">
        <f>DATE(annualisation!W2,9,1)</f>
        <v>42613</v>
      </c>
      <c r="BO4" s="355">
        <f t="shared" ref="BO4:BO67" si="0">IF(OR(WEEKDAY(BN4)=1,WEEKDAY(BN4)=7),1,0)</f>
        <v>0</v>
      </c>
      <c r="BP4" s="355">
        <f t="shared" ref="BP4:BP69" si="1">IF(BO4=1,0,COUNTIF(tab_ferie,BN4))</f>
        <v>0</v>
      </c>
      <c r="BQ4" s="355">
        <f>IF(AND(BN4&gt;=$AF$5,BN4&lt;=$AF$6),IF(BO4+BP4=0,1,0),0)</f>
        <v>0</v>
      </c>
      <c r="BR4" s="355">
        <f>1-BP4-BO4</f>
        <v>1</v>
      </c>
      <c r="BS4" s="243">
        <f>2.08333/(EOMONTH(BN4,0)-(EOMONTH(BN4,-1)))</f>
        <v>6.9444333333333344E-2</v>
      </c>
      <c r="BT4">
        <f>IF(AND(BN4&gt;=$AF$5,BN4&lt;=$AF$6),BS4,0)</f>
        <v>0</v>
      </c>
      <c r="BU4" t="str">
        <f>IF(OR(MONTH(BN4)&gt;=10,MONTH(BN4)&lt;=5),"ok","non")</f>
        <v>non</v>
      </c>
      <c r="BV4">
        <f t="shared" ref="BV4:BV13" si="2">IF(BU4="ok",$CC$29/(EOMONTH(BN4,0)-(EOMONTH(BN4,-1))),0)</f>
        <v>0</v>
      </c>
      <c r="BW4">
        <f>IF(AND(BN4&gt;=$AF$5,BN4&lt;=$AF$6),BV4,0)</f>
        <v>0</v>
      </c>
      <c r="BX4"/>
      <c r="BY4"/>
      <c r="BZ4"/>
      <c r="CA4"/>
      <c r="CB4"/>
      <c r="CC4"/>
      <c r="CD4"/>
    </row>
    <row r="5" spans="1:82" s="171" customFormat="1" ht="15.95" customHeight="1" x14ac:dyDescent="0.25">
      <c r="A5" s="173"/>
      <c r="B5" s="174" t="s">
        <v>110</v>
      </c>
      <c r="C5" s="685"/>
      <c r="D5" s="686"/>
      <c r="E5" s="686"/>
      <c r="F5" s="686"/>
      <c r="G5" s="687"/>
      <c r="H5" s="175"/>
      <c r="I5" s="175"/>
      <c r="J5" s="174" t="s">
        <v>108</v>
      </c>
      <c r="K5" s="685"/>
      <c r="L5" s="686"/>
      <c r="M5" s="686"/>
      <c r="N5" s="686"/>
      <c r="O5" s="687"/>
      <c r="Q5" s="176"/>
      <c r="R5" s="174" t="s">
        <v>83</v>
      </c>
      <c r="S5" s="685"/>
      <c r="T5" s="686"/>
      <c r="U5" s="686"/>
      <c r="V5" s="686"/>
      <c r="W5" s="687"/>
      <c r="X5" s="176"/>
      <c r="Y5" s="165"/>
      <c r="Z5" s="165"/>
      <c r="AA5" s="164"/>
      <c r="AB5" s="174"/>
      <c r="AE5" s="177" t="s">
        <v>203</v>
      </c>
      <c r="AF5" s="680">
        <f>Paramétrage!Y55</f>
        <v>42613</v>
      </c>
      <c r="AG5" s="681"/>
      <c r="AH5" s="681"/>
      <c r="AI5" s="681"/>
      <c r="AJ5" s="682"/>
      <c r="AK5" s="165"/>
      <c r="AL5" s="165"/>
      <c r="AM5" s="170"/>
      <c r="AN5" s="170"/>
      <c r="AO5" s="170"/>
      <c r="AP5" s="170"/>
      <c r="AQ5" s="170"/>
      <c r="BB5" s="174" t="s">
        <v>76</v>
      </c>
      <c r="BC5" s="692">
        <f>IF(MONTH(AF5)&gt;8,YEAR(AF5),YEAR(AF5)-1)</f>
        <v>2020</v>
      </c>
      <c r="BD5" s="693"/>
      <c r="BE5" s="694"/>
      <c r="BF5" s="165" t="s">
        <v>77</v>
      </c>
      <c r="BG5" s="537">
        <f>BC5+1</f>
        <v>2021</v>
      </c>
      <c r="BH5" s="537"/>
      <c r="BI5" s="537"/>
      <c r="BM5" s="355">
        <v>2</v>
      </c>
      <c r="BN5" s="362">
        <f>BN4+1</f>
        <v>42614</v>
      </c>
      <c r="BO5" s="355">
        <f t="shared" si="0"/>
        <v>0</v>
      </c>
      <c r="BP5" s="355">
        <f t="shared" si="1"/>
        <v>0</v>
      </c>
      <c r="BQ5" s="355">
        <f t="shared" ref="BQ5:BQ70" si="3">IF(AND(BN5&gt;=$AF$5,BN5&lt;=$AF$6),IF(BO5+BP5=0,1,0),0)</f>
        <v>0</v>
      </c>
      <c r="BR5" s="355">
        <f>BR4+1-BP5-BO5</f>
        <v>2</v>
      </c>
      <c r="BS5" s="243">
        <f t="shared" ref="BS5:BS70" si="4">2.08333/(EOMONTH(BN5,0)-(EOMONTH(BN5,-1)))</f>
        <v>6.9444333333333344E-2</v>
      </c>
      <c r="BT5">
        <f t="shared" ref="BT5:BT70" si="5">IF(AND(BN5&gt;=$AF$5,BN5&lt;=$AF$6),BS5,0)</f>
        <v>0</v>
      </c>
      <c r="BU5" t="str">
        <f t="shared" ref="BU5:BU70" si="6">IF(OR(MONTH(BN5)&gt;=10,MONTH(BN5)&lt;=5),"ok","non")</f>
        <v>non</v>
      </c>
      <c r="BV5">
        <f t="shared" si="2"/>
        <v>0</v>
      </c>
      <c r="BW5">
        <f t="shared" ref="BW5:BW70" si="7">IF(AND(BN5&gt;=$AF$5,BN5&lt;=$AF$6),BV5,0)</f>
        <v>0</v>
      </c>
      <c r="BX5"/>
      <c r="BY5"/>
      <c r="BZ5"/>
      <c r="CA5"/>
      <c r="CB5"/>
      <c r="CC5"/>
      <c r="CD5"/>
    </row>
    <row r="6" spans="1:82" s="171" customFormat="1" ht="15.95" customHeight="1" x14ac:dyDescent="0.25">
      <c r="A6" s="173"/>
      <c r="B6" s="165"/>
      <c r="C6" s="173"/>
      <c r="E6" s="164"/>
      <c r="F6" s="174"/>
      <c r="G6" s="165"/>
      <c r="H6" s="165"/>
      <c r="I6" s="165"/>
      <c r="J6" s="165"/>
      <c r="K6" s="165"/>
      <c r="L6" s="165"/>
      <c r="M6" s="165"/>
      <c r="N6" s="165"/>
      <c r="O6" s="165"/>
      <c r="Q6" s="176"/>
      <c r="R6" s="174"/>
      <c r="S6" s="165"/>
      <c r="T6" s="165"/>
      <c r="U6" s="165"/>
      <c r="V6" s="165"/>
      <c r="W6" s="165"/>
      <c r="X6" s="176"/>
      <c r="Y6" s="165"/>
      <c r="Z6" s="165"/>
      <c r="AA6" s="165"/>
      <c r="AB6" s="165"/>
      <c r="AC6" s="174"/>
      <c r="AE6" s="177" t="s">
        <v>204</v>
      </c>
      <c r="AF6" s="680">
        <f>Paramétrage!Y56</f>
        <v>0</v>
      </c>
      <c r="AG6" s="681"/>
      <c r="AH6" s="681"/>
      <c r="AI6" s="681"/>
      <c r="AJ6" s="682"/>
      <c r="AK6" s="165"/>
      <c r="AL6" s="165"/>
      <c r="AM6" s="170"/>
      <c r="AN6" s="170"/>
      <c r="AO6" s="170"/>
      <c r="AP6" s="170"/>
      <c r="AQ6" s="170"/>
      <c r="BM6" s="355">
        <v>3</v>
      </c>
      <c r="BN6" s="362">
        <f t="shared" ref="BN6:BN69" si="8">BN5+1</f>
        <v>42615</v>
      </c>
      <c r="BO6" s="355">
        <f t="shared" si="0"/>
        <v>0</v>
      </c>
      <c r="BP6" s="355">
        <f t="shared" si="1"/>
        <v>0</v>
      </c>
      <c r="BQ6" s="355">
        <f t="shared" si="3"/>
        <v>0</v>
      </c>
      <c r="BR6" s="355">
        <f t="shared" ref="BR6:BR69" si="9">BR5+1-BP6-BO6</f>
        <v>3</v>
      </c>
      <c r="BS6" s="243">
        <f t="shared" si="4"/>
        <v>6.9444333333333344E-2</v>
      </c>
      <c r="BT6">
        <f t="shared" si="5"/>
        <v>0</v>
      </c>
      <c r="BU6" t="str">
        <f t="shared" si="6"/>
        <v>non</v>
      </c>
      <c r="BV6">
        <f t="shared" si="2"/>
        <v>0</v>
      </c>
      <c r="BW6">
        <f t="shared" si="7"/>
        <v>0</v>
      </c>
      <c r="BX6"/>
      <c r="BY6"/>
      <c r="BZ6"/>
      <c r="CA6"/>
      <c r="CB6"/>
      <c r="CC6"/>
      <c r="CD6"/>
    </row>
    <row r="7" spans="1:82" s="171" customFormat="1" ht="15.95" customHeight="1" x14ac:dyDescent="0.25">
      <c r="A7" s="165"/>
      <c r="B7" s="165"/>
      <c r="C7" s="173"/>
      <c r="E7" s="164"/>
      <c r="F7" s="174" t="s">
        <v>86</v>
      </c>
      <c r="G7" s="683">
        <f>Paramétrage!O56</f>
        <v>0</v>
      </c>
      <c r="H7" s="684"/>
      <c r="I7" s="165"/>
      <c r="J7" s="165"/>
      <c r="K7" s="165"/>
      <c r="L7" s="174" t="s">
        <v>87</v>
      </c>
      <c r="M7" s="628" t="str">
        <f>ROUND(151.67/(35/24)*G7,2)&amp;" h"</f>
        <v>0 h</v>
      </c>
      <c r="N7" s="629"/>
      <c r="O7" s="165"/>
      <c r="Q7" s="176"/>
      <c r="R7" s="174" t="s">
        <v>88</v>
      </c>
      <c r="S7" s="685"/>
      <c r="T7" s="686"/>
      <c r="U7" s="686"/>
      <c r="V7" s="686"/>
      <c r="W7" s="687"/>
      <c r="X7" s="176"/>
      <c r="Y7" s="165"/>
      <c r="AA7" s="164"/>
      <c r="AB7" s="164"/>
      <c r="AF7" s="164"/>
      <c r="AG7" s="78"/>
      <c r="AI7" s="267"/>
      <c r="AJ7" s="267"/>
      <c r="AK7" s="164"/>
      <c r="AL7" s="164"/>
      <c r="AM7" s="170"/>
      <c r="AN7" s="170"/>
      <c r="AO7" s="178" t="str">
        <f>S22</f>
        <v>Eté</v>
      </c>
      <c r="AP7" s="178" t="str">
        <f>S18</f>
        <v>Toussaint</v>
      </c>
      <c r="AQ7" s="178" t="str">
        <f>S19</f>
        <v>Noël</v>
      </c>
      <c r="AS7" s="179" t="s">
        <v>159</v>
      </c>
      <c r="BM7" s="355">
        <v>4</v>
      </c>
      <c r="BN7" s="362">
        <f t="shared" si="8"/>
        <v>42616</v>
      </c>
      <c r="BO7" s="355">
        <f t="shared" si="0"/>
        <v>0</v>
      </c>
      <c r="BP7" s="355">
        <f t="shared" si="1"/>
        <v>0</v>
      </c>
      <c r="BQ7" s="355">
        <f t="shared" si="3"/>
        <v>0</v>
      </c>
      <c r="BR7" s="355">
        <f t="shared" si="9"/>
        <v>4</v>
      </c>
      <c r="BS7" s="243">
        <f t="shared" si="4"/>
        <v>6.9444333333333344E-2</v>
      </c>
      <c r="BT7">
        <f t="shared" si="5"/>
        <v>0</v>
      </c>
      <c r="BU7" t="str">
        <f t="shared" si="6"/>
        <v>non</v>
      </c>
      <c r="BV7">
        <f t="shared" si="2"/>
        <v>0</v>
      </c>
      <c r="BW7">
        <f t="shared" si="7"/>
        <v>0</v>
      </c>
      <c r="BX7"/>
      <c r="BY7"/>
      <c r="BZ7"/>
      <c r="CA7"/>
      <c r="CB7"/>
      <c r="CC7"/>
      <c r="CD7"/>
    </row>
    <row r="8" spans="1:82" s="171" customFormat="1" ht="15.95" customHeight="1" thickBot="1" x14ac:dyDescent="0.3">
      <c r="A8" s="165"/>
      <c r="B8" s="173"/>
      <c r="C8" s="174"/>
      <c r="D8" s="165"/>
      <c r="E8" s="165"/>
      <c r="F8" s="165"/>
      <c r="G8" s="165"/>
      <c r="H8" s="180"/>
      <c r="I8" s="165"/>
      <c r="J8" s="165"/>
      <c r="K8" s="165"/>
      <c r="L8" s="165"/>
      <c r="M8" s="165"/>
      <c r="N8" s="165"/>
      <c r="O8" s="165"/>
      <c r="P8" s="174"/>
      <c r="Q8" s="165"/>
      <c r="R8" s="165"/>
      <c r="S8" s="165"/>
      <c r="T8" s="165"/>
      <c r="U8" s="165"/>
      <c r="V8" s="165"/>
      <c r="W8" s="165"/>
      <c r="X8" s="545" t="str">
        <f>IF(BN371&lt;&gt;AF6,"Attention : mettre les CP et JC en réel pour connaître le TTE à effectuer","Tous les congés"&amp;CHAR(10)&amp;" doivent être pris sur la période")</f>
        <v>Attention : mettre les CP et JC en réel pour connaître le TTE à effectuer</v>
      </c>
      <c r="Y8" s="545"/>
      <c r="Z8" s="545"/>
      <c r="AA8" s="545"/>
      <c r="AB8" s="545"/>
      <c r="AC8" s="545"/>
      <c r="AD8" s="545"/>
      <c r="AE8" s="546"/>
      <c r="AF8" s="688" t="s">
        <v>273</v>
      </c>
      <c r="AG8" s="689"/>
      <c r="AH8" s="688" t="s">
        <v>272</v>
      </c>
      <c r="AI8" s="689"/>
      <c r="AK8" s="528" t="s">
        <v>270</v>
      </c>
      <c r="AL8" s="528" t="s">
        <v>271</v>
      </c>
      <c r="AM8" s="181">
        <f>X20</f>
        <v>41693</v>
      </c>
      <c r="AN8" s="181">
        <f>X21</f>
        <v>41749</v>
      </c>
      <c r="AO8" s="181">
        <f>X22</f>
        <v>41826</v>
      </c>
      <c r="AP8" s="181">
        <f>X18</f>
        <v>41567</v>
      </c>
      <c r="AQ8" s="181">
        <f>X19</f>
        <v>41630</v>
      </c>
      <c r="AU8" s="358" t="s">
        <v>165</v>
      </c>
      <c r="BM8" s="355">
        <v>5</v>
      </c>
      <c r="BN8" s="362">
        <f t="shared" si="8"/>
        <v>42617</v>
      </c>
      <c r="BO8" s="355">
        <f t="shared" si="0"/>
        <v>1</v>
      </c>
      <c r="BP8" s="355">
        <f t="shared" si="1"/>
        <v>0</v>
      </c>
      <c r="BQ8" s="355">
        <f t="shared" si="3"/>
        <v>0</v>
      </c>
      <c r="BR8" s="355">
        <f t="shared" si="9"/>
        <v>4</v>
      </c>
      <c r="BS8" s="243">
        <f t="shared" si="4"/>
        <v>6.9444333333333344E-2</v>
      </c>
      <c r="BT8">
        <f t="shared" si="5"/>
        <v>0</v>
      </c>
      <c r="BU8" t="str">
        <f t="shared" si="6"/>
        <v>non</v>
      </c>
      <c r="BV8">
        <f t="shared" si="2"/>
        <v>0</v>
      </c>
      <c r="BW8">
        <f t="shared" si="7"/>
        <v>0</v>
      </c>
      <c r="BX8"/>
      <c r="BY8"/>
      <c r="BZ8"/>
      <c r="CA8"/>
      <c r="CB8"/>
      <c r="CC8"/>
      <c r="CD8"/>
    </row>
    <row r="9" spans="1:82" s="171" customFormat="1" ht="15.75" customHeight="1" thickTop="1" thickBot="1" x14ac:dyDescent="0.3">
      <c r="A9" s="695"/>
      <c r="B9" s="695"/>
      <c r="C9" s="695"/>
      <c r="D9" s="695"/>
      <c r="E9" s="696"/>
      <c r="F9" s="697" t="s">
        <v>93</v>
      </c>
      <c r="G9" s="698"/>
      <c r="H9" s="699"/>
      <c r="I9" s="618" t="s">
        <v>94</v>
      </c>
      <c r="J9" s="619"/>
      <c r="K9" s="620"/>
      <c r="M9" s="164"/>
      <c r="N9" s="164"/>
      <c r="R9" s="164"/>
      <c r="S9" s="164"/>
      <c r="W9" s="164"/>
      <c r="X9" s="547"/>
      <c r="Y9" s="547"/>
      <c r="Z9" s="547"/>
      <c r="AA9" s="547"/>
      <c r="AB9" s="547"/>
      <c r="AC9" s="547"/>
      <c r="AD9" s="547"/>
      <c r="AE9" s="548"/>
      <c r="AF9" s="690"/>
      <c r="AG9" s="691"/>
      <c r="AH9" s="690"/>
      <c r="AI9" s="691"/>
      <c r="AK9" s="528"/>
      <c r="AL9" s="528"/>
      <c r="AM9" s="181">
        <f>IF(AM8="","",IF(AM8=$AD$20,"",AM8+1))</f>
        <v>41694</v>
      </c>
      <c r="AN9" s="181">
        <f>IF(AN8="","",IF(AN8=$AD$21,"",AN8+1))</f>
        <v>41750</v>
      </c>
      <c r="AO9" s="181">
        <f>IF(AO8="","",IF(AO8=$AD$22,"",AO8+1))</f>
        <v>41827</v>
      </c>
      <c r="AP9" s="181">
        <f>IF(AP8="","",IF(AP8=$AD$18,"",AP8+1))</f>
        <v>41568</v>
      </c>
      <c r="AQ9" s="181">
        <f>IF(AQ8="","",IF(AQ8=$AD$19,"",AQ8+1))</f>
        <v>41631</v>
      </c>
      <c r="AU9" s="183" t="str">
        <f>"Nb jours pris entre le "&amp;AT10&amp;" et le "&amp;AT11&amp;" :"</f>
        <v>Nb jours pris entre le 42613 et le 42673 :</v>
      </c>
      <c r="AV9" s="184">
        <f>SUM('T1'!AD6:AD156)+SUM('T2'!AD6:AD156)+SUM('T3'!AD6:AD168)+SUM('T4'!AD6:AD156)</f>
        <v>0</v>
      </c>
      <c r="AX9" s="183" t="str">
        <f>"Nb jours pris entre le "&amp;AW10&amp;" et le "&amp;AW11&amp;" :"</f>
        <v>Nb jours pris entre le 42855 et le 42977 :</v>
      </c>
      <c r="AY9" s="171">
        <f>SUM('T1'!AF6:AF156)+SUM('T2'!AF6:AF156)+SUM('T3'!AF6:AF168)+SUM('T4'!AF6:AF156)</f>
        <v>0</v>
      </c>
      <c r="BM9" s="355">
        <v>6</v>
      </c>
      <c r="BN9" s="362">
        <f t="shared" si="8"/>
        <v>42618</v>
      </c>
      <c r="BO9" s="355">
        <f t="shared" si="0"/>
        <v>1</v>
      </c>
      <c r="BP9" s="355">
        <f t="shared" si="1"/>
        <v>0</v>
      </c>
      <c r="BQ9" s="355">
        <f t="shared" si="3"/>
        <v>0</v>
      </c>
      <c r="BR9" s="355">
        <f t="shared" si="9"/>
        <v>4</v>
      </c>
      <c r="BS9" s="243">
        <f t="shared" si="4"/>
        <v>6.9444333333333344E-2</v>
      </c>
      <c r="BT9">
        <f t="shared" si="5"/>
        <v>0</v>
      </c>
      <c r="BU9" t="str">
        <f t="shared" si="6"/>
        <v>non</v>
      </c>
      <c r="BV9">
        <f t="shared" si="2"/>
        <v>0</v>
      </c>
      <c r="BW9">
        <f t="shared" si="7"/>
        <v>0</v>
      </c>
      <c r="BX9"/>
      <c r="BY9"/>
      <c r="BZ9"/>
      <c r="CA9"/>
      <c r="CB9"/>
      <c r="CC9"/>
      <c r="CD9"/>
    </row>
    <row r="10" spans="1:82" s="171" customFormat="1" ht="15.75" customHeight="1" thickTop="1" x14ac:dyDescent="0.25">
      <c r="A10" s="700" t="s">
        <v>96</v>
      </c>
      <c r="B10" s="701"/>
      <c r="C10" s="701"/>
      <c r="D10" s="701"/>
      <c r="E10" s="702"/>
      <c r="F10" s="703">
        <v>66.375</v>
      </c>
      <c r="G10" s="622"/>
      <c r="H10" s="646"/>
      <c r="I10" s="621">
        <f>IF(AND(AF5=BN4,AF6=BN371),F10/CC27*G7,IF(AF6=BN371,BJ35,BJ35+(AL10*BJ29/227)))</f>
        <v>0</v>
      </c>
      <c r="J10" s="622"/>
      <c r="K10" s="623"/>
      <c r="M10" s="164"/>
      <c r="N10" s="164"/>
      <c r="R10" s="174" t="s">
        <v>152</v>
      </c>
      <c r="S10" s="615">
        <v>1.3888888888888888E-2</v>
      </c>
      <c r="T10" s="616"/>
      <c r="U10" s="617"/>
      <c r="W10" s="164"/>
      <c r="X10" s="559" t="str">
        <f>IF(AND(AF5=BN4,AF6=BN371),"Nb prévisionnel de CP légaux :","Nombre de jours CP à prendre :")</f>
        <v>Nombre de jours CP à prendre :</v>
      </c>
      <c r="Y10" s="560"/>
      <c r="Z10" s="560"/>
      <c r="AA10" s="560"/>
      <c r="AB10" s="560"/>
      <c r="AC10" s="560"/>
      <c r="AD10" s="561">
        <f>BT3+AD14</f>
        <v>0</v>
      </c>
      <c r="AE10" s="562"/>
      <c r="AF10" s="535">
        <f>AD10</f>
        <v>0</v>
      </c>
      <c r="AG10" s="536"/>
      <c r="AH10" s="531">
        <f>IF(AL10&lt;=-1,"trop pris",IF(AL10&gt;0,AL10,0))</f>
        <v>0</v>
      </c>
      <c r="AI10" s="532"/>
      <c r="AK10" s="268">
        <f>IF(AF10&gt;AD10,AD10,AF10)</f>
        <v>0</v>
      </c>
      <c r="AL10" s="268">
        <f>IF(AD10-AF10&lt;0,0,AD10-AF10)</f>
        <v>0</v>
      </c>
      <c r="AM10" s="181">
        <f>IF(AM9="","",IF(AM9=$AD$20,"",AM9+1))</f>
        <v>41695</v>
      </c>
      <c r="AN10" s="181">
        <f>IF(AN9="","",IF(AN9=$AD$21,"",AN9+1))</f>
        <v>41751</v>
      </c>
      <c r="AO10" s="181">
        <f>IF(AO9="","",IF(AO9=$AD$22,"",AO9+1))</f>
        <v>41828</v>
      </c>
      <c r="AP10" s="181">
        <f>IF(AP9="","",IF(AP9=$AD$18,"",AP9+1))</f>
        <v>41569</v>
      </c>
      <c r="AQ10" s="181">
        <f>IF(AQ9="","",IF(AQ9=$AD$19,"",AQ9+1))</f>
        <v>41632</v>
      </c>
      <c r="AT10" s="185">
        <f>DATE(BC5,9,1)</f>
        <v>42613</v>
      </c>
      <c r="AU10" s="186">
        <f>AT10</f>
        <v>42613</v>
      </c>
      <c r="AW10" s="185">
        <f>DATE(BG5,5,1)</f>
        <v>42855</v>
      </c>
      <c r="AX10" s="186">
        <f>AW10</f>
        <v>42855</v>
      </c>
      <c r="BM10" s="355">
        <v>7</v>
      </c>
      <c r="BN10" s="362">
        <f t="shared" si="8"/>
        <v>42619</v>
      </c>
      <c r="BO10" s="355">
        <f t="shared" si="0"/>
        <v>0</v>
      </c>
      <c r="BP10" s="355">
        <f t="shared" si="1"/>
        <v>0</v>
      </c>
      <c r="BQ10" s="355">
        <f t="shared" si="3"/>
        <v>0</v>
      </c>
      <c r="BR10" s="355">
        <f t="shared" si="9"/>
        <v>5</v>
      </c>
      <c r="BS10" s="243">
        <f t="shared" si="4"/>
        <v>6.9444333333333344E-2</v>
      </c>
      <c r="BT10">
        <f t="shared" si="5"/>
        <v>0</v>
      </c>
      <c r="BU10" t="str">
        <f t="shared" si="6"/>
        <v>non</v>
      </c>
      <c r="BV10">
        <f t="shared" si="2"/>
        <v>0</v>
      </c>
      <c r="BW10">
        <f t="shared" si="7"/>
        <v>0</v>
      </c>
      <c r="BX10"/>
      <c r="BY10"/>
      <c r="BZ10"/>
      <c r="CA10"/>
      <c r="CB10"/>
      <c r="CC10"/>
      <c r="CD10"/>
    </row>
    <row r="11" spans="1:82" s="171" customFormat="1" ht="15.95" customHeight="1" x14ac:dyDescent="0.25">
      <c r="A11" s="704" t="s">
        <v>98</v>
      </c>
      <c r="B11" s="705"/>
      <c r="C11" s="705"/>
      <c r="D11" s="705"/>
      <c r="E11" s="706"/>
      <c r="F11" s="707"/>
      <c r="G11" s="494"/>
      <c r="H11" s="495"/>
      <c r="I11" s="651">
        <f>-AD12</f>
        <v>0</v>
      </c>
      <c r="J11" s="502"/>
      <c r="K11" s="652"/>
      <c r="N11" s="164"/>
      <c r="S11" s="647">
        <v>1.3877314814814815E-2</v>
      </c>
      <c r="T11" s="647"/>
      <c r="U11" s="647"/>
      <c r="W11" s="164"/>
      <c r="X11" s="559" t="str">
        <f>IF(AND(AF5=BN4,AF6=BN371),"Nb prév. de jours conv. :","Nombre de jours JC à prendre :")</f>
        <v>Nombre de jours JC à prendre :</v>
      </c>
      <c r="Y11" s="560"/>
      <c r="Z11" s="560"/>
      <c r="AA11" s="560"/>
      <c r="AB11" s="560"/>
      <c r="AC11" s="560"/>
      <c r="AD11" s="561">
        <f>BW3</f>
        <v>0</v>
      </c>
      <c r="AE11" s="562"/>
      <c r="AF11" s="535">
        <f>AD11</f>
        <v>0</v>
      </c>
      <c r="AG11" s="536"/>
      <c r="AH11" s="531">
        <f>IF(AL11&lt;=-1,"trop prisr",IF(AL11&gt;0,AL11,0))</f>
        <v>0</v>
      </c>
      <c r="AI11" s="532"/>
      <c r="AK11" s="268">
        <f>IF(AF11&gt;AD11,AD11,AF11)</f>
        <v>0</v>
      </c>
      <c r="AL11" s="268">
        <f>IF(AD11-AF11&lt;0,0,AD11-AF11)</f>
        <v>0</v>
      </c>
      <c r="AM11" s="181">
        <f>IF(AM10="","",IF(AM10=$AD$20,"",AM10+1))</f>
        <v>41696</v>
      </c>
      <c r="AN11" s="181">
        <f>IF(AN10="","",IF(AN10=$AD$21,"",AN10+1))</f>
        <v>41752</v>
      </c>
      <c r="AO11" s="181">
        <f>IF(AO10="","",IF(AO10=$AD$22,"",AO10+1))</f>
        <v>41829</v>
      </c>
      <c r="AP11" s="181">
        <f>IF(AP10="","",IF(AP10=$AD$18,"",AP10+1))</f>
        <v>41570</v>
      </c>
      <c r="AQ11" s="181">
        <f>IF(AQ10="","",IF(AQ10=$AD$19,"",AQ10+1))</f>
        <v>41633</v>
      </c>
      <c r="AT11" s="185">
        <f>DATE(BC5,10,31)</f>
        <v>42673</v>
      </c>
      <c r="AU11" s="186">
        <f>AT11</f>
        <v>42673</v>
      </c>
      <c r="AW11" s="185">
        <f>DATE(BG5,8,31)</f>
        <v>42977</v>
      </c>
      <c r="AX11" s="186">
        <f>AW11</f>
        <v>42977</v>
      </c>
      <c r="BB11" s="540" t="s">
        <v>95</v>
      </c>
      <c r="BC11" s="541"/>
      <c r="BD11" s="541"/>
      <c r="BE11" s="541"/>
      <c r="BF11" s="541"/>
      <c r="BG11" s="710">
        <f>IF(BG12&gt;BG15,BG15+1+12-BG12,BG15+1-BG12)</f>
        <v>5</v>
      </c>
      <c r="BH11" s="711"/>
      <c r="BM11" s="355">
        <v>8</v>
      </c>
      <c r="BN11" s="362">
        <f t="shared" si="8"/>
        <v>42620</v>
      </c>
      <c r="BO11" s="355">
        <f t="shared" si="0"/>
        <v>0</v>
      </c>
      <c r="BP11" s="355">
        <f t="shared" si="1"/>
        <v>0</v>
      </c>
      <c r="BQ11" s="355">
        <f t="shared" si="3"/>
        <v>0</v>
      </c>
      <c r="BR11" s="355">
        <f t="shared" si="9"/>
        <v>6</v>
      </c>
      <c r="BS11" s="243">
        <f t="shared" si="4"/>
        <v>6.9444333333333344E-2</v>
      </c>
      <c r="BT11">
        <f t="shared" si="5"/>
        <v>0</v>
      </c>
      <c r="BU11" t="str">
        <f t="shared" si="6"/>
        <v>non</v>
      </c>
      <c r="BV11">
        <f t="shared" si="2"/>
        <v>0</v>
      </c>
      <c r="BW11">
        <f t="shared" si="7"/>
        <v>0</v>
      </c>
      <c r="BX11"/>
      <c r="BY11"/>
      <c r="BZ11"/>
      <c r="CA11"/>
      <c r="CB11"/>
      <c r="CC11"/>
      <c r="CD11"/>
    </row>
    <row r="12" spans="1:82" s="171" customFormat="1" ht="15.95" customHeight="1" x14ac:dyDescent="0.25">
      <c r="A12" s="704" t="s">
        <v>100</v>
      </c>
      <c r="B12" s="705"/>
      <c r="C12" s="705"/>
      <c r="D12" s="705"/>
      <c r="E12" s="706"/>
      <c r="F12" s="712">
        <f>(0-2.33333333333333)</f>
        <v>-2.3333333333333299</v>
      </c>
      <c r="G12" s="502"/>
      <c r="H12" s="503"/>
      <c r="I12" s="589">
        <f>IF(AL14&lt;-56/24,-56/24,AL14)</f>
        <v>0</v>
      </c>
      <c r="J12" s="590"/>
      <c r="K12" s="591"/>
      <c r="N12" s="164"/>
      <c r="P12" s="187"/>
      <c r="Q12" s="187"/>
      <c r="R12" s="174" t="s">
        <v>153</v>
      </c>
      <c r="S12" s="610">
        <v>1.5</v>
      </c>
      <c r="T12" s="611"/>
      <c r="U12" s="612"/>
      <c r="W12" s="164"/>
      <c r="X12" s="522" t="s">
        <v>205</v>
      </c>
      <c r="Y12" s="523"/>
      <c r="Z12" s="523"/>
      <c r="AA12" s="523"/>
      <c r="AB12" s="523"/>
      <c r="AC12" s="523"/>
      <c r="AD12" s="578">
        <f>IF(AND(AF5=annualisation!B8,annualisation!AA62=Paramétrage!AF6),(AX21*7)/35*G7,0)</f>
        <v>0</v>
      </c>
      <c r="AE12" s="579"/>
      <c r="AF12" s="533"/>
      <c r="AG12" s="534"/>
      <c r="AH12" s="533"/>
      <c r="AI12" s="534"/>
      <c r="AM12" s="181">
        <f>IF(AM11="","",IF(AM11=$AD$20,"",AM11+1))</f>
        <v>41697</v>
      </c>
      <c r="AN12" s="181">
        <f>IF(AN11="","",IF(AN11=$AD$21,"",AN11+1))</f>
        <v>41753</v>
      </c>
      <c r="AO12" s="181">
        <f>IF(AO11="","",IF(AO11=$AD$22,"",AO11+1))</f>
        <v>41830</v>
      </c>
      <c r="AP12" s="181">
        <f>IF(AP11="","",IF(AP11=$AD$18,"",AP11+1))</f>
        <v>41571</v>
      </c>
      <c r="AQ12" s="181">
        <f>IF(AQ11="","",IF(AQ11=$AD$19,"",AQ11+1))</f>
        <v>41634</v>
      </c>
      <c r="AS12" s="188" t="s">
        <v>163</v>
      </c>
      <c r="BB12" s="538" t="s">
        <v>97</v>
      </c>
      <c r="BC12" s="719"/>
      <c r="BD12" s="719"/>
      <c r="BE12" s="719"/>
      <c r="BF12" s="719"/>
      <c r="BG12" s="708">
        <f>MONTH(AF5)</f>
        <v>9</v>
      </c>
      <c r="BH12" s="709"/>
      <c r="BM12" s="355">
        <v>9</v>
      </c>
      <c r="BN12" s="362">
        <f t="shared" si="8"/>
        <v>42621</v>
      </c>
      <c r="BO12" s="355">
        <f t="shared" si="0"/>
        <v>0</v>
      </c>
      <c r="BP12" s="355">
        <f t="shared" si="1"/>
        <v>0</v>
      </c>
      <c r="BQ12" s="355">
        <f t="shared" si="3"/>
        <v>0</v>
      </c>
      <c r="BR12" s="355">
        <f t="shared" si="9"/>
        <v>7</v>
      </c>
      <c r="BS12" s="243">
        <f t="shared" si="4"/>
        <v>6.9444333333333344E-2</v>
      </c>
      <c r="BT12">
        <f t="shared" si="5"/>
        <v>0</v>
      </c>
      <c r="BU12" t="str">
        <f t="shared" si="6"/>
        <v>non</v>
      </c>
      <c r="BV12">
        <f t="shared" si="2"/>
        <v>0</v>
      </c>
      <c r="BW12">
        <f t="shared" si="7"/>
        <v>0</v>
      </c>
      <c r="BX12"/>
      <c r="BY12"/>
      <c r="BZ12"/>
      <c r="CA12"/>
      <c r="CB12"/>
      <c r="CC12"/>
      <c r="CD12"/>
    </row>
    <row r="13" spans="1:82" s="171" customFormat="1" ht="15.95" customHeight="1" x14ac:dyDescent="0.25">
      <c r="A13" s="704" t="s">
        <v>281</v>
      </c>
      <c r="B13" s="705"/>
      <c r="C13" s="705"/>
      <c r="D13" s="705"/>
      <c r="E13" s="706"/>
      <c r="F13" s="707"/>
      <c r="G13" s="494"/>
      <c r="H13" s="495"/>
      <c r="I13" s="589" t="e">
        <f>-AD15*(BJ35/BJ34)</f>
        <v>#DIV/0!</v>
      </c>
      <c r="J13" s="590"/>
      <c r="K13" s="591"/>
      <c r="N13" s="164"/>
      <c r="P13" s="187"/>
      <c r="Q13" s="187"/>
      <c r="R13" s="174"/>
      <c r="S13" s="189"/>
      <c r="T13" s="189"/>
      <c r="U13" s="189"/>
      <c r="V13" s="189"/>
      <c r="W13" s="189"/>
      <c r="AA13" s="164"/>
      <c r="AB13" s="164"/>
      <c r="AF13" s="521"/>
      <c r="AG13" s="521"/>
      <c r="AH13" s="521"/>
      <c r="AI13" s="521"/>
      <c r="AM13" s="181"/>
      <c r="AN13" s="181"/>
      <c r="AO13" s="181"/>
      <c r="AP13" s="181"/>
      <c r="AQ13" s="181"/>
      <c r="AS13" s="188"/>
      <c r="BB13" s="356"/>
      <c r="BC13" s="357"/>
      <c r="BD13" s="357"/>
      <c r="BE13" s="357"/>
      <c r="BF13" s="357"/>
      <c r="BG13" s="360"/>
      <c r="BH13" s="361"/>
      <c r="BM13" s="355">
        <v>10</v>
      </c>
      <c r="BN13" s="362">
        <f t="shared" si="8"/>
        <v>42622</v>
      </c>
      <c r="BO13" s="355">
        <f t="shared" si="0"/>
        <v>0</v>
      </c>
      <c r="BP13" s="355">
        <f t="shared" si="1"/>
        <v>0</v>
      </c>
      <c r="BQ13" s="355">
        <f t="shared" si="3"/>
        <v>0</v>
      </c>
      <c r="BR13" s="355">
        <f t="shared" si="9"/>
        <v>8</v>
      </c>
      <c r="BS13" s="243">
        <f t="shared" si="4"/>
        <v>6.9444333333333344E-2</v>
      </c>
      <c r="BT13">
        <f t="shared" si="5"/>
        <v>0</v>
      </c>
      <c r="BU13" t="str">
        <f t="shared" si="6"/>
        <v>non</v>
      </c>
      <c r="BV13">
        <f t="shared" si="2"/>
        <v>0</v>
      </c>
      <c r="BW13">
        <f t="shared" si="7"/>
        <v>0</v>
      </c>
      <c r="BX13"/>
      <c r="BY13"/>
      <c r="BZ13"/>
      <c r="CA13"/>
      <c r="CB13"/>
      <c r="CC13"/>
      <c r="CD13"/>
    </row>
    <row r="14" spans="1:82" s="171" customFormat="1" ht="15.95" customHeight="1" thickBot="1" x14ac:dyDescent="0.3">
      <c r="A14" s="713" t="s">
        <v>102</v>
      </c>
      <c r="B14" s="714"/>
      <c r="C14" s="714"/>
      <c r="D14" s="714"/>
      <c r="E14" s="715"/>
      <c r="F14" s="716">
        <f>F10+F12</f>
        <v>64.041666666666671</v>
      </c>
      <c r="G14" s="500"/>
      <c r="H14" s="501"/>
      <c r="I14" s="507" t="e">
        <f>I10+I11+I12+I13</f>
        <v>#DIV/0!</v>
      </c>
      <c r="J14" s="500"/>
      <c r="K14" s="508"/>
      <c r="N14" s="164"/>
      <c r="O14" s="164"/>
      <c r="S14" s="164"/>
      <c r="T14" s="164"/>
      <c r="U14" s="164"/>
      <c r="V14" s="164"/>
      <c r="W14" s="189"/>
      <c r="X14" s="522" t="s">
        <v>283</v>
      </c>
      <c r="Y14" s="523"/>
      <c r="Z14" s="523"/>
      <c r="AA14" s="523"/>
      <c r="AB14" s="523"/>
      <c r="AC14" s="523"/>
      <c r="AD14" s="717"/>
      <c r="AE14" s="718"/>
      <c r="AK14" s="358" t="s">
        <v>289</v>
      </c>
      <c r="AL14" s="288">
        <f>IF(AND(AF5=BN4,AF6=BN371),F12/8*AD11,IF(BN371=AF6,-(AD11*CC26/227),-(AK11*CC26/227)))</f>
        <v>0</v>
      </c>
      <c r="AM14" s="181"/>
      <c r="AN14" s="181"/>
      <c r="AO14" s="181"/>
      <c r="AP14" s="181"/>
      <c r="AQ14" s="181"/>
      <c r="AS14" s="188"/>
      <c r="BB14" s="356"/>
      <c r="BC14" s="357"/>
      <c r="BD14" s="357"/>
      <c r="BE14" s="357"/>
      <c r="BF14" s="357"/>
      <c r="BG14" s="360"/>
      <c r="BH14" s="361"/>
      <c r="BM14" s="355"/>
      <c r="BN14" s="362"/>
      <c r="BO14" s="355"/>
      <c r="BP14" s="355"/>
      <c r="BQ14" s="355"/>
      <c r="BR14" s="355"/>
      <c r="BS14" s="243"/>
      <c r="BT14"/>
      <c r="BU14"/>
      <c r="BV14"/>
      <c r="BW14"/>
      <c r="BX14"/>
      <c r="BY14"/>
      <c r="BZ14"/>
      <c r="CA14"/>
      <c r="CB14"/>
      <c r="CC14"/>
      <c r="CD14"/>
    </row>
    <row r="15" spans="1:82" s="171" customFormat="1" ht="15.95" customHeight="1" thickTop="1" x14ac:dyDescent="0.25">
      <c r="N15" s="164"/>
      <c r="O15" s="164"/>
      <c r="P15" s="164"/>
      <c r="Q15" s="164"/>
      <c r="R15" s="164"/>
      <c r="S15" s="164"/>
      <c r="T15" s="164"/>
      <c r="U15" s="164"/>
      <c r="V15" s="164"/>
      <c r="W15" s="164"/>
      <c r="X15" s="522" t="s">
        <v>282</v>
      </c>
      <c r="Y15" s="523"/>
      <c r="Z15" s="523"/>
      <c r="AA15" s="523"/>
      <c r="AB15" s="523"/>
      <c r="AC15" s="523"/>
      <c r="AD15" s="526">
        <f>COUNTIF('T1'!C6:C156,"css")+COUNTIF('T2'!C6:C156,"css")+COUNTIF('T3'!C6:C168,"css")+COUNTIF('T4'!C6:C156,"css")</f>
        <v>0</v>
      </c>
      <c r="AE15" s="527"/>
      <c r="AJ15" s="164"/>
      <c r="AK15" s="164"/>
      <c r="AL15" s="164"/>
      <c r="AM15" s="181">
        <f>IF(AM12="","",IF(AM12=$AD$20,"",AM12+1))</f>
        <v>41698</v>
      </c>
      <c r="AN15" s="181">
        <f>IF(AN12="","",IF(AN12=$AD$21,"",AN12+1))</f>
        <v>41754</v>
      </c>
      <c r="AO15" s="181">
        <f>IF(AO12="","",IF(AO12=$AD$22,"",AO12+1))</f>
        <v>41831</v>
      </c>
      <c r="AP15" s="181">
        <f>IF(AP12="","",IF(AP12=$AD$18,"",AP12+1))</f>
        <v>41572</v>
      </c>
      <c r="AQ15" s="181">
        <f>IF(AQ12="","",IF(AQ12=$AD$19,"",AQ12+1))</f>
        <v>41635</v>
      </c>
      <c r="AT15" s="171" t="s">
        <v>167</v>
      </c>
      <c r="AU15" s="171" t="s">
        <v>168</v>
      </c>
      <c r="AV15" s="171" t="s">
        <v>170</v>
      </c>
      <c r="AW15" s="171" t="s">
        <v>118</v>
      </c>
      <c r="AX15" s="171" t="s">
        <v>171</v>
      </c>
      <c r="BB15" s="538" t="s">
        <v>99</v>
      </c>
      <c r="BC15" s="719"/>
      <c r="BD15" s="719"/>
      <c r="BE15" s="719"/>
      <c r="BF15" s="719"/>
      <c r="BG15" s="708">
        <f>MONTH(AF6)</f>
        <v>1</v>
      </c>
      <c r="BH15" s="709"/>
      <c r="BM15" s="355">
        <v>11</v>
      </c>
      <c r="BN15" s="362">
        <f>BN13+1</f>
        <v>42623</v>
      </c>
      <c r="BO15" s="355">
        <f t="shared" si="0"/>
        <v>0</v>
      </c>
      <c r="BP15" s="355">
        <f t="shared" si="1"/>
        <v>0</v>
      </c>
      <c r="BQ15" s="355">
        <f t="shared" si="3"/>
        <v>0</v>
      </c>
      <c r="BR15" s="355">
        <f>BR13+1-BP15-BO15</f>
        <v>9</v>
      </c>
      <c r="BS15" s="243">
        <f t="shared" si="4"/>
        <v>6.9444333333333344E-2</v>
      </c>
      <c r="BT15">
        <f t="shared" si="5"/>
        <v>0</v>
      </c>
      <c r="BU15" t="str">
        <f t="shared" si="6"/>
        <v>non</v>
      </c>
      <c r="BV15">
        <f>IF(BU15="ok",$CC$29/(EOMONTH(BN15,0)-(EOMONTH(BN15,-1))),0)</f>
        <v>0</v>
      </c>
      <c r="BW15">
        <f t="shared" si="7"/>
        <v>0</v>
      </c>
      <c r="BX15"/>
      <c r="BY15"/>
      <c r="BZ15"/>
      <c r="CA15"/>
      <c r="CB15"/>
      <c r="CC15"/>
      <c r="CD15"/>
    </row>
    <row r="16" spans="1:82" s="171" customFormat="1" ht="15.95" customHeight="1" thickBot="1" x14ac:dyDescent="0.3">
      <c r="N16" s="164"/>
      <c r="R16" s="164"/>
      <c r="S16" s="164"/>
      <c r="W16" s="164"/>
      <c r="AA16" s="164"/>
      <c r="AB16" s="164"/>
      <c r="AF16" s="164"/>
      <c r="AI16" s="164"/>
      <c r="AJ16" s="164"/>
      <c r="AK16" s="164"/>
      <c r="AL16" s="164"/>
      <c r="AM16" s="181"/>
      <c r="AN16" s="181"/>
      <c r="AO16" s="181"/>
      <c r="AP16" s="181"/>
      <c r="AQ16" s="181"/>
      <c r="BB16" s="357"/>
      <c r="BC16" s="357"/>
      <c r="BD16" s="357"/>
      <c r="BE16" s="357"/>
      <c r="BF16" s="357"/>
      <c r="BG16" s="360"/>
      <c r="BH16" s="360"/>
      <c r="BM16" s="355"/>
      <c r="BN16" s="362"/>
      <c r="BO16" s="355"/>
      <c r="BP16" s="355"/>
      <c r="BQ16" s="355"/>
      <c r="BR16" s="355"/>
      <c r="BS16" s="243"/>
      <c r="BT16"/>
      <c r="BU16"/>
      <c r="BV16"/>
      <c r="BW16"/>
      <c r="BX16"/>
      <c r="BY16"/>
      <c r="BZ16"/>
      <c r="CA16"/>
      <c r="CB16"/>
      <c r="CC16"/>
      <c r="CD16"/>
    </row>
    <row r="17" spans="1:82" s="171" customFormat="1" ht="15.95" customHeight="1" thickTop="1" thickBot="1" x14ac:dyDescent="0.3">
      <c r="A17" s="187"/>
      <c r="B17" s="187"/>
      <c r="C17" s="187"/>
      <c r="D17" s="187"/>
      <c r="E17" s="187"/>
      <c r="F17" s="187"/>
      <c r="G17" s="187"/>
      <c r="H17" s="187"/>
      <c r="I17" s="187"/>
      <c r="J17" s="187"/>
      <c r="K17" s="187"/>
      <c r="N17" s="164"/>
      <c r="P17" s="569" t="s">
        <v>103</v>
      </c>
      <c r="Q17" s="570"/>
      <c r="R17" s="571"/>
      <c r="S17" s="478" t="s">
        <v>104</v>
      </c>
      <c r="T17" s="479"/>
      <c r="U17" s="480"/>
      <c r="V17" s="721" t="s">
        <v>105</v>
      </c>
      <c r="W17" s="630"/>
      <c r="X17" s="630"/>
      <c r="Y17" s="630"/>
      <c r="Z17" s="630"/>
      <c r="AA17" s="630"/>
      <c r="AB17" s="630"/>
      <c r="AC17" s="630"/>
      <c r="AD17" s="630"/>
      <c r="AE17" s="630"/>
      <c r="AF17" s="630"/>
      <c r="AG17" s="630"/>
      <c r="AH17" s="630"/>
      <c r="AI17" s="631"/>
      <c r="AJ17" s="164"/>
      <c r="AK17" s="164"/>
      <c r="AL17" s="164"/>
      <c r="AM17" s="181">
        <f>IF(AM15="","",IF(AM15=$AD$20,"",AM15+1))</f>
        <v>41699</v>
      </c>
      <c r="AN17" s="181">
        <f>IF(AN15="","",IF(AN15=$AD$21,"",AN15+1))</f>
        <v>41755</v>
      </c>
      <c r="AO17" s="181">
        <f>IF(AO15="","",IF(AO15=$AD$22,"",AO15+1))</f>
        <v>41832</v>
      </c>
      <c r="AP17" s="181">
        <f>IF(AP15="","",IF(AP15=$AD$18,"",AP15+1))</f>
        <v>41573</v>
      </c>
      <c r="AQ17" s="181">
        <f>IF(AQ15="","",IF(AQ15=$AD$19,"",AQ15+1))</f>
        <v>41636</v>
      </c>
      <c r="AS17" s="171" t="s">
        <v>169</v>
      </c>
      <c r="AT17" s="171">
        <v>24</v>
      </c>
      <c r="AU17" s="190">
        <v>20</v>
      </c>
      <c r="AV17" s="191">
        <f>AD37+AD40</f>
        <v>0</v>
      </c>
      <c r="AW17" s="190">
        <f>ROUND(AU17-AV17,0)</f>
        <v>20</v>
      </c>
      <c r="BM17" s="355">
        <v>12</v>
      </c>
      <c r="BN17" s="362">
        <f>BN15+1</f>
        <v>42624</v>
      </c>
      <c r="BO17" s="355">
        <f t="shared" si="0"/>
        <v>1</v>
      </c>
      <c r="BP17" s="355">
        <f t="shared" si="1"/>
        <v>0</v>
      </c>
      <c r="BQ17" s="355">
        <f t="shared" si="3"/>
        <v>0</v>
      </c>
      <c r="BR17" s="355">
        <f>BR15+1-BP17-BO17</f>
        <v>9</v>
      </c>
      <c r="BS17" s="243">
        <f t="shared" si="4"/>
        <v>6.9444333333333344E-2</v>
      </c>
      <c r="BT17">
        <f t="shared" si="5"/>
        <v>0</v>
      </c>
      <c r="BU17" t="str">
        <f t="shared" si="6"/>
        <v>non</v>
      </c>
      <c r="BV17">
        <f t="shared" ref="BV17:BV80" si="10">IF(BU17="ok",$CC$29/(EOMONTH(BN17,0)-(EOMONTH(BN17,-1))),0)</f>
        <v>0</v>
      </c>
      <c r="BW17">
        <f t="shared" si="7"/>
        <v>0</v>
      </c>
      <c r="BX17"/>
      <c r="BY17"/>
      <c r="BZ17"/>
      <c r="CA17"/>
      <c r="CB17"/>
      <c r="CC17"/>
      <c r="CD17"/>
    </row>
    <row r="18" spans="1:82" s="171" customFormat="1" ht="15.95" customHeight="1" thickTop="1" x14ac:dyDescent="0.25">
      <c r="A18" s="722" t="str">
        <f>COUNTA(B18:K22)&amp;" jours fériés dont "&amp;COUNTA(C18:K22)-SUM('Récap annuel'!AN7:AO21)&amp;" jours hors WE"</f>
        <v>13 jours fériés dont 8 jours hors WE</v>
      </c>
      <c r="B18" s="723"/>
      <c r="C18" s="728">
        <v>41578</v>
      </c>
      <c r="D18" s="729"/>
      <c r="E18" s="504"/>
      <c r="F18" s="730">
        <v>41588</v>
      </c>
      <c r="G18" s="729"/>
      <c r="H18" s="504"/>
      <c r="I18" s="730">
        <v>41632</v>
      </c>
      <c r="J18" s="729"/>
      <c r="K18" s="731"/>
      <c r="N18" s="164"/>
      <c r="P18" s="572"/>
      <c r="Q18" s="720"/>
      <c r="R18" s="574"/>
      <c r="S18" s="732" t="s">
        <v>91</v>
      </c>
      <c r="T18" s="733"/>
      <c r="U18" s="734"/>
      <c r="V18" s="735" t="s">
        <v>9</v>
      </c>
      <c r="W18" s="736"/>
      <c r="X18" s="737">
        <v>41567</v>
      </c>
      <c r="Y18" s="737"/>
      <c r="Z18" s="737"/>
      <c r="AA18" s="737"/>
      <c r="AB18" s="737"/>
      <c r="AC18" s="85" t="s">
        <v>10</v>
      </c>
      <c r="AD18" s="737">
        <v>41582</v>
      </c>
      <c r="AE18" s="737"/>
      <c r="AF18" s="737"/>
      <c r="AG18" s="737"/>
      <c r="AH18" s="737"/>
      <c r="AI18" s="738"/>
      <c r="AJ18" s="164"/>
      <c r="AK18" s="164"/>
      <c r="AL18" s="164"/>
      <c r="AM18" s="181">
        <f t="shared" ref="AM18:AM77" si="11">IF(AM17="","",IF(AM17=$AD$20,"",AM17+1))</f>
        <v>41700</v>
      </c>
      <c r="AN18" s="181">
        <f t="shared" ref="AN18:AN77" si="12">IF(AN17="","",IF(AN17=$AD$21,"",AN17+1))</f>
        <v>41756</v>
      </c>
      <c r="AO18" s="181">
        <f t="shared" ref="AO18:AO77" si="13">IF(AO17="","",IF(AO17=$AD$22,"",AO17+1))</f>
        <v>41833</v>
      </c>
      <c r="AP18" s="181">
        <f t="shared" ref="AP18:AP77" si="14">IF(AP17="","",IF(AP17=$AD$18,"",AP17+1))</f>
        <v>41574</v>
      </c>
      <c r="AQ18" s="181">
        <f t="shared" ref="AQ18:AQ77" si="15">IF(AQ17="","",IF(AQ17=$AD$19,"",AQ17+1))</f>
        <v>41637</v>
      </c>
      <c r="AR18" s="509" t="s">
        <v>172</v>
      </c>
      <c r="AS18" s="739"/>
      <c r="AT18" s="171">
        <v>3</v>
      </c>
      <c r="AU18" s="190">
        <v>2.5</v>
      </c>
      <c r="AX18" s="171">
        <f>IF(AW17&lt;AU18,0,0)</f>
        <v>0</v>
      </c>
      <c r="BM18" s="355">
        <v>13</v>
      </c>
      <c r="BN18" s="362">
        <f>BN17+1</f>
        <v>42625</v>
      </c>
      <c r="BO18" s="355">
        <f t="shared" si="0"/>
        <v>1</v>
      </c>
      <c r="BP18" s="355">
        <f t="shared" si="1"/>
        <v>0</v>
      </c>
      <c r="BQ18" s="355">
        <f t="shared" si="3"/>
        <v>0</v>
      </c>
      <c r="BR18" s="355">
        <f t="shared" si="9"/>
        <v>9</v>
      </c>
      <c r="BS18" s="243">
        <f t="shared" si="4"/>
        <v>6.9444333333333344E-2</v>
      </c>
      <c r="BT18">
        <f t="shared" si="5"/>
        <v>0</v>
      </c>
      <c r="BU18" t="str">
        <f t="shared" si="6"/>
        <v>non</v>
      </c>
      <c r="BV18">
        <f t="shared" si="10"/>
        <v>0</v>
      </c>
      <c r="BW18">
        <f t="shared" si="7"/>
        <v>0</v>
      </c>
      <c r="BX18"/>
      <c r="BY18"/>
      <c r="BZ18"/>
      <c r="CA18"/>
      <c r="CB18"/>
      <c r="CC18"/>
      <c r="CD18"/>
    </row>
    <row r="19" spans="1:82" s="171" customFormat="1" ht="15.95" customHeight="1" x14ac:dyDescent="0.25">
      <c r="A19" s="724"/>
      <c r="B19" s="725"/>
      <c r="C19" s="740">
        <v>41633</v>
      </c>
      <c r="D19" s="741"/>
      <c r="E19" s="483"/>
      <c r="F19" s="742">
        <v>41639</v>
      </c>
      <c r="G19" s="741"/>
      <c r="H19" s="483"/>
      <c r="I19" s="742">
        <v>41727</v>
      </c>
      <c r="J19" s="741"/>
      <c r="K19" s="743"/>
      <c r="N19" s="164"/>
      <c r="P19" s="572"/>
      <c r="Q19" s="720"/>
      <c r="R19" s="574"/>
      <c r="S19" s="456" t="s">
        <v>92</v>
      </c>
      <c r="T19" s="457"/>
      <c r="U19" s="458"/>
      <c r="V19" s="744" t="s">
        <v>9</v>
      </c>
      <c r="W19" s="516"/>
      <c r="X19" s="512">
        <v>41630</v>
      </c>
      <c r="Y19" s="512"/>
      <c r="Z19" s="512"/>
      <c r="AA19" s="512"/>
      <c r="AB19" s="512"/>
      <c r="AC19" s="86" t="s">
        <v>10</v>
      </c>
      <c r="AD19" s="512">
        <v>41645</v>
      </c>
      <c r="AE19" s="512"/>
      <c r="AF19" s="512"/>
      <c r="AG19" s="512"/>
      <c r="AH19" s="512"/>
      <c r="AI19" s="745"/>
      <c r="AJ19" s="164"/>
      <c r="AK19" s="164"/>
      <c r="AL19" s="164"/>
      <c r="AM19" s="181">
        <f t="shared" si="11"/>
        <v>41701</v>
      </c>
      <c r="AN19" s="181">
        <f t="shared" si="12"/>
        <v>41757</v>
      </c>
      <c r="AO19" s="181">
        <f t="shared" si="13"/>
        <v>41834</v>
      </c>
      <c r="AP19" s="181">
        <f t="shared" si="14"/>
        <v>41575</v>
      </c>
      <c r="AQ19" s="181">
        <f t="shared" si="15"/>
        <v>41638</v>
      </c>
      <c r="AR19" s="509" t="s">
        <v>164</v>
      </c>
      <c r="AS19" s="739"/>
      <c r="AT19" s="171">
        <v>5</v>
      </c>
      <c r="AU19" s="190">
        <v>5</v>
      </c>
      <c r="AX19" s="171">
        <f>IF(AND(AW17&gt;AU18,AW17&lt;AU19),1,0)</f>
        <v>0</v>
      </c>
      <c r="BM19" s="355">
        <v>14</v>
      </c>
      <c r="BN19" s="362">
        <f t="shared" si="8"/>
        <v>42626</v>
      </c>
      <c r="BO19" s="355">
        <f t="shared" si="0"/>
        <v>0</v>
      </c>
      <c r="BP19" s="355">
        <f t="shared" si="1"/>
        <v>0</v>
      </c>
      <c r="BQ19" s="355">
        <f t="shared" si="3"/>
        <v>0</v>
      </c>
      <c r="BR19" s="355">
        <f t="shared" si="9"/>
        <v>10</v>
      </c>
      <c r="BS19" s="243">
        <f t="shared" si="4"/>
        <v>6.9444333333333344E-2</v>
      </c>
      <c r="BT19">
        <f t="shared" si="5"/>
        <v>0</v>
      </c>
      <c r="BU19" t="str">
        <f t="shared" si="6"/>
        <v>non</v>
      </c>
      <c r="BV19">
        <f t="shared" si="10"/>
        <v>0</v>
      </c>
      <c r="BW19">
        <f t="shared" si="7"/>
        <v>0</v>
      </c>
      <c r="BX19"/>
      <c r="BY19"/>
      <c r="BZ19"/>
      <c r="CA19"/>
      <c r="CB19"/>
      <c r="CC19"/>
      <c r="CD19"/>
    </row>
    <row r="20" spans="1:82" s="171" customFormat="1" ht="15.95" customHeight="1" x14ac:dyDescent="0.25">
      <c r="A20" s="724"/>
      <c r="B20" s="725"/>
      <c r="C20" s="740">
        <v>41730</v>
      </c>
      <c r="D20" s="741"/>
      <c r="E20" s="483"/>
      <c r="F20" s="742">
        <v>41759</v>
      </c>
      <c r="G20" s="741"/>
      <c r="H20" s="483"/>
      <c r="I20" s="742">
        <v>41766</v>
      </c>
      <c r="J20" s="741"/>
      <c r="K20" s="743"/>
      <c r="N20" s="164"/>
      <c r="P20" s="572"/>
      <c r="Q20" s="720"/>
      <c r="R20" s="574"/>
      <c r="S20" s="456" t="s">
        <v>106</v>
      </c>
      <c r="T20" s="457"/>
      <c r="U20" s="458"/>
      <c r="V20" s="744" t="s">
        <v>9</v>
      </c>
      <c r="W20" s="516"/>
      <c r="X20" s="512">
        <v>41693</v>
      </c>
      <c r="Y20" s="512"/>
      <c r="Z20" s="512"/>
      <c r="AA20" s="512"/>
      <c r="AB20" s="512"/>
      <c r="AC20" s="86" t="s">
        <v>10</v>
      </c>
      <c r="AD20" s="512">
        <v>41708</v>
      </c>
      <c r="AE20" s="512"/>
      <c r="AF20" s="512"/>
      <c r="AG20" s="512"/>
      <c r="AH20" s="512"/>
      <c r="AI20" s="745"/>
      <c r="AJ20" s="164"/>
      <c r="AK20" s="164"/>
      <c r="AL20" s="164"/>
      <c r="AM20" s="181">
        <f t="shared" si="11"/>
        <v>41702</v>
      </c>
      <c r="AN20" s="181">
        <f t="shared" si="12"/>
        <v>41758</v>
      </c>
      <c r="AO20" s="181">
        <f t="shared" si="13"/>
        <v>41835</v>
      </c>
      <c r="AP20" s="181">
        <f t="shared" si="14"/>
        <v>41576</v>
      </c>
      <c r="AQ20" s="181">
        <f t="shared" si="15"/>
        <v>41639</v>
      </c>
      <c r="AR20" s="509" t="s">
        <v>246</v>
      </c>
      <c r="AS20" s="739"/>
      <c r="AT20" s="171">
        <v>6</v>
      </c>
      <c r="AU20" s="190">
        <v>5</v>
      </c>
      <c r="AX20" s="171">
        <f>IF(AW17&gt;=AU20,2,0)</f>
        <v>2</v>
      </c>
      <c r="BM20" s="355">
        <v>15</v>
      </c>
      <c r="BN20" s="362">
        <f t="shared" si="8"/>
        <v>42627</v>
      </c>
      <c r="BO20" s="355">
        <f t="shared" si="0"/>
        <v>0</v>
      </c>
      <c r="BP20" s="355">
        <f t="shared" si="1"/>
        <v>0</v>
      </c>
      <c r="BQ20" s="355">
        <f t="shared" si="3"/>
        <v>0</v>
      </c>
      <c r="BR20" s="355">
        <f t="shared" si="9"/>
        <v>11</v>
      </c>
      <c r="BS20" s="243">
        <f t="shared" si="4"/>
        <v>6.9444333333333344E-2</v>
      </c>
      <c r="BT20">
        <f t="shared" si="5"/>
        <v>0</v>
      </c>
      <c r="BU20" t="str">
        <f t="shared" si="6"/>
        <v>non</v>
      </c>
      <c r="BV20">
        <f t="shared" si="10"/>
        <v>0</v>
      </c>
      <c r="BW20">
        <f t="shared" si="7"/>
        <v>0</v>
      </c>
      <c r="BX20"/>
      <c r="BY20"/>
      <c r="BZ20"/>
      <c r="CA20" s="21"/>
      <c r="CB20"/>
      <c r="CC20"/>
      <c r="CD20"/>
    </row>
    <row r="21" spans="1:82" s="171" customFormat="1" ht="15.95" customHeight="1" x14ac:dyDescent="0.25">
      <c r="A21" s="724"/>
      <c r="B21" s="725"/>
      <c r="C21" s="740">
        <v>41768</v>
      </c>
      <c r="D21" s="741"/>
      <c r="E21" s="483"/>
      <c r="F21" s="742">
        <v>41779</v>
      </c>
      <c r="G21" s="741"/>
      <c r="H21" s="483"/>
      <c r="I21" s="742">
        <v>41833</v>
      </c>
      <c r="J21" s="741"/>
      <c r="K21" s="743"/>
      <c r="N21" s="164"/>
      <c r="P21" s="572"/>
      <c r="Q21" s="720"/>
      <c r="R21" s="574"/>
      <c r="S21" s="456" t="s">
        <v>89</v>
      </c>
      <c r="T21" s="457"/>
      <c r="U21" s="458"/>
      <c r="V21" s="744" t="s">
        <v>9</v>
      </c>
      <c r="W21" s="516"/>
      <c r="X21" s="512">
        <v>41749</v>
      </c>
      <c r="Y21" s="512"/>
      <c r="Z21" s="512"/>
      <c r="AA21" s="512"/>
      <c r="AB21" s="512"/>
      <c r="AC21" s="86" t="s">
        <v>10</v>
      </c>
      <c r="AD21" s="512">
        <v>41764</v>
      </c>
      <c r="AE21" s="512"/>
      <c r="AF21" s="512"/>
      <c r="AG21" s="512"/>
      <c r="AH21" s="512"/>
      <c r="AI21" s="745"/>
      <c r="AJ21" s="164"/>
      <c r="AK21" s="164"/>
      <c r="AL21" s="164"/>
      <c r="AM21" s="181">
        <f t="shared" si="11"/>
        <v>41703</v>
      </c>
      <c r="AN21" s="181">
        <f t="shared" si="12"/>
        <v>41759</v>
      </c>
      <c r="AO21" s="181">
        <f t="shared" si="13"/>
        <v>41836</v>
      </c>
      <c r="AP21" s="181">
        <f t="shared" si="14"/>
        <v>41577</v>
      </c>
      <c r="AQ21" s="181">
        <f t="shared" si="15"/>
        <v>41640</v>
      </c>
      <c r="AX21" s="171">
        <f>IF(AD35&lt;10,0,SUM(AX18:AX20))</f>
        <v>0</v>
      </c>
      <c r="BM21" s="355">
        <v>16</v>
      </c>
      <c r="BN21" s="362">
        <f t="shared" si="8"/>
        <v>42628</v>
      </c>
      <c r="BO21" s="355">
        <f t="shared" si="0"/>
        <v>0</v>
      </c>
      <c r="BP21" s="355">
        <f t="shared" si="1"/>
        <v>0</v>
      </c>
      <c r="BQ21" s="355">
        <f t="shared" si="3"/>
        <v>0</v>
      </c>
      <c r="BR21" s="355">
        <f t="shared" si="9"/>
        <v>12</v>
      </c>
      <c r="BS21" s="243">
        <f t="shared" si="4"/>
        <v>6.9444333333333344E-2</v>
      </c>
      <c r="BT21">
        <f t="shared" si="5"/>
        <v>0</v>
      </c>
      <c r="BU21" t="str">
        <f t="shared" si="6"/>
        <v>non</v>
      </c>
      <c r="BV21">
        <f t="shared" si="10"/>
        <v>0</v>
      </c>
      <c r="BW21">
        <f t="shared" si="7"/>
        <v>0</v>
      </c>
      <c r="BX21"/>
      <c r="BY21"/>
      <c r="BZ21"/>
      <c r="CA21"/>
      <c r="CB21"/>
      <c r="CC21" t="s">
        <v>256</v>
      </c>
      <c r="CD21"/>
    </row>
    <row r="22" spans="1:82" s="171" customFormat="1" ht="15.95" customHeight="1" thickBot="1" x14ac:dyDescent="0.3">
      <c r="A22" s="726"/>
      <c r="B22" s="727"/>
      <c r="C22" s="488">
        <v>41865</v>
      </c>
      <c r="D22" s="489"/>
      <c r="E22" s="490"/>
      <c r="F22" s="749"/>
      <c r="G22" s="489"/>
      <c r="H22" s="490"/>
      <c r="I22" s="749"/>
      <c r="J22" s="489"/>
      <c r="K22" s="750"/>
      <c r="L22" s="192"/>
      <c r="N22" s="164"/>
      <c r="O22" s="193"/>
      <c r="P22" s="575"/>
      <c r="Q22" s="576"/>
      <c r="R22" s="577"/>
      <c r="S22" s="632" t="s">
        <v>90</v>
      </c>
      <c r="T22" s="633"/>
      <c r="U22" s="634"/>
      <c r="V22" s="751" t="s">
        <v>9</v>
      </c>
      <c r="W22" s="464"/>
      <c r="X22" s="463">
        <v>41826</v>
      </c>
      <c r="Y22" s="463"/>
      <c r="Z22" s="463"/>
      <c r="AA22" s="463"/>
      <c r="AB22" s="463"/>
      <c r="AC22" s="87" t="s">
        <v>10</v>
      </c>
      <c r="AD22" s="463">
        <v>41881</v>
      </c>
      <c r="AE22" s="463"/>
      <c r="AF22" s="463"/>
      <c r="AG22" s="463"/>
      <c r="AH22" s="463"/>
      <c r="AI22" s="752"/>
      <c r="AJ22" s="194"/>
      <c r="AK22" s="164"/>
      <c r="AL22" s="164"/>
      <c r="AM22" s="181">
        <f t="shared" si="11"/>
        <v>41704</v>
      </c>
      <c r="AN22" s="181">
        <f t="shared" si="12"/>
        <v>41760</v>
      </c>
      <c r="AO22" s="181">
        <f t="shared" si="13"/>
        <v>41837</v>
      </c>
      <c r="AP22" s="181">
        <f t="shared" si="14"/>
        <v>41578</v>
      </c>
      <c r="AQ22" s="181">
        <f t="shared" si="15"/>
        <v>41641</v>
      </c>
      <c r="BM22" s="355">
        <v>17</v>
      </c>
      <c r="BN22" s="362">
        <f t="shared" si="8"/>
        <v>42629</v>
      </c>
      <c r="BO22" s="355">
        <f t="shared" si="0"/>
        <v>0</v>
      </c>
      <c r="BP22" s="355">
        <f t="shared" si="1"/>
        <v>0</v>
      </c>
      <c r="BQ22" s="355">
        <f t="shared" si="3"/>
        <v>0</v>
      </c>
      <c r="BR22" s="355">
        <f t="shared" si="9"/>
        <v>13</v>
      </c>
      <c r="BS22" s="243">
        <f t="shared" si="4"/>
        <v>6.9444333333333344E-2</v>
      </c>
      <c r="BT22">
        <f t="shared" si="5"/>
        <v>0</v>
      </c>
      <c r="BU22" t="str">
        <f t="shared" si="6"/>
        <v>non</v>
      </c>
      <c r="BV22">
        <f t="shared" si="10"/>
        <v>0</v>
      </c>
      <c r="BW22">
        <f t="shared" si="7"/>
        <v>0</v>
      </c>
      <c r="BX22"/>
      <c r="BY22"/>
      <c r="BZ22"/>
      <c r="CA22" s="244" t="s">
        <v>257</v>
      </c>
      <c r="CB22" s="21">
        <f>AF5</f>
        <v>42613</v>
      </c>
      <c r="CC22">
        <f>VLOOKUP(CB22,tab_calc2,4)</f>
        <v>1</v>
      </c>
      <c r="CD22"/>
    </row>
    <row r="23" spans="1:82" s="171" customFormat="1" ht="15.95" customHeight="1" thickTop="1" x14ac:dyDescent="0.25">
      <c r="A23" s="195">
        <f>IF(BG11="",0,9)</f>
        <v>9</v>
      </c>
      <c r="B23" s="195"/>
      <c r="C23" s="195"/>
      <c r="D23" s="195"/>
      <c r="E23" s="195"/>
      <c r="F23" s="195"/>
      <c r="G23" s="195"/>
      <c r="H23" s="195"/>
      <c r="I23" s="195"/>
      <c r="J23" s="196"/>
      <c r="K23" s="196"/>
      <c r="L23" s="196"/>
      <c r="M23" s="196"/>
      <c r="N23" s="196"/>
      <c r="O23" s="196"/>
      <c r="P23" s="195"/>
      <c r="Q23" s="195"/>
      <c r="R23" s="195"/>
      <c r="S23" s="195"/>
      <c r="T23" s="195"/>
      <c r="U23" s="195"/>
      <c r="V23" s="195"/>
      <c r="W23" s="195"/>
      <c r="X23" s="195"/>
      <c r="Y23" s="195"/>
      <c r="Z23" s="195"/>
      <c r="AA23" s="195"/>
      <c r="AB23" s="195"/>
      <c r="AC23" s="195"/>
      <c r="AD23" s="195"/>
      <c r="AE23" s="195"/>
      <c r="AF23" s="195"/>
      <c r="AG23" s="195"/>
      <c r="AH23" s="196"/>
      <c r="AI23" s="196"/>
      <c r="AJ23" s="196"/>
      <c r="AK23" s="164"/>
      <c r="AL23" s="164"/>
      <c r="AM23" s="181">
        <f t="shared" si="11"/>
        <v>41705</v>
      </c>
      <c r="AN23" s="181">
        <f t="shared" si="12"/>
        <v>41761</v>
      </c>
      <c r="AO23" s="181">
        <f t="shared" si="13"/>
        <v>41838</v>
      </c>
      <c r="AP23" s="181">
        <f t="shared" si="14"/>
        <v>41579</v>
      </c>
      <c r="AQ23" s="181">
        <f t="shared" si="15"/>
        <v>41642</v>
      </c>
      <c r="BG23" s="245"/>
      <c r="BH23" s="246"/>
      <c r="BI23" s="246"/>
      <c r="BJ23" s="246"/>
      <c r="BK23" s="247"/>
      <c r="BM23" s="355">
        <v>18</v>
      </c>
      <c r="BN23" s="362">
        <f t="shared" si="8"/>
        <v>42630</v>
      </c>
      <c r="BO23" s="355">
        <f t="shared" si="0"/>
        <v>0</v>
      </c>
      <c r="BP23" s="355">
        <f t="shared" si="1"/>
        <v>0</v>
      </c>
      <c r="BQ23" s="355">
        <f t="shared" si="3"/>
        <v>0</v>
      </c>
      <c r="BR23" s="355">
        <f t="shared" si="9"/>
        <v>14</v>
      </c>
      <c r="BS23" s="243">
        <f t="shared" si="4"/>
        <v>6.9444333333333344E-2</v>
      </c>
      <c r="BT23">
        <f t="shared" si="5"/>
        <v>0</v>
      </c>
      <c r="BU23" t="str">
        <f t="shared" si="6"/>
        <v>non</v>
      </c>
      <c r="BV23">
        <f t="shared" si="10"/>
        <v>0</v>
      </c>
      <c r="BW23">
        <f t="shared" si="7"/>
        <v>0</v>
      </c>
      <c r="BX23"/>
      <c r="BY23"/>
      <c r="BZ23"/>
      <c r="CA23" s="244" t="s">
        <v>258</v>
      </c>
      <c r="CB23" s="21">
        <f>AF6</f>
        <v>0</v>
      </c>
      <c r="CC23" t="e">
        <f>VLOOKUP(CB23,tab_calc2,4)</f>
        <v>#N/A</v>
      </c>
      <c r="CD23"/>
    </row>
    <row r="24" spans="1:82" s="171" customFormat="1" ht="15.95" customHeight="1" x14ac:dyDescent="0.25">
      <c r="A24" s="197"/>
      <c r="B24" s="198"/>
      <c r="C24" s="199"/>
      <c r="D24" s="197"/>
      <c r="E24" s="198"/>
      <c r="F24" s="199"/>
      <c r="G24" s="197"/>
      <c r="H24" s="198"/>
      <c r="I24" s="199"/>
      <c r="J24" s="197"/>
      <c r="K24" s="198"/>
      <c r="L24" s="199"/>
      <c r="M24" s="197"/>
      <c r="N24" s="198"/>
      <c r="O24" s="199"/>
      <c r="P24" s="197"/>
      <c r="Q24" s="198"/>
      <c r="R24" s="199"/>
      <c r="S24" s="197"/>
      <c r="T24" s="198"/>
      <c r="U24" s="199"/>
      <c r="V24" s="197"/>
      <c r="W24" s="198"/>
      <c r="X24" s="199"/>
      <c r="Y24" s="197"/>
      <c r="Z24" s="198"/>
      <c r="AK24" s="199"/>
      <c r="AL24" s="199"/>
      <c r="AM24" s="181">
        <f t="shared" si="11"/>
        <v>41706</v>
      </c>
      <c r="AN24" s="181">
        <f t="shared" si="12"/>
        <v>41762</v>
      </c>
      <c r="AO24" s="181">
        <f t="shared" si="13"/>
        <v>41839</v>
      </c>
      <c r="AP24" s="181">
        <f t="shared" si="14"/>
        <v>41580</v>
      </c>
      <c r="AQ24" s="181">
        <f t="shared" si="15"/>
        <v>41643</v>
      </c>
      <c r="BG24" s="248"/>
      <c r="BH24" s="249" t="s">
        <v>76</v>
      </c>
      <c r="BI24" s="321">
        <f>annualisation!W2</f>
        <v>2020</v>
      </c>
      <c r="BJ24" s="251" t="str">
        <f>"/ "&amp;BI24+1</f>
        <v>/ 2021</v>
      </c>
      <c r="BK24" s="252"/>
      <c r="BM24" s="355">
        <v>19</v>
      </c>
      <c r="BN24" s="362">
        <f t="shared" si="8"/>
        <v>42631</v>
      </c>
      <c r="BO24" s="355">
        <f t="shared" si="0"/>
        <v>1</v>
      </c>
      <c r="BP24" s="355">
        <f t="shared" si="1"/>
        <v>0</v>
      </c>
      <c r="BQ24" s="355">
        <f t="shared" si="3"/>
        <v>0</v>
      </c>
      <c r="BR24" s="355">
        <f t="shared" si="9"/>
        <v>14</v>
      </c>
      <c r="BS24" s="243">
        <f t="shared" si="4"/>
        <v>6.9444333333333344E-2</v>
      </c>
      <c r="BT24">
        <f t="shared" si="5"/>
        <v>0</v>
      </c>
      <c r="BU24" t="str">
        <f t="shared" si="6"/>
        <v>non</v>
      </c>
      <c r="BV24">
        <f t="shared" si="10"/>
        <v>0</v>
      </c>
      <c r="BW24">
        <f t="shared" si="7"/>
        <v>0</v>
      </c>
      <c r="BX24"/>
      <c r="BY24"/>
      <c r="BZ24"/>
      <c r="CA24"/>
      <c r="CB24" s="244" t="s">
        <v>259</v>
      </c>
      <c r="CC24" t="e">
        <f>IF(BH12=BN4,CC23-CC22+BR4,CC23-CC22+BR4)</f>
        <v>#N/A</v>
      </c>
      <c r="CD24" t="e">
        <f>IF(BH12=BN4,CC23-CC22+BR4,CC23-CC22)</f>
        <v>#N/A</v>
      </c>
    </row>
    <row r="25" spans="1:82" s="171" customFormat="1" ht="15.95" customHeight="1" x14ac:dyDescent="0.25">
      <c r="A25" s="197"/>
      <c r="B25" s="179" t="s">
        <v>126</v>
      </c>
      <c r="E25" s="198"/>
      <c r="F25" s="199"/>
      <c r="G25" s="197"/>
      <c r="H25" s="198"/>
      <c r="I25" s="199"/>
      <c r="J25" s="197"/>
      <c r="K25" s="198"/>
      <c r="L25" s="199"/>
      <c r="M25" s="197"/>
      <c r="N25" s="198"/>
      <c r="O25" s="199"/>
      <c r="P25" s="197"/>
      <c r="Q25" s="198"/>
      <c r="R25" s="199"/>
      <c r="S25" s="197"/>
      <c r="T25" s="198"/>
      <c r="U25" s="199"/>
      <c r="V25" s="197"/>
      <c r="W25" s="164"/>
      <c r="X25" s="199"/>
      <c r="Y25" s="197"/>
      <c r="Z25" s="198"/>
      <c r="AB25" s="468" t="str">
        <f>"Contrôle CP au 31 mai "&amp;YEAR(AF5)+1</f>
        <v>Contrôle CP au 31 mai 2021</v>
      </c>
      <c r="AC25" s="469"/>
      <c r="AD25" s="469"/>
      <c r="AE25" s="469"/>
      <c r="AF25" s="469"/>
      <c r="AG25" s="469"/>
      <c r="AH25" s="469"/>
      <c r="AI25" s="470"/>
      <c r="AM25" s="181">
        <f t="shared" si="11"/>
        <v>41707</v>
      </c>
      <c r="AN25" s="181">
        <f t="shared" si="12"/>
        <v>41763</v>
      </c>
      <c r="AO25" s="181">
        <f t="shared" si="13"/>
        <v>41840</v>
      </c>
      <c r="AP25" s="181">
        <f t="shared" si="14"/>
        <v>41581</v>
      </c>
      <c r="AQ25" s="181">
        <f t="shared" si="15"/>
        <v>41644</v>
      </c>
      <c r="BG25" s="248"/>
      <c r="BH25" s="251"/>
      <c r="BI25" s="249" t="s">
        <v>257</v>
      </c>
      <c r="BJ25" s="322">
        <f>AF5</f>
        <v>42613</v>
      </c>
      <c r="BK25" s="252"/>
      <c r="BM25" s="355">
        <v>20</v>
      </c>
      <c r="BN25" s="362">
        <f t="shared" si="8"/>
        <v>42632</v>
      </c>
      <c r="BO25" s="355">
        <f t="shared" si="0"/>
        <v>1</v>
      </c>
      <c r="BP25" s="355">
        <f t="shared" si="1"/>
        <v>0</v>
      </c>
      <c r="BQ25" s="355">
        <f t="shared" si="3"/>
        <v>0</v>
      </c>
      <c r="BR25" s="355">
        <f t="shared" si="9"/>
        <v>14</v>
      </c>
      <c r="BS25" s="243">
        <f t="shared" si="4"/>
        <v>6.9444333333333344E-2</v>
      </c>
      <c r="BT25">
        <f t="shared" si="5"/>
        <v>0</v>
      </c>
      <c r="BU25" t="str">
        <f t="shared" si="6"/>
        <v>non</v>
      </c>
      <c r="BV25">
        <f t="shared" si="10"/>
        <v>0</v>
      </c>
      <c r="BW25">
        <f t="shared" si="7"/>
        <v>0</v>
      </c>
      <c r="BX25"/>
      <c r="BY25"/>
      <c r="BZ25"/>
      <c r="CA25"/>
      <c r="CB25"/>
      <c r="CC25"/>
      <c r="CD25"/>
    </row>
    <row r="26" spans="1:82" s="171" customFormat="1" ht="15.95" customHeight="1" x14ac:dyDescent="0.25">
      <c r="A26" s="197"/>
      <c r="C26" s="200"/>
      <c r="E26" s="198"/>
      <c r="F26" s="199"/>
      <c r="G26" s="197"/>
      <c r="H26" s="198"/>
      <c r="I26" s="199"/>
      <c r="J26" s="197"/>
      <c r="K26" s="198"/>
      <c r="L26" s="199"/>
      <c r="M26" s="197"/>
      <c r="N26" s="198"/>
      <c r="O26" s="199"/>
      <c r="P26" s="197"/>
      <c r="Q26" s="198"/>
      <c r="R26" s="199"/>
      <c r="S26" s="468" t="s">
        <v>162</v>
      </c>
      <c r="T26" s="469"/>
      <c r="U26" s="469"/>
      <c r="V26" s="469"/>
      <c r="W26" s="469"/>
      <c r="X26" s="469"/>
      <c r="Y26" s="469"/>
      <c r="Z26" s="470"/>
      <c r="AB26" s="233"/>
      <c r="AH26" s="283" t="str">
        <f>"Solde CP N au 31 mai "&amp;YEAR(AF5)&amp;" :"</f>
        <v>Solde CP N au 31 mai 2020 :</v>
      </c>
      <c r="AI26" s="323"/>
      <c r="AM26" s="181">
        <f t="shared" si="11"/>
        <v>41708</v>
      </c>
      <c r="AN26" s="181">
        <f t="shared" si="12"/>
        <v>41764</v>
      </c>
      <c r="AO26" s="181">
        <f t="shared" si="13"/>
        <v>41841</v>
      </c>
      <c r="AP26" s="181">
        <f t="shared" si="14"/>
        <v>41582</v>
      </c>
      <c r="AQ26" s="181">
        <f t="shared" si="15"/>
        <v>41645</v>
      </c>
      <c r="AS26" s="171" t="s">
        <v>224</v>
      </c>
      <c r="AU26" s="204" t="str">
        <f>IF(G7&gt;=35/24,"plein","partiel")</f>
        <v>partiel</v>
      </c>
      <c r="BG26" s="248"/>
      <c r="BH26" s="251"/>
      <c r="BI26" s="249" t="s">
        <v>258</v>
      </c>
      <c r="BJ26" s="322">
        <f>AF6</f>
        <v>0</v>
      </c>
      <c r="BK26" s="252"/>
      <c r="BM26" s="355">
        <v>21</v>
      </c>
      <c r="BN26" s="362">
        <f t="shared" si="8"/>
        <v>42633</v>
      </c>
      <c r="BO26" s="355">
        <f t="shared" si="0"/>
        <v>0</v>
      </c>
      <c r="BP26" s="355">
        <f t="shared" si="1"/>
        <v>0</v>
      </c>
      <c r="BQ26" s="355">
        <f t="shared" si="3"/>
        <v>0</v>
      </c>
      <c r="BR26" s="355">
        <f t="shared" si="9"/>
        <v>15</v>
      </c>
      <c r="BS26" s="243">
        <f t="shared" si="4"/>
        <v>6.9444333333333344E-2</v>
      </c>
      <c r="BT26">
        <f t="shared" si="5"/>
        <v>0</v>
      </c>
      <c r="BU26" t="str">
        <f t="shared" si="6"/>
        <v>non</v>
      </c>
      <c r="BV26">
        <f t="shared" si="10"/>
        <v>0</v>
      </c>
      <c r="BW26">
        <f t="shared" si="7"/>
        <v>0</v>
      </c>
      <c r="BX26"/>
      <c r="BY26"/>
      <c r="BZ26"/>
      <c r="CA26"/>
      <c r="CB26" t="s">
        <v>260</v>
      </c>
      <c r="CC26" s="26">
        <v>66.375</v>
      </c>
      <c r="CD26"/>
    </row>
    <row r="27" spans="1:82" s="171" customFormat="1" ht="15.95" customHeight="1" x14ac:dyDescent="0.25">
      <c r="A27" s="197"/>
      <c r="B27" s="205" t="str">
        <f>"Semaine "&amp;_xlfn.ISOWEEKNUM(annualisation!$B$8)-12</f>
        <v>Semaine 24</v>
      </c>
      <c r="D27" s="206"/>
      <c r="E27" s="324"/>
      <c r="F27" s="199"/>
      <c r="I27" s="164"/>
      <c r="J27" s="164"/>
      <c r="L27" s="199"/>
      <c r="M27" s="197"/>
      <c r="N27" s="198"/>
      <c r="O27" s="199"/>
      <c r="P27" s="197"/>
      <c r="Q27" s="198"/>
      <c r="R27" s="199"/>
      <c r="S27" s="207"/>
      <c r="T27" s="203"/>
      <c r="U27" s="201"/>
      <c r="V27" s="202"/>
      <c r="W27" s="208" t="s">
        <v>156</v>
      </c>
      <c r="X27" s="325" t="s">
        <v>157</v>
      </c>
      <c r="Y27" s="202"/>
      <c r="Z27" s="209"/>
      <c r="AB27" s="233"/>
      <c r="AH27" s="283" t="str">
        <f>"CP pris du 1er au 31 mai "&amp;YEAR(AF5)</f>
        <v>CP pris du 1er au 31 mai 2020</v>
      </c>
      <c r="AI27" s="361"/>
      <c r="AM27" s="181" t="str">
        <f t="shared" si="11"/>
        <v/>
      </c>
      <c r="AN27" s="181" t="str">
        <f t="shared" si="12"/>
        <v/>
      </c>
      <c r="AO27" s="181">
        <f t="shared" si="13"/>
        <v>41842</v>
      </c>
      <c r="AP27" s="181" t="str">
        <f t="shared" si="14"/>
        <v/>
      </c>
      <c r="AQ27" s="181" t="str">
        <f t="shared" si="15"/>
        <v/>
      </c>
      <c r="AU27" s="210">
        <v>1</v>
      </c>
      <c r="BG27" s="248"/>
      <c r="BH27" s="251"/>
      <c r="BI27" s="249" t="s">
        <v>264</v>
      </c>
      <c r="BJ27" s="326">
        <f>G7</f>
        <v>0</v>
      </c>
      <c r="BK27" s="252"/>
      <c r="BM27" s="355">
        <v>22</v>
      </c>
      <c r="BN27" s="362">
        <f t="shared" si="8"/>
        <v>42634</v>
      </c>
      <c r="BO27" s="355">
        <f t="shared" si="0"/>
        <v>0</v>
      </c>
      <c r="BP27" s="355">
        <f t="shared" si="1"/>
        <v>0</v>
      </c>
      <c r="BQ27" s="355">
        <f t="shared" si="3"/>
        <v>0</v>
      </c>
      <c r="BR27" s="355">
        <f t="shared" si="9"/>
        <v>16</v>
      </c>
      <c r="BS27" s="243">
        <f t="shared" si="4"/>
        <v>6.9444333333333344E-2</v>
      </c>
      <c r="BT27">
        <f t="shared" si="5"/>
        <v>0</v>
      </c>
      <c r="BU27" t="str">
        <f t="shared" si="6"/>
        <v>non</v>
      </c>
      <c r="BV27">
        <f t="shared" si="10"/>
        <v>0</v>
      </c>
      <c r="BW27">
        <f t="shared" si="7"/>
        <v>0</v>
      </c>
      <c r="BX27"/>
      <c r="BY27"/>
      <c r="BZ27"/>
      <c r="CA27"/>
      <c r="CB27" s="244" t="s">
        <v>261</v>
      </c>
      <c r="CC27" s="26">
        <v>1.4583333333333333</v>
      </c>
      <c r="CD27"/>
    </row>
    <row r="28" spans="1:82" s="171" customFormat="1" ht="15.95" customHeight="1" x14ac:dyDescent="0.25">
      <c r="A28" s="197"/>
      <c r="B28" s="205" t="str">
        <f>"Semaine "&amp;_xlfn.ISOWEEKNUM(annualisation!$B$8)-11</f>
        <v>Semaine 25</v>
      </c>
      <c r="D28" s="206"/>
      <c r="E28" s="324"/>
      <c r="F28" s="199"/>
      <c r="I28" s="164"/>
      <c r="J28" s="164"/>
      <c r="L28" s="199"/>
      <c r="M28" s="197"/>
      <c r="N28" s="198"/>
      <c r="O28" s="199"/>
      <c r="P28" s="197"/>
      <c r="Q28" s="198"/>
      <c r="R28" s="199"/>
      <c r="S28" s="207"/>
      <c r="T28" s="203"/>
      <c r="U28" s="201"/>
      <c r="V28" s="202"/>
      <c r="W28" s="208" t="s">
        <v>158</v>
      </c>
      <c r="X28" s="325" t="s">
        <v>157</v>
      </c>
      <c r="Y28" s="202"/>
      <c r="Z28" s="209"/>
      <c r="AB28" s="233"/>
      <c r="AH28" s="283" t="str">
        <f>"CP N-1 prév. au 31 mai "&amp;YEAR(AF5)+1&amp;" :"</f>
        <v>CP N-1 prév. au 31 mai 2021 :</v>
      </c>
      <c r="AI28" s="285">
        <f>AI26-AD37+AI27-(SUM('T1'!AR6:AR154)+SUM('T2'!AR6:AR154)+SUM('T3'!AR6:AR166)+SUM('T4'!AR6:AR154))</f>
        <v>0</v>
      </c>
      <c r="AM28" s="181" t="str">
        <f t="shared" si="11"/>
        <v/>
      </c>
      <c r="AN28" s="181" t="str">
        <f t="shared" si="12"/>
        <v/>
      </c>
      <c r="AO28" s="181">
        <f t="shared" si="13"/>
        <v>41843</v>
      </c>
      <c r="AP28" s="181" t="str">
        <f t="shared" si="14"/>
        <v/>
      </c>
      <c r="AQ28" s="181" t="str">
        <f t="shared" si="15"/>
        <v/>
      </c>
      <c r="BG28" s="248"/>
      <c r="BH28" s="251"/>
      <c r="BI28" s="249" t="s">
        <v>263</v>
      </c>
      <c r="BJ28" s="171" t="s">
        <v>157</v>
      </c>
      <c r="BK28" s="326" t="s">
        <v>157</v>
      </c>
      <c r="BM28" s="355">
        <v>23</v>
      </c>
      <c r="BN28" s="362">
        <f t="shared" si="8"/>
        <v>42635</v>
      </c>
      <c r="BO28" s="355">
        <f t="shared" si="0"/>
        <v>0</v>
      </c>
      <c r="BP28" s="355">
        <f t="shared" si="1"/>
        <v>0</v>
      </c>
      <c r="BQ28" s="355">
        <f t="shared" si="3"/>
        <v>0</v>
      </c>
      <c r="BR28" s="355">
        <f t="shared" si="9"/>
        <v>17</v>
      </c>
      <c r="BS28" s="243">
        <f t="shared" si="4"/>
        <v>6.9444333333333344E-2</v>
      </c>
      <c r="BT28">
        <f t="shared" si="5"/>
        <v>0</v>
      </c>
      <c r="BU28" t="str">
        <f t="shared" si="6"/>
        <v>non</v>
      </c>
      <c r="BV28">
        <f t="shared" si="10"/>
        <v>0</v>
      </c>
      <c r="BW28">
        <f t="shared" si="7"/>
        <v>0</v>
      </c>
      <c r="BX28"/>
      <c r="BY28"/>
      <c r="BZ28"/>
      <c r="CA28"/>
      <c r="CB28"/>
      <c r="CC28"/>
      <c r="CD28"/>
    </row>
    <row r="29" spans="1:82" s="171" customFormat="1" ht="15.95" customHeight="1" x14ac:dyDescent="0.25">
      <c r="A29" s="197"/>
      <c r="B29" s="205" t="str">
        <f>"Semaine "&amp;_xlfn.ISOWEEKNUM(annualisation!$B$8)-10</f>
        <v>Semaine 26</v>
      </c>
      <c r="E29" s="324"/>
      <c r="F29" s="199"/>
      <c r="G29" s="197"/>
      <c r="H29" s="198"/>
      <c r="I29" s="199"/>
      <c r="J29" s="197"/>
      <c r="K29" s="198"/>
      <c r="L29" s="199"/>
      <c r="M29" s="197"/>
      <c r="N29" s="198"/>
      <c r="O29" s="199"/>
      <c r="P29" s="197"/>
      <c r="Q29" s="198"/>
      <c r="R29" s="199"/>
      <c r="S29" s="207"/>
      <c r="T29" s="203"/>
      <c r="U29" s="201"/>
      <c r="V29" s="202"/>
      <c r="W29" s="208" t="s">
        <v>160</v>
      </c>
      <c r="X29" s="325" t="s">
        <v>157</v>
      </c>
      <c r="Y29" s="202"/>
      <c r="Z29" s="209"/>
      <c r="AB29" s="284"/>
      <c r="AC29" s="217"/>
      <c r="AD29" s="218"/>
      <c r="AE29" s="226"/>
      <c r="AF29" s="227"/>
      <c r="AG29" s="225"/>
      <c r="AH29" s="286" t="str">
        <f>"CP N-1 réel au 31 mai "&amp;YEAR(AF5)+1&amp;" :"</f>
        <v>CP N-1 réel au 31 mai 2021 :</v>
      </c>
      <c r="AI29" s="287">
        <f>AI26-AD37+AI27-(SUM('T1'!AS6:AS154)+SUM('T2'!AS6:AS154)+SUM('T3'!AS6:AS166)+SUM('T4'!AS6:AS154))</f>
        <v>0</v>
      </c>
      <c r="AM29" s="181" t="str">
        <f t="shared" si="11"/>
        <v/>
      </c>
      <c r="AN29" s="181" t="str">
        <f t="shared" si="12"/>
        <v/>
      </c>
      <c r="AO29" s="181">
        <f t="shared" si="13"/>
        <v>41844</v>
      </c>
      <c r="AP29" s="181" t="str">
        <f t="shared" si="14"/>
        <v/>
      </c>
      <c r="AQ29" s="181" t="str">
        <f t="shared" si="15"/>
        <v/>
      </c>
      <c r="BG29" s="248"/>
      <c r="BH29" s="251"/>
      <c r="BI29" s="249" t="s">
        <v>113</v>
      </c>
      <c r="BJ29" s="255">
        <f>CC26/CC27*BJ27</f>
        <v>0</v>
      </c>
      <c r="BK29" s="252"/>
      <c r="BM29" s="355">
        <v>24</v>
      </c>
      <c r="BN29" s="362">
        <f t="shared" si="8"/>
        <v>42636</v>
      </c>
      <c r="BO29" s="355">
        <f t="shared" si="0"/>
        <v>0</v>
      </c>
      <c r="BP29" s="355">
        <f t="shared" si="1"/>
        <v>0</v>
      </c>
      <c r="BQ29" s="355">
        <f t="shared" si="3"/>
        <v>0</v>
      </c>
      <c r="BR29" s="355">
        <f t="shared" si="9"/>
        <v>18</v>
      </c>
      <c r="BS29" s="243">
        <f t="shared" si="4"/>
        <v>6.9444333333333344E-2</v>
      </c>
      <c r="BT29">
        <f t="shared" si="5"/>
        <v>0</v>
      </c>
      <c r="BU29" t="str">
        <f t="shared" si="6"/>
        <v>non</v>
      </c>
      <c r="BV29">
        <f t="shared" si="10"/>
        <v>0</v>
      </c>
      <c r="BW29">
        <f t="shared" si="7"/>
        <v>0</v>
      </c>
      <c r="BX29"/>
      <c r="BY29"/>
      <c r="BZ29"/>
      <c r="CA29"/>
      <c r="CB29" s="244" t="s">
        <v>262</v>
      </c>
      <c r="CC29">
        <f>1/CC27*G7</f>
        <v>0</v>
      </c>
      <c r="CD29"/>
    </row>
    <row r="30" spans="1:82" s="171" customFormat="1" ht="15.95" customHeight="1" x14ac:dyDescent="0.25">
      <c r="A30" s="197"/>
      <c r="B30" s="205" t="str">
        <f>"Semaine "&amp;_xlfn.ISOWEEKNUM(annualisation!$B$8)-9</f>
        <v>Semaine 27</v>
      </c>
      <c r="E30" s="324"/>
      <c r="F30" s="199"/>
      <c r="G30" s="197"/>
      <c r="H30" s="211"/>
      <c r="I30" s="212"/>
      <c r="J30" s="213"/>
      <c r="K30" s="214"/>
      <c r="L30" s="212"/>
      <c r="M30" s="213"/>
      <c r="N30" s="215"/>
      <c r="O30" s="199"/>
      <c r="P30" s="197"/>
      <c r="Q30" s="198"/>
      <c r="R30" s="199"/>
      <c r="S30" s="216"/>
      <c r="T30" s="217"/>
      <c r="U30" s="218"/>
      <c r="V30" s="219"/>
      <c r="W30" s="220" t="s">
        <v>161</v>
      </c>
      <c r="X30" s="327" t="s">
        <v>157</v>
      </c>
      <c r="Y30" s="219"/>
      <c r="Z30" s="221"/>
      <c r="AA30" s="201"/>
      <c r="AB30" s="453" t="str">
        <f>IF(AI28&gt;0,"Rajouter des CP prév. avant le 31/05/"&amp;YEAR(AF5)+1,"Pas de perte prévisionnelle de CP")</f>
        <v>Pas de perte prévisionnelle de CP</v>
      </c>
      <c r="AC30" s="454"/>
      <c r="AD30" s="454"/>
      <c r="AE30" s="454"/>
      <c r="AF30" s="454"/>
      <c r="AG30" s="454"/>
      <c r="AH30" s="454"/>
      <c r="AI30" s="455"/>
      <c r="AJ30" s="199"/>
      <c r="AK30" s="199"/>
      <c r="AL30" s="199"/>
      <c r="AM30" s="181" t="str">
        <f t="shared" si="11"/>
        <v/>
      </c>
      <c r="AN30" s="181" t="str">
        <f t="shared" si="12"/>
        <v/>
      </c>
      <c r="AO30" s="181">
        <f t="shared" si="13"/>
        <v>41845</v>
      </c>
      <c r="AP30" s="181" t="str">
        <f t="shared" si="14"/>
        <v/>
      </c>
      <c r="AQ30" s="181" t="str">
        <f t="shared" si="15"/>
        <v/>
      </c>
      <c r="BG30" s="674" t="s">
        <v>265</v>
      </c>
      <c r="BH30" s="746"/>
      <c r="BI30" s="746"/>
      <c r="BJ30" s="746"/>
      <c r="BK30" s="676"/>
      <c r="BM30" s="355">
        <v>25</v>
      </c>
      <c r="BN30" s="362">
        <f t="shared" si="8"/>
        <v>42637</v>
      </c>
      <c r="BO30" s="355">
        <f t="shared" si="0"/>
        <v>0</v>
      </c>
      <c r="BP30" s="355">
        <f t="shared" si="1"/>
        <v>0</v>
      </c>
      <c r="BQ30" s="355">
        <f t="shared" si="3"/>
        <v>0</v>
      </c>
      <c r="BR30" s="355">
        <f t="shared" si="9"/>
        <v>19</v>
      </c>
      <c r="BS30" s="243">
        <f t="shared" si="4"/>
        <v>6.9444333333333344E-2</v>
      </c>
      <c r="BT30">
        <f t="shared" si="5"/>
        <v>0</v>
      </c>
      <c r="BU30" t="str">
        <f t="shared" si="6"/>
        <v>non</v>
      </c>
      <c r="BV30">
        <f t="shared" si="10"/>
        <v>0</v>
      </c>
      <c r="BW30">
        <f t="shared" si="7"/>
        <v>0</v>
      </c>
      <c r="BX30"/>
      <c r="BY30"/>
      <c r="BZ30"/>
      <c r="CA30"/>
      <c r="CB30"/>
      <c r="CC30"/>
      <c r="CD30"/>
    </row>
    <row r="31" spans="1:82" s="171" customFormat="1" ht="15.95" customHeight="1" x14ac:dyDescent="0.25">
      <c r="A31" s="197"/>
      <c r="B31" s="205" t="str">
        <f>"Semaine "&amp;_xlfn.ISOWEEKNUM(annualisation!$B$8)-8</f>
        <v>Semaine 28</v>
      </c>
      <c r="E31" s="324"/>
      <c r="F31" s="199"/>
      <c r="G31" s="197"/>
      <c r="H31" s="222"/>
      <c r="I31" s="197"/>
      <c r="K31" s="223" t="s">
        <v>127</v>
      </c>
      <c r="L31" s="747">
        <f>SUM(E27:E38)</f>
        <v>0</v>
      </c>
      <c r="M31" s="747"/>
      <c r="N31" s="748"/>
      <c r="O31" s="199"/>
      <c r="P31" s="197"/>
      <c r="Q31" s="198"/>
      <c r="R31" s="199"/>
      <c r="S31" s="197"/>
      <c r="T31" s="203"/>
      <c r="U31" s="201"/>
      <c r="V31" s="202"/>
      <c r="W31" s="203"/>
      <c r="X31" s="201"/>
      <c r="Y31" s="202"/>
      <c r="Z31" s="203"/>
      <c r="AA31" s="201"/>
      <c r="AB31" s="450" t="str">
        <f>IF(AI29&gt;0,"Rajouter des CP réel avant le 31/05/"&amp;YEAR(AF5)+1,"CP réels conformes")</f>
        <v>CP réels conformes</v>
      </c>
      <c r="AC31" s="451"/>
      <c r="AD31" s="451"/>
      <c r="AE31" s="451"/>
      <c r="AF31" s="451"/>
      <c r="AG31" s="451"/>
      <c r="AH31" s="451"/>
      <c r="AI31" s="452"/>
      <c r="AJ31" s="199"/>
      <c r="AK31" s="199"/>
      <c r="AL31" s="199"/>
      <c r="AM31" s="181" t="str">
        <f t="shared" si="11"/>
        <v/>
      </c>
      <c r="AN31" s="181" t="str">
        <f t="shared" si="12"/>
        <v/>
      </c>
      <c r="AO31" s="181">
        <f t="shared" si="13"/>
        <v>41846</v>
      </c>
      <c r="AP31" s="181" t="str">
        <f t="shared" si="14"/>
        <v/>
      </c>
      <c r="AQ31" s="181" t="str">
        <f t="shared" si="15"/>
        <v/>
      </c>
      <c r="BG31" s="677" t="s">
        <v>266</v>
      </c>
      <c r="BH31" s="678"/>
      <c r="BI31" s="678"/>
      <c r="BJ31" s="678"/>
      <c r="BK31" s="679"/>
      <c r="BM31" s="355">
        <v>26</v>
      </c>
      <c r="BN31" s="362">
        <f t="shared" si="8"/>
        <v>42638</v>
      </c>
      <c r="BO31" s="355">
        <f t="shared" si="0"/>
        <v>1</v>
      </c>
      <c r="BP31" s="355">
        <f t="shared" si="1"/>
        <v>0</v>
      </c>
      <c r="BQ31" s="355">
        <f t="shared" si="3"/>
        <v>0</v>
      </c>
      <c r="BR31" s="355">
        <f t="shared" si="9"/>
        <v>19</v>
      </c>
      <c r="BS31" s="243">
        <f t="shared" si="4"/>
        <v>6.9444333333333344E-2</v>
      </c>
      <c r="BT31">
        <f t="shared" si="5"/>
        <v>0</v>
      </c>
      <c r="BU31" t="str">
        <f t="shared" si="6"/>
        <v>non</v>
      </c>
      <c r="BV31">
        <f t="shared" si="10"/>
        <v>0</v>
      </c>
      <c r="BW31">
        <f t="shared" si="7"/>
        <v>0</v>
      </c>
      <c r="BX31"/>
      <c r="BY31"/>
      <c r="BZ31"/>
      <c r="CA31"/>
      <c r="CB31"/>
      <c r="CC31"/>
      <c r="CD31"/>
    </row>
    <row r="32" spans="1:82" s="171" customFormat="1" ht="15.95" customHeight="1" x14ac:dyDescent="0.25">
      <c r="A32" s="197"/>
      <c r="B32" s="205" t="str">
        <f>"Semaine "&amp;_xlfn.ISOWEEKNUM(annualisation!$B$8)-7</f>
        <v>Semaine 29</v>
      </c>
      <c r="E32" s="324"/>
      <c r="F32" s="199"/>
      <c r="G32" s="197"/>
      <c r="H32" s="222"/>
      <c r="I32" s="197"/>
      <c r="K32" s="223" t="s">
        <v>128</v>
      </c>
      <c r="L32" s="747">
        <f>+L31/12</f>
        <v>0</v>
      </c>
      <c r="M32" s="747"/>
      <c r="N32" s="748"/>
      <c r="O32" s="199"/>
      <c r="P32" s="197"/>
      <c r="Q32" s="198"/>
      <c r="R32" s="199"/>
      <c r="S32" s="197"/>
      <c r="T32" s="203"/>
      <c r="U32" s="201"/>
      <c r="V32" s="202"/>
      <c r="W32" s="203"/>
      <c r="X32" s="201"/>
      <c r="Y32" s="202"/>
      <c r="Z32" s="203"/>
      <c r="AA32" s="201"/>
      <c r="AB32" s="202"/>
      <c r="AC32" s="203"/>
      <c r="AD32" s="201"/>
      <c r="AE32" s="197"/>
      <c r="AF32" s="198"/>
      <c r="AG32" s="199"/>
      <c r="AH32" s="197"/>
      <c r="AI32" s="198"/>
      <c r="AJ32" s="199"/>
      <c r="AK32" s="199"/>
      <c r="AL32" s="199"/>
      <c r="AM32" s="181" t="str">
        <f t="shared" si="11"/>
        <v/>
      </c>
      <c r="AN32" s="181" t="str">
        <f t="shared" si="12"/>
        <v/>
      </c>
      <c r="AO32" s="181">
        <f t="shared" si="13"/>
        <v>41847</v>
      </c>
      <c r="AP32" s="181" t="str">
        <f t="shared" si="14"/>
        <v/>
      </c>
      <c r="AQ32" s="181" t="str">
        <f t="shared" si="15"/>
        <v/>
      </c>
      <c r="BG32" s="251"/>
      <c r="BH32" s="251"/>
      <c r="BI32" s="251"/>
      <c r="BJ32" s="251"/>
      <c r="BK32" s="251"/>
      <c r="BM32" s="355">
        <v>27</v>
      </c>
      <c r="BN32" s="362">
        <f t="shared" si="8"/>
        <v>42639</v>
      </c>
      <c r="BO32" s="355">
        <f t="shared" si="0"/>
        <v>1</v>
      </c>
      <c r="BP32" s="355">
        <f t="shared" si="1"/>
        <v>0</v>
      </c>
      <c r="BQ32" s="355">
        <f t="shared" si="3"/>
        <v>0</v>
      </c>
      <c r="BR32" s="355">
        <f t="shared" si="9"/>
        <v>19</v>
      </c>
      <c r="BS32" s="243">
        <f t="shared" si="4"/>
        <v>6.9444333333333344E-2</v>
      </c>
      <c r="BT32">
        <f t="shared" si="5"/>
        <v>0</v>
      </c>
      <c r="BU32" t="str">
        <f t="shared" si="6"/>
        <v>non</v>
      </c>
      <c r="BV32">
        <f t="shared" si="10"/>
        <v>0</v>
      </c>
      <c r="BW32">
        <f t="shared" si="7"/>
        <v>0</v>
      </c>
      <c r="BX32"/>
      <c r="BY32"/>
      <c r="BZ32"/>
      <c r="CA32"/>
      <c r="CB32"/>
      <c r="CC32"/>
      <c r="CD32"/>
    </row>
    <row r="33" spans="1:82" s="171" customFormat="1" ht="15.95" customHeight="1" x14ac:dyDescent="0.25">
      <c r="A33" s="197"/>
      <c r="B33" s="205" t="str">
        <f>"Semaine "&amp;_xlfn.ISOWEEKNUM(annualisation!$B$8)-6</f>
        <v>Semaine 30</v>
      </c>
      <c r="E33" s="324"/>
      <c r="F33" s="199"/>
      <c r="G33" s="197"/>
      <c r="H33" s="224"/>
      <c r="I33" s="225"/>
      <c r="J33" s="226"/>
      <c r="K33" s="227"/>
      <c r="L33" s="225"/>
      <c r="M33" s="226"/>
      <c r="N33" s="228"/>
      <c r="O33" s="199"/>
      <c r="P33" s="197"/>
      <c r="Q33" s="465" t="s">
        <v>166</v>
      </c>
      <c r="R33" s="466"/>
      <c r="S33" s="466"/>
      <c r="T33" s="466"/>
      <c r="U33" s="466"/>
      <c r="V33" s="466"/>
      <c r="W33" s="466"/>
      <c r="X33" s="466"/>
      <c r="Y33" s="466"/>
      <c r="Z33" s="466"/>
      <c r="AA33" s="466"/>
      <c r="AB33" s="466"/>
      <c r="AC33" s="466"/>
      <c r="AD33" s="466"/>
      <c r="AE33" s="466"/>
      <c r="AF33" s="467"/>
      <c r="AG33" s="199"/>
      <c r="AH33" s="197"/>
      <c r="AI33" s="198"/>
      <c r="AJ33" s="199"/>
      <c r="AK33" s="199"/>
      <c r="AL33" s="199"/>
      <c r="AM33" s="181" t="str">
        <f t="shared" si="11"/>
        <v/>
      </c>
      <c r="AN33" s="181" t="str">
        <f t="shared" si="12"/>
        <v/>
      </c>
      <c r="AO33" s="181">
        <f t="shared" si="13"/>
        <v>41848</v>
      </c>
      <c r="AP33" s="181" t="str">
        <f t="shared" si="14"/>
        <v/>
      </c>
      <c r="AQ33" s="181" t="str">
        <f t="shared" si="15"/>
        <v/>
      </c>
      <c r="BG33" s="245"/>
      <c r="BH33" s="246"/>
      <c r="BI33" s="256" t="s">
        <v>269</v>
      </c>
      <c r="BJ33" s="257">
        <f>BQ3</f>
        <v>0</v>
      </c>
      <c r="BK33" s="247"/>
      <c r="BM33" s="355">
        <v>28</v>
      </c>
      <c r="BN33" s="362">
        <f t="shared" si="8"/>
        <v>42640</v>
      </c>
      <c r="BO33" s="355">
        <f t="shared" si="0"/>
        <v>0</v>
      </c>
      <c r="BP33" s="355">
        <f t="shared" si="1"/>
        <v>0</v>
      </c>
      <c r="BQ33" s="355">
        <f t="shared" si="3"/>
        <v>0</v>
      </c>
      <c r="BR33" s="355">
        <f t="shared" si="9"/>
        <v>20</v>
      </c>
      <c r="BS33" s="243">
        <f t="shared" si="4"/>
        <v>6.9444333333333344E-2</v>
      </c>
      <c r="BT33">
        <f t="shared" si="5"/>
        <v>0</v>
      </c>
      <c r="BU33" t="str">
        <f t="shared" si="6"/>
        <v>non</v>
      </c>
      <c r="BV33">
        <f t="shared" si="10"/>
        <v>0</v>
      </c>
      <c r="BW33">
        <f t="shared" si="7"/>
        <v>0</v>
      </c>
      <c r="BX33"/>
      <c r="BY33"/>
      <c r="BZ33"/>
      <c r="CA33"/>
      <c r="CB33"/>
      <c r="CC33"/>
      <c r="CD33"/>
    </row>
    <row r="34" spans="1:82" s="171" customFormat="1" ht="15.95" customHeight="1" x14ac:dyDescent="0.25">
      <c r="A34" s="197"/>
      <c r="B34" s="205" t="str">
        <f>"Semaine "&amp;_xlfn.ISOWEEKNUM(annualisation!$B$8)-5</f>
        <v>Semaine 31</v>
      </c>
      <c r="E34" s="324"/>
      <c r="F34" s="199"/>
      <c r="G34" s="197"/>
      <c r="H34" s="198"/>
      <c r="I34" s="199"/>
      <c r="J34" s="197"/>
      <c r="K34" s="198"/>
      <c r="L34" s="199"/>
      <c r="M34" s="197"/>
      <c r="N34" s="198"/>
      <c r="O34" s="199"/>
      <c r="P34" s="197"/>
      <c r="Q34" s="222"/>
      <c r="R34" s="199"/>
      <c r="S34" s="197"/>
      <c r="T34" s="203"/>
      <c r="U34" s="201"/>
      <c r="V34" s="202"/>
      <c r="W34" s="203"/>
      <c r="X34" s="201"/>
      <c r="Y34" s="202"/>
      <c r="Z34" s="203"/>
      <c r="AA34" s="201"/>
      <c r="AB34" s="202"/>
      <c r="AC34" s="203"/>
      <c r="AD34" s="201"/>
      <c r="AE34" s="197"/>
      <c r="AF34" s="229"/>
      <c r="AG34" s="199"/>
      <c r="AH34" s="197"/>
      <c r="AI34" s="198"/>
      <c r="AJ34" s="199"/>
      <c r="AK34" s="199"/>
      <c r="AL34" s="199"/>
      <c r="AM34" s="181" t="str">
        <f t="shared" si="11"/>
        <v/>
      </c>
      <c r="AN34" s="181" t="str">
        <f t="shared" si="12"/>
        <v/>
      </c>
      <c r="AO34" s="181">
        <f t="shared" si="13"/>
        <v>41849</v>
      </c>
      <c r="AP34" s="181" t="str">
        <f t="shared" si="14"/>
        <v/>
      </c>
      <c r="AQ34" s="181" t="str">
        <f t="shared" si="15"/>
        <v/>
      </c>
      <c r="BG34" s="248"/>
      <c r="BH34"/>
      <c r="BI34" s="256" t="s">
        <v>267</v>
      </c>
      <c r="BJ34" s="257">
        <f>IF(BJ28="o",BQ3,BQ3-BT3)</f>
        <v>0</v>
      </c>
      <c r="BK34" s="252"/>
      <c r="BM34" s="355">
        <v>29</v>
      </c>
      <c r="BN34" s="362">
        <f t="shared" si="8"/>
        <v>42641</v>
      </c>
      <c r="BO34" s="355">
        <f t="shared" si="0"/>
        <v>0</v>
      </c>
      <c r="BP34" s="355">
        <f t="shared" si="1"/>
        <v>0</v>
      </c>
      <c r="BQ34" s="355">
        <f t="shared" si="3"/>
        <v>0</v>
      </c>
      <c r="BR34" s="355">
        <f t="shared" si="9"/>
        <v>21</v>
      </c>
      <c r="BS34" s="243">
        <f t="shared" si="4"/>
        <v>6.9444333333333344E-2</v>
      </c>
      <c r="BT34">
        <f t="shared" si="5"/>
        <v>0</v>
      </c>
      <c r="BU34" t="str">
        <f t="shared" si="6"/>
        <v>non</v>
      </c>
      <c r="BV34">
        <f t="shared" si="10"/>
        <v>0</v>
      </c>
      <c r="BW34">
        <f t="shared" si="7"/>
        <v>0</v>
      </c>
      <c r="BX34"/>
      <c r="BY34"/>
      <c r="BZ34"/>
      <c r="CA34"/>
      <c r="CB34"/>
      <c r="CC34"/>
      <c r="CD34"/>
    </row>
    <row r="35" spans="1:82" s="171" customFormat="1" ht="15.95" customHeight="1" x14ac:dyDescent="0.25">
      <c r="A35" s="197"/>
      <c r="B35" s="205" t="str">
        <f>"Semaine "&amp;_xlfn.ISOWEEKNUM(annualisation!$B$8)-4</f>
        <v>Semaine 32</v>
      </c>
      <c r="E35" s="324"/>
      <c r="F35" s="199"/>
      <c r="G35" s="197"/>
      <c r="H35" s="198"/>
      <c r="I35" s="199"/>
      <c r="J35" s="197"/>
      <c r="K35" s="198"/>
      <c r="L35" s="199"/>
      <c r="M35" s="197"/>
      <c r="N35" s="198"/>
      <c r="O35" s="199"/>
      <c r="P35" s="197"/>
      <c r="Q35" s="230" t="str">
        <f>"Nb de CP légaux acquis N (pris ou non) au 31 mai "&amp;BC5&amp;" :"</f>
        <v>Nb de CP légaux acquis N (pris ou non) au 31 mai 2020 :</v>
      </c>
      <c r="AD35" s="753"/>
      <c r="AE35" s="753"/>
      <c r="AF35" s="754"/>
      <c r="AG35" s="199"/>
      <c r="AH35" s="197"/>
      <c r="AI35" s="198"/>
      <c r="AJ35" s="199"/>
      <c r="AK35" s="199"/>
      <c r="AL35" s="199"/>
      <c r="AM35" s="181" t="str">
        <f t="shared" si="11"/>
        <v/>
      </c>
      <c r="AN35" s="181" t="str">
        <f t="shared" si="12"/>
        <v/>
      </c>
      <c r="AO35" s="181">
        <f t="shared" si="13"/>
        <v>41850</v>
      </c>
      <c r="AP35" s="181" t="str">
        <f t="shared" si="14"/>
        <v/>
      </c>
      <c r="AQ35" s="181" t="str">
        <f t="shared" si="15"/>
        <v/>
      </c>
      <c r="BG35" s="248"/>
      <c r="BH35" s="251"/>
      <c r="BI35" s="249" t="s">
        <v>268</v>
      </c>
      <c r="BJ35" s="255">
        <f>(BJ29/BR3*BQ3)</f>
        <v>0</v>
      </c>
      <c r="BK35" s="252"/>
      <c r="BM35" s="355">
        <v>30</v>
      </c>
      <c r="BN35" s="362">
        <f t="shared" si="8"/>
        <v>42642</v>
      </c>
      <c r="BO35" s="355">
        <f t="shared" si="0"/>
        <v>0</v>
      </c>
      <c r="BP35" s="355">
        <f t="shared" si="1"/>
        <v>0</v>
      </c>
      <c r="BQ35" s="355">
        <f t="shared" si="3"/>
        <v>0</v>
      </c>
      <c r="BR35" s="355">
        <f t="shared" si="9"/>
        <v>22</v>
      </c>
      <c r="BS35" s="243">
        <f t="shared" si="4"/>
        <v>6.9444333333333344E-2</v>
      </c>
      <c r="BT35">
        <f t="shared" si="5"/>
        <v>0</v>
      </c>
      <c r="BU35" t="str">
        <f t="shared" si="6"/>
        <v>non</v>
      </c>
      <c r="BV35">
        <f t="shared" si="10"/>
        <v>0</v>
      </c>
      <c r="BW35">
        <f t="shared" si="7"/>
        <v>0</v>
      </c>
      <c r="BX35"/>
      <c r="BY35"/>
      <c r="BZ35"/>
      <c r="CA35"/>
      <c r="CB35"/>
      <c r="CC35"/>
      <c r="CD35"/>
    </row>
    <row r="36" spans="1:82" s="171" customFormat="1" ht="15.95" customHeight="1" x14ac:dyDescent="0.25">
      <c r="A36" s="197"/>
      <c r="B36" s="205" t="str">
        <f>"Semaine "&amp;_xlfn.ISOWEEKNUM(annualisation!$B$8)-3</f>
        <v>Semaine 33</v>
      </c>
      <c r="E36" s="324"/>
      <c r="F36" s="199"/>
      <c r="G36" s="197"/>
      <c r="H36" s="198"/>
      <c r="I36" s="199"/>
      <c r="J36" s="197"/>
      <c r="K36" s="198"/>
      <c r="L36" s="199"/>
      <c r="M36" s="197"/>
      <c r="N36" s="198"/>
      <c r="O36" s="199"/>
      <c r="P36" s="197"/>
      <c r="Q36" s="222"/>
      <c r="R36" s="199"/>
      <c r="S36" s="197"/>
      <c r="T36" s="198"/>
      <c r="U36" s="199"/>
      <c r="V36" s="197"/>
      <c r="W36" s="198"/>
      <c r="X36" s="199"/>
      <c r="Y36" s="197"/>
      <c r="Z36" s="198"/>
      <c r="AA36" s="199"/>
      <c r="AB36" s="197"/>
      <c r="AC36" s="198"/>
      <c r="AD36" s="231"/>
      <c r="AE36" s="232"/>
      <c r="AF36" s="229"/>
      <c r="AG36" s="199"/>
      <c r="AH36" s="197"/>
      <c r="AI36" s="198"/>
      <c r="AJ36" s="199"/>
      <c r="AK36" s="199"/>
      <c r="AL36" s="199"/>
      <c r="AM36" s="181" t="str">
        <f t="shared" si="11"/>
        <v/>
      </c>
      <c r="AN36" s="181" t="str">
        <f t="shared" si="12"/>
        <v/>
      </c>
      <c r="AO36" s="181">
        <f t="shared" si="13"/>
        <v>41851</v>
      </c>
      <c r="AP36" s="181" t="str">
        <f t="shared" si="14"/>
        <v/>
      </c>
      <c r="AQ36" s="181" t="str">
        <f t="shared" si="15"/>
        <v/>
      </c>
      <c r="BG36" s="248"/>
      <c r="BH36" s="251"/>
      <c r="BI36" s="251"/>
      <c r="BJ36" s="251"/>
      <c r="BK36" s="252"/>
      <c r="BM36" s="355">
        <v>31</v>
      </c>
      <c r="BN36" s="362">
        <f t="shared" si="8"/>
        <v>42643</v>
      </c>
      <c r="BO36" s="355">
        <f t="shared" si="0"/>
        <v>0</v>
      </c>
      <c r="BP36" s="355">
        <f t="shared" si="1"/>
        <v>0</v>
      </c>
      <c r="BQ36" s="355">
        <f t="shared" si="3"/>
        <v>0</v>
      </c>
      <c r="BR36" s="355">
        <f t="shared" si="9"/>
        <v>23</v>
      </c>
      <c r="BS36" s="243">
        <f t="shared" si="4"/>
        <v>6.7204193548387095E-2</v>
      </c>
      <c r="BT36">
        <f t="shared" si="5"/>
        <v>0</v>
      </c>
      <c r="BU36" t="str">
        <f t="shared" si="6"/>
        <v>ok</v>
      </c>
      <c r="BV36">
        <f t="shared" si="10"/>
        <v>0</v>
      </c>
      <c r="BW36">
        <f t="shared" si="7"/>
        <v>0</v>
      </c>
      <c r="BX36"/>
      <c r="BY36"/>
      <c r="BZ36"/>
      <c r="CA36"/>
      <c r="CB36"/>
      <c r="CC36"/>
      <c r="CD36"/>
    </row>
    <row r="37" spans="1:82" s="171" customFormat="1" ht="15.95" customHeight="1" x14ac:dyDescent="0.25">
      <c r="A37" s="197"/>
      <c r="B37" s="205" t="str">
        <f>"Semaine "&amp;_xlfn.ISOWEEKNUM(annualisation!$B$8)-2</f>
        <v>Semaine 34</v>
      </c>
      <c r="E37" s="324"/>
      <c r="F37" s="199"/>
      <c r="G37" s="197"/>
      <c r="H37" s="198"/>
      <c r="I37" s="199"/>
      <c r="J37" s="197"/>
      <c r="K37" s="198"/>
      <c r="L37" s="199"/>
      <c r="M37" s="197"/>
      <c r="N37" s="198"/>
      <c r="O37" s="199"/>
      <c r="P37" s="197"/>
      <c r="Q37" s="230" t="str">
        <f>"Nb de CP légaux pris entre le 01/05/"&amp;BC5&amp;" et le 31/08/"&amp;BC5&amp;" :"</f>
        <v>Nb de CP légaux pris entre le 01/05/2020 et le 31/08/2020 :</v>
      </c>
      <c r="R37" s="164"/>
      <c r="S37" s="197"/>
      <c r="U37" s="199"/>
      <c r="V37" s="197"/>
      <c r="W37" s="198"/>
      <c r="X37" s="199"/>
      <c r="Y37" s="197"/>
      <c r="Z37" s="198"/>
      <c r="AA37" s="199"/>
      <c r="AB37" s="197"/>
      <c r="AC37" s="198"/>
      <c r="AD37" s="753"/>
      <c r="AE37" s="753"/>
      <c r="AF37" s="754"/>
      <c r="AG37" s="199"/>
      <c r="AH37" s="197"/>
      <c r="AI37" s="198"/>
      <c r="AJ37" s="199"/>
      <c r="AK37" s="199"/>
      <c r="AL37" s="199"/>
      <c r="AM37" s="181" t="str">
        <f t="shared" si="11"/>
        <v/>
      </c>
      <c r="AN37" s="181" t="str">
        <f t="shared" si="12"/>
        <v/>
      </c>
      <c r="AO37" s="181">
        <f t="shared" si="13"/>
        <v>41852</v>
      </c>
      <c r="AP37" s="181" t="str">
        <f t="shared" si="14"/>
        <v/>
      </c>
      <c r="AQ37" s="181" t="str">
        <f t="shared" si="15"/>
        <v/>
      </c>
      <c r="BG37" s="248"/>
      <c r="BH37" s="251"/>
      <c r="BI37" s="249" t="str">
        <f>IF(BK28="o","Nb de CP payé en fin de contrat :","Nb de CP à prendre :")</f>
        <v>Nb de CP à prendre :</v>
      </c>
      <c r="BJ37" s="258">
        <f>IF(BK28="o",BT3,ROUNDUP(BT3,0))</f>
        <v>0</v>
      </c>
      <c r="BK37" s="252"/>
      <c r="BM37" s="355">
        <v>32</v>
      </c>
      <c r="BN37" s="362">
        <f t="shared" si="8"/>
        <v>42644</v>
      </c>
      <c r="BO37" s="355">
        <f t="shared" si="0"/>
        <v>0</v>
      </c>
      <c r="BP37" s="355">
        <f t="shared" si="1"/>
        <v>0</v>
      </c>
      <c r="BQ37" s="355">
        <f t="shared" si="3"/>
        <v>0</v>
      </c>
      <c r="BR37" s="355">
        <f t="shared" si="9"/>
        <v>24</v>
      </c>
      <c r="BS37" s="243">
        <f t="shared" si="4"/>
        <v>6.7204193548387095E-2</v>
      </c>
      <c r="BT37">
        <f t="shared" si="5"/>
        <v>0</v>
      </c>
      <c r="BU37" t="str">
        <f t="shared" si="6"/>
        <v>ok</v>
      </c>
      <c r="BV37">
        <f t="shared" si="10"/>
        <v>0</v>
      </c>
      <c r="BW37">
        <f t="shared" si="7"/>
        <v>0</v>
      </c>
      <c r="BX37"/>
      <c r="BY37"/>
      <c r="BZ37"/>
      <c r="CA37"/>
      <c r="CB37"/>
      <c r="CC37"/>
      <c r="CD37"/>
    </row>
    <row r="38" spans="1:82" s="171" customFormat="1" ht="15.95" customHeight="1" x14ac:dyDescent="0.25">
      <c r="A38" s="197"/>
      <c r="B38" s="205" t="str">
        <f>"Semaine "&amp;_xlfn.ISOWEEKNUM(annualisation!$B$8)-1</f>
        <v>Semaine 35</v>
      </c>
      <c r="E38" s="324"/>
      <c r="F38" s="199"/>
      <c r="G38" s="197"/>
      <c r="H38" s="198"/>
      <c r="I38" s="199"/>
      <c r="J38" s="197"/>
      <c r="K38" s="198"/>
      <c r="L38" s="199"/>
      <c r="M38" s="197"/>
      <c r="N38" s="198"/>
      <c r="O38" s="199"/>
      <c r="P38" s="197"/>
      <c r="Q38" s="222"/>
      <c r="R38" s="199"/>
      <c r="S38" s="197"/>
      <c r="T38" s="198"/>
      <c r="U38" s="199"/>
      <c r="V38" s="197"/>
      <c r="W38" s="198"/>
      <c r="X38" s="199"/>
      <c r="Y38" s="197"/>
      <c r="Z38" s="198"/>
      <c r="AA38" s="199"/>
      <c r="AB38" s="197"/>
      <c r="AC38" s="198"/>
      <c r="AD38" s="199"/>
      <c r="AE38" s="197"/>
      <c r="AF38" s="229"/>
      <c r="AG38" s="199"/>
      <c r="AH38" s="197"/>
      <c r="AI38" s="198"/>
      <c r="AJ38" s="199"/>
      <c r="AK38" s="199"/>
      <c r="AL38" s="199"/>
      <c r="AM38" s="181" t="str">
        <f t="shared" si="11"/>
        <v/>
      </c>
      <c r="AN38" s="181" t="str">
        <f t="shared" si="12"/>
        <v/>
      </c>
      <c r="AO38" s="181">
        <f t="shared" si="13"/>
        <v>41853</v>
      </c>
      <c r="AP38" s="181" t="str">
        <f t="shared" si="14"/>
        <v/>
      </c>
      <c r="AQ38" s="181" t="str">
        <f t="shared" si="15"/>
        <v/>
      </c>
      <c r="BG38" s="248"/>
      <c r="BH38" s="251"/>
      <c r="BI38" s="249" t="str">
        <f>IF(BK28="o","Nb de JC payé en fin de contrat :","Nb de JC à prendre :")</f>
        <v>Nb de JC à prendre :</v>
      </c>
      <c r="BJ38" s="258">
        <f>IF(BK28="o",BW3,ROUNDUP(BW3,0))</f>
        <v>0</v>
      </c>
      <c r="BK38" s="252"/>
      <c r="BM38" s="355">
        <v>33</v>
      </c>
      <c r="BN38" s="362">
        <f t="shared" si="8"/>
        <v>42645</v>
      </c>
      <c r="BO38" s="355">
        <f t="shared" si="0"/>
        <v>1</v>
      </c>
      <c r="BP38" s="355">
        <f t="shared" si="1"/>
        <v>0</v>
      </c>
      <c r="BQ38" s="355">
        <f t="shared" si="3"/>
        <v>0</v>
      </c>
      <c r="BR38" s="355">
        <f t="shared" si="9"/>
        <v>24</v>
      </c>
      <c r="BS38" s="243">
        <f t="shared" si="4"/>
        <v>6.7204193548387095E-2</v>
      </c>
      <c r="BT38">
        <f t="shared" si="5"/>
        <v>0</v>
      </c>
      <c r="BU38" t="str">
        <f t="shared" si="6"/>
        <v>ok</v>
      </c>
      <c r="BV38">
        <f t="shared" si="10"/>
        <v>0</v>
      </c>
      <c r="BW38">
        <f t="shared" si="7"/>
        <v>0</v>
      </c>
      <c r="BX38"/>
      <c r="BY38"/>
      <c r="BZ38"/>
      <c r="CA38"/>
      <c r="CB38"/>
      <c r="CC38"/>
      <c r="CD38"/>
    </row>
    <row r="39" spans="1:82" s="171" customFormat="1" ht="15.95" customHeight="1" x14ac:dyDescent="0.25">
      <c r="A39" s="197"/>
      <c r="E39" s="198"/>
      <c r="F39" s="199"/>
      <c r="G39" s="197"/>
      <c r="H39" s="198"/>
      <c r="I39" s="199"/>
      <c r="J39" s="197"/>
      <c r="K39" s="198"/>
      <c r="L39" s="199"/>
      <c r="M39" s="197"/>
      <c r="N39" s="198"/>
      <c r="O39" s="199"/>
      <c r="P39" s="197"/>
      <c r="Q39" s="233"/>
      <c r="AF39" s="234"/>
      <c r="AG39" s="199"/>
      <c r="AH39" s="197"/>
      <c r="AI39" s="198"/>
      <c r="AJ39" s="199"/>
      <c r="AK39" s="199"/>
      <c r="AL39" s="199"/>
      <c r="AM39" s="181" t="str">
        <f t="shared" si="11"/>
        <v/>
      </c>
      <c r="AN39" s="181" t="str">
        <f t="shared" si="12"/>
        <v/>
      </c>
      <c r="AO39" s="181">
        <f t="shared" si="13"/>
        <v>41854</v>
      </c>
      <c r="AP39" s="181" t="str">
        <f t="shared" si="14"/>
        <v/>
      </c>
      <c r="AQ39" s="181" t="str">
        <f t="shared" si="15"/>
        <v/>
      </c>
      <c r="BG39" s="259"/>
      <c r="BH39" s="260"/>
      <c r="BI39" s="260"/>
      <c r="BJ39" s="260"/>
      <c r="BK39" s="261"/>
      <c r="BM39" s="355">
        <v>34</v>
      </c>
      <c r="BN39" s="362">
        <f t="shared" si="8"/>
        <v>42646</v>
      </c>
      <c r="BO39" s="355">
        <f t="shared" si="0"/>
        <v>1</v>
      </c>
      <c r="BP39" s="355">
        <f t="shared" si="1"/>
        <v>0</v>
      </c>
      <c r="BQ39" s="355">
        <f t="shared" si="3"/>
        <v>0</v>
      </c>
      <c r="BR39" s="355">
        <f t="shared" si="9"/>
        <v>24</v>
      </c>
      <c r="BS39" s="243">
        <f t="shared" si="4"/>
        <v>6.7204193548387095E-2</v>
      </c>
      <c r="BT39">
        <f t="shared" si="5"/>
        <v>0</v>
      </c>
      <c r="BU39" t="str">
        <f t="shared" si="6"/>
        <v>ok</v>
      </c>
      <c r="BV39">
        <f t="shared" si="10"/>
        <v>0</v>
      </c>
      <c r="BW39">
        <f t="shared" si="7"/>
        <v>0</v>
      </c>
      <c r="BX39"/>
      <c r="BY39"/>
      <c r="BZ39"/>
      <c r="CA39"/>
      <c r="CB39"/>
      <c r="CC39"/>
      <c r="CD39"/>
    </row>
    <row r="40" spans="1:82" s="171" customFormat="1" ht="15.95" customHeight="1" x14ac:dyDescent="0.25">
      <c r="A40" s="197"/>
      <c r="E40" s="164"/>
      <c r="G40" s="197"/>
      <c r="H40" s="198"/>
      <c r="I40" s="199"/>
      <c r="J40" s="197"/>
      <c r="K40" s="198"/>
      <c r="L40" s="199"/>
      <c r="M40" s="197"/>
      <c r="N40" s="198"/>
      <c r="O40" s="199"/>
      <c r="P40" s="197"/>
      <c r="Q40" s="230" t="str">
        <f>"Nb de CP légaux pris entre le 01/09/"&amp;BC5&amp;" et le 31/10/"&amp;BC5&amp;" :"</f>
        <v>Nb de CP légaux pris entre le 01/09/2020 et le 31/10/2020 :</v>
      </c>
      <c r="R40" s="199"/>
      <c r="S40" s="197"/>
      <c r="T40" s="198"/>
      <c r="U40" s="199"/>
      <c r="V40" s="197"/>
      <c r="W40" s="198"/>
      <c r="X40" s="199"/>
      <c r="Y40" s="197"/>
      <c r="Z40" s="198"/>
      <c r="AA40" s="199"/>
      <c r="AB40" s="197"/>
      <c r="AC40" s="198"/>
      <c r="AD40" s="486">
        <f>AV9</f>
        <v>0</v>
      </c>
      <c r="AE40" s="486"/>
      <c r="AF40" s="487"/>
      <c r="AG40" s="199"/>
      <c r="AH40" s="197"/>
      <c r="AI40" s="198"/>
      <c r="AJ40" s="199"/>
      <c r="AK40" s="199"/>
      <c r="AL40" s="199"/>
      <c r="AM40" s="181" t="str">
        <f t="shared" si="11"/>
        <v/>
      </c>
      <c r="AN40" s="181" t="str">
        <f t="shared" si="12"/>
        <v/>
      </c>
      <c r="AO40" s="181">
        <f t="shared" si="13"/>
        <v>41855</v>
      </c>
      <c r="AP40" s="181" t="str">
        <f t="shared" si="14"/>
        <v/>
      </c>
      <c r="AQ40" s="181" t="str">
        <f t="shared" si="15"/>
        <v/>
      </c>
      <c r="BM40" s="355">
        <v>35</v>
      </c>
      <c r="BN40" s="362">
        <f t="shared" si="8"/>
        <v>42647</v>
      </c>
      <c r="BO40" s="355">
        <f t="shared" si="0"/>
        <v>0</v>
      </c>
      <c r="BP40" s="355">
        <f t="shared" si="1"/>
        <v>0</v>
      </c>
      <c r="BQ40" s="355">
        <f t="shared" si="3"/>
        <v>0</v>
      </c>
      <c r="BR40" s="355">
        <f t="shared" si="9"/>
        <v>25</v>
      </c>
      <c r="BS40" s="243">
        <f t="shared" si="4"/>
        <v>6.7204193548387095E-2</v>
      </c>
      <c r="BT40">
        <f t="shared" si="5"/>
        <v>0</v>
      </c>
      <c r="BU40" t="str">
        <f t="shared" si="6"/>
        <v>ok</v>
      </c>
      <c r="BV40">
        <f t="shared" si="10"/>
        <v>0</v>
      </c>
      <c r="BW40">
        <f t="shared" si="7"/>
        <v>0</v>
      </c>
      <c r="BX40"/>
      <c r="BY40"/>
      <c r="BZ40"/>
      <c r="CA40"/>
      <c r="CB40"/>
      <c r="CC40"/>
      <c r="CD40"/>
    </row>
    <row r="41" spans="1:82" s="171" customFormat="1" ht="15.95" customHeight="1" x14ac:dyDescent="0.25">
      <c r="A41" s="197"/>
      <c r="J41" s="197"/>
      <c r="K41" s="198"/>
      <c r="L41" s="199"/>
      <c r="M41" s="197"/>
      <c r="N41" s="198"/>
      <c r="O41" s="199"/>
      <c r="P41" s="197"/>
      <c r="Q41" s="222"/>
      <c r="R41" s="199"/>
      <c r="S41" s="197"/>
      <c r="T41" s="198"/>
      <c r="U41" s="199"/>
      <c r="V41" s="197"/>
      <c r="W41" s="198"/>
      <c r="X41" s="199"/>
      <c r="Y41" s="197"/>
      <c r="Z41" s="198"/>
      <c r="AA41" s="199"/>
      <c r="AB41" s="197"/>
      <c r="AC41" s="198"/>
      <c r="AD41" s="199"/>
      <c r="AE41" s="197"/>
      <c r="AF41" s="229"/>
      <c r="AG41" s="199"/>
      <c r="AH41" s="197"/>
      <c r="AI41" s="198"/>
      <c r="AJ41" s="199"/>
      <c r="AK41" s="199"/>
      <c r="AL41" s="199"/>
      <c r="AM41" s="181" t="str">
        <f t="shared" si="11"/>
        <v/>
      </c>
      <c r="AN41" s="181" t="str">
        <f t="shared" si="12"/>
        <v/>
      </c>
      <c r="AO41" s="181">
        <f t="shared" si="13"/>
        <v>41856</v>
      </c>
      <c r="AP41" s="181" t="str">
        <f t="shared" si="14"/>
        <v/>
      </c>
      <c r="AQ41" s="181" t="str">
        <f t="shared" si="15"/>
        <v/>
      </c>
      <c r="BM41" s="355">
        <v>36</v>
      </c>
      <c r="BN41" s="362">
        <f t="shared" si="8"/>
        <v>42648</v>
      </c>
      <c r="BO41" s="355">
        <f t="shared" si="0"/>
        <v>0</v>
      </c>
      <c r="BP41" s="355">
        <f t="shared" si="1"/>
        <v>0</v>
      </c>
      <c r="BQ41" s="355">
        <f t="shared" si="3"/>
        <v>0</v>
      </c>
      <c r="BR41" s="355">
        <f t="shared" si="9"/>
        <v>26</v>
      </c>
      <c r="BS41" s="243">
        <f t="shared" si="4"/>
        <v>6.7204193548387095E-2</v>
      </c>
      <c r="BT41">
        <f t="shared" si="5"/>
        <v>0</v>
      </c>
      <c r="BU41" t="str">
        <f t="shared" si="6"/>
        <v>ok</v>
      </c>
      <c r="BV41">
        <f t="shared" si="10"/>
        <v>0</v>
      </c>
      <c r="BW41">
        <f t="shared" si="7"/>
        <v>0</v>
      </c>
      <c r="BX41"/>
      <c r="BY41"/>
      <c r="BZ41"/>
      <c r="CA41"/>
      <c r="CB41"/>
      <c r="CC41"/>
      <c r="CD41"/>
    </row>
    <row r="42" spans="1:82" ht="15.95" customHeight="1" x14ac:dyDescent="0.25">
      <c r="A42" s="88"/>
      <c r="J42" s="88"/>
      <c r="K42" s="89"/>
      <c r="L42" s="90"/>
      <c r="M42" s="88"/>
      <c r="N42" s="89"/>
      <c r="O42" s="90"/>
      <c r="P42" s="88"/>
      <c r="Q42" s="270" t="str">
        <f>"Nb de CP légaux pris entre le 01/05/"&amp;BG5&amp;" et le 31/08/"&amp;BG5&amp;" :"</f>
        <v>Nb de CP légaux pris entre le 01/05/2021 et le 31/08/2021 :</v>
      </c>
      <c r="R42" s="271"/>
      <c r="S42" s="272"/>
      <c r="T42" s="273"/>
      <c r="U42" s="271"/>
      <c r="V42" s="272"/>
      <c r="W42" s="273"/>
      <c r="X42" s="271"/>
      <c r="Y42" s="272"/>
      <c r="Z42" s="273"/>
      <c r="AA42" s="271"/>
      <c r="AB42" s="272"/>
      <c r="AC42" s="273"/>
      <c r="AD42" s="481">
        <f>AY9</f>
        <v>0</v>
      </c>
      <c r="AE42" s="481"/>
      <c r="AF42" s="482"/>
      <c r="AG42" s="90"/>
      <c r="AH42" s="88"/>
      <c r="AI42" s="89"/>
      <c r="AJ42" s="90"/>
      <c r="AK42" s="90"/>
      <c r="AL42" s="90"/>
      <c r="AM42" s="81" t="str">
        <f t="shared" si="11"/>
        <v/>
      </c>
      <c r="AN42" s="81" t="str">
        <f t="shared" si="12"/>
        <v/>
      </c>
      <c r="AO42" s="81">
        <f t="shared" si="13"/>
        <v>41857</v>
      </c>
      <c r="AP42" s="81" t="str">
        <f t="shared" si="14"/>
        <v/>
      </c>
      <c r="AQ42" s="81" t="str">
        <f t="shared" si="15"/>
        <v/>
      </c>
      <c r="BM42" s="355">
        <v>37</v>
      </c>
      <c r="BN42" s="362">
        <f t="shared" si="8"/>
        <v>42649</v>
      </c>
      <c r="BO42" s="355">
        <f t="shared" si="0"/>
        <v>0</v>
      </c>
      <c r="BP42" s="355">
        <f t="shared" si="1"/>
        <v>0</v>
      </c>
      <c r="BQ42" s="355">
        <f t="shared" si="3"/>
        <v>0</v>
      </c>
      <c r="BR42" s="355">
        <f t="shared" si="9"/>
        <v>27</v>
      </c>
      <c r="BS42" s="243">
        <f t="shared" si="4"/>
        <v>6.7204193548387095E-2</v>
      </c>
      <c r="BT42">
        <f t="shared" si="5"/>
        <v>0</v>
      </c>
      <c r="BU42" t="str">
        <f t="shared" si="6"/>
        <v>ok</v>
      </c>
      <c r="BV42">
        <f t="shared" si="10"/>
        <v>0</v>
      </c>
      <c r="BW42">
        <f t="shared" si="7"/>
        <v>0</v>
      </c>
    </row>
    <row r="43" spans="1:82" ht="14.1" customHeight="1" x14ac:dyDescent="0.25">
      <c r="A43" s="88"/>
      <c r="J43" s="88"/>
      <c r="K43" s="89"/>
      <c r="L43" s="90"/>
      <c r="M43" s="88"/>
      <c r="N43" s="89"/>
      <c r="O43" s="90"/>
      <c r="P43" s="88"/>
      <c r="Q43" s="235"/>
      <c r="R43" s="236"/>
      <c r="S43" s="237"/>
      <c r="T43" s="238"/>
      <c r="U43" s="236"/>
      <c r="V43" s="237"/>
      <c r="W43" s="238"/>
      <c r="X43" s="236"/>
      <c r="Y43" s="237"/>
      <c r="Z43" s="238"/>
      <c r="AA43" s="236"/>
      <c r="AB43" s="237"/>
      <c r="AC43" s="238"/>
      <c r="AD43" s="236"/>
      <c r="AE43" s="237"/>
      <c r="AF43" s="239"/>
      <c r="AG43" s="90"/>
      <c r="AH43" s="88"/>
      <c r="AI43" s="89"/>
      <c r="AJ43" s="90"/>
      <c r="AK43" s="90"/>
      <c r="AL43" s="90"/>
      <c r="AM43" s="81" t="str">
        <f t="shared" si="11"/>
        <v/>
      </c>
      <c r="AN43" s="81" t="str">
        <f t="shared" si="12"/>
        <v/>
      </c>
      <c r="AO43" s="81">
        <f t="shared" si="13"/>
        <v>41858</v>
      </c>
      <c r="AP43" s="81" t="str">
        <f t="shared" si="14"/>
        <v/>
      </c>
      <c r="AQ43" s="81" t="str">
        <f t="shared" si="15"/>
        <v/>
      </c>
      <c r="BM43" s="355">
        <v>38</v>
      </c>
      <c r="BN43" s="362">
        <f t="shared" si="8"/>
        <v>42650</v>
      </c>
      <c r="BO43" s="355">
        <f t="shared" si="0"/>
        <v>0</v>
      </c>
      <c r="BP43" s="355">
        <f t="shared" si="1"/>
        <v>0</v>
      </c>
      <c r="BQ43" s="355">
        <f t="shared" si="3"/>
        <v>0</v>
      </c>
      <c r="BR43" s="355">
        <f t="shared" si="9"/>
        <v>28</v>
      </c>
      <c r="BS43" s="243">
        <f t="shared" si="4"/>
        <v>6.7204193548387095E-2</v>
      </c>
      <c r="BT43">
        <f t="shared" si="5"/>
        <v>0</v>
      </c>
      <c r="BU43" t="str">
        <f t="shared" si="6"/>
        <v>ok</v>
      </c>
      <c r="BV43">
        <f t="shared" si="10"/>
        <v>0</v>
      </c>
      <c r="BW43">
        <f t="shared" si="7"/>
        <v>0</v>
      </c>
    </row>
    <row r="44" spans="1:82" ht="14.1" customHeight="1" x14ac:dyDescent="0.25">
      <c r="A44" s="88"/>
      <c r="J44" s="88"/>
      <c r="K44" s="89"/>
      <c r="L44" s="90"/>
      <c r="M44" s="88"/>
      <c r="N44" s="89"/>
      <c r="O44" s="90"/>
      <c r="P44" s="88"/>
      <c r="Q44" s="89"/>
      <c r="R44" s="90"/>
      <c r="S44" s="88"/>
      <c r="T44" s="89"/>
      <c r="U44" s="90"/>
      <c r="V44" s="88"/>
      <c r="W44" s="89"/>
      <c r="X44" s="90"/>
      <c r="Y44" s="88"/>
      <c r="Z44" s="89"/>
      <c r="AA44" s="90"/>
      <c r="AB44" s="88"/>
      <c r="AC44" s="89"/>
      <c r="AD44" s="90"/>
      <c r="AE44" s="88"/>
      <c r="AF44" s="89"/>
      <c r="AG44" s="90"/>
      <c r="AH44" s="88"/>
      <c r="AI44" s="89"/>
      <c r="AJ44" s="90"/>
      <c r="AK44" s="90"/>
      <c r="AL44" s="90"/>
      <c r="AM44" s="81" t="str">
        <f t="shared" si="11"/>
        <v/>
      </c>
      <c r="AN44" s="81" t="str">
        <f t="shared" si="12"/>
        <v/>
      </c>
      <c r="AO44" s="81">
        <f t="shared" si="13"/>
        <v>41859</v>
      </c>
      <c r="AP44" s="81" t="str">
        <f t="shared" si="14"/>
        <v/>
      </c>
      <c r="AQ44" s="81" t="str">
        <f t="shared" si="15"/>
        <v/>
      </c>
      <c r="BM44" s="355">
        <v>39</v>
      </c>
      <c r="BN44" s="362">
        <f t="shared" si="8"/>
        <v>42651</v>
      </c>
      <c r="BO44" s="355">
        <f t="shared" si="0"/>
        <v>0</v>
      </c>
      <c r="BP44" s="355">
        <f t="shared" si="1"/>
        <v>0</v>
      </c>
      <c r="BQ44" s="355">
        <f t="shared" si="3"/>
        <v>0</v>
      </c>
      <c r="BR44" s="355">
        <f t="shared" si="9"/>
        <v>29</v>
      </c>
      <c r="BS44" s="243">
        <f t="shared" si="4"/>
        <v>6.7204193548387095E-2</v>
      </c>
      <c r="BT44">
        <f t="shared" si="5"/>
        <v>0</v>
      </c>
      <c r="BU44" t="str">
        <f t="shared" si="6"/>
        <v>ok</v>
      </c>
      <c r="BV44">
        <f t="shared" si="10"/>
        <v>0</v>
      </c>
      <c r="BW44">
        <f t="shared" si="7"/>
        <v>0</v>
      </c>
    </row>
    <row r="45" spans="1:82" ht="14.1" customHeight="1" x14ac:dyDescent="0.25">
      <c r="J45" s="63"/>
      <c r="N45" s="63"/>
      <c r="R45" s="63"/>
      <c r="S45" s="63"/>
      <c r="W45" s="63"/>
      <c r="AA45" s="63"/>
      <c r="AB45" s="63"/>
      <c r="AG45" s="90"/>
      <c r="AH45" s="88"/>
      <c r="AI45" s="89"/>
      <c r="AJ45" s="90"/>
      <c r="AK45" s="90"/>
      <c r="AL45" s="90"/>
      <c r="AM45" s="81" t="str">
        <f t="shared" si="11"/>
        <v/>
      </c>
      <c r="AN45" s="81" t="str">
        <f t="shared" si="12"/>
        <v/>
      </c>
      <c r="AO45" s="81">
        <f t="shared" si="13"/>
        <v>41860</v>
      </c>
      <c r="AP45" s="81" t="str">
        <f t="shared" si="14"/>
        <v/>
      </c>
      <c r="AQ45" s="81" t="str">
        <f t="shared" si="15"/>
        <v/>
      </c>
      <c r="BM45" s="355">
        <v>40</v>
      </c>
      <c r="BN45" s="362">
        <f t="shared" si="8"/>
        <v>42652</v>
      </c>
      <c r="BO45" s="355">
        <f t="shared" si="0"/>
        <v>1</v>
      </c>
      <c r="BP45" s="355">
        <f t="shared" si="1"/>
        <v>0</v>
      </c>
      <c r="BQ45" s="355">
        <f t="shared" si="3"/>
        <v>0</v>
      </c>
      <c r="BR45" s="355">
        <f t="shared" si="9"/>
        <v>29</v>
      </c>
      <c r="BS45" s="243">
        <f t="shared" si="4"/>
        <v>6.7204193548387095E-2</v>
      </c>
      <c r="BT45">
        <f t="shared" si="5"/>
        <v>0</v>
      </c>
      <c r="BU45" t="str">
        <f t="shared" si="6"/>
        <v>ok</v>
      </c>
      <c r="BV45">
        <f t="shared" si="10"/>
        <v>0</v>
      </c>
      <c r="BW45">
        <f t="shared" si="7"/>
        <v>0</v>
      </c>
    </row>
    <row r="46" spans="1:82" ht="14.1" customHeight="1" x14ac:dyDescent="0.25">
      <c r="J46" s="63"/>
      <c r="N46" s="63"/>
      <c r="R46" s="63"/>
      <c r="S46" s="63"/>
      <c r="W46" s="63"/>
      <c r="AA46" s="63"/>
      <c r="AB46" s="63"/>
      <c r="AG46" s="90"/>
      <c r="AH46" s="88"/>
      <c r="AI46" s="89"/>
      <c r="AJ46" s="90"/>
      <c r="AK46" s="90"/>
      <c r="AL46" s="90"/>
      <c r="AM46" s="81" t="str">
        <f t="shared" si="11"/>
        <v/>
      </c>
      <c r="AN46" s="81" t="str">
        <f t="shared" si="12"/>
        <v/>
      </c>
      <c r="AO46" s="81">
        <f t="shared" si="13"/>
        <v>41861</v>
      </c>
      <c r="AP46" s="81" t="str">
        <f t="shared" si="14"/>
        <v/>
      </c>
      <c r="AQ46" s="81" t="str">
        <f t="shared" si="15"/>
        <v/>
      </c>
      <c r="BM46" s="355">
        <v>41</v>
      </c>
      <c r="BN46" s="362">
        <f t="shared" si="8"/>
        <v>42653</v>
      </c>
      <c r="BO46" s="355">
        <f t="shared" si="0"/>
        <v>1</v>
      </c>
      <c r="BP46" s="355">
        <f t="shared" si="1"/>
        <v>0</v>
      </c>
      <c r="BQ46" s="355">
        <f t="shared" si="3"/>
        <v>0</v>
      </c>
      <c r="BR46" s="355">
        <f t="shared" si="9"/>
        <v>29</v>
      </c>
      <c r="BS46" s="243">
        <f t="shared" si="4"/>
        <v>6.7204193548387095E-2</v>
      </c>
      <c r="BT46">
        <f t="shared" si="5"/>
        <v>0</v>
      </c>
      <c r="BU46" t="str">
        <f t="shared" si="6"/>
        <v>ok</v>
      </c>
      <c r="BV46">
        <f t="shared" si="10"/>
        <v>0</v>
      </c>
      <c r="BW46">
        <f t="shared" si="7"/>
        <v>0</v>
      </c>
    </row>
    <row r="47" spans="1:82" ht="14.1" customHeight="1" x14ac:dyDescent="0.25">
      <c r="J47" s="63"/>
      <c r="M47" s="661" t="s">
        <v>290</v>
      </c>
      <c r="N47" s="661"/>
      <c r="O47" s="661"/>
      <c r="P47" s="661"/>
      <c r="Q47" s="661"/>
      <c r="R47" s="661"/>
      <c r="S47" s="661"/>
      <c r="T47" s="661"/>
      <c r="U47" s="661"/>
      <c r="V47" s="661"/>
      <c r="W47" s="661"/>
      <c r="AA47" s="63"/>
      <c r="AB47" s="63"/>
      <c r="AH47" s="88"/>
      <c r="AI47" s="89"/>
      <c r="AJ47" s="90"/>
      <c r="AK47" s="90"/>
      <c r="AL47" s="90"/>
      <c r="AM47" s="81" t="str">
        <f t="shared" si="11"/>
        <v/>
      </c>
      <c r="AN47" s="81" t="str">
        <f t="shared" si="12"/>
        <v/>
      </c>
      <c r="AO47" s="81">
        <f t="shared" si="13"/>
        <v>41862</v>
      </c>
      <c r="AP47" s="81" t="str">
        <f t="shared" si="14"/>
        <v/>
      </c>
      <c r="AQ47" s="81" t="str">
        <f t="shared" si="15"/>
        <v/>
      </c>
      <c r="BM47" s="355">
        <v>42</v>
      </c>
      <c r="BN47" s="362">
        <f t="shared" si="8"/>
        <v>42654</v>
      </c>
      <c r="BO47" s="355">
        <f t="shared" si="0"/>
        <v>0</v>
      </c>
      <c r="BP47" s="355">
        <f t="shared" si="1"/>
        <v>0</v>
      </c>
      <c r="BQ47" s="355">
        <f t="shared" si="3"/>
        <v>0</v>
      </c>
      <c r="BR47" s="355">
        <f t="shared" si="9"/>
        <v>30</v>
      </c>
      <c r="BS47" s="243">
        <f t="shared" si="4"/>
        <v>6.7204193548387095E-2</v>
      </c>
      <c r="BT47">
        <f t="shared" si="5"/>
        <v>0</v>
      </c>
      <c r="BU47" t="str">
        <f t="shared" si="6"/>
        <v>ok</v>
      </c>
      <c r="BV47">
        <f t="shared" si="10"/>
        <v>0</v>
      </c>
      <c r="BW47">
        <f t="shared" si="7"/>
        <v>0</v>
      </c>
    </row>
    <row r="48" spans="1:82" ht="14.1" customHeight="1" thickBot="1" x14ac:dyDescent="0.3">
      <c r="J48" s="63"/>
      <c r="M48" s="171"/>
      <c r="N48" s="279"/>
      <c r="O48" s="279"/>
      <c r="P48" s="279"/>
      <c r="Q48" s="279"/>
      <c r="R48" s="279"/>
      <c r="S48" s="279"/>
      <c r="T48" s="279"/>
      <c r="U48" s="171"/>
      <c r="V48" s="171"/>
      <c r="W48" s="171"/>
      <c r="AA48" s="63"/>
      <c r="AB48" s="63"/>
      <c r="AH48" s="88"/>
      <c r="AI48" s="89"/>
      <c r="AJ48" s="90"/>
      <c r="AK48" s="90"/>
      <c r="AL48" s="90"/>
      <c r="AM48" s="81" t="str">
        <f t="shared" si="11"/>
        <v/>
      </c>
      <c r="AN48" s="81" t="str">
        <f t="shared" si="12"/>
        <v/>
      </c>
      <c r="AO48" s="81">
        <f t="shared" si="13"/>
        <v>41863</v>
      </c>
      <c r="AP48" s="81" t="str">
        <f t="shared" si="14"/>
        <v/>
      </c>
      <c r="AQ48" s="81" t="str">
        <f t="shared" si="15"/>
        <v/>
      </c>
      <c r="BM48" s="355">
        <v>43</v>
      </c>
      <c r="BN48" s="362">
        <f t="shared" si="8"/>
        <v>42655</v>
      </c>
      <c r="BO48" s="355">
        <f t="shared" si="0"/>
        <v>0</v>
      </c>
      <c r="BP48" s="355">
        <f t="shared" si="1"/>
        <v>0</v>
      </c>
      <c r="BQ48" s="355">
        <f t="shared" si="3"/>
        <v>0</v>
      </c>
      <c r="BR48" s="355">
        <f t="shared" si="9"/>
        <v>31</v>
      </c>
      <c r="BS48" s="243">
        <f t="shared" si="4"/>
        <v>6.7204193548387095E-2</v>
      </c>
      <c r="BT48">
        <f t="shared" si="5"/>
        <v>0</v>
      </c>
      <c r="BU48" t="str">
        <f t="shared" si="6"/>
        <v>ok</v>
      </c>
      <c r="BV48">
        <f t="shared" si="10"/>
        <v>0</v>
      </c>
      <c r="BW48">
        <f t="shared" si="7"/>
        <v>0</v>
      </c>
    </row>
    <row r="49" spans="1:82" ht="14.1" customHeight="1" thickBot="1" x14ac:dyDescent="0.3">
      <c r="J49" s="63"/>
      <c r="M49" s="171"/>
      <c r="N49" s="279"/>
      <c r="O49" s="757" t="s">
        <v>17</v>
      </c>
      <c r="P49" s="758"/>
      <c r="Q49" s="289" t="s">
        <v>18</v>
      </c>
      <c r="R49" s="757" t="s">
        <v>17</v>
      </c>
      <c r="S49" s="758"/>
      <c r="T49" s="289" t="s">
        <v>18</v>
      </c>
      <c r="U49" s="757" t="s">
        <v>17</v>
      </c>
      <c r="V49" s="758"/>
      <c r="W49" s="289" t="s">
        <v>18</v>
      </c>
      <c r="AA49" s="63"/>
      <c r="AB49" s="63"/>
      <c r="AH49" s="88"/>
      <c r="AI49" s="89"/>
      <c r="AJ49" s="90"/>
      <c r="AK49" s="90"/>
      <c r="AL49" s="90"/>
      <c r="AM49" s="81" t="str">
        <f t="shared" si="11"/>
        <v/>
      </c>
      <c r="AN49" s="81" t="str">
        <f t="shared" si="12"/>
        <v/>
      </c>
      <c r="AO49" s="81">
        <f t="shared" si="13"/>
        <v>41864</v>
      </c>
      <c r="AP49" s="81" t="str">
        <f t="shared" si="14"/>
        <v/>
      </c>
      <c r="AQ49" s="81" t="str">
        <f t="shared" si="15"/>
        <v/>
      </c>
      <c r="BM49" s="355">
        <v>44</v>
      </c>
      <c r="BN49" s="362">
        <f t="shared" si="8"/>
        <v>42656</v>
      </c>
      <c r="BO49" s="355">
        <f t="shared" si="0"/>
        <v>0</v>
      </c>
      <c r="BP49" s="355">
        <f t="shared" si="1"/>
        <v>0</v>
      </c>
      <c r="BQ49" s="355">
        <f t="shared" si="3"/>
        <v>0</v>
      </c>
      <c r="BR49" s="355">
        <f t="shared" si="9"/>
        <v>32</v>
      </c>
      <c r="BS49" s="243">
        <f t="shared" si="4"/>
        <v>6.7204193548387095E-2</v>
      </c>
      <c r="BT49">
        <f t="shared" si="5"/>
        <v>0</v>
      </c>
      <c r="BU49" t="str">
        <f t="shared" si="6"/>
        <v>ok</v>
      </c>
      <c r="BV49">
        <f t="shared" si="10"/>
        <v>0</v>
      </c>
      <c r="BW49">
        <f t="shared" si="7"/>
        <v>0</v>
      </c>
    </row>
    <row r="50" spans="1:82" ht="14.1" customHeight="1" x14ac:dyDescent="0.25">
      <c r="J50" s="63"/>
      <c r="M50" s="442" t="s">
        <v>291</v>
      </c>
      <c r="N50" s="443"/>
      <c r="O50" s="759"/>
      <c r="P50" s="760"/>
      <c r="Q50" s="328"/>
      <c r="R50" s="759"/>
      <c r="S50" s="760"/>
      <c r="T50" s="328"/>
      <c r="U50" s="759"/>
      <c r="V50" s="760"/>
      <c r="W50" s="328"/>
      <c r="X50" s="92"/>
      <c r="AA50" s="63"/>
      <c r="AB50" s="63"/>
      <c r="AH50" s="88"/>
      <c r="AI50" s="89"/>
      <c r="AJ50" s="90"/>
      <c r="AK50" s="90"/>
      <c r="AL50" s="90"/>
      <c r="AM50" s="81" t="str">
        <f>IF(AM49="","",IF(AM49=$AD$20,"",AM49+1))</f>
        <v/>
      </c>
      <c r="AN50" s="81" t="str">
        <f>IF(AN49="","",IF(AN49=$AD$21,"",AN49+1))</f>
        <v/>
      </c>
      <c r="AO50" s="81">
        <f>IF(AO49="","",IF(AO49=$AD$22,"",AO49+1))</f>
        <v>41865</v>
      </c>
      <c r="AP50" s="81" t="str">
        <f>IF(AP49="","",IF(AP49=$AD$18,"",AP49+1))</f>
        <v/>
      </c>
      <c r="AQ50" s="81" t="str">
        <f>IF(AQ49="","",IF(AQ49=$AD$19,"",AQ49+1))</f>
        <v/>
      </c>
      <c r="BM50" s="355">
        <v>45</v>
      </c>
      <c r="BN50" s="362">
        <f>BN49+1</f>
        <v>42657</v>
      </c>
      <c r="BO50" s="355">
        <f t="shared" si="0"/>
        <v>0</v>
      </c>
      <c r="BP50" s="355">
        <f t="shared" si="1"/>
        <v>0</v>
      </c>
      <c r="BQ50" s="355">
        <f t="shared" si="3"/>
        <v>0</v>
      </c>
      <c r="BR50" s="355">
        <f>BR49+1-BP50-BO50</f>
        <v>33</v>
      </c>
      <c r="BS50" s="243">
        <f t="shared" si="4"/>
        <v>6.7204193548387095E-2</v>
      </c>
      <c r="BT50">
        <f t="shared" si="5"/>
        <v>0</v>
      </c>
      <c r="BU50" t="str">
        <f t="shared" si="6"/>
        <v>ok</v>
      </c>
      <c r="BV50">
        <f t="shared" si="10"/>
        <v>0</v>
      </c>
      <c r="BW50">
        <f t="shared" si="7"/>
        <v>0</v>
      </c>
    </row>
    <row r="51" spans="1:82" ht="14.1" customHeight="1" x14ac:dyDescent="0.25">
      <c r="J51" s="63"/>
      <c r="M51" s="446" t="s">
        <v>292</v>
      </c>
      <c r="N51" s="447"/>
      <c r="O51" s="755"/>
      <c r="P51" s="756"/>
      <c r="Q51" s="329"/>
      <c r="R51" s="755"/>
      <c r="S51" s="756"/>
      <c r="T51" s="329"/>
      <c r="U51" s="755"/>
      <c r="V51" s="756"/>
      <c r="W51" s="329"/>
      <c r="X51" s="92"/>
      <c r="AA51" s="63"/>
      <c r="AB51" s="63"/>
      <c r="AH51" s="88"/>
      <c r="AI51" s="89"/>
      <c r="AJ51" s="90"/>
      <c r="AK51" s="90"/>
      <c r="AL51" s="90"/>
      <c r="AM51" s="81" t="str">
        <f t="shared" si="11"/>
        <v/>
      </c>
      <c r="AN51" s="81" t="str">
        <f t="shared" si="12"/>
        <v/>
      </c>
      <c r="AO51" s="81">
        <f t="shared" si="13"/>
        <v>41866</v>
      </c>
      <c r="AP51" s="81" t="str">
        <f t="shared" si="14"/>
        <v/>
      </c>
      <c r="AQ51" s="81" t="str">
        <f t="shared" si="15"/>
        <v/>
      </c>
      <c r="BM51" s="355">
        <v>46</v>
      </c>
      <c r="BN51" s="362">
        <f t="shared" si="8"/>
        <v>42658</v>
      </c>
      <c r="BO51" s="355">
        <f t="shared" si="0"/>
        <v>0</v>
      </c>
      <c r="BP51" s="355">
        <f t="shared" si="1"/>
        <v>0</v>
      </c>
      <c r="BQ51" s="355">
        <f t="shared" si="3"/>
        <v>0</v>
      </c>
      <c r="BR51" s="355">
        <f t="shared" si="9"/>
        <v>34</v>
      </c>
      <c r="BS51" s="243">
        <f t="shared" si="4"/>
        <v>6.7204193548387095E-2</v>
      </c>
      <c r="BT51">
        <f t="shared" si="5"/>
        <v>0</v>
      </c>
      <c r="BU51" t="str">
        <f t="shared" si="6"/>
        <v>ok</v>
      </c>
      <c r="BV51">
        <f t="shared" si="10"/>
        <v>0</v>
      </c>
      <c r="BW51">
        <f t="shared" si="7"/>
        <v>0</v>
      </c>
    </row>
    <row r="52" spans="1:82" ht="14.1" customHeight="1" x14ac:dyDescent="0.25">
      <c r="J52" s="63"/>
      <c r="M52" s="446" t="s">
        <v>293</v>
      </c>
      <c r="N52" s="447"/>
      <c r="O52" s="755"/>
      <c r="P52" s="756"/>
      <c r="Q52" s="329"/>
      <c r="R52" s="755"/>
      <c r="S52" s="756"/>
      <c r="T52" s="329"/>
      <c r="U52" s="755"/>
      <c r="V52" s="756"/>
      <c r="W52" s="329"/>
      <c r="AA52" s="63"/>
      <c r="AB52" s="63"/>
      <c r="AH52" s="88"/>
      <c r="AI52" s="89"/>
      <c r="AJ52" s="90"/>
      <c r="AK52" s="90"/>
      <c r="AL52" s="90"/>
      <c r="AM52" s="81" t="str">
        <f t="shared" si="11"/>
        <v/>
      </c>
      <c r="AN52" s="81" t="str">
        <f t="shared" si="12"/>
        <v/>
      </c>
      <c r="AO52" s="81">
        <f t="shared" si="13"/>
        <v>41867</v>
      </c>
      <c r="AP52" s="81" t="str">
        <f t="shared" si="14"/>
        <v/>
      </c>
      <c r="AQ52" s="81" t="str">
        <f t="shared" si="15"/>
        <v/>
      </c>
      <c r="BM52" s="355">
        <v>47</v>
      </c>
      <c r="BN52" s="362">
        <f t="shared" si="8"/>
        <v>42659</v>
      </c>
      <c r="BO52" s="355">
        <f t="shared" si="0"/>
        <v>1</v>
      </c>
      <c r="BP52" s="355">
        <f t="shared" si="1"/>
        <v>0</v>
      </c>
      <c r="BQ52" s="355">
        <f t="shared" si="3"/>
        <v>0</v>
      </c>
      <c r="BR52" s="355">
        <f t="shared" si="9"/>
        <v>34</v>
      </c>
      <c r="BS52" s="243">
        <f t="shared" si="4"/>
        <v>6.7204193548387095E-2</v>
      </c>
      <c r="BT52">
        <f t="shared" si="5"/>
        <v>0</v>
      </c>
      <c r="BU52" t="str">
        <f t="shared" si="6"/>
        <v>ok</v>
      </c>
      <c r="BV52">
        <f t="shared" si="10"/>
        <v>0</v>
      </c>
      <c r="BW52">
        <f t="shared" si="7"/>
        <v>0</v>
      </c>
    </row>
    <row r="53" spans="1:82" s="92" customFormat="1" ht="14.1" customHeight="1" x14ac:dyDescent="0.25">
      <c r="A53" s="63"/>
      <c r="B53" s="63"/>
      <c r="C53" s="63"/>
      <c r="D53" s="63"/>
      <c r="E53" s="76"/>
      <c r="F53" s="63"/>
      <c r="G53" s="63"/>
      <c r="H53" s="63"/>
      <c r="I53" s="76"/>
      <c r="J53" s="63"/>
      <c r="K53" s="63"/>
      <c r="L53" s="63"/>
      <c r="M53" s="446" t="s">
        <v>294</v>
      </c>
      <c r="N53" s="447"/>
      <c r="O53" s="755"/>
      <c r="P53" s="756"/>
      <c r="Q53" s="329"/>
      <c r="R53" s="755"/>
      <c r="S53" s="756"/>
      <c r="T53" s="329"/>
      <c r="U53" s="755"/>
      <c r="V53" s="756"/>
      <c r="W53" s="329"/>
      <c r="X53" s="63"/>
      <c r="Y53" s="63"/>
      <c r="Z53" s="63"/>
      <c r="AA53" s="63"/>
      <c r="AB53" s="63"/>
      <c r="AC53" s="63"/>
      <c r="AD53" s="63"/>
      <c r="AE53" s="63"/>
      <c r="AF53" s="76"/>
      <c r="AG53" s="63"/>
      <c r="AH53" s="761"/>
      <c r="AI53" s="761"/>
      <c r="AJ53" s="761"/>
      <c r="AK53" s="359"/>
      <c r="AL53" s="359"/>
      <c r="AM53" s="81" t="str">
        <f t="shared" si="11"/>
        <v/>
      </c>
      <c r="AN53" s="81" t="str">
        <f t="shared" si="12"/>
        <v/>
      </c>
      <c r="AO53" s="81">
        <f t="shared" si="13"/>
        <v>41868</v>
      </c>
      <c r="AP53" s="81" t="str">
        <f t="shared" si="14"/>
        <v/>
      </c>
      <c r="AQ53" s="81" t="str">
        <f t="shared" si="15"/>
        <v/>
      </c>
      <c r="BM53" s="355">
        <v>48</v>
      </c>
      <c r="BN53" s="362">
        <f t="shared" si="8"/>
        <v>42660</v>
      </c>
      <c r="BO53" s="355">
        <f t="shared" si="0"/>
        <v>1</v>
      </c>
      <c r="BP53" s="355">
        <f t="shared" si="1"/>
        <v>0</v>
      </c>
      <c r="BQ53" s="355">
        <f t="shared" si="3"/>
        <v>0</v>
      </c>
      <c r="BR53" s="355">
        <f t="shared" si="9"/>
        <v>34</v>
      </c>
      <c r="BS53" s="243">
        <f t="shared" si="4"/>
        <v>6.7204193548387095E-2</v>
      </c>
      <c r="BT53">
        <f t="shared" si="5"/>
        <v>0</v>
      </c>
      <c r="BU53" t="str">
        <f t="shared" si="6"/>
        <v>ok</v>
      </c>
      <c r="BV53">
        <f t="shared" si="10"/>
        <v>0</v>
      </c>
      <c r="BW53">
        <f t="shared" si="7"/>
        <v>0</v>
      </c>
      <c r="BX53"/>
      <c r="BY53"/>
      <c r="BZ53"/>
      <c r="CA53"/>
      <c r="CB53"/>
      <c r="CC53"/>
      <c r="CD53"/>
    </row>
    <row r="54" spans="1:82" s="92" customFormat="1" ht="14.1" customHeight="1" x14ac:dyDescent="0.25">
      <c r="A54" s="63"/>
      <c r="B54" s="63"/>
      <c r="C54" s="63"/>
      <c r="D54" s="63"/>
      <c r="E54" s="76"/>
      <c r="F54" s="63"/>
      <c r="G54" s="63"/>
      <c r="H54" s="63"/>
      <c r="I54" s="76"/>
      <c r="J54" s="63"/>
      <c r="K54" s="63"/>
      <c r="L54" s="63"/>
      <c r="M54" s="446" t="s">
        <v>295</v>
      </c>
      <c r="N54" s="447"/>
      <c r="O54" s="755"/>
      <c r="P54" s="756"/>
      <c r="Q54" s="329"/>
      <c r="R54" s="755"/>
      <c r="S54" s="756"/>
      <c r="T54" s="329"/>
      <c r="U54" s="755"/>
      <c r="V54" s="756"/>
      <c r="W54" s="329"/>
      <c r="X54" s="63"/>
      <c r="Y54" s="63"/>
      <c r="Z54" s="63"/>
      <c r="AA54" s="63"/>
      <c r="AB54" s="63"/>
      <c r="AC54" s="63"/>
      <c r="AD54" s="63"/>
      <c r="AE54" s="63"/>
      <c r="AF54" s="76"/>
      <c r="AG54" s="63"/>
      <c r="AH54" s="359"/>
      <c r="AI54" s="359"/>
      <c r="AJ54" s="359"/>
      <c r="AK54" s="359"/>
      <c r="AL54" s="359"/>
      <c r="AM54" s="81" t="str">
        <f t="shared" si="11"/>
        <v/>
      </c>
      <c r="AN54" s="81" t="str">
        <f t="shared" si="12"/>
        <v/>
      </c>
      <c r="AO54" s="81">
        <f t="shared" si="13"/>
        <v>41869</v>
      </c>
      <c r="AP54" s="81" t="str">
        <f t="shared" si="14"/>
        <v/>
      </c>
      <c r="AQ54" s="81" t="str">
        <f t="shared" si="15"/>
        <v/>
      </c>
      <c r="BM54" s="355">
        <v>49</v>
      </c>
      <c r="BN54" s="362">
        <f t="shared" si="8"/>
        <v>42661</v>
      </c>
      <c r="BO54" s="355">
        <f t="shared" si="0"/>
        <v>0</v>
      </c>
      <c r="BP54" s="355">
        <f t="shared" si="1"/>
        <v>0</v>
      </c>
      <c r="BQ54" s="355">
        <f t="shared" si="3"/>
        <v>0</v>
      </c>
      <c r="BR54" s="355">
        <f t="shared" si="9"/>
        <v>35</v>
      </c>
      <c r="BS54" s="243">
        <f t="shared" si="4"/>
        <v>6.7204193548387095E-2</v>
      </c>
      <c r="BT54">
        <f t="shared" si="5"/>
        <v>0</v>
      </c>
      <c r="BU54" t="str">
        <f t="shared" si="6"/>
        <v>ok</v>
      </c>
      <c r="BV54">
        <f t="shared" si="10"/>
        <v>0</v>
      </c>
      <c r="BW54">
        <f t="shared" si="7"/>
        <v>0</v>
      </c>
      <c r="BX54"/>
      <c r="BY54"/>
      <c r="BZ54"/>
      <c r="CA54"/>
      <c r="CB54"/>
      <c r="CC54"/>
      <c r="CD54"/>
    </row>
    <row r="55" spans="1:82" ht="14.1" customHeight="1" x14ac:dyDescent="0.25">
      <c r="M55" s="446" t="s">
        <v>296</v>
      </c>
      <c r="N55" s="447"/>
      <c r="O55" s="755"/>
      <c r="P55" s="756"/>
      <c r="Q55" s="329"/>
      <c r="R55" s="755"/>
      <c r="S55" s="756"/>
      <c r="T55" s="329"/>
      <c r="U55" s="755"/>
      <c r="V55" s="756"/>
      <c r="W55" s="329"/>
      <c r="AM55" s="81" t="str">
        <f t="shared" si="11"/>
        <v/>
      </c>
      <c r="AN55" s="81" t="str">
        <f t="shared" si="12"/>
        <v/>
      </c>
      <c r="AO55" s="81">
        <f t="shared" si="13"/>
        <v>41870</v>
      </c>
      <c r="AP55" s="81" t="str">
        <f t="shared" si="14"/>
        <v/>
      </c>
      <c r="AQ55" s="81" t="str">
        <f t="shared" si="15"/>
        <v/>
      </c>
      <c r="BM55" s="355">
        <v>50</v>
      </c>
      <c r="BN55" s="362">
        <f t="shared" si="8"/>
        <v>42662</v>
      </c>
      <c r="BO55" s="355">
        <f t="shared" si="0"/>
        <v>0</v>
      </c>
      <c r="BP55" s="355">
        <f t="shared" si="1"/>
        <v>0</v>
      </c>
      <c r="BQ55" s="355">
        <f t="shared" si="3"/>
        <v>0</v>
      </c>
      <c r="BR55" s="355">
        <f t="shared" si="9"/>
        <v>36</v>
      </c>
      <c r="BS55" s="243">
        <f t="shared" si="4"/>
        <v>6.7204193548387095E-2</v>
      </c>
      <c r="BT55">
        <f t="shared" si="5"/>
        <v>0</v>
      </c>
      <c r="BU55" t="str">
        <f t="shared" si="6"/>
        <v>ok</v>
      </c>
      <c r="BV55">
        <f t="shared" si="10"/>
        <v>0</v>
      </c>
      <c r="BW55">
        <f t="shared" si="7"/>
        <v>0</v>
      </c>
    </row>
    <row r="56" spans="1:82" ht="14.1" customHeight="1" thickBot="1" x14ac:dyDescent="0.3">
      <c r="M56" s="638" t="s">
        <v>297</v>
      </c>
      <c r="N56" s="639"/>
      <c r="O56" s="762"/>
      <c r="P56" s="763"/>
      <c r="Q56" s="330"/>
      <c r="R56" s="762"/>
      <c r="S56" s="763"/>
      <c r="T56" s="330"/>
      <c r="U56" s="762"/>
      <c r="V56" s="763"/>
      <c r="W56" s="330"/>
      <c r="AM56" s="81" t="str">
        <f t="shared" si="11"/>
        <v/>
      </c>
      <c r="AN56" s="81" t="str">
        <f t="shared" si="12"/>
        <v/>
      </c>
      <c r="AO56" s="81">
        <f t="shared" si="13"/>
        <v>41871</v>
      </c>
      <c r="AP56" s="81" t="str">
        <f t="shared" si="14"/>
        <v/>
      </c>
      <c r="AQ56" s="81" t="str">
        <f t="shared" si="15"/>
        <v/>
      </c>
      <c r="BM56" s="355">
        <v>51</v>
      </c>
      <c r="BN56" s="362">
        <f t="shared" si="8"/>
        <v>42663</v>
      </c>
      <c r="BO56" s="355">
        <f t="shared" si="0"/>
        <v>0</v>
      </c>
      <c r="BP56" s="355">
        <f t="shared" si="1"/>
        <v>0</v>
      </c>
      <c r="BQ56" s="355">
        <f t="shared" si="3"/>
        <v>0</v>
      </c>
      <c r="BR56" s="355">
        <f t="shared" si="9"/>
        <v>37</v>
      </c>
      <c r="BS56" s="243">
        <f t="shared" si="4"/>
        <v>6.7204193548387095E-2</v>
      </c>
      <c r="BT56">
        <f t="shared" si="5"/>
        <v>0</v>
      </c>
      <c r="BU56" t="str">
        <f t="shared" si="6"/>
        <v>ok</v>
      </c>
      <c r="BV56">
        <f t="shared" si="10"/>
        <v>0</v>
      </c>
      <c r="BW56">
        <f t="shared" si="7"/>
        <v>0</v>
      </c>
    </row>
    <row r="57" spans="1:82" ht="14.1" customHeight="1" thickBot="1" x14ac:dyDescent="0.3">
      <c r="AH57" s="93"/>
      <c r="AI57" s="93"/>
      <c r="AJ57" s="94"/>
      <c r="AK57" s="94"/>
      <c r="AL57" s="94"/>
      <c r="AM57" s="81" t="str">
        <f t="shared" si="11"/>
        <v/>
      </c>
      <c r="AN57" s="81" t="str">
        <f t="shared" si="12"/>
        <v/>
      </c>
      <c r="AO57" s="81">
        <f t="shared" si="13"/>
        <v>41872</v>
      </c>
      <c r="AP57" s="81" t="str">
        <f t="shared" si="14"/>
        <v/>
      </c>
      <c r="AQ57" s="81" t="str">
        <f t="shared" si="15"/>
        <v/>
      </c>
      <c r="BM57" s="355">
        <v>52</v>
      </c>
      <c r="BN57" s="362">
        <f t="shared" si="8"/>
        <v>42664</v>
      </c>
      <c r="BO57" s="355">
        <f t="shared" si="0"/>
        <v>0</v>
      </c>
      <c r="BP57" s="355">
        <f t="shared" si="1"/>
        <v>0</v>
      </c>
      <c r="BQ57" s="355">
        <f t="shared" si="3"/>
        <v>0</v>
      </c>
      <c r="BR57" s="355">
        <f t="shared" si="9"/>
        <v>38</v>
      </c>
      <c r="BS57" s="243">
        <f t="shared" si="4"/>
        <v>6.7204193548387095E-2</v>
      </c>
      <c r="BT57">
        <f t="shared" si="5"/>
        <v>0</v>
      </c>
      <c r="BU57" t="str">
        <f t="shared" si="6"/>
        <v>ok</v>
      </c>
      <c r="BV57">
        <f t="shared" si="10"/>
        <v>0</v>
      </c>
      <c r="BW57">
        <f t="shared" si="7"/>
        <v>0</v>
      </c>
    </row>
    <row r="58" spans="1:82" ht="21.75" customHeight="1" thickBot="1" x14ac:dyDescent="0.3">
      <c r="R58" s="648" t="s">
        <v>298</v>
      </c>
      <c r="S58" s="649"/>
      <c r="T58" s="649"/>
      <c r="U58" s="649"/>
      <c r="V58" s="650"/>
      <c r="W58" s="290">
        <f>Q50-O50+T50-R50+W50-U50+W51-U51+T51-R51+Q51-O51+W52-U52+T52-R52+Q52-O52+W53-U53+T53-R53+Q53-O53+W54-U54+T54-R54+Q54-O54+W55-U55+T55-R55+Q55-O55+W56-U56+T56-R56+Q56-O56</f>
        <v>0</v>
      </c>
      <c r="AJ58" s="95"/>
      <c r="AK58" s="95"/>
      <c r="AL58" s="95"/>
      <c r="AM58" s="81" t="str">
        <f t="shared" si="11"/>
        <v/>
      </c>
      <c r="AN58" s="81" t="str">
        <f t="shared" si="12"/>
        <v/>
      </c>
      <c r="AO58" s="81">
        <f t="shared" si="13"/>
        <v>41873</v>
      </c>
      <c r="AP58" s="81" t="str">
        <f t="shared" si="14"/>
        <v/>
      </c>
      <c r="AQ58" s="81" t="str">
        <f t="shared" si="15"/>
        <v/>
      </c>
      <c r="BM58" s="355">
        <v>53</v>
      </c>
      <c r="BN58" s="362">
        <f t="shared" si="8"/>
        <v>42665</v>
      </c>
      <c r="BO58" s="355">
        <f t="shared" si="0"/>
        <v>0</v>
      </c>
      <c r="BP58" s="355">
        <f t="shared" si="1"/>
        <v>0</v>
      </c>
      <c r="BQ58" s="355">
        <f t="shared" si="3"/>
        <v>0</v>
      </c>
      <c r="BR58" s="355">
        <f t="shared" si="9"/>
        <v>39</v>
      </c>
      <c r="BS58" s="243">
        <f t="shared" si="4"/>
        <v>6.7204193548387095E-2</v>
      </c>
      <c r="BT58">
        <f t="shared" si="5"/>
        <v>0</v>
      </c>
      <c r="BU58" t="str">
        <f t="shared" si="6"/>
        <v>ok</v>
      </c>
      <c r="BV58">
        <f t="shared" si="10"/>
        <v>0</v>
      </c>
      <c r="BW58">
        <f t="shared" si="7"/>
        <v>0</v>
      </c>
    </row>
    <row r="59" spans="1:82" ht="13.5" customHeight="1" x14ac:dyDescent="0.25">
      <c r="AM59" s="81" t="str">
        <f t="shared" si="11"/>
        <v/>
      </c>
      <c r="AN59" s="81" t="str">
        <f t="shared" si="12"/>
        <v/>
      </c>
      <c r="AO59" s="81">
        <f t="shared" si="13"/>
        <v>41874</v>
      </c>
      <c r="AP59" s="81" t="str">
        <f t="shared" si="14"/>
        <v/>
      </c>
      <c r="AQ59" s="81" t="str">
        <f t="shared" si="15"/>
        <v/>
      </c>
      <c r="BM59" s="355">
        <v>54</v>
      </c>
      <c r="BN59" s="362">
        <f t="shared" si="8"/>
        <v>42666</v>
      </c>
      <c r="BO59" s="355">
        <f t="shared" si="0"/>
        <v>1</v>
      </c>
      <c r="BP59" s="355">
        <f t="shared" si="1"/>
        <v>0</v>
      </c>
      <c r="BQ59" s="355">
        <f t="shared" si="3"/>
        <v>0</v>
      </c>
      <c r="BR59" s="355">
        <f t="shared" si="9"/>
        <v>39</v>
      </c>
      <c r="BS59" s="243">
        <f t="shared" si="4"/>
        <v>6.7204193548387095E-2</v>
      </c>
      <c r="BT59">
        <f t="shared" si="5"/>
        <v>0</v>
      </c>
      <c r="BU59" t="str">
        <f t="shared" si="6"/>
        <v>ok</v>
      </c>
      <c r="BV59">
        <f t="shared" si="10"/>
        <v>0</v>
      </c>
      <c r="BW59">
        <f t="shared" si="7"/>
        <v>0</v>
      </c>
    </row>
    <row r="60" spans="1:82" x14ac:dyDescent="0.25">
      <c r="AM60" s="81" t="str">
        <f>IF(AM59="","",IF(AM59=$AD$20,"",AM59+1))</f>
        <v/>
      </c>
      <c r="AN60" s="81" t="str">
        <f>IF(AN59="","",IF(AN59=$AD$21,"",AN59+1))</f>
        <v/>
      </c>
      <c r="AO60" s="81">
        <f>IF(AO59="","",IF(AO59=$AD$22,"",AO59+1))</f>
        <v>41875</v>
      </c>
      <c r="AP60" s="81" t="str">
        <f>IF(AP59="","",IF(AP59=$AD$18,"",AP59+1))</f>
        <v/>
      </c>
      <c r="AQ60" s="81" t="str">
        <f>IF(AQ59="","",IF(AQ59=$AD$19,"",AQ59+1))</f>
        <v/>
      </c>
      <c r="BM60" s="355">
        <v>55</v>
      </c>
      <c r="BN60" s="362">
        <f>BN59+1</f>
        <v>42667</v>
      </c>
      <c r="BO60" s="355">
        <f t="shared" si="0"/>
        <v>1</v>
      </c>
      <c r="BP60" s="355">
        <f t="shared" si="1"/>
        <v>0</v>
      </c>
      <c r="BQ60" s="355">
        <f t="shared" si="3"/>
        <v>0</v>
      </c>
      <c r="BR60" s="355">
        <f>BR59+1-BP60-BO60</f>
        <v>39</v>
      </c>
      <c r="BS60" s="243">
        <f t="shared" si="4"/>
        <v>6.7204193548387095E-2</v>
      </c>
      <c r="BT60">
        <f t="shared" si="5"/>
        <v>0</v>
      </c>
      <c r="BU60" t="str">
        <f t="shared" si="6"/>
        <v>ok</v>
      </c>
      <c r="BV60">
        <f t="shared" si="10"/>
        <v>0</v>
      </c>
      <c r="BW60">
        <f t="shared" si="7"/>
        <v>0</v>
      </c>
    </row>
    <row r="61" spans="1:82" x14ac:dyDescent="0.25">
      <c r="AM61" s="81" t="str">
        <f t="shared" si="11"/>
        <v/>
      </c>
      <c r="AN61" s="81" t="str">
        <f t="shared" si="12"/>
        <v/>
      </c>
      <c r="AO61" s="81">
        <f t="shared" si="13"/>
        <v>41876</v>
      </c>
      <c r="AP61" s="81" t="str">
        <f t="shared" si="14"/>
        <v/>
      </c>
      <c r="AQ61" s="81" t="str">
        <f t="shared" si="15"/>
        <v/>
      </c>
      <c r="BM61" s="355">
        <v>56</v>
      </c>
      <c r="BN61" s="362">
        <f t="shared" si="8"/>
        <v>42668</v>
      </c>
      <c r="BO61" s="355">
        <f t="shared" si="0"/>
        <v>0</v>
      </c>
      <c r="BP61" s="355">
        <f t="shared" si="1"/>
        <v>0</v>
      </c>
      <c r="BQ61" s="355">
        <f t="shared" si="3"/>
        <v>0</v>
      </c>
      <c r="BR61" s="355">
        <f t="shared" si="9"/>
        <v>40</v>
      </c>
      <c r="BS61" s="243">
        <f t="shared" si="4"/>
        <v>6.7204193548387095E-2</v>
      </c>
      <c r="BT61">
        <f t="shared" si="5"/>
        <v>0</v>
      </c>
      <c r="BU61" t="str">
        <f t="shared" si="6"/>
        <v>ok</v>
      </c>
      <c r="BV61">
        <f t="shared" si="10"/>
        <v>0</v>
      </c>
      <c r="BW61">
        <f t="shared" si="7"/>
        <v>0</v>
      </c>
    </row>
    <row r="62" spans="1:82" x14ac:dyDescent="0.25">
      <c r="AM62" s="81" t="str">
        <f t="shared" si="11"/>
        <v/>
      </c>
      <c r="AN62" s="81" t="str">
        <f t="shared" si="12"/>
        <v/>
      </c>
      <c r="AO62" s="81">
        <f t="shared" si="13"/>
        <v>41877</v>
      </c>
      <c r="AP62" s="81" t="str">
        <f t="shared" si="14"/>
        <v/>
      </c>
      <c r="AQ62" s="81" t="str">
        <f t="shared" si="15"/>
        <v/>
      </c>
      <c r="BM62" s="355">
        <v>57</v>
      </c>
      <c r="BN62" s="362">
        <f t="shared" si="8"/>
        <v>42669</v>
      </c>
      <c r="BO62" s="355">
        <f t="shared" si="0"/>
        <v>0</v>
      </c>
      <c r="BP62" s="355">
        <f t="shared" si="1"/>
        <v>0</v>
      </c>
      <c r="BQ62" s="355">
        <f t="shared" si="3"/>
        <v>0</v>
      </c>
      <c r="BR62" s="355">
        <f t="shared" si="9"/>
        <v>41</v>
      </c>
      <c r="BS62" s="243">
        <f t="shared" si="4"/>
        <v>6.7204193548387095E-2</v>
      </c>
      <c r="BT62">
        <f t="shared" si="5"/>
        <v>0</v>
      </c>
      <c r="BU62" t="str">
        <f t="shared" si="6"/>
        <v>ok</v>
      </c>
      <c r="BV62">
        <f t="shared" si="10"/>
        <v>0</v>
      </c>
      <c r="BW62">
        <f t="shared" si="7"/>
        <v>0</v>
      </c>
    </row>
    <row r="63" spans="1:82" x14ac:dyDescent="0.25">
      <c r="AM63" s="81" t="str">
        <f t="shared" si="11"/>
        <v/>
      </c>
      <c r="AN63" s="81" t="str">
        <f t="shared" si="12"/>
        <v/>
      </c>
      <c r="AO63" s="81">
        <f t="shared" si="13"/>
        <v>41878</v>
      </c>
      <c r="AP63" s="81" t="str">
        <f t="shared" si="14"/>
        <v/>
      </c>
      <c r="AQ63" s="81" t="str">
        <f t="shared" si="15"/>
        <v/>
      </c>
      <c r="BM63" s="355">
        <v>58</v>
      </c>
      <c r="BN63" s="362">
        <f t="shared" si="8"/>
        <v>42670</v>
      </c>
      <c r="BO63" s="355">
        <f t="shared" si="0"/>
        <v>0</v>
      </c>
      <c r="BP63" s="355">
        <f t="shared" si="1"/>
        <v>0</v>
      </c>
      <c r="BQ63" s="355">
        <f t="shared" si="3"/>
        <v>0</v>
      </c>
      <c r="BR63" s="355">
        <f t="shared" si="9"/>
        <v>42</v>
      </c>
      <c r="BS63" s="243">
        <f t="shared" si="4"/>
        <v>6.7204193548387095E-2</v>
      </c>
      <c r="BT63">
        <f t="shared" si="5"/>
        <v>0</v>
      </c>
      <c r="BU63" t="str">
        <f t="shared" si="6"/>
        <v>ok</v>
      </c>
      <c r="BV63">
        <f t="shared" si="10"/>
        <v>0</v>
      </c>
      <c r="BW63">
        <f t="shared" si="7"/>
        <v>0</v>
      </c>
    </row>
    <row r="64" spans="1:82" x14ac:dyDescent="0.25">
      <c r="AM64" s="81" t="str">
        <f t="shared" si="11"/>
        <v/>
      </c>
      <c r="AN64" s="81" t="str">
        <f t="shared" si="12"/>
        <v/>
      </c>
      <c r="AO64" s="81">
        <f t="shared" si="13"/>
        <v>41879</v>
      </c>
      <c r="AP64" s="81" t="str">
        <f t="shared" si="14"/>
        <v/>
      </c>
      <c r="AQ64" s="81" t="str">
        <f t="shared" si="15"/>
        <v/>
      </c>
      <c r="BM64" s="355">
        <v>59</v>
      </c>
      <c r="BN64" s="362">
        <f t="shared" si="8"/>
        <v>42671</v>
      </c>
      <c r="BO64" s="355">
        <f t="shared" si="0"/>
        <v>0</v>
      </c>
      <c r="BP64" s="355">
        <f t="shared" si="1"/>
        <v>0</v>
      </c>
      <c r="BQ64" s="355">
        <f t="shared" si="3"/>
        <v>0</v>
      </c>
      <c r="BR64" s="355">
        <f t="shared" si="9"/>
        <v>43</v>
      </c>
      <c r="BS64" s="243">
        <f t="shared" si="4"/>
        <v>6.7204193548387095E-2</v>
      </c>
      <c r="BT64">
        <f t="shared" si="5"/>
        <v>0</v>
      </c>
      <c r="BU64" t="str">
        <f t="shared" si="6"/>
        <v>ok</v>
      </c>
      <c r="BV64">
        <f t="shared" si="10"/>
        <v>0</v>
      </c>
      <c r="BW64">
        <f t="shared" si="7"/>
        <v>0</v>
      </c>
    </row>
    <row r="65" spans="39:75" x14ac:dyDescent="0.25">
      <c r="AM65" s="81" t="str">
        <f t="shared" si="11"/>
        <v/>
      </c>
      <c r="AN65" s="81" t="str">
        <f t="shared" si="12"/>
        <v/>
      </c>
      <c r="AO65" s="81">
        <f t="shared" si="13"/>
        <v>41880</v>
      </c>
      <c r="AP65" s="81" t="str">
        <f t="shared" si="14"/>
        <v/>
      </c>
      <c r="AQ65" s="81" t="str">
        <f t="shared" si="15"/>
        <v/>
      </c>
      <c r="BM65" s="355">
        <v>60</v>
      </c>
      <c r="BN65" s="362">
        <f t="shared" si="8"/>
        <v>42672</v>
      </c>
      <c r="BO65" s="355">
        <f t="shared" si="0"/>
        <v>0</v>
      </c>
      <c r="BP65" s="355">
        <f t="shared" si="1"/>
        <v>0</v>
      </c>
      <c r="BQ65" s="355">
        <f t="shared" si="3"/>
        <v>0</v>
      </c>
      <c r="BR65" s="355">
        <f t="shared" si="9"/>
        <v>44</v>
      </c>
      <c r="BS65" s="243">
        <f t="shared" si="4"/>
        <v>6.7204193548387095E-2</v>
      </c>
      <c r="BT65">
        <f t="shared" si="5"/>
        <v>0</v>
      </c>
      <c r="BU65" t="str">
        <f t="shared" si="6"/>
        <v>ok</v>
      </c>
      <c r="BV65">
        <f t="shared" si="10"/>
        <v>0</v>
      </c>
      <c r="BW65">
        <f t="shared" si="7"/>
        <v>0</v>
      </c>
    </row>
    <row r="66" spans="39:75" x14ac:dyDescent="0.25">
      <c r="AM66" s="81" t="str">
        <f t="shared" si="11"/>
        <v/>
      </c>
      <c r="AN66" s="81" t="str">
        <f t="shared" si="12"/>
        <v/>
      </c>
      <c r="AO66" s="81">
        <f t="shared" si="13"/>
        <v>41881</v>
      </c>
      <c r="AP66" s="81" t="str">
        <f t="shared" si="14"/>
        <v/>
      </c>
      <c r="AQ66" s="81" t="str">
        <f t="shared" si="15"/>
        <v/>
      </c>
      <c r="BM66" s="355">
        <v>61</v>
      </c>
      <c r="BN66" s="362">
        <f t="shared" si="8"/>
        <v>42673</v>
      </c>
      <c r="BO66" s="355">
        <f t="shared" si="0"/>
        <v>1</v>
      </c>
      <c r="BP66" s="355">
        <f t="shared" si="1"/>
        <v>0</v>
      </c>
      <c r="BQ66" s="355">
        <f t="shared" si="3"/>
        <v>0</v>
      </c>
      <c r="BR66" s="355">
        <f t="shared" si="9"/>
        <v>44</v>
      </c>
      <c r="BS66" s="243">
        <f t="shared" si="4"/>
        <v>6.7204193548387095E-2</v>
      </c>
      <c r="BT66">
        <f t="shared" si="5"/>
        <v>0</v>
      </c>
      <c r="BU66" t="str">
        <f t="shared" si="6"/>
        <v>ok</v>
      </c>
      <c r="BV66">
        <f t="shared" si="10"/>
        <v>0</v>
      </c>
      <c r="BW66">
        <f t="shared" si="7"/>
        <v>0</v>
      </c>
    </row>
    <row r="67" spans="39:75" x14ac:dyDescent="0.25">
      <c r="AM67" s="81" t="str">
        <f t="shared" si="11"/>
        <v/>
      </c>
      <c r="AN67" s="81" t="str">
        <f t="shared" si="12"/>
        <v/>
      </c>
      <c r="AO67" s="81" t="str">
        <f t="shared" si="13"/>
        <v/>
      </c>
      <c r="AP67" s="81" t="str">
        <f t="shared" si="14"/>
        <v/>
      </c>
      <c r="AQ67" s="81" t="str">
        <f t="shared" si="15"/>
        <v/>
      </c>
      <c r="BM67" s="355">
        <v>62</v>
      </c>
      <c r="BN67" s="362">
        <f t="shared" si="8"/>
        <v>42674</v>
      </c>
      <c r="BO67" s="355">
        <f t="shared" si="0"/>
        <v>1</v>
      </c>
      <c r="BP67" s="355">
        <f t="shared" si="1"/>
        <v>0</v>
      </c>
      <c r="BQ67" s="355">
        <f t="shared" si="3"/>
        <v>0</v>
      </c>
      <c r="BR67" s="355">
        <f t="shared" si="9"/>
        <v>44</v>
      </c>
      <c r="BS67" s="243">
        <f t="shared" si="4"/>
        <v>6.9444333333333344E-2</v>
      </c>
      <c r="BT67">
        <f t="shared" si="5"/>
        <v>0</v>
      </c>
      <c r="BU67" t="str">
        <f t="shared" si="6"/>
        <v>ok</v>
      </c>
      <c r="BV67">
        <f t="shared" si="10"/>
        <v>0</v>
      </c>
      <c r="BW67">
        <f t="shared" si="7"/>
        <v>0</v>
      </c>
    </row>
    <row r="68" spans="39:75" x14ac:dyDescent="0.25">
      <c r="AM68" s="81" t="str">
        <f t="shared" si="11"/>
        <v/>
      </c>
      <c r="AN68" s="81" t="str">
        <f t="shared" si="12"/>
        <v/>
      </c>
      <c r="AO68" s="81" t="str">
        <f t="shared" si="13"/>
        <v/>
      </c>
      <c r="AP68" s="81" t="str">
        <f t="shared" si="14"/>
        <v/>
      </c>
      <c r="AQ68" s="81" t="str">
        <f t="shared" si="15"/>
        <v/>
      </c>
      <c r="BM68" s="355">
        <v>63</v>
      </c>
      <c r="BN68" s="362">
        <f t="shared" si="8"/>
        <v>42675</v>
      </c>
      <c r="BO68" s="355">
        <f t="shared" ref="BO68:BO133" si="16">IF(OR(WEEKDAY(BN68)=1,WEEKDAY(BN68)=7),1,0)</f>
        <v>0</v>
      </c>
      <c r="BP68" s="355">
        <f t="shared" si="1"/>
        <v>0</v>
      </c>
      <c r="BQ68" s="355">
        <f t="shared" si="3"/>
        <v>0</v>
      </c>
      <c r="BR68" s="355">
        <f t="shared" si="9"/>
        <v>45</v>
      </c>
      <c r="BS68" s="243">
        <f t="shared" si="4"/>
        <v>6.9444333333333344E-2</v>
      </c>
      <c r="BT68">
        <f t="shared" si="5"/>
        <v>0</v>
      </c>
      <c r="BU68" t="str">
        <f t="shared" si="6"/>
        <v>ok</v>
      </c>
      <c r="BV68">
        <f t="shared" si="10"/>
        <v>0</v>
      </c>
      <c r="BW68">
        <f t="shared" si="7"/>
        <v>0</v>
      </c>
    </row>
    <row r="69" spans="39:75" x14ac:dyDescent="0.25">
      <c r="AM69" s="81" t="str">
        <f t="shared" si="11"/>
        <v/>
      </c>
      <c r="AN69" s="81" t="str">
        <f t="shared" si="12"/>
        <v/>
      </c>
      <c r="AO69" s="81" t="str">
        <f t="shared" si="13"/>
        <v/>
      </c>
      <c r="AP69" s="81" t="str">
        <f t="shared" si="14"/>
        <v/>
      </c>
      <c r="AQ69" s="81" t="str">
        <f t="shared" si="15"/>
        <v/>
      </c>
      <c r="BM69" s="355">
        <v>64</v>
      </c>
      <c r="BN69" s="362">
        <f t="shared" si="8"/>
        <v>42676</v>
      </c>
      <c r="BO69" s="355">
        <f t="shared" si="16"/>
        <v>0</v>
      </c>
      <c r="BP69" s="355">
        <f t="shared" si="1"/>
        <v>0</v>
      </c>
      <c r="BQ69" s="355">
        <f t="shared" si="3"/>
        <v>0</v>
      </c>
      <c r="BR69" s="355">
        <f t="shared" si="9"/>
        <v>46</v>
      </c>
      <c r="BS69" s="243">
        <f t="shared" si="4"/>
        <v>6.9444333333333344E-2</v>
      </c>
      <c r="BT69">
        <f t="shared" si="5"/>
        <v>0</v>
      </c>
      <c r="BU69" t="str">
        <f t="shared" si="6"/>
        <v>ok</v>
      </c>
      <c r="BV69">
        <f t="shared" si="10"/>
        <v>0</v>
      </c>
      <c r="BW69">
        <f t="shared" si="7"/>
        <v>0</v>
      </c>
    </row>
    <row r="70" spans="39:75" x14ac:dyDescent="0.25">
      <c r="AM70" s="81" t="str">
        <f t="shared" si="11"/>
        <v/>
      </c>
      <c r="AN70" s="81" t="str">
        <f t="shared" si="12"/>
        <v/>
      </c>
      <c r="AO70" s="81" t="str">
        <f t="shared" si="13"/>
        <v/>
      </c>
      <c r="AP70" s="81" t="str">
        <f t="shared" si="14"/>
        <v/>
      </c>
      <c r="AQ70" s="81" t="str">
        <f t="shared" si="15"/>
        <v/>
      </c>
      <c r="BM70" s="355">
        <v>65</v>
      </c>
      <c r="BN70" s="362">
        <f t="shared" ref="BN70:BN133" si="17">BN69+1</f>
        <v>42677</v>
      </c>
      <c r="BO70" s="355">
        <f t="shared" si="16"/>
        <v>0</v>
      </c>
      <c r="BP70" s="355">
        <f t="shared" ref="BP70:BP133" si="18">IF(BO70=1,0,COUNTIF(tab_ferie,BN70))</f>
        <v>0</v>
      </c>
      <c r="BQ70" s="355">
        <f t="shared" si="3"/>
        <v>0</v>
      </c>
      <c r="BR70" s="355">
        <f t="shared" ref="BR70:BR133" si="19">BR69+1-BP70-BO70</f>
        <v>47</v>
      </c>
      <c r="BS70" s="243">
        <f t="shared" si="4"/>
        <v>6.9444333333333344E-2</v>
      </c>
      <c r="BT70">
        <f t="shared" si="5"/>
        <v>0</v>
      </c>
      <c r="BU70" t="str">
        <f t="shared" si="6"/>
        <v>ok</v>
      </c>
      <c r="BV70">
        <f t="shared" si="10"/>
        <v>0</v>
      </c>
      <c r="BW70">
        <f t="shared" si="7"/>
        <v>0</v>
      </c>
    </row>
    <row r="71" spans="39:75" x14ac:dyDescent="0.25">
      <c r="AM71" s="81" t="str">
        <f t="shared" si="11"/>
        <v/>
      </c>
      <c r="AN71" s="81" t="str">
        <f t="shared" si="12"/>
        <v/>
      </c>
      <c r="AO71" s="81" t="str">
        <f t="shared" si="13"/>
        <v/>
      </c>
      <c r="AP71" s="81" t="str">
        <f t="shared" si="14"/>
        <v/>
      </c>
      <c r="AQ71" s="81" t="str">
        <f t="shared" si="15"/>
        <v/>
      </c>
      <c r="BM71" s="355">
        <v>66</v>
      </c>
      <c r="BN71" s="362">
        <f t="shared" si="17"/>
        <v>42678</v>
      </c>
      <c r="BO71" s="355">
        <f t="shared" si="16"/>
        <v>0</v>
      </c>
      <c r="BP71" s="355">
        <f t="shared" si="18"/>
        <v>0</v>
      </c>
      <c r="BQ71" s="355">
        <f t="shared" ref="BQ71:BQ134" si="20">IF(AND(BN71&gt;=$AF$5,BN71&lt;=$AF$6),IF(BO71+BP71=0,1,0),0)</f>
        <v>0</v>
      </c>
      <c r="BR71" s="355">
        <f t="shared" si="19"/>
        <v>48</v>
      </c>
      <c r="BS71" s="243">
        <f t="shared" ref="BS71:BS134" si="21">2.08333/(EOMONTH(BN71,0)-(EOMONTH(BN71,-1)))</f>
        <v>6.9444333333333344E-2</v>
      </c>
      <c r="BT71">
        <f t="shared" ref="BT71:BT134" si="22">IF(AND(BN71&gt;=$AF$5,BN71&lt;=$AF$6),BS71,0)</f>
        <v>0</v>
      </c>
      <c r="BU71" t="str">
        <f t="shared" ref="BU71:BU134" si="23">IF(OR(MONTH(BN71)&gt;=10,MONTH(BN71)&lt;=5),"ok","non")</f>
        <v>ok</v>
      </c>
      <c r="BV71">
        <f t="shared" si="10"/>
        <v>0</v>
      </c>
      <c r="BW71">
        <f t="shared" ref="BW71:BW134" si="24">IF(AND(BN71&gt;=$AF$5,BN71&lt;=$AF$6),BV71,0)</f>
        <v>0</v>
      </c>
    </row>
    <row r="72" spans="39:75" x14ac:dyDescent="0.25">
      <c r="AM72" s="81" t="str">
        <f t="shared" si="11"/>
        <v/>
      </c>
      <c r="AN72" s="81" t="str">
        <f t="shared" si="12"/>
        <v/>
      </c>
      <c r="AO72" s="81" t="str">
        <f t="shared" si="13"/>
        <v/>
      </c>
      <c r="AP72" s="81" t="str">
        <f t="shared" si="14"/>
        <v/>
      </c>
      <c r="AQ72" s="81" t="str">
        <f t="shared" si="15"/>
        <v/>
      </c>
      <c r="BM72" s="355">
        <v>67</v>
      </c>
      <c r="BN72" s="362">
        <f t="shared" si="17"/>
        <v>42679</v>
      </c>
      <c r="BO72" s="355">
        <f t="shared" si="16"/>
        <v>0</v>
      </c>
      <c r="BP72" s="355">
        <f t="shared" si="18"/>
        <v>0</v>
      </c>
      <c r="BQ72" s="355">
        <f t="shared" si="20"/>
        <v>0</v>
      </c>
      <c r="BR72" s="355">
        <f t="shared" si="19"/>
        <v>49</v>
      </c>
      <c r="BS72" s="243">
        <f t="shared" si="21"/>
        <v>6.9444333333333344E-2</v>
      </c>
      <c r="BT72">
        <f t="shared" si="22"/>
        <v>0</v>
      </c>
      <c r="BU72" t="str">
        <f t="shared" si="23"/>
        <v>ok</v>
      </c>
      <c r="BV72">
        <f t="shared" si="10"/>
        <v>0</v>
      </c>
      <c r="BW72">
        <f t="shared" si="24"/>
        <v>0</v>
      </c>
    </row>
    <row r="73" spans="39:75" x14ac:dyDescent="0.25">
      <c r="AM73" s="81" t="str">
        <f t="shared" si="11"/>
        <v/>
      </c>
      <c r="AN73" s="81" t="str">
        <f t="shared" si="12"/>
        <v/>
      </c>
      <c r="AO73" s="81" t="str">
        <f t="shared" si="13"/>
        <v/>
      </c>
      <c r="AP73" s="81" t="str">
        <f t="shared" si="14"/>
        <v/>
      </c>
      <c r="AQ73" s="81" t="str">
        <f t="shared" si="15"/>
        <v/>
      </c>
      <c r="BM73" s="355">
        <v>68</v>
      </c>
      <c r="BN73" s="362">
        <f t="shared" si="17"/>
        <v>42680</v>
      </c>
      <c r="BO73" s="355">
        <f t="shared" si="16"/>
        <v>1</v>
      </c>
      <c r="BP73" s="355">
        <f t="shared" si="18"/>
        <v>0</v>
      </c>
      <c r="BQ73" s="355">
        <f t="shared" si="20"/>
        <v>0</v>
      </c>
      <c r="BR73" s="355">
        <f t="shared" si="19"/>
        <v>49</v>
      </c>
      <c r="BS73" s="243">
        <f t="shared" si="21"/>
        <v>6.9444333333333344E-2</v>
      </c>
      <c r="BT73">
        <f t="shared" si="22"/>
        <v>0</v>
      </c>
      <c r="BU73" t="str">
        <f t="shared" si="23"/>
        <v>ok</v>
      </c>
      <c r="BV73">
        <f t="shared" si="10"/>
        <v>0</v>
      </c>
      <c r="BW73">
        <f t="shared" si="24"/>
        <v>0</v>
      </c>
    </row>
    <row r="74" spans="39:75" x14ac:dyDescent="0.25">
      <c r="AM74" s="81" t="str">
        <f t="shared" si="11"/>
        <v/>
      </c>
      <c r="AN74" s="81" t="str">
        <f t="shared" si="12"/>
        <v/>
      </c>
      <c r="AO74" s="81" t="str">
        <f t="shared" si="13"/>
        <v/>
      </c>
      <c r="AP74" s="81" t="str">
        <f t="shared" si="14"/>
        <v/>
      </c>
      <c r="AQ74" s="81" t="str">
        <f t="shared" si="15"/>
        <v/>
      </c>
      <c r="BM74" s="355">
        <v>69</v>
      </c>
      <c r="BN74" s="362">
        <f t="shared" si="17"/>
        <v>42681</v>
      </c>
      <c r="BO74" s="355">
        <f t="shared" si="16"/>
        <v>1</v>
      </c>
      <c r="BP74" s="355">
        <f t="shared" si="18"/>
        <v>0</v>
      </c>
      <c r="BQ74" s="355">
        <f t="shared" si="20"/>
        <v>0</v>
      </c>
      <c r="BR74" s="355">
        <f t="shared" si="19"/>
        <v>49</v>
      </c>
      <c r="BS74" s="243">
        <f t="shared" si="21"/>
        <v>6.9444333333333344E-2</v>
      </c>
      <c r="BT74">
        <f t="shared" si="22"/>
        <v>0</v>
      </c>
      <c r="BU74" t="str">
        <f t="shared" si="23"/>
        <v>ok</v>
      </c>
      <c r="BV74">
        <f t="shared" si="10"/>
        <v>0</v>
      </c>
      <c r="BW74">
        <f t="shared" si="24"/>
        <v>0</v>
      </c>
    </row>
    <row r="75" spans="39:75" x14ac:dyDescent="0.25">
      <c r="AM75" s="81" t="str">
        <f t="shared" si="11"/>
        <v/>
      </c>
      <c r="AN75" s="81" t="str">
        <f t="shared" si="12"/>
        <v/>
      </c>
      <c r="AO75" s="81" t="str">
        <f t="shared" si="13"/>
        <v/>
      </c>
      <c r="AP75" s="81" t="str">
        <f t="shared" si="14"/>
        <v/>
      </c>
      <c r="AQ75" s="81" t="str">
        <f t="shared" si="15"/>
        <v/>
      </c>
      <c r="BM75" s="355">
        <v>70</v>
      </c>
      <c r="BN75" s="362">
        <f t="shared" si="17"/>
        <v>42682</v>
      </c>
      <c r="BO75" s="355">
        <f t="shared" si="16"/>
        <v>0</v>
      </c>
      <c r="BP75" s="355">
        <f t="shared" si="18"/>
        <v>0</v>
      </c>
      <c r="BQ75" s="355">
        <f t="shared" si="20"/>
        <v>0</v>
      </c>
      <c r="BR75" s="355">
        <f t="shared" si="19"/>
        <v>50</v>
      </c>
      <c r="BS75" s="243">
        <f t="shared" si="21"/>
        <v>6.9444333333333344E-2</v>
      </c>
      <c r="BT75">
        <f t="shared" si="22"/>
        <v>0</v>
      </c>
      <c r="BU75" t="str">
        <f t="shared" si="23"/>
        <v>ok</v>
      </c>
      <c r="BV75">
        <f t="shared" si="10"/>
        <v>0</v>
      </c>
      <c r="BW75">
        <f t="shared" si="24"/>
        <v>0</v>
      </c>
    </row>
    <row r="76" spans="39:75" x14ac:dyDescent="0.25">
      <c r="AM76" s="81" t="str">
        <f t="shared" si="11"/>
        <v/>
      </c>
      <c r="AN76" s="81" t="str">
        <f t="shared" si="12"/>
        <v/>
      </c>
      <c r="AO76" s="81" t="str">
        <f t="shared" si="13"/>
        <v/>
      </c>
      <c r="AP76" s="81" t="str">
        <f t="shared" si="14"/>
        <v/>
      </c>
      <c r="AQ76" s="81" t="str">
        <f t="shared" si="15"/>
        <v/>
      </c>
      <c r="BM76" s="355">
        <v>71</v>
      </c>
      <c r="BN76" s="362">
        <f t="shared" si="17"/>
        <v>42683</v>
      </c>
      <c r="BO76" s="355">
        <f t="shared" si="16"/>
        <v>0</v>
      </c>
      <c r="BP76" s="355">
        <f t="shared" si="18"/>
        <v>0</v>
      </c>
      <c r="BQ76" s="355">
        <f t="shared" si="20"/>
        <v>0</v>
      </c>
      <c r="BR76" s="355">
        <f t="shared" si="19"/>
        <v>51</v>
      </c>
      <c r="BS76" s="243">
        <f t="shared" si="21"/>
        <v>6.9444333333333344E-2</v>
      </c>
      <c r="BT76">
        <f t="shared" si="22"/>
        <v>0</v>
      </c>
      <c r="BU76" t="str">
        <f t="shared" si="23"/>
        <v>ok</v>
      </c>
      <c r="BV76">
        <f t="shared" si="10"/>
        <v>0</v>
      </c>
      <c r="BW76">
        <f t="shared" si="24"/>
        <v>0</v>
      </c>
    </row>
    <row r="77" spans="39:75" x14ac:dyDescent="0.25">
      <c r="AM77" s="81" t="str">
        <f t="shared" si="11"/>
        <v/>
      </c>
      <c r="AN77" s="81" t="str">
        <f t="shared" si="12"/>
        <v/>
      </c>
      <c r="AO77" s="81" t="str">
        <f t="shared" si="13"/>
        <v/>
      </c>
      <c r="AP77" s="81" t="str">
        <f t="shared" si="14"/>
        <v/>
      </c>
      <c r="AQ77" s="81" t="str">
        <f t="shared" si="15"/>
        <v/>
      </c>
      <c r="BM77" s="355">
        <v>72</v>
      </c>
      <c r="BN77" s="362">
        <f t="shared" si="17"/>
        <v>42684</v>
      </c>
      <c r="BO77" s="355">
        <f t="shared" si="16"/>
        <v>0</v>
      </c>
      <c r="BP77" s="355">
        <f t="shared" si="18"/>
        <v>1</v>
      </c>
      <c r="BQ77" s="355">
        <f t="shared" si="20"/>
        <v>0</v>
      </c>
      <c r="BR77" s="355">
        <f t="shared" si="19"/>
        <v>51</v>
      </c>
      <c r="BS77" s="243">
        <f t="shared" si="21"/>
        <v>6.9444333333333344E-2</v>
      </c>
      <c r="BT77">
        <f t="shared" si="22"/>
        <v>0</v>
      </c>
      <c r="BU77" t="str">
        <f t="shared" si="23"/>
        <v>ok</v>
      </c>
      <c r="BV77">
        <f t="shared" si="10"/>
        <v>0</v>
      </c>
      <c r="BW77">
        <f t="shared" si="24"/>
        <v>0</v>
      </c>
    </row>
    <row r="78" spans="39:75" x14ac:dyDescent="0.25">
      <c r="AQ78" s="63"/>
      <c r="BM78" s="355">
        <v>73</v>
      </c>
      <c r="BN78" s="362">
        <f t="shared" si="17"/>
        <v>42685</v>
      </c>
      <c r="BO78" s="355">
        <f t="shared" si="16"/>
        <v>0</v>
      </c>
      <c r="BP78" s="355">
        <f t="shared" si="18"/>
        <v>0</v>
      </c>
      <c r="BQ78" s="355">
        <f t="shared" si="20"/>
        <v>0</v>
      </c>
      <c r="BR78" s="355">
        <f t="shared" si="19"/>
        <v>52</v>
      </c>
      <c r="BS78" s="243">
        <f t="shared" si="21"/>
        <v>6.9444333333333344E-2</v>
      </c>
      <c r="BT78">
        <f t="shared" si="22"/>
        <v>0</v>
      </c>
      <c r="BU78" t="str">
        <f t="shared" si="23"/>
        <v>ok</v>
      </c>
      <c r="BV78">
        <f t="shared" si="10"/>
        <v>0</v>
      </c>
      <c r="BW78">
        <f t="shared" si="24"/>
        <v>0</v>
      </c>
    </row>
    <row r="79" spans="39:75" x14ac:dyDescent="0.25">
      <c r="AQ79" s="63"/>
      <c r="BM79" s="355">
        <v>74</v>
      </c>
      <c r="BN79" s="362">
        <f t="shared" si="17"/>
        <v>42686</v>
      </c>
      <c r="BO79" s="355">
        <f t="shared" si="16"/>
        <v>0</v>
      </c>
      <c r="BP79" s="355">
        <f t="shared" si="18"/>
        <v>0</v>
      </c>
      <c r="BQ79" s="355">
        <f t="shared" si="20"/>
        <v>0</v>
      </c>
      <c r="BR79" s="355">
        <f t="shared" si="19"/>
        <v>53</v>
      </c>
      <c r="BS79" s="243">
        <f t="shared" si="21"/>
        <v>6.9444333333333344E-2</v>
      </c>
      <c r="BT79">
        <f t="shared" si="22"/>
        <v>0</v>
      </c>
      <c r="BU79" t="str">
        <f t="shared" si="23"/>
        <v>ok</v>
      </c>
      <c r="BV79">
        <f t="shared" si="10"/>
        <v>0</v>
      </c>
      <c r="BW79">
        <f t="shared" si="24"/>
        <v>0</v>
      </c>
    </row>
    <row r="80" spans="39:75" x14ac:dyDescent="0.25">
      <c r="AQ80" s="63"/>
      <c r="BM80" s="355">
        <v>75</v>
      </c>
      <c r="BN80" s="362">
        <f t="shared" si="17"/>
        <v>42687</v>
      </c>
      <c r="BO80" s="355">
        <f t="shared" si="16"/>
        <v>1</v>
      </c>
      <c r="BP80" s="355">
        <f t="shared" si="18"/>
        <v>0</v>
      </c>
      <c r="BQ80" s="355">
        <f t="shared" si="20"/>
        <v>0</v>
      </c>
      <c r="BR80" s="355">
        <f t="shared" si="19"/>
        <v>53</v>
      </c>
      <c r="BS80" s="243">
        <f t="shared" si="21"/>
        <v>6.9444333333333344E-2</v>
      </c>
      <c r="BT80">
        <f t="shared" si="22"/>
        <v>0</v>
      </c>
      <c r="BU80" t="str">
        <f t="shared" si="23"/>
        <v>ok</v>
      </c>
      <c r="BV80">
        <f t="shared" si="10"/>
        <v>0</v>
      </c>
      <c r="BW80">
        <f t="shared" si="24"/>
        <v>0</v>
      </c>
    </row>
    <row r="81" spans="43:75" x14ac:dyDescent="0.25">
      <c r="AQ81" s="63"/>
      <c r="BM81" s="355">
        <v>76</v>
      </c>
      <c r="BN81" s="362">
        <f t="shared" si="17"/>
        <v>42688</v>
      </c>
      <c r="BO81" s="355">
        <f t="shared" si="16"/>
        <v>1</v>
      </c>
      <c r="BP81" s="355">
        <f t="shared" si="18"/>
        <v>0</v>
      </c>
      <c r="BQ81" s="355">
        <f t="shared" si="20"/>
        <v>0</v>
      </c>
      <c r="BR81" s="355">
        <f t="shared" si="19"/>
        <v>53</v>
      </c>
      <c r="BS81" s="243">
        <f t="shared" si="21"/>
        <v>6.9444333333333344E-2</v>
      </c>
      <c r="BT81">
        <f t="shared" si="22"/>
        <v>0</v>
      </c>
      <c r="BU81" t="str">
        <f t="shared" si="23"/>
        <v>ok</v>
      </c>
      <c r="BV81">
        <f t="shared" ref="BV81:BV144" si="25">IF(BU81="ok",$CC$29/(EOMONTH(BN81,0)-(EOMONTH(BN81,-1))),0)</f>
        <v>0</v>
      </c>
      <c r="BW81">
        <f t="shared" si="24"/>
        <v>0</v>
      </c>
    </row>
    <row r="82" spans="43:75" x14ac:dyDescent="0.25">
      <c r="AQ82" s="63"/>
      <c r="BM82" s="355">
        <v>77</v>
      </c>
      <c r="BN82" s="362">
        <f t="shared" si="17"/>
        <v>42689</v>
      </c>
      <c r="BO82" s="355">
        <f t="shared" si="16"/>
        <v>0</v>
      </c>
      <c r="BP82" s="355">
        <f t="shared" si="18"/>
        <v>0</v>
      </c>
      <c r="BQ82" s="355">
        <f t="shared" si="20"/>
        <v>0</v>
      </c>
      <c r="BR82" s="355">
        <f t="shared" si="19"/>
        <v>54</v>
      </c>
      <c r="BS82" s="243">
        <f t="shared" si="21"/>
        <v>6.9444333333333344E-2</v>
      </c>
      <c r="BT82">
        <f t="shared" si="22"/>
        <v>0</v>
      </c>
      <c r="BU82" t="str">
        <f t="shared" si="23"/>
        <v>ok</v>
      </c>
      <c r="BV82">
        <f t="shared" si="25"/>
        <v>0</v>
      </c>
      <c r="BW82">
        <f t="shared" si="24"/>
        <v>0</v>
      </c>
    </row>
    <row r="83" spans="43:75" x14ac:dyDescent="0.25">
      <c r="AQ83" s="63"/>
      <c r="BM83" s="355">
        <v>78</v>
      </c>
      <c r="BN83" s="362">
        <f t="shared" si="17"/>
        <v>42690</v>
      </c>
      <c r="BO83" s="355">
        <f t="shared" si="16"/>
        <v>0</v>
      </c>
      <c r="BP83" s="355">
        <f t="shared" si="18"/>
        <v>0</v>
      </c>
      <c r="BQ83" s="355">
        <f t="shared" si="20"/>
        <v>0</v>
      </c>
      <c r="BR83" s="355">
        <f t="shared" si="19"/>
        <v>55</v>
      </c>
      <c r="BS83" s="243">
        <f t="shared" si="21"/>
        <v>6.9444333333333344E-2</v>
      </c>
      <c r="BT83">
        <f t="shared" si="22"/>
        <v>0</v>
      </c>
      <c r="BU83" t="str">
        <f t="shared" si="23"/>
        <v>ok</v>
      </c>
      <c r="BV83">
        <f t="shared" si="25"/>
        <v>0</v>
      </c>
      <c r="BW83">
        <f t="shared" si="24"/>
        <v>0</v>
      </c>
    </row>
    <row r="84" spans="43:75" x14ac:dyDescent="0.25">
      <c r="AQ84" s="63"/>
      <c r="BM84" s="355">
        <v>79</v>
      </c>
      <c r="BN84" s="362">
        <f t="shared" si="17"/>
        <v>42691</v>
      </c>
      <c r="BO84" s="355">
        <f t="shared" si="16"/>
        <v>0</v>
      </c>
      <c r="BP84" s="355">
        <f t="shared" si="18"/>
        <v>0</v>
      </c>
      <c r="BQ84" s="355">
        <f t="shared" si="20"/>
        <v>0</v>
      </c>
      <c r="BR84" s="355">
        <f t="shared" si="19"/>
        <v>56</v>
      </c>
      <c r="BS84" s="243">
        <f t="shared" si="21"/>
        <v>6.9444333333333344E-2</v>
      </c>
      <c r="BT84">
        <f t="shared" si="22"/>
        <v>0</v>
      </c>
      <c r="BU84" t="str">
        <f t="shared" si="23"/>
        <v>ok</v>
      </c>
      <c r="BV84">
        <f t="shared" si="25"/>
        <v>0</v>
      </c>
      <c r="BW84">
        <f t="shared" si="24"/>
        <v>0</v>
      </c>
    </row>
    <row r="85" spans="43:75" x14ac:dyDescent="0.25">
      <c r="AQ85" s="63"/>
      <c r="BM85" s="355">
        <v>80</v>
      </c>
      <c r="BN85" s="362">
        <f t="shared" si="17"/>
        <v>42692</v>
      </c>
      <c r="BO85" s="355">
        <f t="shared" si="16"/>
        <v>0</v>
      </c>
      <c r="BP85" s="355">
        <f t="shared" si="18"/>
        <v>0</v>
      </c>
      <c r="BQ85" s="355">
        <f t="shared" si="20"/>
        <v>0</v>
      </c>
      <c r="BR85" s="355">
        <f t="shared" si="19"/>
        <v>57</v>
      </c>
      <c r="BS85" s="243">
        <f t="shared" si="21"/>
        <v>6.9444333333333344E-2</v>
      </c>
      <c r="BT85">
        <f t="shared" si="22"/>
        <v>0</v>
      </c>
      <c r="BU85" t="str">
        <f t="shared" si="23"/>
        <v>ok</v>
      </c>
      <c r="BV85">
        <f t="shared" si="25"/>
        <v>0</v>
      </c>
      <c r="BW85">
        <f t="shared" si="24"/>
        <v>0</v>
      </c>
    </row>
    <row r="86" spans="43:75" x14ac:dyDescent="0.25">
      <c r="AQ86" s="63"/>
      <c r="BM86" s="355">
        <v>81</v>
      </c>
      <c r="BN86" s="362">
        <f t="shared" si="17"/>
        <v>42693</v>
      </c>
      <c r="BO86" s="355">
        <f t="shared" si="16"/>
        <v>0</v>
      </c>
      <c r="BP86" s="355">
        <f t="shared" si="18"/>
        <v>0</v>
      </c>
      <c r="BQ86" s="355">
        <f t="shared" si="20"/>
        <v>0</v>
      </c>
      <c r="BR86" s="355">
        <f t="shared" si="19"/>
        <v>58</v>
      </c>
      <c r="BS86" s="243">
        <f t="shared" si="21"/>
        <v>6.9444333333333344E-2</v>
      </c>
      <c r="BT86">
        <f t="shared" si="22"/>
        <v>0</v>
      </c>
      <c r="BU86" t="str">
        <f t="shared" si="23"/>
        <v>ok</v>
      </c>
      <c r="BV86">
        <f t="shared" si="25"/>
        <v>0</v>
      </c>
      <c r="BW86">
        <f t="shared" si="24"/>
        <v>0</v>
      </c>
    </row>
    <row r="87" spans="43:75" x14ac:dyDescent="0.25">
      <c r="AQ87" s="63"/>
      <c r="BM87" s="355">
        <v>82</v>
      </c>
      <c r="BN87" s="362">
        <f t="shared" si="17"/>
        <v>42694</v>
      </c>
      <c r="BO87" s="355">
        <f t="shared" si="16"/>
        <v>1</v>
      </c>
      <c r="BP87" s="355">
        <f t="shared" si="18"/>
        <v>0</v>
      </c>
      <c r="BQ87" s="355">
        <f t="shared" si="20"/>
        <v>0</v>
      </c>
      <c r="BR87" s="355">
        <f t="shared" si="19"/>
        <v>58</v>
      </c>
      <c r="BS87" s="243">
        <f t="shared" si="21"/>
        <v>6.9444333333333344E-2</v>
      </c>
      <c r="BT87">
        <f t="shared" si="22"/>
        <v>0</v>
      </c>
      <c r="BU87" t="str">
        <f t="shared" si="23"/>
        <v>ok</v>
      </c>
      <c r="BV87">
        <f t="shared" si="25"/>
        <v>0</v>
      </c>
      <c r="BW87">
        <f t="shared" si="24"/>
        <v>0</v>
      </c>
    </row>
    <row r="88" spans="43:75" x14ac:dyDescent="0.25">
      <c r="AQ88" s="63"/>
      <c r="BM88" s="355">
        <v>83</v>
      </c>
      <c r="BN88" s="362">
        <f t="shared" si="17"/>
        <v>42695</v>
      </c>
      <c r="BO88" s="355">
        <f t="shared" si="16"/>
        <v>1</v>
      </c>
      <c r="BP88" s="355">
        <f t="shared" si="18"/>
        <v>0</v>
      </c>
      <c r="BQ88" s="355">
        <f t="shared" si="20"/>
        <v>0</v>
      </c>
      <c r="BR88" s="355">
        <f t="shared" si="19"/>
        <v>58</v>
      </c>
      <c r="BS88" s="243">
        <f t="shared" si="21"/>
        <v>6.9444333333333344E-2</v>
      </c>
      <c r="BT88">
        <f t="shared" si="22"/>
        <v>0</v>
      </c>
      <c r="BU88" t="str">
        <f t="shared" si="23"/>
        <v>ok</v>
      </c>
      <c r="BV88">
        <f t="shared" si="25"/>
        <v>0</v>
      </c>
      <c r="BW88">
        <f t="shared" si="24"/>
        <v>0</v>
      </c>
    </row>
    <row r="89" spans="43:75" x14ac:dyDescent="0.25">
      <c r="AQ89" s="63"/>
      <c r="BM89" s="355">
        <v>84</v>
      </c>
      <c r="BN89" s="362">
        <f t="shared" si="17"/>
        <v>42696</v>
      </c>
      <c r="BO89" s="355">
        <f t="shared" si="16"/>
        <v>0</v>
      </c>
      <c r="BP89" s="355">
        <f t="shared" si="18"/>
        <v>0</v>
      </c>
      <c r="BQ89" s="355">
        <f t="shared" si="20"/>
        <v>0</v>
      </c>
      <c r="BR89" s="355">
        <f t="shared" si="19"/>
        <v>59</v>
      </c>
      <c r="BS89" s="243">
        <f t="shared" si="21"/>
        <v>6.9444333333333344E-2</v>
      </c>
      <c r="BT89">
        <f t="shared" si="22"/>
        <v>0</v>
      </c>
      <c r="BU89" t="str">
        <f t="shared" si="23"/>
        <v>ok</v>
      </c>
      <c r="BV89">
        <f t="shared" si="25"/>
        <v>0</v>
      </c>
      <c r="BW89">
        <f t="shared" si="24"/>
        <v>0</v>
      </c>
    </row>
    <row r="90" spans="43:75" x14ac:dyDescent="0.25">
      <c r="AQ90" s="63"/>
      <c r="BM90" s="355">
        <v>85</v>
      </c>
      <c r="BN90" s="362">
        <f t="shared" si="17"/>
        <v>42697</v>
      </c>
      <c r="BO90" s="355">
        <f t="shared" si="16"/>
        <v>0</v>
      </c>
      <c r="BP90" s="355">
        <f t="shared" si="18"/>
        <v>0</v>
      </c>
      <c r="BQ90" s="355">
        <f t="shared" si="20"/>
        <v>0</v>
      </c>
      <c r="BR90" s="355">
        <f t="shared" si="19"/>
        <v>60</v>
      </c>
      <c r="BS90" s="243">
        <f t="shared" si="21"/>
        <v>6.9444333333333344E-2</v>
      </c>
      <c r="BT90">
        <f t="shared" si="22"/>
        <v>0</v>
      </c>
      <c r="BU90" t="str">
        <f t="shared" si="23"/>
        <v>ok</v>
      </c>
      <c r="BV90">
        <f t="shared" si="25"/>
        <v>0</v>
      </c>
      <c r="BW90">
        <f t="shared" si="24"/>
        <v>0</v>
      </c>
    </row>
    <row r="91" spans="43:75" x14ac:dyDescent="0.25">
      <c r="AQ91" s="63"/>
      <c r="BM91" s="355">
        <v>86</v>
      </c>
      <c r="BN91" s="362">
        <f t="shared" si="17"/>
        <v>42698</v>
      </c>
      <c r="BO91" s="355">
        <f t="shared" si="16"/>
        <v>0</v>
      </c>
      <c r="BP91" s="355">
        <f t="shared" si="18"/>
        <v>0</v>
      </c>
      <c r="BQ91" s="355">
        <f t="shared" si="20"/>
        <v>0</v>
      </c>
      <c r="BR91" s="355">
        <f t="shared" si="19"/>
        <v>61</v>
      </c>
      <c r="BS91" s="243">
        <f t="shared" si="21"/>
        <v>6.9444333333333344E-2</v>
      </c>
      <c r="BT91">
        <f t="shared" si="22"/>
        <v>0</v>
      </c>
      <c r="BU91" t="str">
        <f t="shared" si="23"/>
        <v>ok</v>
      </c>
      <c r="BV91">
        <f t="shared" si="25"/>
        <v>0</v>
      </c>
      <c r="BW91">
        <f t="shared" si="24"/>
        <v>0</v>
      </c>
    </row>
    <row r="92" spans="43:75" x14ac:dyDescent="0.25">
      <c r="AQ92" s="63"/>
      <c r="BM92" s="355">
        <v>87</v>
      </c>
      <c r="BN92" s="362">
        <f t="shared" si="17"/>
        <v>42699</v>
      </c>
      <c r="BO92" s="355">
        <f t="shared" si="16"/>
        <v>0</v>
      </c>
      <c r="BP92" s="355">
        <f t="shared" si="18"/>
        <v>0</v>
      </c>
      <c r="BQ92" s="355">
        <f t="shared" si="20"/>
        <v>0</v>
      </c>
      <c r="BR92" s="355">
        <f t="shared" si="19"/>
        <v>62</v>
      </c>
      <c r="BS92" s="243">
        <f t="shared" si="21"/>
        <v>6.9444333333333344E-2</v>
      </c>
      <c r="BT92">
        <f t="shared" si="22"/>
        <v>0</v>
      </c>
      <c r="BU92" t="str">
        <f t="shared" si="23"/>
        <v>ok</v>
      </c>
      <c r="BV92">
        <f t="shared" si="25"/>
        <v>0</v>
      </c>
      <c r="BW92">
        <f t="shared" si="24"/>
        <v>0</v>
      </c>
    </row>
    <row r="93" spans="43:75" x14ac:dyDescent="0.25">
      <c r="AQ93" s="63"/>
      <c r="BM93" s="355">
        <v>88</v>
      </c>
      <c r="BN93" s="362">
        <f t="shared" si="17"/>
        <v>42700</v>
      </c>
      <c r="BO93" s="355">
        <f t="shared" si="16"/>
        <v>0</v>
      </c>
      <c r="BP93" s="355">
        <f t="shared" si="18"/>
        <v>0</v>
      </c>
      <c r="BQ93" s="355">
        <f t="shared" si="20"/>
        <v>0</v>
      </c>
      <c r="BR93" s="355">
        <f t="shared" si="19"/>
        <v>63</v>
      </c>
      <c r="BS93" s="243">
        <f t="shared" si="21"/>
        <v>6.9444333333333344E-2</v>
      </c>
      <c r="BT93">
        <f t="shared" si="22"/>
        <v>0</v>
      </c>
      <c r="BU93" t="str">
        <f t="shared" si="23"/>
        <v>ok</v>
      </c>
      <c r="BV93">
        <f t="shared" si="25"/>
        <v>0</v>
      </c>
      <c r="BW93">
        <f t="shared" si="24"/>
        <v>0</v>
      </c>
    </row>
    <row r="94" spans="43:75" x14ac:dyDescent="0.25">
      <c r="AQ94" s="63"/>
      <c r="BM94" s="355">
        <v>89</v>
      </c>
      <c r="BN94" s="362">
        <f t="shared" si="17"/>
        <v>42701</v>
      </c>
      <c r="BO94" s="355">
        <f t="shared" si="16"/>
        <v>1</v>
      </c>
      <c r="BP94" s="355">
        <f t="shared" si="18"/>
        <v>0</v>
      </c>
      <c r="BQ94" s="355">
        <f t="shared" si="20"/>
        <v>0</v>
      </c>
      <c r="BR94" s="355">
        <f t="shared" si="19"/>
        <v>63</v>
      </c>
      <c r="BS94" s="243">
        <f t="shared" si="21"/>
        <v>6.9444333333333344E-2</v>
      </c>
      <c r="BT94">
        <f t="shared" si="22"/>
        <v>0</v>
      </c>
      <c r="BU94" t="str">
        <f t="shared" si="23"/>
        <v>ok</v>
      </c>
      <c r="BV94">
        <f t="shared" si="25"/>
        <v>0</v>
      </c>
      <c r="BW94">
        <f t="shared" si="24"/>
        <v>0</v>
      </c>
    </row>
    <row r="95" spans="43:75" x14ac:dyDescent="0.25">
      <c r="AQ95" s="63"/>
      <c r="BM95" s="355">
        <v>90</v>
      </c>
      <c r="BN95" s="362">
        <f t="shared" si="17"/>
        <v>42702</v>
      </c>
      <c r="BO95" s="355">
        <f t="shared" si="16"/>
        <v>1</v>
      </c>
      <c r="BP95" s="355">
        <f t="shared" si="18"/>
        <v>0</v>
      </c>
      <c r="BQ95" s="355">
        <f t="shared" si="20"/>
        <v>0</v>
      </c>
      <c r="BR95" s="355">
        <f t="shared" si="19"/>
        <v>63</v>
      </c>
      <c r="BS95" s="243">
        <f t="shared" si="21"/>
        <v>6.9444333333333344E-2</v>
      </c>
      <c r="BT95">
        <f t="shared" si="22"/>
        <v>0</v>
      </c>
      <c r="BU95" t="str">
        <f t="shared" si="23"/>
        <v>ok</v>
      </c>
      <c r="BV95">
        <f t="shared" si="25"/>
        <v>0</v>
      </c>
      <c r="BW95">
        <f t="shared" si="24"/>
        <v>0</v>
      </c>
    </row>
    <row r="96" spans="43:75" x14ac:dyDescent="0.25">
      <c r="AQ96" s="63"/>
      <c r="BM96" s="355">
        <v>91</v>
      </c>
      <c r="BN96" s="362">
        <f t="shared" si="17"/>
        <v>42703</v>
      </c>
      <c r="BO96" s="355">
        <f t="shared" si="16"/>
        <v>0</v>
      </c>
      <c r="BP96" s="355">
        <f t="shared" si="18"/>
        <v>0</v>
      </c>
      <c r="BQ96" s="355">
        <f t="shared" si="20"/>
        <v>0</v>
      </c>
      <c r="BR96" s="355">
        <f t="shared" si="19"/>
        <v>64</v>
      </c>
      <c r="BS96" s="243">
        <f t="shared" si="21"/>
        <v>6.9444333333333344E-2</v>
      </c>
      <c r="BT96">
        <f t="shared" si="22"/>
        <v>0</v>
      </c>
      <c r="BU96" t="str">
        <f t="shared" si="23"/>
        <v>ok</v>
      </c>
      <c r="BV96">
        <f t="shared" si="25"/>
        <v>0</v>
      </c>
      <c r="BW96">
        <f t="shared" si="24"/>
        <v>0</v>
      </c>
    </row>
    <row r="97" spans="43:75" x14ac:dyDescent="0.25">
      <c r="AQ97" s="63"/>
      <c r="BM97" s="355">
        <v>92</v>
      </c>
      <c r="BN97" s="362">
        <f t="shared" si="17"/>
        <v>42704</v>
      </c>
      <c r="BO97" s="355">
        <f t="shared" si="16"/>
        <v>0</v>
      </c>
      <c r="BP97" s="355">
        <f t="shared" si="18"/>
        <v>0</v>
      </c>
      <c r="BQ97" s="355">
        <f t="shared" si="20"/>
        <v>0</v>
      </c>
      <c r="BR97" s="355">
        <f t="shared" si="19"/>
        <v>65</v>
      </c>
      <c r="BS97" s="243">
        <f t="shared" si="21"/>
        <v>6.7204193548387095E-2</v>
      </c>
      <c r="BT97">
        <f t="shared" si="22"/>
        <v>0</v>
      </c>
      <c r="BU97" t="str">
        <f t="shared" si="23"/>
        <v>ok</v>
      </c>
      <c r="BV97">
        <f t="shared" si="25"/>
        <v>0</v>
      </c>
      <c r="BW97">
        <f t="shared" si="24"/>
        <v>0</v>
      </c>
    </row>
    <row r="98" spans="43:75" x14ac:dyDescent="0.25">
      <c r="AQ98" s="63"/>
      <c r="BM98" s="355">
        <v>93</v>
      </c>
      <c r="BN98" s="362">
        <f t="shared" si="17"/>
        <v>42705</v>
      </c>
      <c r="BO98" s="355">
        <f t="shared" si="16"/>
        <v>0</v>
      </c>
      <c r="BP98" s="355">
        <f t="shared" si="18"/>
        <v>0</v>
      </c>
      <c r="BQ98" s="355">
        <f t="shared" si="20"/>
        <v>0</v>
      </c>
      <c r="BR98" s="355">
        <f t="shared" si="19"/>
        <v>66</v>
      </c>
      <c r="BS98" s="243">
        <f t="shared" si="21"/>
        <v>6.7204193548387095E-2</v>
      </c>
      <c r="BT98">
        <f t="shared" si="22"/>
        <v>0</v>
      </c>
      <c r="BU98" t="str">
        <f t="shared" si="23"/>
        <v>ok</v>
      </c>
      <c r="BV98">
        <f t="shared" si="25"/>
        <v>0</v>
      </c>
      <c r="BW98">
        <f t="shared" si="24"/>
        <v>0</v>
      </c>
    </row>
    <row r="99" spans="43:75" x14ac:dyDescent="0.25">
      <c r="AQ99" s="63"/>
      <c r="BM99" s="355">
        <v>94</v>
      </c>
      <c r="BN99" s="362">
        <f t="shared" si="17"/>
        <v>42706</v>
      </c>
      <c r="BO99" s="355">
        <f t="shared" si="16"/>
        <v>0</v>
      </c>
      <c r="BP99" s="355">
        <f t="shared" si="18"/>
        <v>0</v>
      </c>
      <c r="BQ99" s="355">
        <f t="shared" si="20"/>
        <v>0</v>
      </c>
      <c r="BR99" s="355">
        <f t="shared" si="19"/>
        <v>67</v>
      </c>
      <c r="BS99" s="243">
        <f t="shared" si="21"/>
        <v>6.7204193548387095E-2</v>
      </c>
      <c r="BT99">
        <f t="shared" si="22"/>
        <v>0</v>
      </c>
      <c r="BU99" t="str">
        <f t="shared" si="23"/>
        <v>ok</v>
      </c>
      <c r="BV99">
        <f t="shared" si="25"/>
        <v>0</v>
      </c>
      <c r="BW99">
        <f t="shared" si="24"/>
        <v>0</v>
      </c>
    </row>
    <row r="100" spans="43:75" x14ac:dyDescent="0.25">
      <c r="AQ100" s="63"/>
      <c r="BM100" s="355">
        <v>95</v>
      </c>
      <c r="BN100" s="362">
        <f t="shared" si="17"/>
        <v>42707</v>
      </c>
      <c r="BO100" s="355">
        <f t="shared" si="16"/>
        <v>0</v>
      </c>
      <c r="BP100" s="355">
        <f t="shared" si="18"/>
        <v>0</v>
      </c>
      <c r="BQ100" s="355">
        <f t="shared" si="20"/>
        <v>0</v>
      </c>
      <c r="BR100" s="355">
        <f t="shared" si="19"/>
        <v>68</v>
      </c>
      <c r="BS100" s="243">
        <f t="shared" si="21"/>
        <v>6.7204193548387095E-2</v>
      </c>
      <c r="BT100">
        <f t="shared" si="22"/>
        <v>0</v>
      </c>
      <c r="BU100" t="str">
        <f t="shared" si="23"/>
        <v>ok</v>
      </c>
      <c r="BV100">
        <f t="shared" si="25"/>
        <v>0</v>
      </c>
      <c r="BW100">
        <f t="shared" si="24"/>
        <v>0</v>
      </c>
    </row>
    <row r="101" spans="43:75" x14ac:dyDescent="0.25">
      <c r="AQ101" s="63"/>
      <c r="BM101" s="355">
        <v>96</v>
      </c>
      <c r="BN101" s="362">
        <f t="shared" si="17"/>
        <v>42708</v>
      </c>
      <c r="BO101" s="355">
        <f t="shared" si="16"/>
        <v>1</v>
      </c>
      <c r="BP101" s="355">
        <f t="shared" si="18"/>
        <v>0</v>
      </c>
      <c r="BQ101" s="355">
        <f t="shared" si="20"/>
        <v>0</v>
      </c>
      <c r="BR101" s="355">
        <f t="shared" si="19"/>
        <v>68</v>
      </c>
      <c r="BS101" s="243">
        <f t="shared" si="21"/>
        <v>6.7204193548387095E-2</v>
      </c>
      <c r="BT101">
        <f t="shared" si="22"/>
        <v>0</v>
      </c>
      <c r="BU101" t="str">
        <f t="shared" si="23"/>
        <v>ok</v>
      </c>
      <c r="BV101">
        <f t="shared" si="25"/>
        <v>0</v>
      </c>
      <c r="BW101">
        <f t="shared" si="24"/>
        <v>0</v>
      </c>
    </row>
    <row r="102" spans="43:75" x14ac:dyDescent="0.25">
      <c r="AQ102" s="63"/>
      <c r="BM102" s="355">
        <v>97</v>
      </c>
      <c r="BN102" s="362">
        <f t="shared" si="17"/>
        <v>42709</v>
      </c>
      <c r="BO102" s="355">
        <f t="shared" si="16"/>
        <v>1</v>
      </c>
      <c r="BP102" s="355">
        <f t="shared" si="18"/>
        <v>0</v>
      </c>
      <c r="BQ102" s="355">
        <f t="shared" si="20"/>
        <v>0</v>
      </c>
      <c r="BR102" s="355">
        <f t="shared" si="19"/>
        <v>68</v>
      </c>
      <c r="BS102" s="243">
        <f t="shared" si="21"/>
        <v>6.7204193548387095E-2</v>
      </c>
      <c r="BT102">
        <f t="shared" si="22"/>
        <v>0</v>
      </c>
      <c r="BU102" t="str">
        <f t="shared" si="23"/>
        <v>ok</v>
      </c>
      <c r="BV102">
        <f t="shared" si="25"/>
        <v>0</v>
      </c>
      <c r="BW102">
        <f t="shared" si="24"/>
        <v>0</v>
      </c>
    </row>
    <row r="103" spans="43:75" x14ac:dyDescent="0.25">
      <c r="AQ103" s="63"/>
      <c r="BM103" s="355">
        <v>98</v>
      </c>
      <c r="BN103" s="362">
        <f t="shared" si="17"/>
        <v>42710</v>
      </c>
      <c r="BO103" s="355">
        <f t="shared" si="16"/>
        <v>0</v>
      </c>
      <c r="BP103" s="355">
        <f t="shared" si="18"/>
        <v>0</v>
      </c>
      <c r="BQ103" s="355">
        <f t="shared" si="20"/>
        <v>0</v>
      </c>
      <c r="BR103" s="355">
        <f t="shared" si="19"/>
        <v>69</v>
      </c>
      <c r="BS103" s="243">
        <f t="shared" si="21"/>
        <v>6.7204193548387095E-2</v>
      </c>
      <c r="BT103">
        <f t="shared" si="22"/>
        <v>0</v>
      </c>
      <c r="BU103" t="str">
        <f t="shared" si="23"/>
        <v>ok</v>
      </c>
      <c r="BV103">
        <f t="shared" si="25"/>
        <v>0</v>
      </c>
      <c r="BW103">
        <f t="shared" si="24"/>
        <v>0</v>
      </c>
    </row>
    <row r="104" spans="43:75" x14ac:dyDescent="0.25">
      <c r="AQ104" s="63"/>
      <c r="BM104" s="355">
        <v>99</v>
      </c>
      <c r="BN104" s="362">
        <f t="shared" si="17"/>
        <v>42711</v>
      </c>
      <c r="BO104" s="355">
        <f t="shared" si="16"/>
        <v>0</v>
      </c>
      <c r="BP104" s="355">
        <f t="shared" si="18"/>
        <v>0</v>
      </c>
      <c r="BQ104" s="355">
        <f t="shared" si="20"/>
        <v>0</v>
      </c>
      <c r="BR104" s="355">
        <f t="shared" si="19"/>
        <v>70</v>
      </c>
      <c r="BS104" s="243">
        <f t="shared" si="21"/>
        <v>6.7204193548387095E-2</v>
      </c>
      <c r="BT104">
        <f t="shared" si="22"/>
        <v>0</v>
      </c>
      <c r="BU104" t="str">
        <f t="shared" si="23"/>
        <v>ok</v>
      </c>
      <c r="BV104">
        <f t="shared" si="25"/>
        <v>0</v>
      </c>
      <c r="BW104">
        <f t="shared" si="24"/>
        <v>0</v>
      </c>
    </row>
    <row r="105" spans="43:75" x14ac:dyDescent="0.25">
      <c r="AQ105" s="63"/>
      <c r="BM105" s="355">
        <v>100</v>
      </c>
      <c r="BN105" s="362">
        <f t="shared" si="17"/>
        <v>42712</v>
      </c>
      <c r="BO105" s="355">
        <f t="shared" si="16"/>
        <v>0</v>
      </c>
      <c r="BP105" s="355">
        <f t="shared" si="18"/>
        <v>0</v>
      </c>
      <c r="BQ105" s="355">
        <f t="shared" si="20"/>
        <v>0</v>
      </c>
      <c r="BR105" s="355">
        <f t="shared" si="19"/>
        <v>71</v>
      </c>
      <c r="BS105" s="243">
        <f t="shared" si="21"/>
        <v>6.7204193548387095E-2</v>
      </c>
      <c r="BT105">
        <f t="shared" si="22"/>
        <v>0</v>
      </c>
      <c r="BU105" t="str">
        <f t="shared" si="23"/>
        <v>ok</v>
      </c>
      <c r="BV105">
        <f t="shared" si="25"/>
        <v>0</v>
      </c>
      <c r="BW105">
        <f t="shared" si="24"/>
        <v>0</v>
      </c>
    </row>
    <row r="106" spans="43:75" x14ac:dyDescent="0.25">
      <c r="AQ106" s="63"/>
      <c r="BM106" s="355">
        <v>101</v>
      </c>
      <c r="BN106" s="362">
        <f t="shared" si="17"/>
        <v>42713</v>
      </c>
      <c r="BO106" s="355">
        <f t="shared" si="16"/>
        <v>0</v>
      </c>
      <c r="BP106" s="355">
        <f t="shared" si="18"/>
        <v>0</v>
      </c>
      <c r="BQ106" s="355">
        <f t="shared" si="20"/>
        <v>0</v>
      </c>
      <c r="BR106" s="355">
        <f t="shared" si="19"/>
        <v>72</v>
      </c>
      <c r="BS106" s="243">
        <f t="shared" si="21"/>
        <v>6.7204193548387095E-2</v>
      </c>
      <c r="BT106">
        <f t="shared" si="22"/>
        <v>0</v>
      </c>
      <c r="BU106" t="str">
        <f t="shared" si="23"/>
        <v>ok</v>
      </c>
      <c r="BV106">
        <f t="shared" si="25"/>
        <v>0</v>
      </c>
      <c r="BW106">
        <f t="shared" si="24"/>
        <v>0</v>
      </c>
    </row>
    <row r="107" spans="43:75" x14ac:dyDescent="0.25">
      <c r="AQ107" s="63"/>
      <c r="BM107" s="355">
        <v>102</v>
      </c>
      <c r="BN107" s="362">
        <f t="shared" si="17"/>
        <v>42714</v>
      </c>
      <c r="BO107" s="355">
        <f t="shared" si="16"/>
        <v>0</v>
      </c>
      <c r="BP107" s="355">
        <f t="shared" si="18"/>
        <v>0</v>
      </c>
      <c r="BQ107" s="355">
        <f t="shared" si="20"/>
        <v>0</v>
      </c>
      <c r="BR107" s="355">
        <f t="shared" si="19"/>
        <v>73</v>
      </c>
      <c r="BS107" s="243">
        <f t="shared" si="21"/>
        <v>6.7204193548387095E-2</v>
      </c>
      <c r="BT107">
        <f t="shared" si="22"/>
        <v>0</v>
      </c>
      <c r="BU107" t="str">
        <f t="shared" si="23"/>
        <v>ok</v>
      </c>
      <c r="BV107">
        <f t="shared" si="25"/>
        <v>0</v>
      </c>
      <c r="BW107">
        <f t="shared" si="24"/>
        <v>0</v>
      </c>
    </row>
    <row r="108" spans="43:75" x14ac:dyDescent="0.25">
      <c r="AQ108" s="63"/>
      <c r="BM108" s="355">
        <v>103</v>
      </c>
      <c r="BN108" s="362">
        <f t="shared" si="17"/>
        <v>42715</v>
      </c>
      <c r="BO108" s="355">
        <f t="shared" si="16"/>
        <v>1</v>
      </c>
      <c r="BP108" s="355">
        <f t="shared" si="18"/>
        <v>0</v>
      </c>
      <c r="BQ108" s="355">
        <f t="shared" si="20"/>
        <v>0</v>
      </c>
      <c r="BR108" s="355">
        <f t="shared" si="19"/>
        <v>73</v>
      </c>
      <c r="BS108" s="243">
        <f t="shared" si="21"/>
        <v>6.7204193548387095E-2</v>
      </c>
      <c r="BT108">
        <f t="shared" si="22"/>
        <v>0</v>
      </c>
      <c r="BU108" t="str">
        <f t="shared" si="23"/>
        <v>ok</v>
      </c>
      <c r="BV108">
        <f t="shared" si="25"/>
        <v>0</v>
      </c>
      <c r="BW108">
        <f t="shared" si="24"/>
        <v>0</v>
      </c>
    </row>
    <row r="109" spans="43:75" x14ac:dyDescent="0.25">
      <c r="AQ109" s="63"/>
      <c r="BM109" s="355">
        <v>104</v>
      </c>
      <c r="BN109" s="362">
        <f t="shared" si="17"/>
        <v>42716</v>
      </c>
      <c r="BO109" s="355">
        <f t="shared" si="16"/>
        <v>1</v>
      </c>
      <c r="BP109" s="355">
        <f t="shared" si="18"/>
        <v>0</v>
      </c>
      <c r="BQ109" s="355">
        <f t="shared" si="20"/>
        <v>0</v>
      </c>
      <c r="BR109" s="355">
        <f t="shared" si="19"/>
        <v>73</v>
      </c>
      <c r="BS109" s="243">
        <f t="shared" si="21"/>
        <v>6.7204193548387095E-2</v>
      </c>
      <c r="BT109">
        <f t="shared" si="22"/>
        <v>0</v>
      </c>
      <c r="BU109" t="str">
        <f t="shared" si="23"/>
        <v>ok</v>
      </c>
      <c r="BV109">
        <f t="shared" si="25"/>
        <v>0</v>
      </c>
      <c r="BW109">
        <f t="shared" si="24"/>
        <v>0</v>
      </c>
    </row>
    <row r="110" spans="43:75" x14ac:dyDescent="0.25">
      <c r="AQ110" s="63"/>
      <c r="BM110" s="355">
        <v>105</v>
      </c>
      <c r="BN110" s="362">
        <f t="shared" si="17"/>
        <v>42717</v>
      </c>
      <c r="BO110" s="355">
        <f t="shared" si="16"/>
        <v>0</v>
      </c>
      <c r="BP110" s="355">
        <f t="shared" si="18"/>
        <v>0</v>
      </c>
      <c r="BQ110" s="355">
        <f t="shared" si="20"/>
        <v>0</v>
      </c>
      <c r="BR110" s="355">
        <f t="shared" si="19"/>
        <v>74</v>
      </c>
      <c r="BS110" s="243">
        <f t="shared" si="21"/>
        <v>6.7204193548387095E-2</v>
      </c>
      <c r="BT110">
        <f t="shared" si="22"/>
        <v>0</v>
      </c>
      <c r="BU110" t="str">
        <f t="shared" si="23"/>
        <v>ok</v>
      </c>
      <c r="BV110">
        <f t="shared" si="25"/>
        <v>0</v>
      </c>
      <c r="BW110">
        <f t="shared" si="24"/>
        <v>0</v>
      </c>
    </row>
    <row r="111" spans="43:75" x14ac:dyDescent="0.25">
      <c r="AQ111" s="63"/>
      <c r="BM111" s="355">
        <v>106</v>
      </c>
      <c r="BN111" s="362">
        <f t="shared" si="17"/>
        <v>42718</v>
      </c>
      <c r="BO111" s="355">
        <f t="shared" si="16"/>
        <v>0</v>
      </c>
      <c r="BP111" s="355">
        <f t="shared" si="18"/>
        <v>0</v>
      </c>
      <c r="BQ111" s="355">
        <f t="shared" si="20"/>
        <v>0</v>
      </c>
      <c r="BR111" s="355">
        <f t="shared" si="19"/>
        <v>75</v>
      </c>
      <c r="BS111" s="243">
        <f t="shared" si="21"/>
        <v>6.7204193548387095E-2</v>
      </c>
      <c r="BT111">
        <f t="shared" si="22"/>
        <v>0</v>
      </c>
      <c r="BU111" t="str">
        <f t="shared" si="23"/>
        <v>ok</v>
      </c>
      <c r="BV111">
        <f t="shared" si="25"/>
        <v>0</v>
      </c>
      <c r="BW111">
        <f t="shared" si="24"/>
        <v>0</v>
      </c>
    </row>
    <row r="112" spans="43:75" x14ac:dyDescent="0.25">
      <c r="AQ112" s="63"/>
      <c r="BM112" s="355">
        <v>107</v>
      </c>
      <c r="BN112" s="362">
        <f t="shared" si="17"/>
        <v>42719</v>
      </c>
      <c r="BO112" s="355">
        <f t="shared" si="16"/>
        <v>0</v>
      </c>
      <c r="BP112" s="355">
        <f t="shared" si="18"/>
        <v>0</v>
      </c>
      <c r="BQ112" s="355">
        <f t="shared" si="20"/>
        <v>0</v>
      </c>
      <c r="BR112" s="355">
        <f t="shared" si="19"/>
        <v>76</v>
      </c>
      <c r="BS112" s="243">
        <f t="shared" si="21"/>
        <v>6.7204193548387095E-2</v>
      </c>
      <c r="BT112">
        <f t="shared" si="22"/>
        <v>0</v>
      </c>
      <c r="BU112" t="str">
        <f t="shared" si="23"/>
        <v>ok</v>
      </c>
      <c r="BV112">
        <f t="shared" si="25"/>
        <v>0</v>
      </c>
      <c r="BW112">
        <f t="shared" si="24"/>
        <v>0</v>
      </c>
    </row>
    <row r="113" spans="43:75" x14ac:dyDescent="0.25">
      <c r="AQ113" s="63"/>
      <c r="BM113" s="355">
        <v>108</v>
      </c>
      <c r="BN113" s="362">
        <f t="shared" si="17"/>
        <v>42720</v>
      </c>
      <c r="BO113" s="355">
        <f t="shared" si="16"/>
        <v>0</v>
      </c>
      <c r="BP113" s="355">
        <f t="shared" si="18"/>
        <v>0</v>
      </c>
      <c r="BQ113" s="355">
        <f t="shared" si="20"/>
        <v>0</v>
      </c>
      <c r="BR113" s="355">
        <f t="shared" si="19"/>
        <v>77</v>
      </c>
      <c r="BS113" s="243">
        <f t="shared" si="21"/>
        <v>6.7204193548387095E-2</v>
      </c>
      <c r="BT113">
        <f t="shared" si="22"/>
        <v>0</v>
      </c>
      <c r="BU113" t="str">
        <f t="shared" si="23"/>
        <v>ok</v>
      </c>
      <c r="BV113">
        <f t="shared" si="25"/>
        <v>0</v>
      </c>
      <c r="BW113">
        <f t="shared" si="24"/>
        <v>0</v>
      </c>
    </row>
    <row r="114" spans="43:75" x14ac:dyDescent="0.25">
      <c r="AQ114" s="63"/>
      <c r="BM114" s="355">
        <v>109</v>
      </c>
      <c r="BN114" s="362">
        <f t="shared" si="17"/>
        <v>42721</v>
      </c>
      <c r="BO114" s="355">
        <f t="shared" si="16"/>
        <v>0</v>
      </c>
      <c r="BP114" s="355">
        <f t="shared" si="18"/>
        <v>0</v>
      </c>
      <c r="BQ114" s="355">
        <f t="shared" si="20"/>
        <v>0</v>
      </c>
      <c r="BR114" s="355">
        <f t="shared" si="19"/>
        <v>78</v>
      </c>
      <c r="BS114" s="243">
        <f t="shared" si="21"/>
        <v>6.7204193548387095E-2</v>
      </c>
      <c r="BT114">
        <f t="shared" si="22"/>
        <v>0</v>
      </c>
      <c r="BU114" t="str">
        <f t="shared" si="23"/>
        <v>ok</v>
      </c>
      <c r="BV114">
        <f t="shared" si="25"/>
        <v>0</v>
      </c>
      <c r="BW114">
        <f t="shared" si="24"/>
        <v>0</v>
      </c>
    </row>
    <row r="115" spans="43:75" x14ac:dyDescent="0.25">
      <c r="AQ115" s="63"/>
      <c r="BM115" s="355">
        <v>110</v>
      </c>
      <c r="BN115" s="362">
        <f t="shared" si="17"/>
        <v>42722</v>
      </c>
      <c r="BO115" s="355">
        <f t="shared" si="16"/>
        <v>1</v>
      </c>
      <c r="BP115" s="355">
        <f t="shared" si="18"/>
        <v>0</v>
      </c>
      <c r="BQ115" s="355">
        <f t="shared" si="20"/>
        <v>0</v>
      </c>
      <c r="BR115" s="355">
        <f t="shared" si="19"/>
        <v>78</v>
      </c>
      <c r="BS115" s="243">
        <f t="shared" si="21"/>
        <v>6.7204193548387095E-2</v>
      </c>
      <c r="BT115">
        <f t="shared" si="22"/>
        <v>0</v>
      </c>
      <c r="BU115" t="str">
        <f t="shared" si="23"/>
        <v>ok</v>
      </c>
      <c r="BV115">
        <f t="shared" si="25"/>
        <v>0</v>
      </c>
      <c r="BW115">
        <f t="shared" si="24"/>
        <v>0</v>
      </c>
    </row>
    <row r="116" spans="43:75" x14ac:dyDescent="0.25">
      <c r="AQ116" s="63"/>
      <c r="BM116" s="355">
        <v>111</v>
      </c>
      <c r="BN116" s="362">
        <f t="shared" si="17"/>
        <v>42723</v>
      </c>
      <c r="BO116" s="355">
        <f t="shared" si="16"/>
        <v>1</v>
      </c>
      <c r="BP116" s="355">
        <f t="shared" si="18"/>
        <v>0</v>
      </c>
      <c r="BQ116" s="355">
        <f t="shared" si="20"/>
        <v>0</v>
      </c>
      <c r="BR116" s="355">
        <f t="shared" si="19"/>
        <v>78</v>
      </c>
      <c r="BS116" s="243">
        <f t="shared" si="21"/>
        <v>6.7204193548387095E-2</v>
      </c>
      <c r="BT116">
        <f t="shared" si="22"/>
        <v>0</v>
      </c>
      <c r="BU116" t="str">
        <f t="shared" si="23"/>
        <v>ok</v>
      </c>
      <c r="BV116">
        <f t="shared" si="25"/>
        <v>0</v>
      </c>
      <c r="BW116">
        <f t="shared" si="24"/>
        <v>0</v>
      </c>
    </row>
    <row r="117" spans="43:75" x14ac:dyDescent="0.25">
      <c r="AQ117" s="63"/>
      <c r="BM117" s="355">
        <v>112</v>
      </c>
      <c r="BN117" s="362">
        <f t="shared" si="17"/>
        <v>42724</v>
      </c>
      <c r="BO117" s="355">
        <f t="shared" si="16"/>
        <v>0</v>
      </c>
      <c r="BP117" s="355">
        <f t="shared" si="18"/>
        <v>0</v>
      </c>
      <c r="BQ117" s="355">
        <f t="shared" si="20"/>
        <v>0</v>
      </c>
      <c r="BR117" s="355">
        <f t="shared" si="19"/>
        <v>79</v>
      </c>
      <c r="BS117" s="243">
        <f t="shared" si="21"/>
        <v>6.7204193548387095E-2</v>
      </c>
      <c r="BT117">
        <f t="shared" si="22"/>
        <v>0</v>
      </c>
      <c r="BU117" t="str">
        <f t="shared" si="23"/>
        <v>ok</v>
      </c>
      <c r="BV117">
        <f t="shared" si="25"/>
        <v>0</v>
      </c>
      <c r="BW117">
        <f t="shared" si="24"/>
        <v>0</v>
      </c>
    </row>
    <row r="118" spans="43:75" x14ac:dyDescent="0.25">
      <c r="AQ118" s="63"/>
      <c r="BM118" s="355">
        <v>113</v>
      </c>
      <c r="BN118" s="362">
        <f t="shared" si="17"/>
        <v>42725</v>
      </c>
      <c r="BO118" s="355">
        <f t="shared" si="16"/>
        <v>0</v>
      </c>
      <c r="BP118" s="355">
        <f t="shared" si="18"/>
        <v>0</v>
      </c>
      <c r="BQ118" s="355">
        <f t="shared" si="20"/>
        <v>0</v>
      </c>
      <c r="BR118" s="355">
        <f t="shared" si="19"/>
        <v>80</v>
      </c>
      <c r="BS118" s="243">
        <f t="shared" si="21"/>
        <v>6.7204193548387095E-2</v>
      </c>
      <c r="BT118">
        <f t="shared" si="22"/>
        <v>0</v>
      </c>
      <c r="BU118" t="str">
        <f t="shared" si="23"/>
        <v>ok</v>
      </c>
      <c r="BV118">
        <f t="shared" si="25"/>
        <v>0</v>
      </c>
      <c r="BW118">
        <f t="shared" si="24"/>
        <v>0</v>
      </c>
    </row>
    <row r="119" spans="43:75" x14ac:dyDescent="0.25">
      <c r="AQ119" s="63"/>
      <c r="BM119" s="355">
        <v>114</v>
      </c>
      <c r="BN119" s="362">
        <f t="shared" si="17"/>
        <v>42726</v>
      </c>
      <c r="BO119" s="355">
        <f t="shared" si="16"/>
        <v>0</v>
      </c>
      <c r="BP119" s="355">
        <f t="shared" si="18"/>
        <v>0</v>
      </c>
      <c r="BQ119" s="355">
        <f t="shared" si="20"/>
        <v>0</v>
      </c>
      <c r="BR119" s="355">
        <f t="shared" si="19"/>
        <v>81</v>
      </c>
      <c r="BS119" s="243">
        <f t="shared" si="21"/>
        <v>6.7204193548387095E-2</v>
      </c>
      <c r="BT119">
        <f t="shared" si="22"/>
        <v>0</v>
      </c>
      <c r="BU119" t="str">
        <f t="shared" si="23"/>
        <v>ok</v>
      </c>
      <c r="BV119">
        <f t="shared" si="25"/>
        <v>0</v>
      </c>
      <c r="BW119">
        <f t="shared" si="24"/>
        <v>0</v>
      </c>
    </row>
    <row r="120" spans="43:75" x14ac:dyDescent="0.25">
      <c r="AQ120" s="63"/>
      <c r="BM120" s="355">
        <v>115</v>
      </c>
      <c r="BN120" s="362">
        <f t="shared" si="17"/>
        <v>42727</v>
      </c>
      <c r="BO120" s="355">
        <f t="shared" si="16"/>
        <v>0</v>
      </c>
      <c r="BP120" s="355">
        <f t="shared" si="18"/>
        <v>0</v>
      </c>
      <c r="BQ120" s="355">
        <f t="shared" si="20"/>
        <v>0</v>
      </c>
      <c r="BR120" s="355">
        <f t="shared" si="19"/>
        <v>82</v>
      </c>
      <c r="BS120" s="243">
        <f t="shared" si="21"/>
        <v>6.7204193548387095E-2</v>
      </c>
      <c r="BT120">
        <f t="shared" si="22"/>
        <v>0</v>
      </c>
      <c r="BU120" t="str">
        <f t="shared" si="23"/>
        <v>ok</v>
      </c>
      <c r="BV120">
        <f t="shared" si="25"/>
        <v>0</v>
      </c>
      <c r="BW120">
        <f t="shared" si="24"/>
        <v>0</v>
      </c>
    </row>
    <row r="121" spans="43:75" x14ac:dyDescent="0.25">
      <c r="AQ121" s="63"/>
      <c r="BM121" s="355">
        <v>116</v>
      </c>
      <c r="BN121" s="362">
        <f t="shared" si="17"/>
        <v>42728</v>
      </c>
      <c r="BO121" s="355">
        <f t="shared" si="16"/>
        <v>0</v>
      </c>
      <c r="BP121" s="355">
        <f t="shared" si="18"/>
        <v>1</v>
      </c>
      <c r="BQ121" s="355">
        <f t="shared" si="20"/>
        <v>0</v>
      </c>
      <c r="BR121" s="355">
        <f t="shared" si="19"/>
        <v>82</v>
      </c>
      <c r="BS121" s="243">
        <f t="shared" si="21"/>
        <v>6.7204193548387095E-2</v>
      </c>
      <c r="BT121">
        <f t="shared" si="22"/>
        <v>0</v>
      </c>
      <c r="BU121" t="str">
        <f t="shared" si="23"/>
        <v>ok</v>
      </c>
      <c r="BV121">
        <f t="shared" si="25"/>
        <v>0</v>
      </c>
      <c r="BW121">
        <f t="shared" si="24"/>
        <v>0</v>
      </c>
    </row>
    <row r="122" spans="43:75" x14ac:dyDescent="0.25">
      <c r="AQ122" s="63"/>
      <c r="BM122" s="355">
        <v>117</v>
      </c>
      <c r="BN122" s="362">
        <f t="shared" si="17"/>
        <v>42729</v>
      </c>
      <c r="BO122" s="355">
        <f t="shared" si="16"/>
        <v>1</v>
      </c>
      <c r="BP122" s="355">
        <f t="shared" si="18"/>
        <v>0</v>
      </c>
      <c r="BQ122" s="355">
        <f t="shared" si="20"/>
        <v>0</v>
      </c>
      <c r="BR122" s="355">
        <f t="shared" si="19"/>
        <v>82</v>
      </c>
      <c r="BS122" s="243">
        <f t="shared" si="21"/>
        <v>6.7204193548387095E-2</v>
      </c>
      <c r="BT122">
        <f t="shared" si="22"/>
        <v>0</v>
      </c>
      <c r="BU122" t="str">
        <f t="shared" si="23"/>
        <v>ok</v>
      </c>
      <c r="BV122">
        <f t="shared" si="25"/>
        <v>0</v>
      </c>
      <c r="BW122">
        <f t="shared" si="24"/>
        <v>0</v>
      </c>
    </row>
    <row r="123" spans="43:75" x14ac:dyDescent="0.25">
      <c r="AQ123" s="63"/>
      <c r="BM123" s="355">
        <v>118</v>
      </c>
      <c r="BN123" s="362">
        <f t="shared" si="17"/>
        <v>42730</v>
      </c>
      <c r="BO123" s="355">
        <f t="shared" si="16"/>
        <v>1</v>
      </c>
      <c r="BP123" s="355">
        <f t="shared" si="18"/>
        <v>0</v>
      </c>
      <c r="BQ123" s="355">
        <f t="shared" si="20"/>
        <v>0</v>
      </c>
      <c r="BR123" s="355">
        <f t="shared" si="19"/>
        <v>82</v>
      </c>
      <c r="BS123" s="243">
        <f t="shared" si="21"/>
        <v>6.7204193548387095E-2</v>
      </c>
      <c r="BT123">
        <f t="shared" si="22"/>
        <v>0</v>
      </c>
      <c r="BU123" t="str">
        <f t="shared" si="23"/>
        <v>ok</v>
      </c>
      <c r="BV123">
        <f t="shared" si="25"/>
        <v>0</v>
      </c>
      <c r="BW123">
        <f t="shared" si="24"/>
        <v>0</v>
      </c>
    </row>
    <row r="124" spans="43:75" x14ac:dyDescent="0.25">
      <c r="AQ124" s="63"/>
      <c r="BM124" s="355">
        <v>119</v>
      </c>
      <c r="BN124" s="362">
        <f t="shared" si="17"/>
        <v>42731</v>
      </c>
      <c r="BO124" s="355">
        <f t="shared" si="16"/>
        <v>0</v>
      </c>
      <c r="BP124" s="355">
        <f t="shared" si="18"/>
        <v>0</v>
      </c>
      <c r="BQ124" s="355">
        <f t="shared" si="20"/>
        <v>0</v>
      </c>
      <c r="BR124" s="355">
        <f t="shared" si="19"/>
        <v>83</v>
      </c>
      <c r="BS124" s="243">
        <f t="shared" si="21"/>
        <v>6.7204193548387095E-2</v>
      </c>
      <c r="BT124">
        <f t="shared" si="22"/>
        <v>0</v>
      </c>
      <c r="BU124" t="str">
        <f t="shared" si="23"/>
        <v>ok</v>
      </c>
      <c r="BV124">
        <f t="shared" si="25"/>
        <v>0</v>
      </c>
      <c r="BW124">
        <f t="shared" si="24"/>
        <v>0</v>
      </c>
    </row>
    <row r="125" spans="43:75" x14ac:dyDescent="0.25">
      <c r="AQ125" s="63"/>
      <c r="BM125" s="355">
        <v>120</v>
      </c>
      <c r="BN125" s="362">
        <f t="shared" si="17"/>
        <v>42732</v>
      </c>
      <c r="BO125" s="355">
        <f t="shared" si="16"/>
        <v>0</v>
      </c>
      <c r="BP125" s="355">
        <f t="shared" si="18"/>
        <v>0</v>
      </c>
      <c r="BQ125" s="355">
        <f t="shared" si="20"/>
        <v>0</v>
      </c>
      <c r="BR125" s="355">
        <f t="shared" si="19"/>
        <v>84</v>
      </c>
      <c r="BS125" s="243">
        <f t="shared" si="21"/>
        <v>6.7204193548387095E-2</v>
      </c>
      <c r="BT125">
        <f t="shared" si="22"/>
        <v>0</v>
      </c>
      <c r="BU125" t="str">
        <f t="shared" si="23"/>
        <v>ok</v>
      </c>
      <c r="BV125">
        <f t="shared" si="25"/>
        <v>0</v>
      </c>
      <c r="BW125">
        <f t="shared" si="24"/>
        <v>0</v>
      </c>
    </row>
    <row r="126" spans="43:75" x14ac:dyDescent="0.25">
      <c r="AQ126" s="63"/>
      <c r="BM126" s="355">
        <v>121</v>
      </c>
      <c r="BN126" s="362">
        <f t="shared" si="17"/>
        <v>42733</v>
      </c>
      <c r="BO126" s="355">
        <f t="shared" si="16"/>
        <v>0</v>
      </c>
      <c r="BP126" s="355">
        <f t="shared" si="18"/>
        <v>0</v>
      </c>
      <c r="BQ126" s="355">
        <f t="shared" si="20"/>
        <v>0</v>
      </c>
      <c r="BR126" s="355">
        <f t="shared" si="19"/>
        <v>85</v>
      </c>
      <c r="BS126" s="243">
        <f t="shared" si="21"/>
        <v>6.7204193548387095E-2</v>
      </c>
      <c r="BT126">
        <f t="shared" si="22"/>
        <v>0</v>
      </c>
      <c r="BU126" t="str">
        <f t="shared" si="23"/>
        <v>ok</v>
      </c>
      <c r="BV126">
        <f t="shared" si="25"/>
        <v>0</v>
      </c>
      <c r="BW126">
        <f t="shared" si="24"/>
        <v>0</v>
      </c>
    </row>
    <row r="127" spans="43:75" x14ac:dyDescent="0.25">
      <c r="AQ127" s="63"/>
      <c r="BM127" s="355">
        <v>122</v>
      </c>
      <c r="BN127" s="362">
        <f t="shared" si="17"/>
        <v>42734</v>
      </c>
      <c r="BO127" s="355">
        <f t="shared" si="16"/>
        <v>0</v>
      </c>
      <c r="BP127" s="355">
        <f t="shared" si="18"/>
        <v>0</v>
      </c>
      <c r="BQ127" s="355">
        <f t="shared" si="20"/>
        <v>0</v>
      </c>
      <c r="BR127" s="355">
        <f t="shared" si="19"/>
        <v>86</v>
      </c>
      <c r="BS127" s="243">
        <f t="shared" si="21"/>
        <v>6.7204193548387095E-2</v>
      </c>
      <c r="BT127">
        <f t="shared" si="22"/>
        <v>0</v>
      </c>
      <c r="BU127" t="str">
        <f t="shared" si="23"/>
        <v>ok</v>
      </c>
      <c r="BV127">
        <f t="shared" si="25"/>
        <v>0</v>
      </c>
      <c r="BW127">
        <f t="shared" si="24"/>
        <v>0</v>
      </c>
    </row>
    <row r="128" spans="43:75" x14ac:dyDescent="0.25">
      <c r="AQ128" s="63"/>
      <c r="BM128" s="355">
        <v>123</v>
      </c>
      <c r="BN128" s="362">
        <f t="shared" si="17"/>
        <v>42735</v>
      </c>
      <c r="BO128" s="355">
        <f t="shared" si="16"/>
        <v>0</v>
      </c>
      <c r="BP128" s="355">
        <f t="shared" si="18"/>
        <v>1</v>
      </c>
      <c r="BQ128" s="355">
        <f t="shared" si="20"/>
        <v>0</v>
      </c>
      <c r="BR128" s="355">
        <f t="shared" si="19"/>
        <v>86</v>
      </c>
      <c r="BS128" s="243">
        <f t="shared" si="21"/>
        <v>6.7204193548387095E-2</v>
      </c>
      <c r="BT128">
        <f t="shared" si="22"/>
        <v>0</v>
      </c>
      <c r="BU128" t="str">
        <f t="shared" si="23"/>
        <v>ok</v>
      </c>
      <c r="BV128">
        <f t="shared" si="25"/>
        <v>0</v>
      </c>
      <c r="BW128">
        <f t="shared" si="24"/>
        <v>0</v>
      </c>
    </row>
    <row r="129" spans="43:75" x14ac:dyDescent="0.25">
      <c r="AQ129" s="63"/>
      <c r="BM129" s="355">
        <v>124</v>
      </c>
      <c r="BN129" s="362">
        <f t="shared" si="17"/>
        <v>42736</v>
      </c>
      <c r="BO129" s="355">
        <f t="shared" si="16"/>
        <v>1</v>
      </c>
      <c r="BP129" s="355">
        <f t="shared" si="18"/>
        <v>0</v>
      </c>
      <c r="BQ129" s="355">
        <f t="shared" si="20"/>
        <v>0</v>
      </c>
      <c r="BR129" s="355">
        <f t="shared" si="19"/>
        <v>86</v>
      </c>
      <c r="BS129" s="243">
        <f t="shared" si="21"/>
        <v>6.7204193548387095E-2</v>
      </c>
      <c r="BT129">
        <f t="shared" si="22"/>
        <v>0</v>
      </c>
      <c r="BU129" t="str">
        <f t="shared" si="23"/>
        <v>ok</v>
      </c>
      <c r="BV129">
        <f t="shared" si="25"/>
        <v>0</v>
      </c>
      <c r="BW129">
        <f t="shared" si="24"/>
        <v>0</v>
      </c>
    </row>
    <row r="130" spans="43:75" x14ac:dyDescent="0.25">
      <c r="AQ130" s="63"/>
      <c r="BM130" s="355">
        <v>125</v>
      </c>
      <c r="BN130" s="362">
        <f t="shared" si="17"/>
        <v>42737</v>
      </c>
      <c r="BO130" s="355">
        <f t="shared" si="16"/>
        <v>1</v>
      </c>
      <c r="BP130" s="355">
        <f t="shared" si="18"/>
        <v>0</v>
      </c>
      <c r="BQ130" s="355">
        <f t="shared" si="20"/>
        <v>0</v>
      </c>
      <c r="BR130" s="355">
        <f t="shared" si="19"/>
        <v>86</v>
      </c>
      <c r="BS130" s="243">
        <f t="shared" si="21"/>
        <v>6.7204193548387095E-2</v>
      </c>
      <c r="BT130">
        <f t="shared" si="22"/>
        <v>0</v>
      </c>
      <c r="BU130" t="str">
        <f t="shared" si="23"/>
        <v>ok</v>
      </c>
      <c r="BV130">
        <f t="shared" si="25"/>
        <v>0</v>
      </c>
      <c r="BW130">
        <f t="shared" si="24"/>
        <v>0</v>
      </c>
    </row>
    <row r="131" spans="43:75" x14ac:dyDescent="0.25">
      <c r="AQ131" s="63"/>
      <c r="BM131" s="355">
        <v>126</v>
      </c>
      <c r="BN131" s="362">
        <f t="shared" si="17"/>
        <v>42738</v>
      </c>
      <c r="BO131" s="355">
        <f t="shared" si="16"/>
        <v>0</v>
      </c>
      <c r="BP131" s="355">
        <f t="shared" si="18"/>
        <v>0</v>
      </c>
      <c r="BQ131" s="355">
        <f t="shared" si="20"/>
        <v>0</v>
      </c>
      <c r="BR131" s="355">
        <f t="shared" si="19"/>
        <v>87</v>
      </c>
      <c r="BS131" s="243">
        <f t="shared" si="21"/>
        <v>6.7204193548387095E-2</v>
      </c>
      <c r="BT131">
        <f t="shared" si="22"/>
        <v>0</v>
      </c>
      <c r="BU131" t="str">
        <f t="shared" si="23"/>
        <v>ok</v>
      </c>
      <c r="BV131">
        <f t="shared" si="25"/>
        <v>0</v>
      </c>
      <c r="BW131">
        <f t="shared" si="24"/>
        <v>0</v>
      </c>
    </row>
    <row r="132" spans="43:75" x14ac:dyDescent="0.25">
      <c r="AQ132" s="63"/>
      <c r="BM132" s="355">
        <v>127</v>
      </c>
      <c r="BN132" s="362">
        <f t="shared" si="17"/>
        <v>42739</v>
      </c>
      <c r="BO132" s="355">
        <f t="shared" si="16"/>
        <v>0</v>
      </c>
      <c r="BP132" s="355">
        <f t="shared" si="18"/>
        <v>0</v>
      </c>
      <c r="BQ132" s="355">
        <f t="shared" si="20"/>
        <v>0</v>
      </c>
      <c r="BR132" s="355">
        <f t="shared" si="19"/>
        <v>88</v>
      </c>
      <c r="BS132" s="243">
        <f t="shared" si="21"/>
        <v>6.7204193548387095E-2</v>
      </c>
      <c r="BT132">
        <f t="shared" si="22"/>
        <v>0</v>
      </c>
      <c r="BU132" t="str">
        <f t="shared" si="23"/>
        <v>ok</v>
      </c>
      <c r="BV132">
        <f t="shared" si="25"/>
        <v>0</v>
      </c>
      <c r="BW132">
        <f t="shared" si="24"/>
        <v>0</v>
      </c>
    </row>
    <row r="133" spans="43:75" x14ac:dyDescent="0.25">
      <c r="AQ133" s="63"/>
      <c r="BM133" s="355">
        <v>128</v>
      </c>
      <c r="BN133" s="362">
        <f t="shared" si="17"/>
        <v>42740</v>
      </c>
      <c r="BO133" s="355">
        <f t="shared" si="16"/>
        <v>0</v>
      </c>
      <c r="BP133" s="355">
        <f t="shared" si="18"/>
        <v>0</v>
      </c>
      <c r="BQ133" s="355">
        <f t="shared" si="20"/>
        <v>0</v>
      </c>
      <c r="BR133" s="355">
        <f t="shared" si="19"/>
        <v>89</v>
      </c>
      <c r="BS133" s="243">
        <f t="shared" si="21"/>
        <v>6.7204193548387095E-2</v>
      </c>
      <c r="BT133">
        <f t="shared" si="22"/>
        <v>0</v>
      </c>
      <c r="BU133" t="str">
        <f t="shared" si="23"/>
        <v>ok</v>
      </c>
      <c r="BV133">
        <f t="shared" si="25"/>
        <v>0</v>
      </c>
      <c r="BW133">
        <f t="shared" si="24"/>
        <v>0</v>
      </c>
    </row>
    <row r="134" spans="43:75" x14ac:dyDescent="0.25">
      <c r="AQ134" s="63"/>
      <c r="BM134" s="355">
        <v>129</v>
      </c>
      <c r="BN134" s="362">
        <f t="shared" ref="BN134:BN197" si="26">BN133+1</f>
        <v>42741</v>
      </c>
      <c r="BO134" s="355">
        <f t="shared" ref="BO134:BO197" si="27">IF(OR(WEEKDAY(BN134)=1,WEEKDAY(BN134)=7),1,0)</f>
        <v>0</v>
      </c>
      <c r="BP134" s="355">
        <f t="shared" ref="BP134:BP197" si="28">IF(BO134=1,0,COUNTIF(tab_ferie,BN134))</f>
        <v>0</v>
      </c>
      <c r="BQ134" s="355">
        <f t="shared" si="20"/>
        <v>0</v>
      </c>
      <c r="BR134" s="355">
        <f t="shared" ref="BR134:BR197" si="29">BR133+1-BP134-BO134</f>
        <v>90</v>
      </c>
      <c r="BS134" s="243">
        <f t="shared" si="21"/>
        <v>6.7204193548387095E-2</v>
      </c>
      <c r="BT134">
        <f t="shared" si="22"/>
        <v>0</v>
      </c>
      <c r="BU134" t="str">
        <f t="shared" si="23"/>
        <v>ok</v>
      </c>
      <c r="BV134">
        <f t="shared" si="25"/>
        <v>0</v>
      </c>
      <c r="BW134">
        <f t="shared" si="24"/>
        <v>0</v>
      </c>
    </row>
    <row r="135" spans="43:75" x14ac:dyDescent="0.25">
      <c r="AQ135" s="63"/>
      <c r="BM135" s="355">
        <v>130</v>
      </c>
      <c r="BN135" s="362">
        <f t="shared" si="26"/>
        <v>42742</v>
      </c>
      <c r="BO135" s="355">
        <f t="shared" si="27"/>
        <v>0</v>
      </c>
      <c r="BP135" s="355">
        <f t="shared" si="28"/>
        <v>0</v>
      </c>
      <c r="BQ135" s="355">
        <f t="shared" ref="BQ135:BQ198" si="30">IF(AND(BN135&gt;=$AF$5,BN135&lt;=$AF$6),IF(BO135+BP135=0,1,0),0)</f>
        <v>0</v>
      </c>
      <c r="BR135" s="355">
        <f t="shared" si="29"/>
        <v>91</v>
      </c>
      <c r="BS135" s="243">
        <f t="shared" ref="BS135:BS198" si="31">2.08333/(EOMONTH(BN135,0)-(EOMONTH(BN135,-1)))</f>
        <v>6.7204193548387095E-2</v>
      </c>
      <c r="BT135">
        <f t="shared" ref="BT135:BT198" si="32">IF(AND(BN135&gt;=$AF$5,BN135&lt;=$AF$6),BS135,0)</f>
        <v>0</v>
      </c>
      <c r="BU135" t="str">
        <f t="shared" ref="BU135:BU198" si="33">IF(OR(MONTH(BN135)&gt;=10,MONTH(BN135)&lt;=5),"ok","non")</f>
        <v>ok</v>
      </c>
      <c r="BV135">
        <f t="shared" si="25"/>
        <v>0</v>
      </c>
      <c r="BW135">
        <f t="shared" ref="BW135:BW198" si="34">IF(AND(BN135&gt;=$AF$5,BN135&lt;=$AF$6),BV135,0)</f>
        <v>0</v>
      </c>
    </row>
    <row r="136" spans="43:75" x14ac:dyDescent="0.25">
      <c r="AQ136" s="63"/>
      <c r="BM136" s="355">
        <v>131</v>
      </c>
      <c r="BN136" s="362">
        <f t="shared" si="26"/>
        <v>42743</v>
      </c>
      <c r="BO136" s="355">
        <f t="shared" si="27"/>
        <v>1</v>
      </c>
      <c r="BP136" s="355">
        <f t="shared" si="28"/>
        <v>0</v>
      </c>
      <c r="BQ136" s="355">
        <f t="shared" si="30"/>
        <v>0</v>
      </c>
      <c r="BR136" s="355">
        <f t="shared" si="29"/>
        <v>91</v>
      </c>
      <c r="BS136" s="243">
        <f t="shared" si="31"/>
        <v>6.7204193548387095E-2</v>
      </c>
      <c r="BT136">
        <f t="shared" si="32"/>
        <v>0</v>
      </c>
      <c r="BU136" t="str">
        <f t="shared" si="33"/>
        <v>ok</v>
      </c>
      <c r="BV136">
        <f t="shared" si="25"/>
        <v>0</v>
      </c>
      <c r="BW136">
        <f t="shared" si="34"/>
        <v>0</v>
      </c>
    </row>
    <row r="137" spans="43:75" x14ac:dyDescent="0.25">
      <c r="AQ137" s="63"/>
      <c r="BM137" s="355">
        <v>132</v>
      </c>
      <c r="BN137" s="362">
        <f t="shared" si="26"/>
        <v>42744</v>
      </c>
      <c r="BO137" s="355">
        <f t="shared" si="27"/>
        <v>1</v>
      </c>
      <c r="BP137" s="355">
        <f t="shared" si="28"/>
        <v>0</v>
      </c>
      <c r="BQ137" s="355">
        <f t="shared" si="30"/>
        <v>0</v>
      </c>
      <c r="BR137" s="355">
        <f t="shared" si="29"/>
        <v>91</v>
      </c>
      <c r="BS137" s="243">
        <f t="shared" si="31"/>
        <v>6.7204193548387095E-2</v>
      </c>
      <c r="BT137">
        <f t="shared" si="32"/>
        <v>0</v>
      </c>
      <c r="BU137" t="str">
        <f t="shared" si="33"/>
        <v>ok</v>
      </c>
      <c r="BV137">
        <f t="shared" si="25"/>
        <v>0</v>
      </c>
      <c r="BW137">
        <f t="shared" si="34"/>
        <v>0</v>
      </c>
    </row>
    <row r="138" spans="43:75" x14ac:dyDescent="0.25">
      <c r="AQ138" s="63"/>
      <c r="BM138" s="355">
        <v>133</v>
      </c>
      <c r="BN138" s="362">
        <f t="shared" si="26"/>
        <v>42745</v>
      </c>
      <c r="BO138" s="355">
        <f t="shared" si="27"/>
        <v>0</v>
      </c>
      <c r="BP138" s="355">
        <f t="shared" si="28"/>
        <v>0</v>
      </c>
      <c r="BQ138" s="355">
        <f t="shared" si="30"/>
        <v>0</v>
      </c>
      <c r="BR138" s="355">
        <f t="shared" si="29"/>
        <v>92</v>
      </c>
      <c r="BS138" s="243">
        <f t="shared" si="31"/>
        <v>6.7204193548387095E-2</v>
      </c>
      <c r="BT138">
        <f t="shared" si="32"/>
        <v>0</v>
      </c>
      <c r="BU138" t="str">
        <f t="shared" si="33"/>
        <v>ok</v>
      </c>
      <c r="BV138">
        <f t="shared" si="25"/>
        <v>0</v>
      </c>
      <c r="BW138">
        <f t="shared" si="34"/>
        <v>0</v>
      </c>
    </row>
    <row r="139" spans="43:75" x14ac:dyDescent="0.25">
      <c r="AQ139" s="63"/>
      <c r="BM139" s="355">
        <v>134</v>
      </c>
      <c r="BN139" s="362">
        <f t="shared" si="26"/>
        <v>42746</v>
      </c>
      <c r="BO139" s="355">
        <f t="shared" si="27"/>
        <v>0</v>
      </c>
      <c r="BP139" s="355">
        <f t="shared" si="28"/>
        <v>0</v>
      </c>
      <c r="BQ139" s="355">
        <f t="shared" si="30"/>
        <v>0</v>
      </c>
      <c r="BR139" s="355">
        <f t="shared" si="29"/>
        <v>93</v>
      </c>
      <c r="BS139" s="243">
        <f t="shared" si="31"/>
        <v>6.7204193548387095E-2</v>
      </c>
      <c r="BT139">
        <f t="shared" si="32"/>
        <v>0</v>
      </c>
      <c r="BU139" t="str">
        <f t="shared" si="33"/>
        <v>ok</v>
      </c>
      <c r="BV139">
        <f t="shared" si="25"/>
        <v>0</v>
      </c>
      <c r="BW139">
        <f t="shared" si="34"/>
        <v>0</v>
      </c>
    </row>
    <row r="140" spans="43:75" x14ac:dyDescent="0.25">
      <c r="AQ140" s="63"/>
      <c r="BM140" s="355">
        <v>135</v>
      </c>
      <c r="BN140" s="362">
        <f t="shared" si="26"/>
        <v>42747</v>
      </c>
      <c r="BO140" s="355">
        <f t="shared" si="27"/>
        <v>0</v>
      </c>
      <c r="BP140" s="355">
        <f t="shared" si="28"/>
        <v>0</v>
      </c>
      <c r="BQ140" s="355">
        <f t="shared" si="30"/>
        <v>0</v>
      </c>
      <c r="BR140" s="355">
        <f t="shared" si="29"/>
        <v>94</v>
      </c>
      <c r="BS140" s="243">
        <f t="shared" si="31"/>
        <v>6.7204193548387095E-2</v>
      </c>
      <c r="BT140">
        <f t="shared" si="32"/>
        <v>0</v>
      </c>
      <c r="BU140" t="str">
        <f t="shared" si="33"/>
        <v>ok</v>
      </c>
      <c r="BV140">
        <f t="shared" si="25"/>
        <v>0</v>
      </c>
      <c r="BW140">
        <f t="shared" si="34"/>
        <v>0</v>
      </c>
    </row>
    <row r="141" spans="43:75" x14ac:dyDescent="0.25">
      <c r="AQ141" s="63"/>
      <c r="BM141" s="355">
        <v>136</v>
      </c>
      <c r="BN141" s="362">
        <f t="shared" si="26"/>
        <v>42748</v>
      </c>
      <c r="BO141" s="355">
        <f t="shared" si="27"/>
        <v>0</v>
      </c>
      <c r="BP141" s="355">
        <f t="shared" si="28"/>
        <v>0</v>
      </c>
      <c r="BQ141" s="355">
        <f t="shared" si="30"/>
        <v>0</v>
      </c>
      <c r="BR141" s="355">
        <f t="shared" si="29"/>
        <v>95</v>
      </c>
      <c r="BS141" s="243">
        <f t="shared" si="31"/>
        <v>6.7204193548387095E-2</v>
      </c>
      <c r="BT141">
        <f t="shared" si="32"/>
        <v>0</v>
      </c>
      <c r="BU141" t="str">
        <f t="shared" si="33"/>
        <v>ok</v>
      </c>
      <c r="BV141">
        <f t="shared" si="25"/>
        <v>0</v>
      </c>
      <c r="BW141">
        <f t="shared" si="34"/>
        <v>0</v>
      </c>
    </row>
    <row r="142" spans="43:75" x14ac:dyDescent="0.25">
      <c r="AQ142" s="63"/>
      <c r="BM142" s="355">
        <v>137</v>
      </c>
      <c r="BN142" s="362">
        <f t="shared" si="26"/>
        <v>42749</v>
      </c>
      <c r="BO142" s="355">
        <f t="shared" si="27"/>
        <v>0</v>
      </c>
      <c r="BP142" s="355">
        <f t="shared" si="28"/>
        <v>0</v>
      </c>
      <c r="BQ142" s="355">
        <f t="shared" si="30"/>
        <v>0</v>
      </c>
      <c r="BR142" s="355">
        <f t="shared" si="29"/>
        <v>96</v>
      </c>
      <c r="BS142" s="243">
        <f t="shared" si="31"/>
        <v>6.7204193548387095E-2</v>
      </c>
      <c r="BT142">
        <f t="shared" si="32"/>
        <v>0</v>
      </c>
      <c r="BU142" t="str">
        <f t="shared" si="33"/>
        <v>ok</v>
      </c>
      <c r="BV142">
        <f t="shared" si="25"/>
        <v>0</v>
      </c>
      <c r="BW142">
        <f t="shared" si="34"/>
        <v>0</v>
      </c>
    </row>
    <row r="143" spans="43:75" x14ac:dyDescent="0.25">
      <c r="AQ143" s="63"/>
      <c r="BM143" s="355">
        <v>138</v>
      </c>
      <c r="BN143" s="362">
        <f t="shared" si="26"/>
        <v>42750</v>
      </c>
      <c r="BO143" s="355">
        <f t="shared" si="27"/>
        <v>1</v>
      </c>
      <c r="BP143" s="355">
        <f t="shared" si="28"/>
        <v>0</v>
      </c>
      <c r="BQ143" s="355">
        <f t="shared" si="30"/>
        <v>0</v>
      </c>
      <c r="BR143" s="355">
        <f t="shared" si="29"/>
        <v>96</v>
      </c>
      <c r="BS143" s="243">
        <f t="shared" si="31"/>
        <v>6.7204193548387095E-2</v>
      </c>
      <c r="BT143">
        <f t="shared" si="32"/>
        <v>0</v>
      </c>
      <c r="BU143" t="str">
        <f t="shared" si="33"/>
        <v>ok</v>
      </c>
      <c r="BV143">
        <f t="shared" si="25"/>
        <v>0</v>
      </c>
      <c r="BW143">
        <f t="shared" si="34"/>
        <v>0</v>
      </c>
    </row>
    <row r="144" spans="43:75" x14ac:dyDescent="0.25">
      <c r="AQ144" s="63"/>
      <c r="BM144" s="355">
        <v>139</v>
      </c>
      <c r="BN144" s="362">
        <f t="shared" si="26"/>
        <v>42751</v>
      </c>
      <c r="BO144" s="355">
        <f t="shared" si="27"/>
        <v>1</v>
      </c>
      <c r="BP144" s="355">
        <f t="shared" si="28"/>
        <v>0</v>
      </c>
      <c r="BQ144" s="355">
        <f t="shared" si="30"/>
        <v>0</v>
      </c>
      <c r="BR144" s="355">
        <f t="shared" si="29"/>
        <v>96</v>
      </c>
      <c r="BS144" s="243">
        <f t="shared" si="31"/>
        <v>6.7204193548387095E-2</v>
      </c>
      <c r="BT144">
        <f t="shared" si="32"/>
        <v>0</v>
      </c>
      <c r="BU144" t="str">
        <f t="shared" si="33"/>
        <v>ok</v>
      </c>
      <c r="BV144">
        <f t="shared" si="25"/>
        <v>0</v>
      </c>
      <c r="BW144">
        <f t="shared" si="34"/>
        <v>0</v>
      </c>
    </row>
    <row r="145" spans="43:75" x14ac:dyDescent="0.25">
      <c r="AQ145" s="63"/>
      <c r="BM145" s="355">
        <v>140</v>
      </c>
      <c r="BN145" s="362">
        <f t="shared" si="26"/>
        <v>42752</v>
      </c>
      <c r="BO145" s="355">
        <f t="shared" si="27"/>
        <v>0</v>
      </c>
      <c r="BP145" s="355">
        <f t="shared" si="28"/>
        <v>0</v>
      </c>
      <c r="BQ145" s="355">
        <f t="shared" si="30"/>
        <v>0</v>
      </c>
      <c r="BR145" s="355">
        <f t="shared" si="29"/>
        <v>97</v>
      </c>
      <c r="BS145" s="243">
        <f t="shared" si="31"/>
        <v>6.7204193548387095E-2</v>
      </c>
      <c r="BT145">
        <f t="shared" si="32"/>
        <v>0</v>
      </c>
      <c r="BU145" t="str">
        <f t="shared" si="33"/>
        <v>ok</v>
      </c>
      <c r="BV145">
        <f t="shared" ref="BV145:BV208" si="35">IF(BU145="ok",$CC$29/(EOMONTH(BN145,0)-(EOMONTH(BN145,-1))),0)</f>
        <v>0</v>
      </c>
      <c r="BW145">
        <f t="shared" si="34"/>
        <v>0</v>
      </c>
    </row>
    <row r="146" spans="43:75" x14ac:dyDescent="0.25">
      <c r="AQ146" s="63"/>
      <c r="BM146" s="355">
        <v>141</v>
      </c>
      <c r="BN146" s="362">
        <f t="shared" si="26"/>
        <v>42753</v>
      </c>
      <c r="BO146" s="355">
        <f t="shared" si="27"/>
        <v>0</v>
      </c>
      <c r="BP146" s="355">
        <f t="shared" si="28"/>
        <v>0</v>
      </c>
      <c r="BQ146" s="355">
        <f t="shared" si="30"/>
        <v>0</v>
      </c>
      <c r="BR146" s="355">
        <f t="shared" si="29"/>
        <v>98</v>
      </c>
      <c r="BS146" s="243">
        <f t="shared" si="31"/>
        <v>6.7204193548387095E-2</v>
      </c>
      <c r="BT146">
        <f t="shared" si="32"/>
        <v>0</v>
      </c>
      <c r="BU146" t="str">
        <f t="shared" si="33"/>
        <v>ok</v>
      </c>
      <c r="BV146">
        <f t="shared" si="35"/>
        <v>0</v>
      </c>
      <c r="BW146">
        <f t="shared" si="34"/>
        <v>0</v>
      </c>
    </row>
    <row r="147" spans="43:75" x14ac:dyDescent="0.25">
      <c r="AQ147" s="63"/>
      <c r="BM147" s="355">
        <v>142</v>
      </c>
      <c r="BN147" s="362">
        <f t="shared" si="26"/>
        <v>42754</v>
      </c>
      <c r="BO147" s="355">
        <f t="shared" si="27"/>
        <v>0</v>
      </c>
      <c r="BP147" s="355">
        <f t="shared" si="28"/>
        <v>0</v>
      </c>
      <c r="BQ147" s="355">
        <f t="shared" si="30"/>
        <v>0</v>
      </c>
      <c r="BR147" s="355">
        <f t="shared" si="29"/>
        <v>99</v>
      </c>
      <c r="BS147" s="243">
        <f t="shared" si="31"/>
        <v>6.7204193548387095E-2</v>
      </c>
      <c r="BT147">
        <f t="shared" si="32"/>
        <v>0</v>
      </c>
      <c r="BU147" t="str">
        <f t="shared" si="33"/>
        <v>ok</v>
      </c>
      <c r="BV147">
        <f t="shared" si="35"/>
        <v>0</v>
      </c>
      <c r="BW147">
        <f t="shared" si="34"/>
        <v>0</v>
      </c>
    </row>
    <row r="148" spans="43:75" x14ac:dyDescent="0.25">
      <c r="AQ148" s="63"/>
      <c r="BM148" s="355">
        <v>143</v>
      </c>
      <c r="BN148" s="362">
        <f t="shared" si="26"/>
        <v>42755</v>
      </c>
      <c r="BO148" s="355">
        <f t="shared" si="27"/>
        <v>0</v>
      </c>
      <c r="BP148" s="355">
        <f t="shared" si="28"/>
        <v>0</v>
      </c>
      <c r="BQ148" s="355">
        <f t="shared" si="30"/>
        <v>0</v>
      </c>
      <c r="BR148" s="355">
        <f t="shared" si="29"/>
        <v>100</v>
      </c>
      <c r="BS148" s="243">
        <f t="shared" si="31"/>
        <v>6.7204193548387095E-2</v>
      </c>
      <c r="BT148">
        <f t="shared" si="32"/>
        <v>0</v>
      </c>
      <c r="BU148" t="str">
        <f t="shared" si="33"/>
        <v>ok</v>
      </c>
      <c r="BV148">
        <f t="shared" si="35"/>
        <v>0</v>
      </c>
      <c r="BW148">
        <f t="shared" si="34"/>
        <v>0</v>
      </c>
    </row>
    <row r="149" spans="43:75" x14ac:dyDescent="0.25">
      <c r="AQ149" s="63"/>
      <c r="BM149" s="355">
        <v>144</v>
      </c>
      <c r="BN149" s="362">
        <f t="shared" si="26"/>
        <v>42756</v>
      </c>
      <c r="BO149" s="355">
        <f t="shared" si="27"/>
        <v>0</v>
      </c>
      <c r="BP149" s="355">
        <f t="shared" si="28"/>
        <v>0</v>
      </c>
      <c r="BQ149" s="355">
        <f t="shared" si="30"/>
        <v>0</v>
      </c>
      <c r="BR149" s="355">
        <f t="shared" si="29"/>
        <v>101</v>
      </c>
      <c r="BS149" s="243">
        <f t="shared" si="31"/>
        <v>6.7204193548387095E-2</v>
      </c>
      <c r="BT149">
        <f t="shared" si="32"/>
        <v>0</v>
      </c>
      <c r="BU149" t="str">
        <f t="shared" si="33"/>
        <v>ok</v>
      </c>
      <c r="BV149">
        <f t="shared" si="35"/>
        <v>0</v>
      </c>
      <c r="BW149">
        <f t="shared" si="34"/>
        <v>0</v>
      </c>
    </row>
    <row r="150" spans="43:75" x14ac:dyDescent="0.25">
      <c r="AQ150" s="63"/>
      <c r="BM150" s="355">
        <v>145</v>
      </c>
      <c r="BN150" s="362">
        <f t="shared" si="26"/>
        <v>42757</v>
      </c>
      <c r="BO150" s="355">
        <f t="shared" si="27"/>
        <v>1</v>
      </c>
      <c r="BP150" s="355">
        <f t="shared" si="28"/>
        <v>0</v>
      </c>
      <c r="BQ150" s="355">
        <f t="shared" si="30"/>
        <v>0</v>
      </c>
      <c r="BR150" s="355">
        <f t="shared" si="29"/>
        <v>101</v>
      </c>
      <c r="BS150" s="243">
        <f t="shared" si="31"/>
        <v>6.7204193548387095E-2</v>
      </c>
      <c r="BT150">
        <f t="shared" si="32"/>
        <v>0</v>
      </c>
      <c r="BU150" t="str">
        <f t="shared" si="33"/>
        <v>ok</v>
      </c>
      <c r="BV150">
        <f t="shared" si="35"/>
        <v>0</v>
      </c>
      <c r="BW150">
        <f t="shared" si="34"/>
        <v>0</v>
      </c>
    </row>
    <row r="151" spans="43:75" x14ac:dyDescent="0.25">
      <c r="AQ151" s="63"/>
      <c r="BM151" s="355">
        <v>146</v>
      </c>
      <c r="BN151" s="362">
        <f t="shared" si="26"/>
        <v>42758</v>
      </c>
      <c r="BO151" s="355">
        <f t="shared" si="27"/>
        <v>1</v>
      </c>
      <c r="BP151" s="355">
        <f t="shared" si="28"/>
        <v>0</v>
      </c>
      <c r="BQ151" s="355">
        <f t="shared" si="30"/>
        <v>0</v>
      </c>
      <c r="BR151" s="355">
        <f t="shared" si="29"/>
        <v>101</v>
      </c>
      <c r="BS151" s="243">
        <f t="shared" si="31"/>
        <v>6.7204193548387095E-2</v>
      </c>
      <c r="BT151">
        <f t="shared" si="32"/>
        <v>0</v>
      </c>
      <c r="BU151" t="str">
        <f t="shared" si="33"/>
        <v>ok</v>
      </c>
      <c r="BV151">
        <f t="shared" si="35"/>
        <v>0</v>
      </c>
      <c r="BW151">
        <f t="shared" si="34"/>
        <v>0</v>
      </c>
    </row>
    <row r="152" spans="43:75" x14ac:dyDescent="0.25">
      <c r="AQ152" s="63"/>
      <c r="BM152" s="355">
        <v>147</v>
      </c>
      <c r="BN152" s="362">
        <f t="shared" si="26"/>
        <v>42759</v>
      </c>
      <c r="BO152" s="355">
        <f t="shared" si="27"/>
        <v>0</v>
      </c>
      <c r="BP152" s="355">
        <f t="shared" si="28"/>
        <v>0</v>
      </c>
      <c r="BQ152" s="355">
        <f t="shared" si="30"/>
        <v>0</v>
      </c>
      <c r="BR152" s="355">
        <f t="shared" si="29"/>
        <v>102</v>
      </c>
      <c r="BS152" s="243">
        <f t="shared" si="31"/>
        <v>6.7204193548387095E-2</v>
      </c>
      <c r="BT152">
        <f t="shared" si="32"/>
        <v>0</v>
      </c>
      <c r="BU152" t="str">
        <f t="shared" si="33"/>
        <v>ok</v>
      </c>
      <c r="BV152">
        <f t="shared" si="35"/>
        <v>0</v>
      </c>
      <c r="BW152">
        <f t="shared" si="34"/>
        <v>0</v>
      </c>
    </row>
    <row r="153" spans="43:75" x14ac:dyDescent="0.25">
      <c r="AQ153" s="63"/>
      <c r="BM153" s="355">
        <v>148</v>
      </c>
      <c r="BN153" s="362">
        <f t="shared" si="26"/>
        <v>42760</v>
      </c>
      <c r="BO153" s="355">
        <f t="shared" si="27"/>
        <v>0</v>
      </c>
      <c r="BP153" s="355">
        <f t="shared" si="28"/>
        <v>0</v>
      </c>
      <c r="BQ153" s="355">
        <f t="shared" si="30"/>
        <v>0</v>
      </c>
      <c r="BR153" s="355">
        <f t="shared" si="29"/>
        <v>103</v>
      </c>
      <c r="BS153" s="243">
        <f t="shared" si="31"/>
        <v>6.7204193548387095E-2</v>
      </c>
      <c r="BT153">
        <f t="shared" si="32"/>
        <v>0</v>
      </c>
      <c r="BU153" t="str">
        <f t="shared" si="33"/>
        <v>ok</v>
      </c>
      <c r="BV153">
        <f t="shared" si="35"/>
        <v>0</v>
      </c>
      <c r="BW153">
        <f t="shared" si="34"/>
        <v>0</v>
      </c>
    </row>
    <row r="154" spans="43:75" x14ac:dyDescent="0.25">
      <c r="AQ154" s="63"/>
      <c r="BM154" s="355">
        <v>149</v>
      </c>
      <c r="BN154" s="362">
        <f t="shared" si="26"/>
        <v>42761</v>
      </c>
      <c r="BO154" s="355">
        <f t="shared" si="27"/>
        <v>0</v>
      </c>
      <c r="BP154" s="355">
        <f t="shared" si="28"/>
        <v>0</v>
      </c>
      <c r="BQ154" s="355">
        <f t="shared" si="30"/>
        <v>0</v>
      </c>
      <c r="BR154" s="355">
        <f t="shared" si="29"/>
        <v>104</v>
      </c>
      <c r="BS154" s="243">
        <f t="shared" si="31"/>
        <v>6.7204193548387095E-2</v>
      </c>
      <c r="BT154">
        <f t="shared" si="32"/>
        <v>0</v>
      </c>
      <c r="BU154" t="str">
        <f t="shared" si="33"/>
        <v>ok</v>
      </c>
      <c r="BV154">
        <f t="shared" si="35"/>
        <v>0</v>
      </c>
      <c r="BW154">
        <f t="shared" si="34"/>
        <v>0</v>
      </c>
    </row>
    <row r="155" spans="43:75" x14ac:dyDescent="0.25">
      <c r="AQ155" s="63"/>
      <c r="BM155" s="355">
        <v>150</v>
      </c>
      <c r="BN155" s="362">
        <f t="shared" si="26"/>
        <v>42762</v>
      </c>
      <c r="BO155" s="355">
        <f t="shared" si="27"/>
        <v>0</v>
      </c>
      <c r="BP155" s="355">
        <f t="shared" si="28"/>
        <v>0</v>
      </c>
      <c r="BQ155" s="355">
        <f t="shared" si="30"/>
        <v>0</v>
      </c>
      <c r="BR155" s="355">
        <f t="shared" si="29"/>
        <v>105</v>
      </c>
      <c r="BS155" s="243">
        <f t="shared" si="31"/>
        <v>6.7204193548387095E-2</v>
      </c>
      <c r="BT155">
        <f t="shared" si="32"/>
        <v>0</v>
      </c>
      <c r="BU155" t="str">
        <f t="shared" si="33"/>
        <v>ok</v>
      </c>
      <c r="BV155">
        <f t="shared" si="35"/>
        <v>0</v>
      </c>
      <c r="BW155">
        <f t="shared" si="34"/>
        <v>0</v>
      </c>
    </row>
    <row r="156" spans="43:75" x14ac:dyDescent="0.25">
      <c r="AQ156" s="63"/>
      <c r="BM156" s="355">
        <v>151</v>
      </c>
      <c r="BN156" s="362">
        <f t="shared" si="26"/>
        <v>42763</v>
      </c>
      <c r="BO156" s="355">
        <f t="shared" si="27"/>
        <v>0</v>
      </c>
      <c r="BP156" s="355">
        <f t="shared" si="28"/>
        <v>0</v>
      </c>
      <c r="BQ156" s="355">
        <f t="shared" si="30"/>
        <v>0</v>
      </c>
      <c r="BR156" s="355">
        <f t="shared" si="29"/>
        <v>106</v>
      </c>
      <c r="BS156" s="243">
        <f t="shared" si="31"/>
        <v>6.7204193548387095E-2</v>
      </c>
      <c r="BT156">
        <f t="shared" si="32"/>
        <v>0</v>
      </c>
      <c r="BU156" t="str">
        <f t="shared" si="33"/>
        <v>ok</v>
      </c>
      <c r="BV156">
        <f t="shared" si="35"/>
        <v>0</v>
      </c>
      <c r="BW156">
        <f t="shared" si="34"/>
        <v>0</v>
      </c>
    </row>
    <row r="157" spans="43:75" x14ac:dyDescent="0.25">
      <c r="AQ157" s="63"/>
      <c r="BM157" s="355">
        <v>152</v>
      </c>
      <c r="BN157" s="362">
        <f t="shared" si="26"/>
        <v>42764</v>
      </c>
      <c r="BO157" s="355">
        <f t="shared" si="27"/>
        <v>1</v>
      </c>
      <c r="BP157" s="355">
        <f t="shared" si="28"/>
        <v>0</v>
      </c>
      <c r="BQ157" s="355">
        <f t="shared" si="30"/>
        <v>0</v>
      </c>
      <c r="BR157" s="355">
        <f t="shared" si="29"/>
        <v>106</v>
      </c>
      <c r="BS157" s="243">
        <f t="shared" si="31"/>
        <v>6.7204193548387095E-2</v>
      </c>
      <c r="BT157">
        <f t="shared" si="32"/>
        <v>0</v>
      </c>
      <c r="BU157" t="str">
        <f t="shared" si="33"/>
        <v>ok</v>
      </c>
      <c r="BV157">
        <f t="shared" si="35"/>
        <v>0</v>
      </c>
      <c r="BW157">
        <f t="shared" si="34"/>
        <v>0</v>
      </c>
    </row>
    <row r="158" spans="43:75" x14ac:dyDescent="0.25">
      <c r="AQ158" s="63"/>
      <c r="BM158" s="355">
        <v>153</v>
      </c>
      <c r="BN158" s="362">
        <f t="shared" si="26"/>
        <v>42765</v>
      </c>
      <c r="BO158" s="355">
        <f t="shared" si="27"/>
        <v>1</v>
      </c>
      <c r="BP158" s="355">
        <f t="shared" si="28"/>
        <v>0</v>
      </c>
      <c r="BQ158" s="355">
        <f t="shared" si="30"/>
        <v>0</v>
      </c>
      <c r="BR158" s="355">
        <f t="shared" si="29"/>
        <v>106</v>
      </c>
      <c r="BS158" s="243">
        <f t="shared" si="31"/>
        <v>6.7204193548387095E-2</v>
      </c>
      <c r="BT158">
        <f t="shared" si="32"/>
        <v>0</v>
      </c>
      <c r="BU158" t="str">
        <f t="shared" si="33"/>
        <v>ok</v>
      </c>
      <c r="BV158">
        <f t="shared" si="35"/>
        <v>0</v>
      </c>
      <c r="BW158">
        <f t="shared" si="34"/>
        <v>0</v>
      </c>
    </row>
    <row r="159" spans="43:75" x14ac:dyDescent="0.25">
      <c r="AQ159" s="63"/>
      <c r="BM159" s="355">
        <v>154</v>
      </c>
      <c r="BN159" s="362">
        <f t="shared" si="26"/>
        <v>42766</v>
      </c>
      <c r="BO159" s="355">
        <f t="shared" si="27"/>
        <v>0</v>
      </c>
      <c r="BP159" s="355">
        <f t="shared" si="28"/>
        <v>0</v>
      </c>
      <c r="BQ159" s="355">
        <f t="shared" si="30"/>
        <v>0</v>
      </c>
      <c r="BR159" s="355">
        <f t="shared" si="29"/>
        <v>107</v>
      </c>
      <c r="BS159" s="243">
        <f t="shared" si="31"/>
        <v>7.4404642857142864E-2</v>
      </c>
      <c r="BT159">
        <f t="shared" si="32"/>
        <v>0</v>
      </c>
      <c r="BU159" t="str">
        <f t="shared" si="33"/>
        <v>ok</v>
      </c>
      <c r="BV159">
        <f t="shared" si="35"/>
        <v>0</v>
      </c>
      <c r="BW159">
        <f t="shared" si="34"/>
        <v>0</v>
      </c>
    </row>
    <row r="160" spans="43:75" x14ac:dyDescent="0.25">
      <c r="AQ160" s="63"/>
      <c r="BM160" s="355">
        <v>155</v>
      </c>
      <c r="BN160" s="362">
        <f t="shared" si="26"/>
        <v>42767</v>
      </c>
      <c r="BO160" s="355">
        <f t="shared" si="27"/>
        <v>0</v>
      </c>
      <c r="BP160" s="355">
        <f t="shared" si="28"/>
        <v>0</v>
      </c>
      <c r="BQ160" s="355">
        <f t="shared" si="30"/>
        <v>0</v>
      </c>
      <c r="BR160" s="355">
        <f t="shared" si="29"/>
        <v>108</v>
      </c>
      <c r="BS160" s="243">
        <f t="shared" si="31"/>
        <v>7.4404642857142864E-2</v>
      </c>
      <c r="BT160">
        <f t="shared" si="32"/>
        <v>0</v>
      </c>
      <c r="BU160" t="str">
        <f t="shared" si="33"/>
        <v>ok</v>
      </c>
      <c r="BV160">
        <f t="shared" si="35"/>
        <v>0</v>
      </c>
      <c r="BW160">
        <f t="shared" si="34"/>
        <v>0</v>
      </c>
    </row>
    <row r="161" spans="43:75" x14ac:dyDescent="0.25">
      <c r="AQ161" s="63"/>
      <c r="BM161" s="355">
        <v>156</v>
      </c>
      <c r="BN161" s="362">
        <f t="shared" si="26"/>
        <v>42768</v>
      </c>
      <c r="BO161" s="355">
        <f t="shared" si="27"/>
        <v>0</v>
      </c>
      <c r="BP161" s="355">
        <f t="shared" si="28"/>
        <v>0</v>
      </c>
      <c r="BQ161" s="355">
        <f t="shared" si="30"/>
        <v>0</v>
      </c>
      <c r="BR161" s="355">
        <f t="shared" si="29"/>
        <v>109</v>
      </c>
      <c r="BS161" s="243">
        <f t="shared" si="31"/>
        <v>7.4404642857142864E-2</v>
      </c>
      <c r="BT161">
        <f t="shared" si="32"/>
        <v>0</v>
      </c>
      <c r="BU161" t="str">
        <f t="shared" si="33"/>
        <v>ok</v>
      </c>
      <c r="BV161">
        <f t="shared" si="35"/>
        <v>0</v>
      </c>
      <c r="BW161">
        <f t="shared" si="34"/>
        <v>0</v>
      </c>
    </row>
    <row r="162" spans="43:75" x14ac:dyDescent="0.25">
      <c r="AQ162" s="63"/>
      <c r="BM162" s="355">
        <v>157</v>
      </c>
      <c r="BN162" s="362">
        <f t="shared" si="26"/>
        <v>42769</v>
      </c>
      <c r="BO162" s="355">
        <f t="shared" si="27"/>
        <v>0</v>
      </c>
      <c r="BP162" s="355">
        <f t="shared" si="28"/>
        <v>0</v>
      </c>
      <c r="BQ162" s="355">
        <f t="shared" si="30"/>
        <v>0</v>
      </c>
      <c r="BR162" s="355">
        <f t="shared" si="29"/>
        <v>110</v>
      </c>
      <c r="BS162" s="243">
        <f t="shared" si="31"/>
        <v>7.4404642857142864E-2</v>
      </c>
      <c r="BT162">
        <f t="shared" si="32"/>
        <v>0</v>
      </c>
      <c r="BU162" t="str">
        <f t="shared" si="33"/>
        <v>ok</v>
      </c>
      <c r="BV162">
        <f t="shared" si="35"/>
        <v>0</v>
      </c>
      <c r="BW162">
        <f t="shared" si="34"/>
        <v>0</v>
      </c>
    </row>
    <row r="163" spans="43:75" x14ac:dyDescent="0.25">
      <c r="AQ163" s="63"/>
      <c r="BM163" s="355">
        <v>158</v>
      </c>
      <c r="BN163" s="362">
        <f t="shared" si="26"/>
        <v>42770</v>
      </c>
      <c r="BO163" s="355">
        <f t="shared" si="27"/>
        <v>0</v>
      </c>
      <c r="BP163" s="355">
        <f t="shared" si="28"/>
        <v>0</v>
      </c>
      <c r="BQ163" s="355">
        <f t="shared" si="30"/>
        <v>0</v>
      </c>
      <c r="BR163" s="355">
        <f t="shared" si="29"/>
        <v>111</v>
      </c>
      <c r="BS163" s="243">
        <f t="shared" si="31"/>
        <v>7.4404642857142864E-2</v>
      </c>
      <c r="BT163">
        <f t="shared" si="32"/>
        <v>0</v>
      </c>
      <c r="BU163" t="str">
        <f t="shared" si="33"/>
        <v>ok</v>
      </c>
      <c r="BV163">
        <f t="shared" si="35"/>
        <v>0</v>
      </c>
      <c r="BW163">
        <f t="shared" si="34"/>
        <v>0</v>
      </c>
    </row>
    <row r="164" spans="43:75" x14ac:dyDescent="0.25">
      <c r="AQ164" s="63"/>
      <c r="BM164" s="355">
        <v>159</v>
      </c>
      <c r="BN164" s="362">
        <f t="shared" si="26"/>
        <v>42771</v>
      </c>
      <c r="BO164" s="355">
        <f t="shared" si="27"/>
        <v>1</v>
      </c>
      <c r="BP164" s="355">
        <f t="shared" si="28"/>
        <v>0</v>
      </c>
      <c r="BQ164" s="355">
        <f t="shared" si="30"/>
        <v>0</v>
      </c>
      <c r="BR164" s="355">
        <f t="shared" si="29"/>
        <v>111</v>
      </c>
      <c r="BS164" s="243">
        <f t="shared" si="31"/>
        <v>7.4404642857142864E-2</v>
      </c>
      <c r="BT164">
        <f t="shared" si="32"/>
        <v>0</v>
      </c>
      <c r="BU164" t="str">
        <f t="shared" si="33"/>
        <v>ok</v>
      </c>
      <c r="BV164">
        <f t="shared" si="35"/>
        <v>0</v>
      </c>
      <c r="BW164">
        <f t="shared" si="34"/>
        <v>0</v>
      </c>
    </row>
    <row r="165" spans="43:75" x14ac:dyDescent="0.25">
      <c r="AQ165" s="63"/>
      <c r="BM165" s="355">
        <v>160</v>
      </c>
      <c r="BN165" s="362">
        <f t="shared" si="26"/>
        <v>42772</v>
      </c>
      <c r="BO165" s="355">
        <f t="shared" si="27"/>
        <v>1</v>
      </c>
      <c r="BP165" s="355">
        <f t="shared" si="28"/>
        <v>0</v>
      </c>
      <c r="BQ165" s="355">
        <f t="shared" si="30"/>
        <v>0</v>
      </c>
      <c r="BR165" s="355">
        <f t="shared" si="29"/>
        <v>111</v>
      </c>
      <c r="BS165" s="243">
        <f t="shared" si="31"/>
        <v>7.4404642857142864E-2</v>
      </c>
      <c r="BT165">
        <f t="shared" si="32"/>
        <v>0</v>
      </c>
      <c r="BU165" t="str">
        <f t="shared" si="33"/>
        <v>ok</v>
      </c>
      <c r="BV165">
        <f t="shared" si="35"/>
        <v>0</v>
      </c>
      <c r="BW165">
        <f t="shared" si="34"/>
        <v>0</v>
      </c>
    </row>
    <row r="166" spans="43:75" x14ac:dyDescent="0.25">
      <c r="AQ166" s="63"/>
      <c r="BM166" s="355">
        <v>161</v>
      </c>
      <c r="BN166" s="362">
        <f t="shared" si="26"/>
        <v>42773</v>
      </c>
      <c r="BO166" s="355">
        <f t="shared" si="27"/>
        <v>0</v>
      </c>
      <c r="BP166" s="355">
        <f t="shared" si="28"/>
        <v>0</v>
      </c>
      <c r="BQ166" s="355">
        <f t="shared" si="30"/>
        <v>0</v>
      </c>
      <c r="BR166" s="355">
        <f t="shared" si="29"/>
        <v>112</v>
      </c>
      <c r="BS166" s="243">
        <f t="shared" si="31"/>
        <v>7.4404642857142864E-2</v>
      </c>
      <c r="BT166">
        <f t="shared" si="32"/>
        <v>0</v>
      </c>
      <c r="BU166" t="str">
        <f t="shared" si="33"/>
        <v>ok</v>
      </c>
      <c r="BV166">
        <f t="shared" si="35"/>
        <v>0</v>
      </c>
      <c r="BW166">
        <f t="shared" si="34"/>
        <v>0</v>
      </c>
    </row>
    <row r="167" spans="43:75" x14ac:dyDescent="0.25">
      <c r="AQ167" s="63"/>
      <c r="BM167" s="355">
        <v>162</v>
      </c>
      <c r="BN167" s="362">
        <f t="shared" si="26"/>
        <v>42774</v>
      </c>
      <c r="BO167" s="355">
        <f t="shared" si="27"/>
        <v>0</v>
      </c>
      <c r="BP167" s="355">
        <f t="shared" si="28"/>
        <v>0</v>
      </c>
      <c r="BQ167" s="355">
        <f t="shared" si="30"/>
        <v>0</v>
      </c>
      <c r="BR167" s="355">
        <f t="shared" si="29"/>
        <v>113</v>
      </c>
      <c r="BS167" s="243">
        <f t="shared" si="31"/>
        <v>7.4404642857142864E-2</v>
      </c>
      <c r="BT167">
        <f t="shared" si="32"/>
        <v>0</v>
      </c>
      <c r="BU167" t="str">
        <f t="shared" si="33"/>
        <v>ok</v>
      </c>
      <c r="BV167">
        <f t="shared" si="35"/>
        <v>0</v>
      </c>
      <c r="BW167">
        <f t="shared" si="34"/>
        <v>0</v>
      </c>
    </row>
    <row r="168" spans="43:75" x14ac:dyDescent="0.25">
      <c r="AQ168" s="63"/>
      <c r="BM168" s="355">
        <v>163</v>
      </c>
      <c r="BN168" s="362">
        <f t="shared" si="26"/>
        <v>42775</v>
      </c>
      <c r="BO168" s="355">
        <f t="shared" si="27"/>
        <v>0</v>
      </c>
      <c r="BP168" s="355">
        <f t="shared" si="28"/>
        <v>0</v>
      </c>
      <c r="BQ168" s="355">
        <f t="shared" si="30"/>
        <v>0</v>
      </c>
      <c r="BR168" s="355">
        <f t="shared" si="29"/>
        <v>114</v>
      </c>
      <c r="BS168" s="243">
        <f t="shared" si="31"/>
        <v>7.4404642857142864E-2</v>
      </c>
      <c r="BT168">
        <f t="shared" si="32"/>
        <v>0</v>
      </c>
      <c r="BU168" t="str">
        <f t="shared" si="33"/>
        <v>ok</v>
      </c>
      <c r="BV168">
        <f t="shared" si="35"/>
        <v>0</v>
      </c>
      <c r="BW168">
        <f t="shared" si="34"/>
        <v>0</v>
      </c>
    </row>
    <row r="169" spans="43:75" x14ac:dyDescent="0.25">
      <c r="AQ169" s="63"/>
      <c r="BM169" s="355">
        <v>164</v>
      </c>
      <c r="BN169" s="362">
        <f t="shared" si="26"/>
        <v>42776</v>
      </c>
      <c r="BO169" s="355">
        <f t="shared" si="27"/>
        <v>0</v>
      </c>
      <c r="BP169" s="355">
        <f t="shared" si="28"/>
        <v>0</v>
      </c>
      <c r="BQ169" s="355">
        <f t="shared" si="30"/>
        <v>0</v>
      </c>
      <c r="BR169" s="355">
        <f t="shared" si="29"/>
        <v>115</v>
      </c>
      <c r="BS169" s="243">
        <f t="shared" si="31"/>
        <v>7.4404642857142864E-2</v>
      </c>
      <c r="BT169">
        <f t="shared" si="32"/>
        <v>0</v>
      </c>
      <c r="BU169" t="str">
        <f t="shared" si="33"/>
        <v>ok</v>
      </c>
      <c r="BV169">
        <f t="shared" si="35"/>
        <v>0</v>
      </c>
      <c r="BW169">
        <f t="shared" si="34"/>
        <v>0</v>
      </c>
    </row>
    <row r="170" spans="43:75" x14ac:dyDescent="0.25">
      <c r="AQ170" s="63"/>
      <c r="BM170" s="355">
        <v>165</v>
      </c>
      <c r="BN170" s="362">
        <f t="shared" si="26"/>
        <v>42777</v>
      </c>
      <c r="BO170" s="355">
        <f t="shared" si="27"/>
        <v>0</v>
      </c>
      <c r="BP170" s="355">
        <f t="shared" si="28"/>
        <v>0</v>
      </c>
      <c r="BQ170" s="355">
        <f t="shared" si="30"/>
        <v>0</v>
      </c>
      <c r="BR170" s="355">
        <f t="shared" si="29"/>
        <v>116</v>
      </c>
      <c r="BS170" s="243">
        <f t="shared" si="31"/>
        <v>7.4404642857142864E-2</v>
      </c>
      <c r="BT170">
        <f t="shared" si="32"/>
        <v>0</v>
      </c>
      <c r="BU170" t="str">
        <f t="shared" si="33"/>
        <v>ok</v>
      </c>
      <c r="BV170">
        <f t="shared" si="35"/>
        <v>0</v>
      </c>
      <c r="BW170">
        <f t="shared" si="34"/>
        <v>0</v>
      </c>
    </row>
    <row r="171" spans="43:75" x14ac:dyDescent="0.25">
      <c r="AQ171" s="63"/>
      <c r="BM171" s="355">
        <v>166</v>
      </c>
      <c r="BN171" s="362">
        <f t="shared" si="26"/>
        <v>42778</v>
      </c>
      <c r="BO171" s="355">
        <f t="shared" si="27"/>
        <v>1</v>
      </c>
      <c r="BP171" s="355">
        <f t="shared" si="28"/>
        <v>0</v>
      </c>
      <c r="BQ171" s="355">
        <f t="shared" si="30"/>
        <v>0</v>
      </c>
      <c r="BR171" s="355">
        <f t="shared" si="29"/>
        <v>116</v>
      </c>
      <c r="BS171" s="243">
        <f t="shared" si="31"/>
        <v>7.4404642857142864E-2</v>
      </c>
      <c r="BT171">
        <f t="shared" si="32"/>
        <v>0</v>
      </c>
      <c r="BU171" t="str">
        <f t="shared" si="33"/>
        <v>ok</v>
      </c>
      <c r="BV171">
        <f t="shared" si="35"/>
        <v>0</v>
      </c>
      <c r="BW171">
        <f t="shared" si="34"/>
        <v>0</v>
      </c>
    </row>
    <row r="172" spans="43:75" x14ac:dyDescent="0.25">
      <c r="AQ172" s="63"/>
      <c r="BM172" s="355">
        <v>167</v>
      </c>
      <c r="BN172" s="362">
        <f t="shared" si="26"/>
        <v>42779</v>
      </c>
      <c r="BO172" s="355">
        <f t="shared" si="27"/>
        <v>1</v>
      </c>
      <c r="BP172" s="355">
        <f t="shared" si="28"/>
        <v>0</v>
      </c>
      <c r="BQ172" s="355">
        <f t="shared" si="30"/>
        <v>0</v>
      </c>
      <c r="BR172" s="355">
        <f t="shared" si="29"/>
        <v>116</v>
      </c>
      <c r="BS172" s="243">
        <f t="shared" si="31"/>
        <v>7.4404642857142864E-2</v>
      </c>
      <c r="BT172">
        <f t="shared" si="32"/>
        <v>0</v>
      </c>
      <c r="BU172" t="str">
        <f t="shared" si="33"/>
        <v>ok</v>
      </c>
      <c r="BV172">
        <f t="shared" si="35"/>
        <v>0</v>
      </c>
      <c r="BW172">
        <f t="shared" si="34"/>
        <v>0</v>
      </c>
    </row>
    <row r="173" spans="43:75" x14ac:dyDescent="0.25">
      <c r="AQ173" s="63"/>
      <c r="BM173" s="355">
        <v>168</v>
      </c>
      <c r="BN173" s="362">
        <f t="shared" si="26"/>
        <v>42780</v>
      </c>
      <c r="BO173" s="355">
        <f t="shared" si="27"/>
        <v>0</v>
      </c>
      <c r="BP173" s="355">
        <f t="shared" si="28"/>
        <v>0</v>
      </c>
      <c r="BQ173" s="355">
        <f t="shared" si="30"/>
        <v>0</v>
      </c>
      <c r="BR173" s="355">
        <f t="shared" si="29"/>
        <v>117</v>
      </c>
      <c r="BS173" s="243">
        <f t="shared" si="31"/>
        <v>7.4404642857142864E-2</v>
      </c>
      <c r="BT173">
        <f t="shared" si="32"/>
        <v>0</v>
      </c>
      <c r="BU173" t="str">
        <f t="shared" si="33"/>
        <v>ok</v>
      </c>
      <c r="BV173">
        <f t="shared" si="35"/>
        <v>0</v>
      </c>
      <c r="BW173">
        <f t="shared" si="34"/>
        <v>0</v>
      </c>
    </row>
    <row r="174" spans="43:75" x14ac:dyDescent="0.25">
      <c r="AQ174" s="63"/>
      <c r="BM174" s="355">
        <v>169</v>
      </c>
      <c r="BN174" s="362">
        <f t="shared" si="26"/>
        <v>42781</v>
      </c>
      <c r="BO174" s="355">
        <f t="shared" si="27"/>
        <v>0</v>
      </c>
      <c r="BP174" s="355">
        <f t="shared" si="28"/>
        <v>0</v>
      </c>
      <c r="BQ174" s="355">
        <f t="shared" si="30"/>
        <v>0</v>
      </c>
      <c r="BR174" s="355">
        <f t="shared" si="29"/>
        <v>118</v>
      </c>
      <c r="BS174" s="243">
        <f t="shared" si="31"/>
        <v>7.4404642857142864E-2</v>
      </c>
      <c r="BT174">
        <f t="shared" si="32"/>
        <v>0</v>
      </c>
      <c r="BU174" t="str">
        <f t="shared" si="33"/>
        <v>ok</v>
      </c>
      <c r="BV174">
        <f t="shared" si="35"/>
        <v>0</v>
      </c>
      <c r="BW174">
        <f t="shared" si="34"/>
        <v>0</v>
      </c>
    </row>
    <row r="175" spans="43:75" x14ac:dyDescent="0.25">
      <c r="AQ175" s="63"/>
      <c r="BM175" s="355">
        <v>170</v>
      </c>
      <c r="BN175" s="362">
        <f t="shared" si="26"/>
        <v>42782</v>
      </c>
      <c r="BO175" s="355">
        <f t="shared" si="27"/>
        <v>0</v>
      </c>
      <c r="BP175" s="355">
        <f t="shared" si="28"/>
        <v>0</v>
      </c>
      <c r="BQ175" s="355">
        <f t="shared" si="30"/>
        <v>0</v>
      </c>
      <c r="BR175" s="355">
        <f t="shared" si="29"/>
        <v>119</v>
      </c>
      <c r="BS175" s="243">
        <f t="shared" si="31"/>
        <v>7.4404642857142864E-2</v>
      </c>
      <c r="BT175">
        <f t="shared" si="32"/>
        <v>0</v>
      </c>
      <c r="BU175" t="str">
        <f t="shared" si="33"/>
        <v>ok</v>
      </c>
      <c r="BV175">
        <f t="shared" si="35"/>
        <v>0</v>
      </c>
      <c r="BW175">
        <f t="shared" si="34"/>
        <v>0</v>
      </c>
    </row>
    <row r="176" spans="43:75" x14ac:dyDescent="0.25">
      <c r="AQ176" s="63"/>
      <c r="BM176" s="355">
        <v>171</v>
      </c>
      <c r="BN176" s="362">
        <f t="shared" si="26"/>
        <v>42783</v>
      </c>
      <c r="BO176" s="355">
        <f t="shared" si="27"/>
        <v>0</v>
      </c>
      <c r="BP176" s="355">
        <f t="shared" si="28"/>
        <v>0</v>
      </c>
      <c r="BQ176" s="355">
        <f t="shared" si="30"/>
        <v>0</v>
      </c>
      <c r="BR176" s="355">
        <f t="shared" si="29"/>
        <v>120</v>
      </c>
      <c r="BS176" s="243">
        <f t="shared" si="31"/>
        <v>7.4404642857142864E-2</v>
      </c>
      <c r="BT176">
        <f t="shared" si="32"/>
        <v>0</v>
      </c>
      <c r="BU176" t="str">
        <f t="shared" si="33"/>
        <v>ok</v>
      </c>
      <c r="BV176">
        <f t="shared" si="35"/>
        <v>0</v>
      </c>
      <c r="BW176">
        <f t="shared" si="34"/>
        <v>0</v>
      </c>
    </row>
    <row r="177" spans="43:75" x14ac:dyDescent="0.25">
      <c r="AQ177" s="63"/>
      <c r="BM177" s="355">
        <v>172</v>
      </c>
      <c r="BN177" s="362">
        <f t="shared" si="26"/>
        <v>42784</v>
      </c>
      <c r="BO177" s="355">
        <f t="shared" si="27"/>
        <v>0</v>
      </c>
      <c r="BP177" s="355">
        <f t="shared" si="28"/>
        <v>0</v>
      </c>
      <c r="BQ177" s="355">
        <f t="shared" si="30"/>
        <v>0</v>
      </c>
      <c r="BR177" s="355">
        <f t="shared" si="29"/>
        <v>121</v>
      </c>
      <c r="BS177" s="243">
        <f t="shared" si="31"/>
        <v>7.4404642857142864E-2</v>
      </c>
      <c r="BT177">
        <f t="shared" si="32"/>
        <v>0</v>
      </c>
      <c r="BU177" t="str">
        <f t="shared" si="33"/>
        <v>ok</v>
      </c>
      <c r="BV177">
        <f t="shared" si="35"/>
        <v>0</v>
      </c>
      <c r="BW177">
        <f t="shared" si="34"/>
        <v>0</v>
      </c>
    </row>
    <row r="178" spans="43:75" x14ac:dyDescent="0.25">
      <c r="AQ178" s="63"/>
      <c r="BM178" s="355">
        <v>173</v>
      </c>
      <c r="BN178" s="362">
        <f t="shared" si="26"/>
        <v>42785</v>
      </c>
      <c r="BO178" s="355">
        <f t="shared" si="27"/>
        <v>1</v>
      </c>
      <c r="BP178" s="355">
        <f t="shared" si="28"/>
        <v>0</v>
      </c>
      <c r="BQ178" s="355">
        <f t="shared" si="30"/>
        <v>0</v>
      </c>
      <c r="BR178" s="355">
        <f t="shared" si="29"/>
        <v>121</v>
      </c>
      <c r="BS178" s="243">
        <f t="shared" si="31"/>
        <v>7.4404642857142864E-2</v>
      </c>
      <c r="BT178">
        <f t="shared" si="32"/>
        <v>0</v>
      </c>
      <c r="BU178" t="str">
        <f t="shared" si="33"/>
        <v>ok</v>
      </c>
      <c r="BV178">
        <f t="shared" si="35"/>
        <v>0</v>
      </c>
      <c r="BW178">
        <f t="shared" si="34"/>
        <v>0</v>
      </c>
    </row>
    <row r="179" spans="43:75" x14ac:dyDescent="0.25">
      <c r="AQ179" s="63"/>
      <c r="BM179" s="355">
        <v>174</v>
      </c>
      <c r="BN179" s="362">
        <f t="shared" si="26"/>
        <v>42786</v>
      </c>
      <c r="BO179" s="355">
        <f t="shared" si="27"/>
        <v>1</v>
      </c>
      <c r="BP179" s="355">
        <f t="shared" si="28"/>
        <v>0</v>
      </c>
      <c r="BQ179" s="355">
        <f t="shared" si="30"/>
        <v>0</v>
      </c>
      <c r="BR179" s="355">
        <f t="shared" si="29"/>
        <v>121</v>
      </c>
      <c r="BS179" s="243">
        <f t="shared" si="31"/>
        <v>7.4404642857142864E-2</v>
      </c>
      <c r="BT179">
        <f t="shared" si="32"/>
        <v>0</v>
      </c>
      <c r="BU179" t="str">
        <f t="shared" si="33"/>
        <v>ok</v>
      </c>
      <c r="BV179">
        <f t="shared" si="35"/>
        <v>0</v>
      </c>
      <c r="BW179">
        <f t="shared" si="34"/>
        <v>0</v>
      </c>
    </row>
    <row r="180" spans="43:75" x14ac:dyDescent="0.25">
      <c r="AQ180" s="63"/>
      <c r="BM180" s="355">
        <v>175</v>
      </c>
      <c r="BN180" s="362">
        <f t="shared" si="26"/>
        <v>42787</v>
      </c>
      <c r="BO180" s="355">
        <f t="shared" si="27"/>
        <v>0</v>
      </c>
      <c r="BP180" s="355">
        <f t="shared" si="28"/>
        <v>0</v>
      </c>
      <c r="BQ180" s="355">
        <f t="shared" si="30"/>
        <v>0</v>
      </c>
      <c r="BR180" s="355">
        <f t="shared" si="29"/>
        <v>122</v>
      </c>
      <c r="BS180" s="243">
        <f t="shared" si="31"/>
        <v>7.4404642857142864E-2</v>
      </c>
      <c r="BT180">
        <f t="shared" si="32"/>
        <v>0</v>
      </c>
      <c r="BU180" t="str">
        <f t="shared" si="33"/>
        <v>ok</v>
      </c>
      <c r="BV180">
        <f t="shared" si="35"/>
        <v>0</v>
      </c>
      <c r="BW180">
        <f t="shared" si="34"/>
        <v>0</v>
      </c>
    </row>
    <row r="181" spans="43:75" x14ac:dyDescent="0.25">
      <c r="AQ181" s="63"/>
      <c r="BM181" s="355">
        <v>176</v>
      </c>
      <c r="BN181" s="362">
        <f t="shared" si="26"/>
        <v>42788</v>
      </c>
      <c r="BO181" s="355">
        <f t="shared" si="27"/>
        <v>0</v>
      </c>
      <c r="BP181" s="355">
        <f t="shared" si="28"/>
        <v>0</v>
      </c>
      <c r="BQ181" s="355">
        <f t="shared" si="30"/>
        <v>0</v>
      </c>
      <c r="BR181" s="355">
        <f t="shared" si="29"/>
        <v>123</v>
      </c>
      <c r="BS181" s="243">
        <f t="shared" si="31"/>
        <v>7.4404642857142864E-2</v>
      </c>
      <c r="BT181">
        <f t="shared" si="32"/>
        <v>0</v>
      </c>
      <c r="BU181" t="str">
        <f t="shared" si="33"/>
        <v>ok</v>
      </c>
      <c r="BV181">
        <f t="shared" si="35"/>
        <v>0</v>
      </c>
      <c r="BW181">
        <f t="shared" si="34"/>
        <v>0</v>
      </c>
    </row>
    <row r="182" spans="43:75" x14ac:dyDescent="0.25">
      <c r="AQ182" s="63"/>
      <c r="BM182" s="355">
        <v>177</v>
      </c>
      <c r="BN182" s="362">
        <f t="shared" si="26"/>
        <v>42789</v>
      </c>
      <c r="BO182" s="355">
        <f t="shared" si="27"/>
        <v>0</v>
      </c>
      <c r="BP182" s="355">
        <f t="shared" si="28"/>
        <v>0</v>
      </c>
      <c r="BQ182" s="355">
        <f t="shared" si="30"/>
        <v>0</v>
      </c>
      <c r="BR182" s="355">
        <f t="shared" si="29"/>
        <v>124</v>
      </c>
      <c r="BS182" s="243">
        <f t="shared" si="31"/>
        <v>7.4404642857142864E-2</v>
      </c>
      <c r="BT182">
        <f t="shared" si="32"/>
        <v>0</v>
      </c>
      <c r="BU182" t="str">
        <f t="shared" si="33"/>
        <v>ok</v>
      </c>
      <c r="BV182">
        <f t="shared" si="35"/>
        <v>0</v>
      </c>
      <c r="BW182">
        <f t="shared" si="34"/>
        <v>0</v>
      </c>
    </row>
    <row r="183" spans="43:75" x14ac:dyDescent="0.25">
      <c r="AQ183" s="63"/>
      <c r="BM183" s="355">
        <v>178</v>
      </c>
      <c r="BN183" s="362">
        <f t="shared" si="26"/>
        <v>42790</v>
      </c>
      <c r="BO183" s="355">
        <f t="shared" si="27"/>
        <v>0</v>
      </c>
      <c r="BP183" s="355">
        <f t="shared" si="28"/>
        <v>0</v>
      </c>
      <c r="BQ183" s="355">
        <f t="shared" si="30"/>
        <v>0</v>
      </c>
      <c r="BR183" s="355">
        <f t="shared" si="29"/>
        <v>125</v>
      </c>
      <c r="BS183" s="243">
        <f t="shared" si="31"/>
        <v>7.4404642857142864E-2</v>
      </c>
      <c r="BT183">
        <f t="shared" si="32"/>
        <v>0</v>
      </c>
      <c r="BU183" t="str">
        <f t="shared" si="33"/>
        <v>ok</v>
      </c>
      <c r="BV183">
        <f t="shared" si="35"/>
        <v>0</v>
      </c>
      <c r="BW183">
        <f t="shared" si="34"/>
        <v>0</v>
      </c>
    </row>
    <row r="184" spans="43:75" x14ac:dyDescent="0.25">
      <c r="AQ184" s="63"/>
      <c r="BM184" s="355">
        <v>179</v>
      </c>
      <c r="BN184" s="362">
        <f t="shared" si="26"/>
        <v>42791</v>
      </c>
      <c r="BO184" s="355">
        <f t="shared" si="27"/>
        <v>0</v>
      </c>
      <c r="BP184" s="355">
        <f t="shared" si="28"/>
        <v>0</v>
      </c>
      <c r="BQ184" s="355">
        <f t="shared" si="30"/>
        <v>0</v>
      </c>
      <c r="BR184" s="355">
        <f t="shared" si="29"/>
        <v>126</v>
      </c>
      <c r="BS184" s="243">
        <f t="shared" si="31"/>
        <v>7.4404642857142864E-2</v>
      </c>
      <c r="BT184">
        <f t="shared" si="32"/>
        <v>0</v>
      </c>
      <c r="BU184" t="str">
        <f t="shared" si="33"/>
        <v>ok</v>
      </c>
      <c r="BV184">
        <f t="shared" si="35"/>
        <v>0</v>
      </c>
      <c r="BW184">
        <f t="shared" si="34"/>
        <v>0</v>
      </c>
    </row>
    <row r="185" spans="43:75" x14ac:dyDescent="0.25">
      <c r="AQ185" s="63"/>
      <c r="BM185" s="355">
        <v>180</v>
      </c>
      <c r="BN185" s="362">
        <f t="shared" si="26"/>
        <v>42792</v>
      </c>
      <c r="BO185" s="355">
        <f t="shared" si="27"/>
        <v>1</v>
      </c>
      <c r="BP185" s="355">
        <f t="shared" si="28"/>
        <v>0</v>
      </c>
      <c r="BQ185" s="355">
        <f t="shared" si="30"/>
        <v>0</v>
      </c>
      <c r="BR185" s="355">
        <f t="shared" si="29"/>
        <v>126</v>
      </c>
      <c r="BS185" s="243">
        <f t="shared" si="31"/>
        <v>7.4404642857142864E-2</v>
      </c>
      <c r="BT185">
        <f t="shared" si="32"/>
        <v>0</v>
      </c>
      <c r="BU185" t="str">
        <f t="shared" si="33"/>
        <v>ok</v>
      </c>
      <c r="BV185">
        <f t="shared" si="35"/>
        <v>0</v>
      </c>
      <c r="BW185">
        <f t="shared" si="34"/>
        <v>0</v>
      </c>
    </row>
    <row r="186" spans="43:75" x14ac:dyDescent="0.25">
      <c r="AQ186" s="63"/>
      <c r="BM186" s="355">
        <v>181</v>
      </c>
      <c r="BN186" s="362">
        <f t="shared" si="26"/>
        <v>42793</v>
      </c>
      <c r="BO186" s="355">
        <f t="shared" si="27"/>
        <v>1</v>
      </c>
      <c r="BP186" s="355">
        <f t="shared" si="28"/>
        <v>0</v>
      </c>
      <c r="BQ186" s="355">
        <f t="shared" si="30"/>
        <v>0</v>
      </c>
      <c r="BR186" s="355">
        <f t="shared" si="29"/>
        <v>126</v>
      </c>
      <c r="BS186" s="243">
        <f t="shared" si="31"/>
        <v>7.4404642857142864E-2</v>
      </c>
      <c r="BT186">
        <f t="shared" si="32"/>
        <v>0</v>
      </c>
      <c r="BU186" t="str">
        <f t="shared" si="33"/>
        <v>ok</v>
      </c>
      <c r="BV186">
        <f t="shared" si="35"/>
        <v>0</v>
      </c>
      <c r="BW186">
        <f t="shared" si="34"/>
        <v>0</v>
      </c>
    </row>
    <row r="187" spans="43:75" x14ac:dyDescent="0.25">
      <c r="AQ187" s="63"/>
      <c r="BM187" s="355">
        <v>182</v>
      </c>
      <c r="BN187" s="362">
        <f t="shared" si="26"/>
        <v>42794</v>
      </c>
      <c r="BO187" s="355">
        <f t="shared" si="27"/>
        <v>0</v>
      </c>
      <c r="BP187" s="355">
        <f t="shared" si="28"/>
        <v>0</v>
      </c>
      <c r="BQ187" s="355">
        <f t="shared" si="30"/>
        <v>0</v>
      </c>
      <c r="BR187" s="355">
        <f t="shared" si="29"/>
        <v>127</v>
      </c>
      <c r="BS187" s="243">
        <f t="shared" si="31"/>
        <v>6.7204193548387095E-2</v>
      </c>
      <c r="BT187">
        <f t="shared" si="32"/>
        <v>0</v>
      </c>
      <c r="BU187" t="str">
        <f t="shared" si="33"/>
        <v>ok</v>
      </c>
      <c r="BV187">
        <f t="shared" si="35"/>
        <v>0</v>
      </c>
      <c r="BW187">
        <f t="shared" si="34"/>
        <v>0</v>
      </c>
    </row>
    <row r="188" spans="43:75" x14ac:dyDescent="0.25">
      <c r="AQ188" s="63"/>
      <c r="BM188" s="355">
        <v>183</v>
      </c>
      <c r="BN188" s="362">
        <f t="shared" si="26"/>
        <v>42795</v>
      </c>
      <c r="BO188" s="355">
        <f t="shared" si="27"/>
        <v>0</v>
      </c>
      <c r="BP188" s="355">
        <f t="shared" si="28"/>
        <v>0</v>
      </c>
      <c r="BQ188" s="355">
        <f t="shared" si="30"/>
        <v>0</v>
      </c>
      <c r="BR188" s="355">
        <f t="shared" si="29"/>
        <v>128</v>
      </c>
      <c r="BS188" s="243">
        <f t="shared" si="31"/>
        <v>6.7204193548387095E-2</v>
      </c>
      <c r="BT188">
        <f t="shared" si="32"/>
        <v>0</v>
      </c>
      <c r="BU188" t="str">
        <f t="shared" si="33"/>
        <v>ok</v>
      </c>
      <c r="BV188">
        <f t="shared" si="35"/>
        <v>0</v>
      </c>
      <c r="BW188">
        <f t="shared" si="34"/>
        <v>0</v>
      </c>
    </row>
    <row r="189" spans="43:75" x14ac:dyDescent="0.25">
      <c r="AQ189" s="63"/>
      <c r="BM189" s="355">
        <v>184</v>
      </c>
      <c r="BN189" s="362">
        <f t="shared" si="26"/>
        <v>42796</v>
      </c>
      <c r="BO189" s="355">
        <f t="shared" si="27"/>
        <v>0</v>
      </c>
      <c r="BP189" s="355">
        <f t="shared" si="28"/>
        <v>0</v>
      </c>
      <c r="BQ189" s="355">
        <f t="shared" si="30"/>
        <v>0</v>
      </c>
      <c r="BR189" s="355">
        <f t="shared" si="29"/>
        <v>129</v>
      </c>
      <c r="BS189" s="243">
        <f t="shared" si="31"/>
        <v>6.7204193548387095E-2</v>
      </c>
      <c r="BT189">
        <f t="shared" si="32"/>
        <v>0</v>
      </c>
      <c r="BU189" t="str">
        <f t="shared" si="33"/>
        <v>ok</v>
      </c>
      <c r="BV189">
        <f t="shared" si="35"/>
        <v>0</v>
      </c>
      <c r="BW189">
        <f t="shared" si="34"/>
        <v>0</v>
      </c>
    </row>
    <row r="190" spans="43:75" x14ac:dyDescent="0.25">
      <c r="AQ190" s="63"/>
      <c r="BM190" s="355">
        <v>185</v>
      </c>
      <c r="BN190" s="362">
        <f t="shared" si="26"/>
        <v>42797</v>
      </c>
      <c r="BO190" s="355">
        <f t="shared" si="27"/>
        <v>0</v>
      </c>
      <c r="BP190" s="355">
        <f t="shared" si="28"/>
        <v>0</v>
      </c>
      <c r="BQ190" s="355">
        <f t="shared" si="30"/>
        <v>0</v>
      </c>
      <c r="BR190" s="355">
        <f t="shared" si="29"/>
        <v>130</v>
      </c>
      <c r="BS190" s="243">
        <f t="shared" si="31"/>
        <v>6.7204193548387095E-2</v>
      </c>
      <c r="BT190">
        <f t="shared" si="32"/>
        <v>0</v>
      </c>
      <c r="BU190" t="str">
        <f t="shared" si="33"/>
        <v>ok</v>
      </c>
      <c r="BV190">
        <f t="shared" si="35"/>
        <v>0</v>
      </c>
      <c r="BW190">
        <f t="shared" si="34"/>
        <v>0</v>
      </c>
    </row>
    <row r="191" spans="43:75" x14ac:dyDescent="0.25">
      <c r="AQ191" s="63"/>
      <c r="BM191" s="355">
        <v>186</v>
      </c>
      <c r="BN191" s="362">
        <f t="shared" si="26"/>
        <v>42798</v>
      </c>
      <c r="BO191" s="355">
        <f t="shared" si="27"/>
        <v>0</v>
      </c>
      <c r="BP191" s="355">
        <f t="shared" si="28"/>
        <v>0</v>
      </c>
      <c r="BQ191" s="355">
        <f t="shared" si="30"/>
        <v>0</v>
      </c>
      <c r="BR191" s="355">
        <f t="shared" si="29"/>
        <v>131</v>
      </c>
      <c r="BS191" s="243">
        <f t="shared" si="31"/>
        <v>6.7204193548387095E-2</v>
      </c>
      <c r="BT191">
        <f t="shared" si="32"/>
        <v>0</v>
      </c>
      <c r="BU191" t="str">
        <f t="shared" si="33"/>
        <v>ok</v>
      </c>
      <c r="BV191">
        <f t="shared" si="35"/>
        <v>0</v>
      </c>
      <c r="BW191">
        <f t="shared" si="34"/>
        <v>0</v>
      </c>
    </row>
    <row r="192" spans="43:75" x14ac:dyDescent="0.25">
      <c r="AQ192" s="63"/>
      <c r="BM192" s="355">
        <v>187</v>
      </c>
      <c r="BN192" s="362">
        <f t="shared" si="26"/>
        <v>42799</v>
      </c>
      <c r="BO192" s="355">
        <f t="shared" si="27"/>
        <v>1</v>
      </c>
      <c r="BP192" s="355">
        <f t="shared" si="28"/>
        <v>0</v>
      </c>
      <c r="BQ192" s="355">
        <f t="shared" si="30"/>
        <v>0</v>
      </c>
      <c r="BR192" s="355">
        <f t="shared" si="29"/>
        <v>131</v>
      </c>
      <c r="BS192" s="243">
        <f t="shared" si="31"/>
        <v>6.7204193548387095E-2</v>
      </c>
      <c r="BT192">
        <f t="shared" si="32"/>
        <v>0</v>
      </c>
      <c r="BU192" t="str">
        <f t="shared" si="33"/>
        <v>ok</v>
      </c>
      <c r="BV192">
        <f t="shared" si="35"/>
        <v>0</v>
      </c>
      <c r="BW192">
        <f t="shared" si="34"/>
        <v>0</v>
      </c>
    </row>
    <row r="193" spans="43:75" x14ac:dyDescent="0.25">
      <c r="AQ193" s="63"/>
      <c r="BM193" s="355">
        <v>188</v>
      </c>
      <c r="BN193" s="362">
        <f t="shared" si="26"/>
        <v>42800</v>
      </c>
      <c r="BO193" s="355">
        <f t="shared" si="27"/>
        <v>1</v>
      </c>
      <c r="BP193" s="355">
        <f t="shared" si="28"/>
        <v>0</v>
      </c>
      <c r="BQ193" s="355">
        <f t="shared" si="30"/>
        <v>0</v>
      </c>
      <c r="BR193" s="355">
        <f t="shared" si="29"/>
        <v>131</v>
      </c>
      <c r="BS193" s="243">
        <f t="shared" si="31"/>
        <v>6.7204193548387095E-2</v>
      </c>
      <c r="BT193">
        <f t="shared" si="32"/>
        <v>0</v>
      </c>
      <c r="BU193" t="str">
        <f t="shared" si="33"/>
        <v>ok</v>
      </c>
      <c r="BV193">
        <f t="shared" si="35"/>
        <v>0</v>
      </c>
      <c r="BW193">
        <f t="shared" si="34"/>
        <v>0</v>
      </c>
    </row>
    <row r="194" spans="43:75" x14ac:dyDescent="0.25">
      <c r="AQ194" s="63"/>
      <c r="BM194" s="355">
        <v>189</v>
      </c>
      <c r="BN194" s="362">
        <f t="shared" si="26"/>
        <v>42801</v>
      </c>
      <c r="BO194" s="355">
        <f t="shared" si="27"/>
        <v>0</v>
      </c>
      <c r="BP194" s="355">
        <f t="shared" si="28"/>
        <v>0</v>
      </c>
      <c r="BQ194" s="355">
        <f t="shared" si="30"/>
        <v>0</v>
      </c>
      <c r="BR194" s="355">
        <f t="shared" si="29"/>
        <v>132</v>
      </c>
      <c r="BS194" s="243">
        <f t="shared" si="31"/>
        <v>6.7204193548387095E-2</v>
      </c>
      <c r="BT194">
        <f t="shared" si="32"/>
        <v>0</v>
      </c>
      <c r="BU194" t="str">
        <f t="shared" si="33"/>
        <v>ok</v>
      </c>
      <c r="BV194">
        <f t="shared" si="35"/>
        <v>0</v>
      </c>
      <c r="BW194">
        <f t="shared" si="34"/>
        <v>0</v>
      </c>
    </row>
    <row r="195" spans="43:75" x14ac:dyDescent="0.25">
      <c r="AQ195" s="63"/>
      <c r="BM195" s="355">
        <v>190</v>
      </c>
      <c r="BN195" s="362">
        <f t="shared" si="26"/>
        <v>42802</v>
      </c>
      <c r="BO195" s="355">
        <f t="shared" si="27"/>
        <v>0</v>
      </c>
      <c r="BP195" s="355">
        <f t="shared" si="28"/>
        <v>0</v>
      </c>
      <c r="BQ195" s="355">
        <f t="shared" si="30"/>
        <v>0</v>
      </c>
      <c r="BR195" s="355">
        <f t="shared" si="29"/>
        <v>133</v>
      </c>
      <c r="BS195" s="243">
        <f t="shared" si="31"/>
        <v>6.7204193548387095E-2</v>
      </c>
      <c r="BT195">
        <f t="shared" si="32"/>
        <v>0</v>
      </c>
      <c r="BU195" t="str">
        <f t="shared" si="33"/>
        <v>ok</v>
      </c>
      <c r="BV195">
        <f t="shared" si="35"/>
        <v>0</v>
      </c>
      <c r="BW195">
        <f t="shared" si="34"/>
        <v>0</v>
      </c>
    </row>
    <row r="196" spans="43:75" x14ac:dyDescent="0.25">
      <c r="AQ196" s="63"/>
      <c r="BM196" s="355">
        <v>191</v>
      </c>
      <c r="BN196" s="362">
        <f t="shared" si="26"/>
        <v>42803</v>
      </c>
      <c r="BO196" s="355">
        <f t="shared" si="27"/>
        <v>0</v>
      </c>
      <c r="BP196" s="355">
        <f t="shared" si="28"/>
        <v>0</v>
      </c>
      <c r="BQ196" s="355">
        <f t="shared" si="30"/>
        <v>0</v>
      </c>
      <c r="BR196" s="355">
        <f t="shared" si="29"/>
        <v>134</v>
      </c>
      <c r="BS196" s="243">
        <f t="shared" si="31"/>
        <v>6.7204193548387095E-2</v>
      </c>
      <c r="BT196">
        <f t="shared" si="32"/>
        <v>0</v>
      </c>
      <c r="BU196" t="str">
        <f t="shared" si="33"/>
        <v>ok</v>
      </c>
      <c r="BV196">
        <f t="shared" si="35"/>
        <v>0</v>
      </c>
      <c r="BW196">
        <f t="shared" si="34"/>
        <v>0</v>
      </c>
    </row>
    <row r="197" spans="43:75" x14ac:dyDescent="0.25">
      <c r="AQ197" s="63"/>
      <c r="BM197" s="355">
        <v>192</v>
      </c>
      <c r="BN197" s="362">
        <f t="shared" si="26"/>
        <v>42804</v>
      </c>
      <c r="BO197" s="355">
        <f t="shared" si="27"/>
        <v>0</v>
      </c>
      <c r="BP197" s="355">
        <f t="shared" si="28"/>
        <v>0</v>
      </c>
      <c r="BQ197" s="355">
        <f t="shared" si="30"/>
        <v>0</v>
      </c>
      <c r="BR197" s="355">
        <f t="shared" si="29"/>
        <v>135</v>
      </c>
      <c r="BS197" s="243">
        <f t="shared" si="31"/>
        <v>6.7204193548387095E-2</v>
      </c>
      <c r="BT197">
        <f t="shared" si="32"/>
        <v>0</v>
      </c>
      <c r="BU197" t="str">
        <f t="shared" si="33"/>
        <v>ok</v>
      </c>
      <c r="BV197">
        <f t="shared" si="35"/>
        <v>0</v>
      </c>
      <c r="BW197">
        <f t="shared" si="34"/>
        <v>0</v>
      </c>
    </row>
    <row r="198" spans="43:75" x14ac:dyDescent="0.25">
      <c r="AQ198" s="63"/>
      <c r="BM198" s="355">
        <v>193</v>
      </c>
      <c r="BN198" s="362">
        <f t="shared" ref="BN198:BN261" si="36">BN197+1</f>
        <v>42805</v>
      </c>
      <c r="BO198" s="355">
        <f t="shared" ref="BO198:BO261" si="37">IF(OR(WEEKDAY(BN198)=1,WEEKDAY(BN198)=7),1,0)</f>
        <v>0</v>
      </c>
      <c r="BP198" s="355">
        <f t="shared" ref="BP198:BP261" si="38">IF(BO198=1,0,COUNTIF(tab_ferie,BN198))</f>
        <v>0</v>
      </c>
      <c r="BQ198" s="355">
        <f t="shared" si="30"/>
        <v>0</v>
      </c>
      <c r="BR198" s="355">
        <f t="shared" ref="BR198:BR261" si="39">BR197+1-BP198-BO198</f>
        <v>136</v>
      </c>
      <c r="BS198" s="243">
        <f t="shared" si="31"/>
        <v>6.7204193548387095E-2</v>
      </c>
      <c r="BT198">
        <f t="shared" si="32"/>
        <v>0</v>
      </c>
      <c r="BU198" t="str">
        <f t="shared" si="33"/>
        <v>ok</v>
      </c>
      <c r="BV198">
        <f t="shared" si="35"/>
        <v>0</v>
      </c>
      <c r="BW198">
        <f t="shared" si="34"/>
        <v>0</v>
      </c>
    </row>
    <row r="199" spans="43:75" x14ac:dyDescent="0.25">
      <c r="AQ199" s="63"/>
      <c r="BM199" s="355">
        <v>194</v>
      </c>
      <c r="BN199" s="362">
        <f t="shared" si="36"/>
        <v>42806</v>
      </c>
      <c r="BO199" s="355">
        <f t="shared" si="37"/>
        <v>1</v>
      </c>
      <c r="BP199" s="355">
        <f t="shared" si="38"/>
        <v>0</v>
      </c>
      <c r="BQ199" s="355">
        <f t="shared" ref="BQ199:BQ262" si="40">IF(AND(BN199&gt;=$AF$5,BN199&lt;=$AF$6),IF(BO199+BP199=0,1,0),0)</f>
        <v>0</v>
      </c>
      <c r="BR199" s="355">
        <f t="shared" si="39"/>
        <v>136</v>
      </c>
      <c r="BS199" s="243">
        <f t="shared" ref="BS199:BS262" si="41">2.08333/(EOMONTH(BN199,0)-(EOMONTH(BN199,-1)))</f>
        <v>6.7204193548387095E-2</v>
      </c>
      <c r="BT199">
        <f t="shared" ref="BT199:BT262" si="42">IF(AND(BN199&gt;=$AF$5,BN199&lt;=$AF$6),BS199,0)</f>
        <v>0</v>
      </c>
      <c r="BU199" t="str">
        <f t="shared" ref="BU199:BU262" si="43">IF(OR(MONTH(BN199)&gt;=10,MONTH(BN199)&lt;=5),"ok","non")</f>
        <v>ok</v>
      </c>
      <c r="BV199">
        <f t="shared" si="35"/>
        <v>0</v>
      </c>
      <c r="BW199">
        <f t="shared" ref="BW199:BW262" si="44">IF(AND(BN199&gt;=$AF$5,BN199&lt;=$AF$6),BV199,0)</f>
        <v>0</v>
      </c>
    </row>
    <row r="200" spans="43:75" x14ac:dyDescent="0.25">
      <c r="AQ200" s="63"/>
      <c r="BM200" s="355">
        <v>195</v>
      </c>
      <c r="BN200" s="362">
        <f t="shared" si="36"/>
        <v>42807</v>
      </c>
      <c r="BO200" s="355">
        <f t="shared" si="37"/>
        <v>1</v>
      </c>
      <c r="BP200" s="355">
        <f t="shared" si="38"/>
        <v>0</v>
      </c>
      <c r="BQ200" s="355">
        <f t="shared" si="40"/>
        <v>0</v>
      </c>
      <c r="BR200" s="355">
        <f t="shared" si="39"/>
        <v>136</v>
      </c>
      <c r="BS200" s="243">
        <f t="shared" si="41"/>
        <v>6.7204193548387095E-2</v>
      </c>
      <c r="BT200">
        <f t="shared" si="42"/>
        <v>0</v>
      </c>
      <c r="BU200" t="str">
        <f t="shared" si="43"/>
        <v>ok</v>
      </c>
      <c r="BV200">
        <f t="shared" si="35"/>
        <v>0</v>
      </c>
      <c r="BW200">
        <f t="shared" si="44"/>
        <v>0</v>
      </c>
    </row>
    <row r="201" spans="43:75" x14ac:dyDescent="0.25">
      <c r="AQ201" s="63"/>
      <c r="BM201" s="355">
        <v>196</v>
      </c>
      <c r="BN201" s="362">
        <f t="shared" si="36"/>
        <v>42808</v>
      </c>
      <c r="BO201" s="355">
        <f t="shared" si="37"/>
        <v>0</v>
      </c>
      <c r="BP201" s="355">
        <f t="shared" si="38"/>
        <v>0</v>
      </c>
      <c r="BQ201" s="355">
        <f t="shared" si="40"/>
        <v>0</v>
      </c>
      <c r="BR201" s="355">
        <f t="shared" si="39"/>
        <v>137</v>
      </c>
      <c r="BS201" s="243">
        <f t="shared" si="41"/>
        <v>6.7204193548387095E-2</v>
      </c>
      <c r="BT201">
        <f t="shared" si="42"/>
        <v>0</v>
      </c>
      <c r="BU201" t="str">
        <f t="shared" si="43"/>
        <v>ok</v>
      </c>
      <c r="BV201">
        <f t="shared" si="35"/>
        <v>0</v>
      </c>
      <c r="BW201">
        <f t="shared" si="44"/>
        <v>0</v>
      </c>
    </row>
    <row r="202" spans="43:75" x14ac:dyDescent="0.25">
      <c r="AQ202" s="63"/>
      <c r="BM202" s="355">
        <v>197</v>
      </c>
      <c r="BN202" s="362">
        <f t="shared" si="36"/>
        <v>42809</v>
      </c>
      <c r="BO202" s="355">
        <f t="shared" si="37"/>
        <v>0</v>
      </c>
      <c r="BP202" s="355">
        <f t="shared" si="38"/>
        <v>0</v>
      </c>
      <c r="BQ202" s="355">
        <f t="shared" si="40"/>
        <v>0</v>
      </c>
      <c r="BR202" s="355">
        <f t="shared" si="39"/>
        <v>138</v>
      </c>
      <c r="BS202" s="243">
        <f t="shared" si="41"/>
        <v>6.7204193548387095E-2</v>
      </c>
      <c r="BT202">
        <f t="shared" si="42"/>
        <v>0</v>
      </c>
      <c r="BU202" t="str">
        <f t="shared" si="43"/>
        <v>ok</v>
      </c>
      <c r="BV202">
        <f t="shared" si="35"/>
        <v>0</v>
      </c>
      <c r="BW202">
        <f t="shared" si="44"/>
        <v>0</v>
      </c>
    </row>
    <row r="203" spans="43:75" x14ac:dyDescent="0.25">
      <c r="AQ203" s="63"/>
      <c r="BM203" s="355">
        <v>198</v>
      </c>
      <c r="BN203" s="362">
        <f t="shared" si="36"/>
        <v>42810</v>
      </c>
      <c r="BO203" s="355">
        <f t="shared" si="37"/>
        <v>0</v>
      </c>
      <c r="BP203" s="355">
        <f t="shared" si="38"/>
        <v>0</v>
      </c>
      <c r="BQ203" s="355">
        <f t="shared" si="40"/>
        <v>0</v>
      </c>
      <c r="BR203" s="355">
        <f t="shared" si="39"/>
        <v>139</v>
      </c>
      <c r="BS203" s="243">
        <f t="shared" si="41"/>
        <v>6.7204193548387095E-2</v>
      </c>
      <c r="BT203">
        <f t="shared" si="42"/>
        <v>0</v>
      </c>
      <c r="BU203" t="str">
        <f t="shared" si="43"/>
        <v>ok</v>
      </c>
      <c r="BV203">
        <f t="shared" si="35"/>
        <v>0</v>
      </c>
      <c r="BW203">
        <f t="shared" si="44"/>
        <v>0</v>
      </c>
    </row>
    <row r="204" spans="43:75" x14ac:dyDescent="0.25">
      <c r="AQ204" s="63"/>
      <c r="BM204" s="355">
        <v>199</v>
      </c>
      <c r="BN204" s="362">
        <f t="shared" si="36"/>
        <v>42811</v>
      </c>
      <c r="BO204" s="355">
        <f t="shared" si="37"/>
        <v>0</v>
      </c>
      <c r="BP204" s="355">
        <f t="shared" si="38"/>
        <v>0</v>
      </c>
      <c r="BQ204" s="355">
        <f t="shared" si="40"/>
        <v>0</v>
      </c>
      <c r="BR204" s="355">
        <f t="shared" si="39"/>
        <v>140</v>
      </c>
      <c r="BS204" s="243">
        <f t="shared" si="41"/>
        <v>6.7204193548387095E-2</v>
      </c>
      <c r="BT204">
        <f t="shared" si="42"/>
        <v>0</v>
      </c>
      <c r="BU204" t="str">
        <f t="shared" si="43"/>
        <v>ok</v>
      </c>
      <c r="BV204">
        <f t="shared" si="35"/>
        <v>0</v>
      </c>
      <c r="BW204">
        <f t="shared" si="44"/>
        <v>0</v>
      </c>
    </row>
    <row r="205" spans="43:75" x14ac:dyDescent="0.25">
      <c r="AQ205" s="63"/>
      <c r="BM205" s="355">
        <v>200</v>
      </c>
      <c r="BN205" s="362">
        <f t="shared" si="36"/>
        <v>42812</v>
      </c>
      <c r="BO205" s="355">
        <f t="shared" si="37"/>
        <v>0</v>
      </c>
      <c r="BP205" s="355">
        <f t="shared" si="38"/>
        <v>0</v>
      </c>
      <c r="BQ205" s="355">
        <f t="shared" si="40"/>
        <v>0</v>
      </c>
      <c r="BR205" s="355">
        <f t="shared" si="39"/>
        <v>141</v>
      </c>
      <c r="BS205" s="243">
        <f t="shared" si="41"/>
        <v>6.7204193548387095E-2</v>
      </c>
      <c r="BT205">
        <f t="shared" si="42"/>
        <v>0</v>
      </c>
      <c r="BU205" t="str">
        <f t="shared" si="43"/>
        <v>ok</v>
      </c>
      <c r="BV205">
        <f t="shared" si="35"/>
        <v>0</v>
      </c>
      <c r="BW205">
        <f t="shared" si="44"/>
        <v>0</v>
      </c>
    </row>
    <row r="206" spans="43:75" x14ac:dyDescent="0.25">
      <c r="AQ206" s="63"/>
      <c r="BM206" s="355">
        <v>201</v>
      </c>
      <c r="BN206" s="362">
        <f t="shared" si="36"/>
        <v>42813</v>
      </c>
      <c r="BO206" s="355">
        <f t="shared" si="37"/>
        <v>1</v>
      </c>
      <c r="BP206" s="355">
        <f t="shared" si="38"/>
        <v>0</v>
      </c>
      <c r="BQ206" s="355">
        <f t="shared" si="40"/>
        <v>0</v>
      </c>
      <c r="BR206" s="355">
        <f t="shared" si="39"/>
        <v>141</v>
      </c>
      <c r="BS206" s="243">
        <f t="shared" si="41"/>
        <v>6.7204193548387095E-2</v>
      </c>
      <c r="BT206">
        <f t="shared" si="42"/>
        <v>0</v>
      </c>
      <c r="BU206" t="str">
        <f t="shared" si="43"/>
        <v>ok</v>
      </c>
      <c r="BV206">
        <f t="shared" si="35"/>
        <v>0</v>
      </c>
      <c r="BW206">
        <f t="shared" si="44"/>
        <v>0</v>
      </c>
    </row>
    <row r="207" spans="43:75" x14ac:dyDescent="0.25">
      <c r="AQ207" s="63"/>
      <c r="BM207" s="355">
        <v>202</v>
      </c>
      <c r="BN207" s="362">
        <f t="shared" si="36"/>
        <v>42814</v>
      </c>
      <c r="BO207" s="355">
        <f t="shared" si="37"/>
        <v>1</v>
      </c>
      <c r="BP207" s="355">
        <f t="shared" si="38"/>
        <v>0</v>
      </c>
      <c r="BQ207" s="355">
        <f t="shared" si="40"/>
        <v>0</v>
      </c>
      <c r="BR207" s="355">
        <f t="shared" si="39"/>
        <v>141</v>
      </c>
      <c r="BS207" s="243">
        <f t="shared" si="41"/>
        <v>6.7204193548387095E-2</v>
      </c>
      <c r="BT207">
        <f t="shared" si="42"/>
        <v>0</v>
      </c>
      <c r="BU207" t="str">
        <f t="shared" si="43"/>
        <v>ok</v>
      </c>
      <c r="BV207">
        <f t="shared" si="35"/>
        <v>0</v>
      </c>
      <c r="BW207">
        <f t="shared" si="44"/>
        <v>0</v>
      </c>
    </row>
    <row r="208" spans="43:75" x14ac:dyDescent="0.25">
      <c r="AQ208" s="63"/>
      <c r="BM208" s="355">
        <v>203</v>
      </c>
      <c r="BN208" s="362">
        <f t="shared" si="36"/>
        <v>42815</v>
      </c>
      <c r="BO208" s="355">
        <f t="shared" si="37"/>
        <v>0</v>
      </c>
      <c r="BP208" s="355">
        <f t="shared" si="38"/>
        <v>0</v>
      </c>
      <c r="BQ208" s="355">
        <f t="shared" si="40"/>
        <v>0</v>
      </c>
      <c r="BR208" s="355">
        <f t="shared" si="39"/>
        <v>142</v>
      </c>
      <c r="BS208" s="243">
        <f t="shared" si="41"/>
        <v>6.7204193548387095E-2</v>
      </c>
      <c r="BT208">
        <f t="shared" si="42"/>
        <v>0</v>
      </c>
      <c r="BU208" t="str">
        <f t="shared" si="43"/>
        <v>ok</v>
      </c>
      <c r="BV208">
        <f t="shared" si="35"/>
        <v>0</v>
      </c>
      <c r="BW208">
        <f t="shared" si="44"/>
        <v>0</v>
      </c>
    </row>
    <row r="209" spans="43:75" x14ac:dyDescent="0.25">
      <c r="AQ209" s="63"/>
      <c r="BM209" s="355">
        <v>204</v>
      </c>
      <c r="BN209" s="362">
        <f t="shared" si="36"/>
        <v>42816</v>
      </c>
      <c r="BO209" s="355">
        <f t="shared" si="37"/>
        <v>0</v>
      </c>
      <c r="BP209" s="355">
        <f t="shared" si="38"/>
        <v>0</v>
      </c>
      <c r="BQ209" s="355">
        <f t="shared" si="40"/>
        <v>0</v>
      </c>
      <c r="BR209" s="355">
        <f t="shared" si="39"/>
        <v>143</v>
      </c>
      <c r="BS209" s="243">
        <f t="shared" si="41"/>
        <v>6.7204193548387095E-2</v>
      </c>
      <c r="BT209">
        <f t="shared" si="42"/>
        <v>0</v>
      </c>
      <c r="BU209" t="str">
        <f t="shared" si="43"/>
        <v>ok</v>
      </c>
      <c r="BV209">
        <f t="shared" ref="BV209:BV272" si="45">IF(BU209="ok",$CC$29/(EOMONTH(BN209,0)-(EOMONTH(BN209,-1))),0)</f>
        <v>0</v>
      </c>
      <c r="BW209">
        <f t="shared" si="44"/>
        <v>0</v>
      </c>
    </row>
    <row r="210" spans="43:75" x14ac:dyDescent="0.25">
      <c r="AQ210" s="63"/>
      <c r="BM210" s="355">
        <v>205</v>
      </c>
      <c r="BN210" s="362">
        <f t="shared" si="36"/>
        <v>42817</v>
      </c>
      <c r="BO210" s="355">
        <f t="shared" si="37"/>
        <v>0</v>
      </c>
      <c r="BP210" s="355">
        <f t="shared" si="38"/>
        <v>0</v>
      </c>
      <c r="BQ210" s="355">
        <f t="shared" si="40"/>
        <v>0</v>
      </c>
      <c r="BR210" s="355">
        <f t="shared" si="39"/>
        <v>144</v>
      </c>
      <c r="BS210" s="243">
        <f t="shared" si="41"/>
        <v>6.7204193548387095E-2</v>
      </c>
      <c r="BT210">
        <f t="shared" si="42"/>
        <v>0</v>
      </c>
      <c r="BU210" t="str">
        <f t="shared" si="43"/>
        <v>ok</v>
      </c>
      <c r="BV210">
        <f t="shared" si="45"/>
        <v>0</v>
      </c>
      <c r="BW210">
        <f t="shared" si="44"/>
        <v>0</v>
      </c>
    </row>
    <row r="211" spans="43:75" x14ac:dyDescent="0.25">
      <c r="AQ211" s="63"/>
      <c r="BM211" s="355">
        <v>206</v>
      </c>
      <c r="BN211" s="362">
        <f t="shared" si="36"/>
        <v>42818</v>
      </c>
      <c r="BO211" s="355">
        <f t="shared" si="37"/>
        <v>0</v>
      </c>
      <c r="BP211" s="355">
        <f t="shared" si="38"/>
        <v>0</v>
      </c>
      <c r="BQ211" s="355">
        <f t="shared" si="40"/>
        <v>0</v>
      </c>
      <c r="BR211" s="355">
        <f t="shared" si="39"/>
        <v>145</v>
      </c>
      <c r="BS211" s="243">
        <f t="shared" si="41"/>
        <v>6.7204193548387095E-2</v>
      </c>
      <c r="BT211">
        <f t="shared" si="42"/>
        <v>0</v>
      </c>
      <c r="BU211" t="str">
        <f t="shared" si="43"/>
        <v>ok</v>
      </c>
      <c r="BV211">
        <f t="shared" si="45"/>
        <v>0</v>
      </c>
      <c r="BW211">
        <f t="shared" si="44"/>
        <v>0</v>
      </c>
    </row>
    <row r="212" spans="43:75" x14ac:dyDescent="0.25">
      <c r="AQ212" s="63"/>
      <c r="BM212" s="355">
        <v>207</v>
      </c>
      <c r="BN212" s="362">
        <f t="shared" si="36"/>
        <v>42819</v>
      </c>
      <c r="BO212" s="355">
        <f t="shared" si="37"/>
        <v>0</v>
      </c>
      <c r="BP212" s="355">
        <f t="shared" si="38"/>
        <v>0</v>
      </c>
      <c r="BQ212" s="355">
        <f t="shared" si="40"/>
        <v>0</v>
      </c>
      <c r="BR212" s="355">
        <f t="shared" si="39"/>
        <v>146</v>
      </c>
      <c r="BS212" s="243">
        <f t="shared" si="41"/>
        <v>6.7204193548387095E-2</v>
      </c>
      <c r="BT212">
        <f t="shared" si="42"/>
        <v>0</v>
      </c>
      <c r="BU212" t="str">
        <f t="shared" si="43"/>
        <v>ok</v>
      </c>
      <c r="BV212">
        <f t="shared" si="45"/>
        <v>0</v>
      </c>
      <c r="BW212">
        <f t="shared" si="44"/>
        <v>0</v>
      </c>
    </row>
    <row r="213" spans="43:75" x14ac:dyDescent="0.25">
      <c r="AQ213" s="63"/>
      <c r="BM213" s="355">
        <v>208</v>
      </c>
      <c r="BN213" s="362">
        <f t="shared" si="36"/>
        <v>42820</v>
      </c>
      <c r="BO213" s="355">
        <f t="shared" si="37"/>
        <v>1</v>
      </c>
      <c r="BP213" s="355">
        <f t="shared" si="38"/>
        <v>0</v>
      </c>
      <c r="BQ213" s="355">
        <f t="shared" si="40"/>
        <v>0</v>
      </c>
      <c r="BR213" s="355">
        <f t="shared" si="39"/>
        <v>146</v>
      </c>
      <c r="BS213" s="243">
        <f t="shared" si="41"/>
        <v>6.7204193548387095E-2</v>
      </c>
      <c r="BT213">
        <f t="shared" si="42"/>
        <v>0</v>
      </c>
      <c r="BU213" t="str">
        <f t="shared" si="43"/>
        <v>ok</v>
      </c>
      <c r="BV213">
        <f t="shared" si="45"/>
        <v>0</v>
      </c>
      <c r="BW213">
        <f t="shared" si="44"/>
        <v>0</v>
      </c>
    </row>
    <row r="214" spans="43:75" x14ac:dyDescent="0.25">
      <c r="AQ214" s="63"/>
      <c r="BM214" s="355">
        <v>209</v>
      </c>
      <c r="BN214" s="362">
        <f t="shared" si="36"/>
        <v>42821</v>
      </c>
      <c r="BO214" s="355">
        <f t="shared" si="37"/>
        <v>1</v>
      </c>
      <c r="BP214" s="355">
        <f t="shared" si="38"/>
        <v>0</v>
      </c>
      <c r="BQ214" s="355">
        <f t="shared" si="40"/>
        <v>0</v>
      </c>
      <c r="BR214" s="355">
        <f t="shared" si="39"/>
        <v>146</v>
      </c>
      <c r="BS214" s="243">
        <f t="shared" si="41"/>
        <v>6.7204193548387095E-2</v>
      </c>
      <c r="BT214">
        <f t="shared" si="42"/>
        <v>0</v>
      </c>
      <c r="BU214" t="str">
        <f t="shared" si="43"/>
        <v>ok</v>
      </c>
      <c r="BV214">
        <f t="shared" si="45"/>
        <v>0</v>
      </c>
      <c r="BW214">
        <f t="shared" si="44"/>
        <v>0</v>
      </c>
    </row>
    <row r="215" spans="43:75" x14ac:dyDescent="0.25">
      <c r="AQ215" s="63"/>
      <c r="BM215" s="355">
        <v>210</v>
      </c>
      <c r="BN215" s="362">
        <f t="shared" si="36"/>
        <v>42822</v>
      </c>
      <c r="BO215" s="355">
        <f t="shared" si="37"/>
        <v>0</v>
      </c>
      <c r="BP215" s="355">
        <f t="shared" si="38"/>
        <v>0</v>
      </c>
      <c r="BQ215" s="355">
        <f t="shared" si="40"/>
        <v>0</v>
      </c>
      <c r="BR215" s="355">
        <f t="shared" si="39"/>
        <v>147</v>
      </c>
      <c r="BS215" s="243">
        <f t="shared" si="41"/>
        <v>6.7204193548387095E-2</v>
      </c>
      <c r="BT215">
        <f t="shared" si="42"/>
        <v>0</v>
      </c>
      <c r="BU215" t="str">
        <f t="shared" si="43"/>
        <v>ok</v>
      </c>
      <c r="BV215">
        <f t="shared" si="45"/>
        <v>0</v>
      </c>
      <c r="BW215">
        <f t="shared" si="44"/>
        <v>0</v>
      </c>
    </row>
    <row r="216" spans="43:75" x14ac:dyDescent="0.25">
      <c r="AQ216" s="63"/>
      <c r="BM216" s="355">
        <v>211</v>
      </c>
      <c r="BN216" s="362">
        <f t="shared" si="36"/>
        <v>42823</v>
      </c>
      <c r="BO216" s="355">
        <f t="shared" si="37"/>
        <v>0</v>
      </c>
      <c r="BP216" s="355">
        <f t="shared" si="38"/>
        <v>0</v>
      </c>
      <c r="BQ216" s="355">
        <f t="shared" si="40"/>
        <v>0</v>
      </c>
      <c r="BR216" s="355">
        <f t="shared" si="39"/>
        <v>148</v>
      </c>
      <c r="BS216" s="243">
        <f t="shared" si="41"/>
        <v>6.7204193548387095E-2</v>
      </c>
      <c r="BT216">
        <f t="shared" si="42"/>
        <v>0</v>
      </c>
      <c r="BU216" t="str">
        <f t="shared" si="43"/>
        <v>ok</v>
      </c>
      <c r="BV216">
        <f t="shared" si="45"/>
        <v>0</v>
      </c>
      <c r="BW216">
        <f t="shared" si="44"/>
        <v>0</v>
      </c>
    </row>
    <row r="217" spans="43:75" x14ac:dyDescent="0.25">
      <c r="AQ217" s="63"/>
      <c r="BM217" s="355">
        <v>212</v>
      </c>
      <c r="BN217" s="362">
        <f t="shared" si="36"/>
        <v>42824</v>
      </c>
      <c r="BO217" s="355">
        <f t="shared" si="37"/>
        <v>0</v>
      </c>
      <c r="BP217" s="355">
        <f t="shared" si="38"/>
        <v>0</v>
      </c>
      <c r="BQ217" s="355">
        <f t="shared" si="40"/>
        <v>0</v>
      </c>
      <c r="BR217" s="355">
        <f t="shared" si="39"/>
        <v>149</v>
      </c>
      <c r="BS217" s="243">
        <f t="shared" si="41"/>
        <v>6.7204193548387095E-2</v>
      </c>
      <c r="BT217">
        <f t="shared" si="42"/>
        <v>0</v>
      </c>
      <c r="BU217" t="str">
        <f t="shared" si="43"/>
        <v>ok</v>
      </c>
      <c r="BV217">
        <f t="shared" si="45"/>
        <v>0</v>
      </c>
      <c r="BW217">
        <f t="shared" si="44"/>
        <v>0</v>
      </c>
    </row>
    <row r="218" spans="43:75" x14ac:dyDescent="0.25">
      <c r="AQ218" s="63"/>
      <c r="BM218" s="355">
        <v>213</v>
      </c>
      <c r="BN218" s="362">
        <f t="shared" si="36"/>
        <v>42825</v>
      </c>
      <c r="BO218" s="355">
        <f t="shared" si="37"/>
        <v>0</v>
      </c>
      <c r="BP218" s="355">
        <f t="shared" si="38"/>
        <v>0</v>
      </c>
      <c r="BQ218" s="355">
        <f t="shared" si="40"/>
        <v>0</v>
      </c>
      <c r="BR218" s="355">
        <f t="shared" si="39"/>
        <v>150</v>
      </c>
      <c r="BS218" s="243">
        <f t="shared" si="41"/>
        <v>6.9444333333333344E-2</v>
      </c>
      <c r="BT218">
        <f t="shared" si="42"/>
        <v>0</v>
      </c>
      <c r="BU218" t="str">
        <f t="shared" si="43"/>
        <v>ok</v>
      </c>
      <c r="BV218">
        <f t="shared" si="45"/>
        <v>0</v>
      </c>
      <c r="BW218">
        <f t="shared" si="44"/>
        <v>0</v>
      </c>
    </row>
    <row r="219" spans="43:75" x14ac:dyDescent="0.25">
      <c r="AQ219" s="63"/>
      <c r="BM219" s="355">
        <v>214</v>
      </c>
      <c r="BN219" s="362">
        <f t="shared" si="36"/>
        <v>42826</v>
      </c>
      <c r="BO219" s="355">
        <f t="shared" si="37"/>
        <v>0</v>
      </c>
      <c r="BP219" s="355">
        <f t="shared" si="38"/>
        <v>1</v>
      </c>
      <c r="BQ219" s="355">
        <f t="shared" si="40"/>
        <v>0</v>
      </c>
      <c r="BR219" s="355">
        <f t="shared" si="39"/>
        <v>150</v>
      </c>
      <c r="BS219" s="243">
        <f t="shared" si="41"/>
        <v>6.9444333333333344E-2</v>
      </c>
      <c r="BT219">
        <f t="shared" si="42"/>
        <v>0</v>
      </c>
      <c r="BU219" t="str">
        <f t="shared" si="43"/>
        <v>ok</v>
      </c>
      <c r="BV219">
        <f t="shared" si="45"/>
        <v>0</v>
      </c>
      <c r="BW219">
        <f t="shared" si="44"/>
        <v>0</v>
      </c>
    </row>
    <row r="220" spans="43:75" x14ac:dyDescent="0.25">
      <c r="AQ220" s="63"/>
      <c r="BM220" s="355">
        <v>215</v>
      </c>
      <c r="BN220" s="362">
        <f t="shared" si="36"/>
        <v>42827</v>
      </c>
      <c r="BO220" s="355">
        <f t="shared" si="37"/>
        <v>1</v>
      </c>
      <c r="BP220" s="355">
        <f t="shared" si="38"/>
        <v>0</v>
      </c>
      <c r="BQ220" s="355">
        <f t="shared" si="40"/>
        <v>0</v>
      </c>
      <c r="BR220" s="355">
        <f t="shared" si="39"/>
        <v>150</v>
      </c>
      <c r="BS220" s="243">
        <f t="shared" si="41"/>
        <v>6.9444333333333344E-2</v>
      </c>
      <c r="BT220">
        <f t="shared" si="42"/>
        <v>0</v>
      </c>
      <c r="BU220" t="str">
        <f t="shared" si="43"/>
        <v>ok</v>
      </c>
      <c r="BV220">
        <f t="shared" si="45"/>
        <v>0</v>
      </c>
      <c r="BW220">
        <f t="shared" si="44"/>
        <v>0</v>
      </c>
    </row>
    <row r="221" spans="43:75" x14ac:dyDescent="0.25">
      <c r="AQ221" s="63"/>
      <c r="BM221" s="355">
        <v>216</v>
      </c>
      <c r="BN221" s="362">
        <f t="shared" si="36"/>
        <v>42828</v>
      </c>
      <c r="BO221" s="355">
        <f t="shared" si="37"/>
        <v>1</v>
      </c>
      <c r="BP221" s="355">
        <f t="shared" si="38"/>
        <v>0</v>
      </c>
      <c r="BQ221" s="355">
        <f t="shared" si="40"/>
        <v>0</v>
      </c>
      <c r="BR221" s="355">
        <f t="shared" si="39"/>
        <v>150</v>
      </c>
      <c r="BS221" s="243">
        <f t="shared" si="41"/>
        <v>6.9444333333333344E-2</v>
      </c>
      <c r="BT221">
        <f t="shared" si="42"/>
        <v>0</v>
      </c>
      <c r="BU221" t="str">
        <f t="shared" si="43"/>
        <v>ok</v>
      </c>
      <c r="BV221">
        <f t="shared" si="45"/>
        <v>0</v>
      </c>
      <c r="BW221">
        <f t="shared" si="44"/>
        <v>0</v>
      </c>
    </row>
    <row r="222" spans="43:75" x14ac:dyDescent="0.25">
      <c r="AQ222" s="63"/>
      <c r="BM222" s="355">
        <v>217</v>
      </c>
      <c r="BN222" s="362">
        <f t="shared" si="36"/>
        <v>42829</v>
      </c>
      <c r="BO222" s="355">
        <f t="shared" si="37"/>
        <v>0</v>
      </c>
      <c r="BP222" s="355">
        <f t="shared" si="38"/>
        <v>1</v>
      </c>
      <c r="BQ222" s="355">
        <f t="shared" si="40"/>
        <v>0</v>
      </c>
      <c r="BR222" s="355">
        <f t="shared" si="39"/>
        <v>150</v>
      </c>
      <c r="BS222" s="243">
        <f t="shared" si="41"/>
        <v>6.9444333333333344E-2</v>
      </c>
      <c r="BT222">
        <f t="shared" si="42"/>
        <v>0</v>
      </c>
      <c r="BU222" t="str">
        <f t="shared" si="43"/>
        <v>ok</v>
      </c>
      <c r="BV222">
        <f t="shared" si="45"/>
        <v>0</v>
      </c>
      <c r="BW222">
        <f t="shared" si="44"/>
        <v>0</v>
      </c>
    </row>
    <row r="223" spans="43:75" x14ac:dyDescent="0.25">
      <c r="AQ223" s="63"/>
      <c r="BM223" s="355">
        <v>218</v>
      </c>
      <c r="BN223" s="362">
        <f t="shared" si="36"/>
        <v>42830</v>
      </c>
      <c r="BO223" s="355">
        <f t="shared" si="37"/>
        <v>0</v>
      </c>
      <c r="BP223" s="355">
        <f t="shared" si="38"/>
        <v>0</v>
      </c>
      <c r="BQ223" s="355">
        <f t="shared" si="40"/>
        <v>0</v>
      </c>
      <c r="BR223" s="355">
        <f t="shared" si="39"/>
        <v>151</v>
      </c>
      <c r="BS223" s="243">
        <f t="shared" si="41"/>
        <v>6.9444333333333344E-2</v>
      </c>
      <c r="BT223">
        <f t="shared" si="42"/>
        <v>0</v>
      </c>
      <c r="BU223" t="str">
        <f t="shared" si="43"/>
        <v>ok</v>
      </c>
      <c r="BV223">
        <f t="shared" si="45"/>
        <v>0</v>
      </c>
      <c r="BW223">
        <f t="shared" si="44"/>
        <v>0</v>
      </c>
    </row>
    <row r="224" spans="43:75" x14ac:dyDescent="0.25">
      <c r="AQ224" s="63"/>
      <c r="BM224" s="355">
        <v>219</v>
      </c>
      <c r="BN224" s="362">
        <f t="shared" si="36"/>
        <v>42831</v>
      </c>
      <c r="BO224" s="355">
        <f t="shared" si="37"/>
        <v>0</v>
      </c>
      <c r="BP224" s="355">
        <f t="shared" si="38"/>
        <v>0</v>
      </c>
      <c r="BQ224" s="355">
        <f t="shared" si="40"/>
        <v>0</v>
      </c>
      <c r="BR224" s="355">
        <f t="shared" si="39"/>
        <v>152</v>
      </c>
      <c r="BS224" s="243">
        <f t="shared" si="41"/>
        <v>6.9444333333333344E-2</v>
      </c>
      <c r="BT224">
        <f t="shared" si="42"/>
        <v>0</v>
      </c>
      <c r="BU224" t="str">
        <f t="shared" si="43"/>
        <v>ok</v>
      </c>
      <c r="BV224">
        <f t="shared" si="45"/>
        <v>0</v>
      </c>
      <c r="BW224">
        <f t="shared" si="44"/>
        <v>0</v>
      </c>
    </row>
    <row r="225" spans="43:75" x14ac:dyDescent="0.25">
      <c r="AQ225" s="63"/>
      <c r="BM225" s="355">
        <v>220</v>
      </c>
      <c r="BN225" s="362">
        <f t="shared" si="36"/>
        <v>42832</v>
      </c>
      <c r="BO225" s="355">
        <f t="shared" si="37"/>
        <v>0</v>
      </c>
      <c r="BP225" s="355">
        <f t="shared" si="38"/>
        <v>0</v>
      </c>
      <c r="BQ225" s="355">
        <f t="shared" si="40"/>
        <v>0</v>
      </c>
      <c r="BR225" s="355">
        <f t="shared" si="39"/>
        <v>153</v>
      </c>
      <c r="BS225" s="243">
        <f t="shared" si="41"/>
        <v>6.9444333333333344E-2</v>
      </c>
      <c r="BT225">
        <f t="shared" si="42"/>
        <v>0</v>
      </c>
      <c r="BU225" t="str">
        <f t="shared" si="43"/>
        <v>ok</v>
      </c>
      <c r="BV225">
        <f t="shared" si="45"/>
        <v>0</v>
      </c>
      <c r="BW225">
        <f t="shared" si="44"/>
        <v>0</v>
      </c>
    </row>
    <row r="226" spans="43:75" x14ac:dyDescent="0.25">
      <c r="AQ226" s="63"/>
      <c r="BM226" s="355">
        <v>221</v>
      </c>
      <c r="BN226" s="362">
        <f t="shared" si="36"/>
        <v>42833</v>
      </c>
      <c r="BO226" s="355">
        <f t="shared" si="37"/>
        <v>0</v>
      </c>
      <c r="BP226" s="355">
        <f t="shared" si="38"/>
        <v>0</v>
      </c>
      <c r="BQ226" s="355">
        <f t="shared" si="40"/>
        <v>0</v>
      </c>
      <c r="BR226" s="355">
        <f t="shared" si="39"/>
        <v>154</v>
      </c>
      <c r="BS226" s="243">
        <f t="shared" si="41"/>
        <v>6.9444333333333344E-2</v>
      </c>
      <c r="BT226">
        <f t="shared" si="42"/>
        <v>0</v>
      </c>
      <c r="BU226" t="str">
        <f t="shared" si="43"/>
        <v>ok</v>
      </c>
      <c r="BV226">
        <f t="shared" si="45"/>
        <v>0</v>
      </c>
      <c r="BW226">
        <f t="shared" si="44"/>
        <v>0</v>
      </c>
    </row>
    <row r="227" spans="43:75" x14ac:dyDescent="0.25">
      <c r="AQ227" s="63"/>
      <c r="BM227" s="355">
        <v>222</v>
      </c>
      <c r="BN227" s="362">
        <f t="shared" si="36"/>
        <v>42834</v>
      </c>
      <c r="BO227" s="355">
        <f t="shared" si="37"/>
        <v>1</v>
      </c>
      <c r="BP227" s="355">
        <f t="shared" si="38"/>
        <v>0</v>
      </c>
      <c r="BQ227" s="355">
        <f t="shared" si="40"/>
        <v>0</v>
      </c>
      <c r="BR227" s="355">
        <f t="shared" si="39"/>
        <v>154</v>
      </c>
      <c r="BS227" s="243">
        <f t="shared" si="41"/>
        <v>6.9444333333333344E-2</v>
      </c>
      <c r="BT227">
        <f t="shared" si="42"/>
        <v>0</v>
      </c>
      <c r="BU227" t="str">
        <f t="shared" si="43"/>
        <v>ok</v>
      </c>
      <c r="BV227">
        <f t="shared" si="45"/>
        <v>0</v>
      </c>
      <c r="BW227">
        <f t="shared" si="44"/>
        <v>0</v>
      </c>
    </row>
    <row r="228" spans="43:75" x14ac:dyDescent="0.25">
      <c r="AQ228" s="63"/>
      <c r="BM228" s="355">
        <v>223</v>
      </c>
      <c r="BN228" s="362">
        <f t="shared" si="36"/>
        <v>42835</v>
      </c>
      <c r="BO228" s="355">
        <f t="shared" si="37"/>
        <v>1</v>
      </c>
      <c r="BP228" s="355">
        <f t="shared" si="38"/>
        <v>0</v>
      </c>
      <c r="BQ228" s="355">
        <f t="shared" si="40"/>
        <v>0</v>
      </c>
      <c r="BR228" s="355">
        <f t="shared" si="39"/>
        <v>154</v>
      </c>
      <c r="BS228" s="243">
        <f t="shared" si="41"/>
        <v>6.9444333333333344E-2</v>
      </c>
      <c r="BT228">
        <f t="shared" si="42"/>
        <v>0</v>
      </c>
      <c r="BU228" t="str">
        <f t="shared" si="43"/>
        <v>ok</v>
      </c>
      <c r="BV228">
        <f t="shared" si="45"/>
        <v>0</v>
      </c>
      <c r="BW228">
        <f t="shared" si="44"/>
        <v>0</v>
      </c>
    </row>
    <row r="229" spans="43:75" x14ac:dyDescent="0.25">
      <c r="AQ229" s="63"/>
      <c r="BM229" s="355">
        <v>224</v>
      </c>
      <c r="BN229" s="362">
        <f t="shared" si="36"/>
        <v>42836</v>
      </c>
      <c r="BO229" s="355">
        <f t="shared" si="37"/>
        <v>0</v>
      </c>
      <c r="BP229" s="355">
        <f t="shared" si="38"/>
        <v>0</v>
      </c>
      <c r="BQ229" s="355">
        <f t="shared" si="40"/>
        <v>0</v>
      </c>
      <c r="BR229" s="355">
        <f t="shared" si="39"/>
        <v>155</v>
      </c>
      <c r="BS229" s="243">
        <f t="shared" si="41"/>
        <v>6.9444333333333344E-2</v>
      </c>
      <c r="BT229">
        <f t="shared" si="42"/>
        <v>0</v>
      </c>
      <c r="BU229" t="str">
        <f t="shared" si="43"/>
        <v>ok</v>
      </c>
      <c r="BV229">
        <f t="shared" si="45"/>
        <v>0</v>
      </c>
      <c r="BW229">
        <f t="shared" si="44"/>
        <v>0</v>
      </c>
    </row>
    <row r="230" spans="43:75" x14ac:dyDescent="0.25">
      <c r="AQ230" s="63"/>
      <c r="BM230" s="355">
        <v>225</v>
      </c>
      <c r="BN230" s="362">
        <f t="shared" si="36"/>
        <v>42837</v>
      </c>
      <c r="BO230" s="355">
        <f t="shared" si="37"/>
        <v>0</v>
      </c>
      <c r="BP230" s="355">
        <f t="shared" si="38"/>
        <v>0</v>
      </c>
      <c r="BQ230" s="355">
        <f t="shared" si="40"/>
        <v>0</v>
      </c>
      <c r="BR230" s="355">
        <f t="shared" si="39"/>
        <v>156</v>
      </c>
      <c r="BS230" s="243">
        <f t="shared" si="41"/>
        <v>6.9444333333333344E-2</v>
      </c>
      <c r="BT230">
        <f t="shared" si="42"/>
        <v>0</v>
      </c>
      <c r="BU230" t="str">
        <f t="shared" si="43"/>
        <v>ok</v>
      </c>
      <c r="BV230">
        <f t="shared" si="45"/>
        <v>0</v>
      </c>
      <c r="BW230">
        <f t="shared" si="44"/>
        <v>0</v>
      </c>
    </row>
    <row r="231" spans="43:75" x14ac:dyDescent="0.25">
      <c r="AQ231" s="63"/>
      <c r="BM231" s="355">
        <v>226</v>
      </c>
      <c r="BN231" s="362">
        <f t="shared" si="36"/>
        <v>42838</v>
      </c>
      <c r="BO231" s="355">
        <f t="shared" si="37"/>
        <v>0</v>
      </c>
      <c r="BP231" s="355">
        <f t="shared" si="38"/>
        <v>0</v>
      </c>
      <c r="BQ231" s="355">
        <f t="shared" si="40"/>
        <v>0</v>
      </c>
      <c r="BR231" s="355">
        <f t="shared" si="39"/>
        <v>157</v>
      </c>
      <c r="BS231" s="243">
        <f t="shared" si="41"/>
        <v>6.9444333333333344E-2</v>
      </c>
      <c r="BT231">
        <f t="shared" si="42"/>
        <v>0</v>
      </c>
      <c r="BU231" t="str">
        <f t="shared" si="43"/>
        <v>ok</v>
      </c>
      <c r="BV231">
        <f t="shared" si="45"/>
        <v>0</v>
      </c>
      <c r="BW231">
        <f t="shared" si="44"/>
        <v>0</v>
      </c>
    </row>
    <row r="232" spans="43:75" x14ac:dyDescent="0.25">
      <c r="AQ232" s="63"/>
      <c r="BM232" s="355">
        <v>227</v>
      </c>
      <c r="BN232" s="362">
        <f t="shared" si="36"/>
        <v>42839</v>
      </c>
      <c r="BO232" s="355">
        <f t="shared" si="37"/>
        <v>0</v>
      </c>
      <c r="BP232" s="355">
        <f t="shared" si="38"/>
        <v>0</v>
      </c>
      <c r="BQ232" s="355">
        <f t="shared" si="40"/>
        <v>0</v>
      </c>
      <c r="BR232" s="355">
        <f t="shared" si="39"/>
        <v>158</v>
      </c>
      <c r="BS232" s="243">
        <f t="shared" si="41"/>
        <v>6.9444333333333344E-2</v>
      </c>
      <c r="BT232">
        <f t="shared" si="42"/>
        <v>0</v>
      </c>
      <c r="BU232" t="str">
        <f t="shared" si="43"/>
        <v>ok</v>
      </c>
      <c r="BV232">
        <f t="shared" si="45"/>
        <v>0</v>
      </c>
      <c r="BW232">
        <f t="shared" si="44"/>
        <v>0</v>
      </c>
    </row>
    <row r="233" spans="43:75" x14ac:dyDescent="0.25">
      <c r="AQ233" s="63"/>
      <c r="BM233" s="355">
        <v>228</v>
      </c>
      <c r="BN233" s="362">
        <f t="shared" si="36"/>
        <v>42840</v>
      </c>
      <c r="BO233" s="355">
        <f t="shared" si="37"/>
        <v>0</v>
      </c>
      <c r="BP233" s="355">
        <f t="shared" si="38"/>
        <v>0</v>
      </c>
      <c r="BQ233" s="355">
        <f t="shared" si="40"/>
        <v>0</v>
      </c>
      <c r="BR233" s="355">
        <f t="shared" si="39"/>
        <v>159</v>
      </c>
      <c r="BS233" s="243">
        <f t="shared" si="41"/>
        <v>6.9444333333333344E-2</v>
      </c>
      <c r="BT233">
        <f t="shared" si="42"/>
        <v>0</v>
      </c>
      <c r="BU233" t="str">
        <f t="shared" si="43"/>
        <v>ok</v>
      </c>
      <c r="BV233">
        <f t="shared" si="45"/>
        <v>0</v>
      </c>
      <c r="BW233">
        <f t="shared" si="44"/>
        <v>0</v>
      </c>
    </row>
    <row r="234" spans="43:75" x14ac:dyDescent="0.25">
      <c r="AQ234" s="63"/>
      <c r="BM234" s="355">
        <v>229</v>
      </c>
      <c r="BN234" s="362">
        <f t="shared" si="36"/>
        <v>42841</v>
      </c>
      <c r="BO234" s="355">
        <f t="shared" si="37"/>
        <v>1</v>
      </c>
      <c r="BP234" s="355">
        <f t="shared" si="38"/>
        <v>0</v>
      </c>
      <c r="BQ234" s="355">
        <f t="shared" si="40"/>
        <v>0</v>
      </c>
      <c r="BR234" s="355">
        <f t="shared" si="39"/>
        <v>159</v>
      </c>
      <c r="BS234" s="243">
        <f t="shared" si="41"/>
        <v>6.9444333333333344E-2</v>
      </c>
      <c r="BT234">
        <f t="shared" si="42"/>
        <v>0</v>
      </c>
      <c r="BU234" t="str">
        <f t="shared" si="43"/>
        <v>ok</v>
      </c>
      <c r="BV234">
        <f t="shared" si="45"/>
        <v>0</v>
      </c>
      <c r="BW234">
        <f t="shared" si="44"/>
        <v>0</v>
      </c>
    </row>
    <row r="235" spans="43:75" x14ac:dyDescent="0.25">
      <c r="AQ235" s="63"/>
      <c r="BM235" s="355">
        <v>230</v>
      </c>
      <c r="BN235" s="362">
        <f t="shared" si="36"/>
        <v>42842</v>
      </c>
      <c r="BO235" s="355">
        <f t="shared" si="37"/>
        <v>1</v>
      </c>
      <c r="BP235" s="355">
        <f t="shared" si="38"/>
        <v>0</v>
      </c>
      <c r="BQ235" s="355">
        <f t="shared" si="40"/>
        <v>0</v>
      </c>
      <c r="BR235" s="355">
        <f t="shared" si="39"/>
        <v>159</v>
      </c>
      <c r="BS235" s="243">
        <f t="shared" si="41"/>
        <v>6.9444333333333344E-2</v>
      </c>
      <c r="BT235">
        <f t="shared" si="42"/>
        <v>0</v>
      </c>
      <c r="BU235" t="str">
        <f t="shared" si="43"/>
        <v>ok</v>
      </c>
      <c r="BV235">
        <f t="shared" si="45"/>
        <v>0</v>
      </c>
      <c r="BW235">
        <f t="shared" si="44"/>
        <v>0</v>
      </c>
    </row>
    <row r="236" spans="43:75" x14ac:dyDescent="0.25">
      <c r="AQ236" s="63"/>
      <c r="BM236" s="355">
        <v>231</v>
      </c>
      <c r="BN236" s="362">
        <f t="shared" si="36"/>
        <v>42843</v>
      </c>
      <c r="BO236" s="355">
        <f t="shared" si="37"/>
        <v>0</v>
      </c>
      <c r="BP236" s="355">
        <f t="shared" si="38"/>
        <v>0</v>
      </c>
      <c r="BQ236" s="355">
        <f t="shared" si="40"/>
        <v>0</v>
      </c>
      <c r="BR236" s="355">
        <f t="shared" si="39"/>
        <v>160</v>
      </c>
      <c r="BS236" s="243">
        <f t="shared" si="41"/>
        <v>6.9444333333333344E-2</v>
      </c>
      <c r="BT236">
        <f t="shared" si="42"/>
        <v>0</v>
      </c>
      <c r="BU236" t="str">
        <f t="shared" si="43"/>
        <v>ok</v>
      </c>
      <c r="BV236">
        <f t="shared" si="45"/>
        <v>0</v>
      </c>
      <c r="BW236">
        <f t="shared" si="44"/>
        <v>0</v>
      </c>
    </row>
    <row r="237" spans="43:75" x14ac:dyDescent="0.25">
      <c r="AQ237" s="63"/>
      <c r="BM237" s="355">
        <v>232</v>
      </c>
      <c r="BN237" s="362">
        <f t="shared" si="36"/>
        <v>42844</v>
      </c>
      <c r="BO237" s="355">
        <f t="shared" si="37"/>
        <v>0</v>
      </c>
      <c r="BP237" s="355">
        <f t="shared" si="38"/>
        <v>0</v>
      </c>
      <c r="BQ237" s="355">
        <f t="shared" si="40"/>
        <v>0</v>
      </c>
      <c r="BR237" s="355">
        <f t="shared" si="39"/>
        <v>161</v>
      </c>
      <c r="BS237" s="243">
        <f t="shared" si="41"/>
        <v>6.9444333333333344E-2</v>
      </c>
      <c r="BT237">
        <f t="shared" si="42"/>
        <v>0</v>
      </c>
      <c r="BU237" t="str">
        <f t="shared" si="43"/>
        <v>ok</v>
      </c>
      <c r="BV237">
        <f t="shared" si="45"/>
        <v>0</v>
      </c>
      <c r="BW237">
        <f t="shared" si="44"/>
        <v>0</v>
      </c>
    </row>
    <row r="238" spans="43:75" x14ac:dyDescent="0.25">
      <c r="AQ238" s="63"/>
      <c r="BM238" s="355">
        <v>233</v>
      </c>
      <c r="BN238" s="362">
        <f t="shared" si="36"/>
        <v>42845</v>
      </c>
      <c r="BO238" s="355">
        <f t="shared" si="37"/>
        <v>0</v>
      </c>
      <c r="BP238" s="355">
        <f t="shared" si="38"/>
        <v>0</v>
      </c>
      <c r="BQ238" s="355">
        <f t="shared" si="40"/>
        <v>0</v>
      </c>
      <c r="BR238" s="355">
        <f t="shared" si="39"/>
        <v>162</v>
      </c>
      <c r="BS238" s="243">
        <f t="shared" si="41"/>
        <v>6.9444333333333344E-2</v>
      </c>
      <c r="BT238">
        <f t="shared" si="42"/>
        <v>0</v>
      </c>
      <c r="BU238" t="str">
        <f t="shared" si="43"/>
        <v>ok</v>
      </c>
      <c r="BV238">
        <f t="shared" si="45"/>
        <v>0</v>
      </c>
      <c r="BW238">
        <f t="shared" si="44"/>
        <v>0</v>
      </c>
    </row>
    <row r="239" spans="43:75" x14ac:dyDescent="0.25">
      <c r="AQ239" s="63"/>
      <c r="BM239" s="355">
        <v>234</v>
      </c>
      <c r="BN239" s="362">
        <f t="shared" si="36"/>
        <v>42846</v>
      </c>
      <c r="BO239" s="355">
        <f t="shared" si="37"/>
        <v>0</v>
      </c>
      <c r="BP239" s="355">
        <f t="shared" si="38"/>
        <v>0</v>
      </c>
      <c r="BQ239" s="355">
        <f t="shared" si="40"/>
        <v>0</v>
      </c>
      <c r="BR239" s="355">
        <f t="shared" si="39"/>
        <v>163</v>
      </c>
      <c r="BS239" s="243">
        <f t="shared" si="41"/>
        <v>6.9444333333333344E-2</v>
      </c>
      <c r="BT239">
        <f t="shared" si="42"/>
        <v>0</v>
      </c>
      <c r="BU239" t="str">
        <f t="shared" si="43"/>
        <v>ok</v>
      </c>
      <c r="BV239">
        <f t="shared" si="45"/>
        <v>0</v>
      </c>
      <c r="BW239">
        <f t="shared" si="44"/>
        <v>0</v>
      </c>
    </row>
    <row r="240" spans="43:75" x14ac:dyDescent="0.25">
      <c r="AQ240" s="63"/>
      <c r="BM240" s="355">
        <v>235</v>
      </c>
      <c r="BN240" s="362">
        <f t="shared" si="36"/>
        <v>42847</v>
      </c>
      <c r="BO240" s="355">
        <f t="shared" si="37"/>
        <v>0</v>
      </c>
      <c r="BP240" s="355">
        <f t="shared" si="38"/>
        <v>0</v>
      </c>
      <c r="BQ240" s="355">
        <f t="shared" si="40"/>
        <v>0</v>
      </c>
      <c r="BR240" s="355">
        <f t="shared" si="39"/>
        <v>164</v>
      </c>
      <c r="BS240" s="243">
        <f t="shared" si="41"/>
        <v>6.9444333333333344E-2</v>
      </c>
      <c r="BT240">
        <f t="shared" si="42"/>
        <v>0</v>
      </c>
      <c r="BU240" t="str">
        <f t="shared" si="43"/>
        <v>ok</v>
      </c>
      <c r="BV240">
        <f t="shared" si="45"/>
        <v>0</v>
      </c>
      <c r="BW240">
        <f t="shared" si="44"/>
        <v>0</v>
      </c>
    </row>
    <row r="241" spans="43:75" x14ac:dyDescent="0.25">
      <c r="AQ241" s="63"/>
      <c r="BM241" s="355">
        <v>236</v>
      </c>
      <c r="BN241" s="362">
        <f t="shared" si="36"/>
        <v>42848</v>
      </c>
      <c r="BO241" s="355">
        <f t="shared" si="37"/>
        <v>1</v>
      </c>
      <c r="BP241" s="355">
        <f t="shared" si="38"/>
        <v>0</v>
      </c>
      <c r="BQ241" s="355">
        <f t="shared" si="40"/>
        <v>0</v>
      </c>
      <c r="BR241" s="355">
        <f t="shared" si="39"/>
        <v>164</v>
      </c>
      <c r="BS241" s="243">
        <f t="shared" si="41"/>
        <v>6.9444333333333344E-2</v>
      </c>
      <c r="BT241">
        <f t="shared" si="42"/>
        <v>0</v>
      </c>
      <c r="BU241" t="str">
        <f t="shared" si="43"/>
        <v>ok</v>
      </c>
      <c r="BV241">
        <f t="shared" si="45"/>
        <v>0</v>
      </c>
      <c r="BW241">
        <f t="shared" si="44"/>
        <v>0</v>
      </c>
    </row>
    <row r="242" spans="43:75" x14ac:dyDescent="0.25">
      <c r="AQ242" s="63"/>
      <c r="BM242" s="355">
        <v>237</v>
      </c>
      <c r="BN242" s="362">
        <f t="shared" si="36"/>
        <v>42849</v>
      </c>
      <c r="BO242" s="355">
        <f t="shared" si="37"/>
        <v>1</v>
      </c>
      <c r="BP242" s="355">
        <f t="shared" si="38"/>
        <v>0</v>
      </c>
      <c r="BQ242" s="355">
        <f t="shared" si="40"/>
        <v>0</v>
      </c>
      <c r="BR242" s="355">
        <f t="shared" si="39"/>
        <v>164</v>
      </c>
      <c r="BS242" s="243">
        <f t="shared" si="41"/>
        <v>6.9444333333333344E-2</v>
      </c>
      <c r="BT242">
        <f t="shared" si="42"/>
        <v>0</v>
      </c>
      <c r="BU242" t="str">
        <f t="shared" si="43"/>
        <v>ok</v>
      </c>
      <c r="BV242">
        <f t="shared" si="45"/>
        <v>0</v>
      </c>
      <c r="BW242">
        <f t="shared" si="44"/>
        <v>0</v>
      </c>
    </row>
    <row r="243" spans="43:75" x14ac:dyDescent="0.25">
      <c r="AQ243" s="63"/>
      <c r="BM243" s="355">
        <v>238</v>
      </c>
      <c r="BN243" s="362">
        <f t="shared" si="36"/>
        <v>42850</v>
      </c>
      <c r="BO243" s="355">
        <f t="shared" si="37"/>
        <v>0</v>
      </c>
      <c r="BP243" s="355">
        <f t="shared" si="38"/>
        <v>0</v>
      </c>
      <c r="BQ243" s="355">
        <f t="shared" si="40"/>
        <v>0</v>
      </c>
      <c r="BR243" s="355">
        <f t="shared" si="39"/>
        <v>165</v>
      </c>
      <c r="BS243" s="243">
        <f t="shared" si="41"/>
        <v>6.9444333333333344E-2</v>
      </c>
      <c r="BT243">
        <f t="shared" si="42"/>
        <v>0</v>
      </c>
      <c r="BU243" t="str">
        <f t="shared" si="43"/>
        <v>ok</v>
      </c>
      <c r="BV243">
        <f t="shared" si="45"/>
        <v>0</v>
      </c>
      <c r="BW243">
        <f t="shared" si="44"/>
        <v>0</v>
      </c>
    </row>
    <row r="244" spans="43:75" x14ac:dyDescent="0.25">
      <c r="AQ244" s="63"/>
      <c r="BM244" s="355">
        <v>239</v>
      </c>
      <c r="BN244" s="362">
        <f t="shared" si="36"/>
        <v>42851</v>
      </c>
      <c r="BO244" s="355">
        <f t="shared" si="37"/>
        <v>0</v>
      </c>
      <c r="BP244" s="355">
        <f t="shared" si="38"/>
        <v>0</v>
      </c>
      <c r="BQ244" s="355">
        <f t="shared" si="40"/>
        <v>0</v>
      </c>
      <c r="BR244" s="355">
        <f t="shared" si="39"/>
        <v>166</v>
      </c>
      <c r="BS244" s="243">
        <f t="shared" si="41"/>
        <v>6.9444333333333344E-2</v>
      </c>
      <c r="BT244">
        <f t="shared" si="42"/>
        <v>0</v>
      </c>
      <c r="BU244" t="str">
        <f t="shared" si="43"/>
        <v>ok</v>
      </c>
      <c r="BV244">
        <f t="shared" si="45"/>
        <v>0</v>
      </c>
      <c r="BW244">
        <f t="shared" si="44"/>
        <v>0</v>
      </c>
    </row>
    <row r="245" spans="43:75" x14ac:dyDescent="0.25">
      <c r="AQ245" s="63"/>
      <c r="BM245" s="355">
        <v>240</v>
      </c>
      <c r="BN245" s="362">
        <f t="shared" si="36"/>
        <v>42852</v>
      </c>
      <c r="BO245" s="355">
        <f t="shared" si="37"/>
        <v>0</v>
      </c>
      <c r="BP245" s="355">
        <f t="shared" si="38"/>
        <v>0</v>
      </c>
      <c r="BQ245" s="355">
        <f t="shared" si="40"/>
        <v>0</v>
      </c>
      <c r="BR245" s="355">
        <f t="shared" si="39"/>
        <v>167</v>
      </c>
      <c r="BS245" s="243">
        <f t="shared" si="41"/>
        <v>6.9444333333333344E-2</v>
      </c>
      <c r="BT245">
        <f t="shared" si="42"/>
        <v>0</v>
      </c>
      <c r="BU245" t="str">
        <f t="shared" si="43"/>
        <v>ok</v>
      </c>
      <c r="BV245">
        <f t="shared" si="45"/>
        <v>0</v>
      </c>
      <c r="BW245">
        <f t="shared" si="44"/>
        <v>0</v>
      </c>
    </row>
    <row r="246" spans="43:75" x14ac:dyDescent="0.25">
      <c r="AQ246" s="63"/>
      <c r="BM246" s="355">
        <v>241</v>
      </c>
      <c r="BN246" s="362">
        <f t="shared" si="36"/>
        <v>42853</v>
      </c>
      <c r="BO246" s="355">
        <f t="shared" si="37"/>
        <v>0</v>
      </c>
      <c r="BP246" s="355">
        <f t="shared" si="38"/>
        <v>0</v>
      </c>
      <c r="BQ246" s="355">
        <f t="shared" si="40"/>
        <v>0</v>
      </c>
      <c r="BR246" s="355">
        <f t="shared" si="39"/>
        <v>168</v>
      </c>
      <c r="BS246" s="243">
        <f t="shared" si="41"/>
        <v>6.9444333333333344E-2</v>
      </c>
      <c r="BT246">
        <f t="shared" si="42"/>
        <v>0</v>
      </c>
      <c r="BU246" t="str">
        <f t="shared" si="43"/>
        <v>ok</v>
      </c>
      <c r="BV246">
        <f t="shared" si="45"/>
        <v>0</v>
      </c>
      <c r="BW246">
        <f t="shared" si="44"/>
        <v>0</v>
      </c>
    </row>
    <row r="247" spans="43:75" x14ac:dyDescent="0.25">
      <c r="AQ247" s="63"/>
      <c r="BM247" s="355">
        <v>242</v>
      </c>
      <c r="BN247" s="362">
        <f t="shared" si="36"/>
        <v>42854</v>
      </c>
      <c r="BO247" s="355">
        <f t="shared" si="37"/>
        <v>0</v>
      </c>
      <c r="BP247" s="355">
        <f t="shared" si="38"/>
        <v>0</v>
      </c>
      <c r="BQ247" s="355">
        <f t="shared" si="40"/>
        <v>0</v>
      </c>
      <c r="BR247" s="355">
        <f t="shared" si="39"/>
        <v>169</v>
      </c>
      <c r="BS247" s="243">
        <f t="shared" si="41"/>
        <v>6.9444333333333344E-2</v>
      </c>
      <c r="BT247">
        <f t="shared" si="42"/>
        <v>0</v>
      </c>
      <c r="BU247" t="str">
        <f t="shared" si="43"/>
        <v>ok</v>
      </c>
      <c r="BV247">
        <f t="shared" si="45"/>
        <v>0</v>
      </c>
      <c r="BW247">
        <f t="shared" si="44"/>
        <v>0</v>
      </c>
    </row>
    <row r="248" spans="43:75" x14ac:dyDescent="0.25">
      <c r="AQ248" s="63"/>
      <c r="BM248" s="355">
        <v>243</v>
      </c>
      <c r="BN248" s="362">
        <f t="shared" si="36"/>
        <v>42855</v>
      </c>
      <c r="BO248" s="355">
        <f t="shared" si="37"/>
        <v>1</v>
      </c>
      <c r="BP248" s="355">
        <f t="shared" si="38"/>
        <v>0</v>
      </c>
      <c r="BQ248" s="355">
        <f t="shared" si="40"/>
        <v>0</v>
      </c>
      <c r="BR248" s="355">
        <f t="shared" si="39"/>
        <v>169</v>
      </c>
      <c r="BS248" s="243">
        <f t="shared" si="41"/>
        <v>6.7204193548387095E-2</v>
      </c>
      <c r="BT248">
        <f t="shared" si="42"/>
        <v>0</v>
      </c>
      <c r="BU248" t="str">
        <f t="shared" si="43"/>
        <v>ok</v>
      </c>
      <c r="BV248">
        <f t="shared" si="45"/>
        <v>0</v>
      </c>
      <c r="BW248">
        <f t="shared" si="44"/>
        <v>0</v>
      </c>
    </row>
    <row r="249" spans="43:75" x14ac:dyDescent="0.25">
      <c r="AQ249" s="63"/>
      <c r="BM249" s="355">
        <v>244</v>
      </c>
      <c r="BN249" s="362">
        <f t="shared" si="36"/>
        <v>42856</v>
      </c>
      <c r="BO249" s="355">
        <f t="shared" si="37"/>
        <v>1</v>
      </c>
      <c r="BP249" s="355">
        <f t="shared" si="38"/>
        <v>0</v>
      </c>
      <c r="BQ249" s="355">
        <f t="shared" si="40"/>
        <v>0</v>
      </c>
      <c r="BR249" s="355">
        <f t="shared" si="39"/>
        <v>169</v>
      </c>
      <c r="BS249" s="243">
        <f t="shared" si="41"/>
        <v>6.7204193548387095E-2</v>
      </c>
      <c r="BT249">
        <f t="shared" si="42"/>
        <v>0</v>
      </c>
      <c r="BU249" t="str">
        <f t="shared" si="43"/>
        <v>ok</v>
      </c>
      <c r="BV249">
        <f t="shared" si="45"/>
        <v>0</v>
      </c>
      <c r="BW249">
        <f t="shared" si="44"/>
        <v>0</v>
      </c>
    </row>
    <row r="250" spans="43:75" x14ac:dyDescent="0.25">
      <c r="AQ250" s="63"/>
      <c r="BM250" s="355">
        <v>245</v>
      </c>
      <c r="BN250" s="362">
        <f t="shared" si="36"/>
        <v>42857</v>
      </c>
      <c r="BO250" s="355">
        <f t="shared" si="37"/>
        <v>0</v>
      </c>
      <c r="BP250" s="355">
        <f t="shared" si="38"/>
        <v>0</v>
      </c>
      <c r="BQ250" s="355">
        <f t="shared" si="40"/>
        <v>0</v>
      </c>
      <c r="BR250" s="355">
        <f t="shared" si="39"/>
        <v>170</v>
      </c>
      <c r="BS250" s="243">
        <f t="shared" si="41"/>
        <v>6.7204193548387095E-2</v>
      </c>
      <c r="BT250">
        <f t="shared" si="42"/>
        <v>0</v>
      </c>
      <c r="BU250" t="str">
        <f t="shared" si="43"/>
        <v>ok</v>
      </c>
      <c r="BV250">
        <f t="shared" si="45"/>
        <v>0</v>
      </c>
      <c r="BW250">
        <f t="shared" si="44"/>
        <v>0</v>
      </c>
    </row>
    <row r="251" spans="43:75" x14ac:dyDescent="0.25">
      <c r="AQ251" s="63"/>
      <c r="BM251" s="355">
        <v>246</v>
      </c>
      <c r="BN251" s="362">
        <f t="shared" si="36"/>
        <v>42858</v>
      </c>
      <c r="BO251" s="355">
        <f t="shared" si="37"/>
        <v>0</v>
      </c>
      <c r="BP251" s="355">
        <f t="shared" si="38"/>
        <v>0</v>
      </c>
      <c r="BQ251" s="355">
        <f t="shared" si="40"/>
        <v>0</v>
      </c>
      <c r="BR251" s="355">
        <f t="shared" si="39"/>
        <v>171</v>
      </c>
      <c r="BS251" s="243">
        <f t="shared" si="41"/>
        <v>6.7204193548387095E-2</v>
      </c>
      <c r="BT251">
        <f t="shared" si="42"/>
        <v>0</v>
      </c>
      <c r="BU251" t="str">
        <f t="shared" si="43"/>
        <v>ok</v>
      </c>
      <c r="BV251">
        <f t="shared" si="45"/>
        <v>0</v>
      </c>
      <c r="BW251">
        <f t="shared" si="44"/>
        <v>0</v>
      </c>
    </row>
    <row r="252" spans="43:75" x14ac:dyDescent="0.25">
      <c r="AQ252" s="63"/>
      <c r="BM252" s="355">
        <v>247</v>
      </c>
      <c r="BN252" s="362">
        <f t="shared" si="36"/>
        <v>42859</v>
      </c>
      <c r="BO252" s="355">
        <f t="shared" si="37"/>
        <v>0</v>
      </c>
      <c r="BP252" s="355">
        <f t="shared" si="38"/>
        <v>0</v>
      </c>
      <c r="BQ252" s="355">
        <f t="shared" si="40"/>
        <v>0</v>
      </c>
      <c r="BR252" s="355">
        <f t="shared" si="39"/>
        <v>172</v>
      </c>
      <c r="BS252" s="243">
        <f t="shared" si="41"/>
        <v>6.7204193548387095E-2</v>
      </c>
      <c r="BT252">
        <f t="shared" si="42"/>
        <v>0</v>
      </c>
      <c r="BU252" t="str">
        <f t="shared" si="43"/>
        <v>ok</v>
      </c>
      <c r="BV252">
        <f t="shared" si="45"/>
        <v>0</v>
      </c>
      <c r="BW252">
        <f t="shared" si="44"/>
        <v>0</v>
      </c>
    </row>
    <row r="253" spans="43:75" x14ac:dyDescent="0.25">
      <c r="AQ253" s="63"/>
      <c r="BM253" s="355">
        <v>248</v>
      </c>
      <c r="BN253" s="362">
        <f t="shared" si="36"/>
        <v>42860</v>
      </c>
      <c r="BO253" s="355">
        <f t="shared" si="37"/>
        <v>0</v>
      </c>
      <c r="BP253" s="355">
        <f t="shared" si="38"/>
        <v>0</v>
      </c>
      <c r="BQ253" s="355">
        <f t="shared" si="40"/>
        <v>0</v>
      </c>
      <c r="BR253" s="355">
        <f t="shared" si="39"/>
        <v>173</v>
      </c>
      <c r="BS253" s="243">
        <f t="shared" si="41"/>
        <v>6.7204193548387095E-2</v>
      </c>
      <c r="BT253">
        <f t="shared" si="42"/>
        <v>0</v>
      </c>
      <c r="BU253" t="str">
        <f t="shared" si="43"/>
        <v>ok</v>
      </c>
      <c r="BV253">
        <f t="shared" si="45"/>
        <v>0</v>
      </c>
      <c r="BW253">
        <f t="shared" si="44"/>
        <v>0</v>
      </c>
    </row>
    <row r="254" spans="43:75" x14ac:dyDescent="0.25">
      <c r="AQ254" s="63"/>
      <c r="BM254" s="355">
        <v>249</v>
      </c>
      <c r="BN254" s="362">
        <f t="shared" si="36"/>
        <v>42861</v>
      </c>
      <c r="BO254" s="355">
        <f t="shared" si="37"/>
        <v>0</v>
      </c>
      <c r="BP254" s="355">
        <f t="shared" si="38"/>
        <v>0</v>
      </c>
      <c r="BQ254" s="355">
        <f t="shared" si="40"/>
        <v>0</v>
      </c>
      <c r="BR254" s="355">
        <f t="shared" si="39"/>
        <v>174</v>
      </c>
      <c r="BS254" s="243">
        <f t="shared" si="41"/>
        <v>6.7204193548387095E-2</v>
      </c>
      <c r="BT254">
        <f t="shared" si="42"/>
        <v>0</v>
      </c>
      <c r="BU254" t="str">
        <f t="shared" si="43"/>
        <v>ok</v>
      </c>
      <c r="BV254">
        <f t="shared" si="45"/>
        <v>0</v>
      </c>
      <c r="BW254">
        <f t="shared" si="44"/>
        <v>0</v>
      </c>
    </row>
    <row r="255" spans="43:75" x14ac:dyDescent="0.25">
      <c r="AQ255" s="63"/>
      <c r="BM255" s="355">
        <v>250</v>
      </c>
      <c r="BN255" s="362">
        <f t="shared" si="36"/>
        <v>42862</v>
      </c>
      <c r="BO255" s="355">
        <f t="shared" si="37"/>
        <v>1</v>
      </c>
      <c r="BP255" s="355">
        <f t="shared" si="38"/>
        <v>0</v>
      </c>
      <c r="BQ255" s="355">
        <f t="shared" si="40"/>
        <v>0</v>
      </c>
      <c r="BR255" s="355">
        <f t="shared" si="39"/>
        <v>174</v>
      </c>
      <c r="BS255" s="243">
        <f t="shared" si="41"/>
        <v>6.7204193548387095E-2</v>
      </c>
      <c r="BT255">
        <f t="shared" si="42"/>
        <v>0</v>
      </c>
      <c r="BU255" t="str">
        <f t="shared" si="43"/>
        <v>ok</v>
      </c>
      <c r="BV255">
        <f t="shared" si="45"/>
        <v>0</v>
      </c>
      <c r="BW255">
        <f t="shared" si="44"/>
        <v>0</v>
      </c>
    </row>
    <row r="256" spans="43:75" x14ac:dyDescent="0.25">
      <c r="AQ256" s="63"/>
      <c r="BM256" s="355">
        <v>251</v>
      </c>
      <c r="BN256" s="362">
        <f t="shared" si="36"/>
        <v>42863</v>
      </c>
      <c r="BO256" s="355">
        <f t="shared" si="37"/>
        <v>1</v>
      </c>
      <c r="BP256" s="355">
        <f t="shared" si="38"/>
        <v>0</v>
      </c>
      <c r="BQ256" s="355">
        <f t="shared" si="40"/>
        <v>0</v>
      </c>
      <c r="BR256" s="355">
        <f t="shared" si="39"/>
        <v>174</v>
      </c>
      <c r="BS256" s="243">
        <f t="shared" si="41"/>
        <v>6.7204193548387095E-2</v>
      </c>
      <c r="BT256">
        <f t="shared" si="42"/>
        <v>0</v>
      </c>
      <c r="BU256" t="str">
        <f t="shared" si="43"/>
        <v>ok</v>
      </c>
      <c r="BV256">
        <f t="shared" si="45"/>
        <v>0</v>
      </c>
      <c r="BW256">
        <f t="shared" si="44"/>
        <v>0</v>
      </c>
    </row>
    <row r="257" spans="43:75" x14ac:dyDescent="0.25">
      <c r="AQ257" s="63"/>
      <c r="BM257" s="355">
        <v>252</v>
      </c>
      <c r="BN257" s="362">
        <f t="shared" si="36"/>
        <v>42864</v>
      </c>
      <c r="BO257" s="355">
        <f t="shared" si="37"/>
        <v>0</v>
      </c>
      <c r="BP257" s="355">
        <f t="shared" si="38"/>
        <v>0</v>
      </c>
      <c r="BQ257" s="355">
        <f t="shared" si="40"/>
        <v>0</v>
      </c>
      <c r="BR257" s="355">
        <f t="shared" si="39"/>
        <v>175</v>
      </c>
      <c r="BS257" s="243">
        <f t="shared" si="41"/>
        <v>6.7204193548387095E-2</v>
      </c>
      <c r="BT257">
        <f t="shared" si="42"/>
        <v>0</v>
      </c>
      <c r="BU257" t="str">
        <f t="shared" si="43"/>
        <v>ok</v>
      </c>
      <c r="BV257">
        <f t="shared" si="45"/>
        <v>0</v>
      </c>
      <c r="BW257">
        <f t="shared" si="44"/>
        <v>0</v>
      </c>
    </row>
    <row r="258" spans="43:75" x14ac:dyDescent="0.25">
      <c r="AQ258" s="63"/>
      <c r="BM258" s="355">
        <v>253</v>
      </c>
      <c r="BN258" s="362">
        <f t="shared" si="36"/>
        <v>42865</v>
      </c>
      <c r="BO258" s="355">
        <f t="shared" si="37"/>
        <v>0</v>
      </c>
      <c r="BP258" s="355">
        <f t="shared" si="38"/>
        <v>0</v>
      </c>
      <c r="BQ258" s="355">
        <f t="shared" si="40"/>
        <v>0</v>
      </c>
      <c r="BR258" s="355">
        <f t="shared" si="39"/>
        <v>176</v>
      </c>
      <c r="BS258" s="243">
        <f t="shared" si="41"/>
        <v>6.7204193548387095E-2</v>
      </c>
      <c r="BT258">
        <f t="shared" si="42"/>
        <v>0</v>
      </c>
      <c r="BU258" t="str">
        <f t="shared" si="43"/>
        <v>ok</v>
      </c>
      <c r="BV258">
        <f t="shared" si="45"/>
        <v>0</v>
      </c>
      <c r="BW258">
        <f t="shared" si="44"/>
        <v>0</v>
      </c>
    </row>
    <row r="259" spans="43:75" x14ac:dyDescent="0.25">
      <c r="AQ259" s="63"/>
      <c r="BM259" s="355">
        <v>254</v>
      </c>
      <c r="BN259" s="362">
        <f t="shared" si="36"/>
        <v>42866</v>
      </c>
      <c r="BO259" s="355">
        <f t="shared" si="37"/>
        <v>0</v>
      </c>
      <c r="BP259" s="355">
        <f t="shared" si="38"/>
        <v>0</v>
      </c>
      <c r="BQ259" s="355">
        <f t="shared" si="40"/>
        <v>0</v>
      </c>
      <c r="BR259" s="355">
        <f t="shared" si="39"/>
        <v>177</v>
      </c>
      <c r="BS259" s="243">
        <f t="shared" si="41"/>
        <v>6.7204193548387095E-2</v>
      </c>
      <c r="BT259">
        <f t="shared" si="42"/>
        <v>0</v>
      </c>
      <c r="BU259" t="str">
        <f t="shared" si="43"/>
        <v>ok</v>
      </c>
      <c r="BV259">
        <f t="shared" si="45"/>
        <v>0</v>
      </c>
      <c r="BW259">
        <f t="shared" si="44"/>
        <v>0</v>
      </c>
    </row>
    <row r="260" spans="43:75" x14ac:dyDescent="0.25">
      <c r="AQ260" s="63"/>
      <c r="BM260" s="355">
        <v>255</v>
      </c>
      <c r="BN260" s="362">
        <f t="shared" si="36"/>
        <v>42867</v>
      </c>
      <c r="BO260" s="355">
        <f t="shared" si="37"/>
        <v>0</v>
      </c>
      <c r="BP260" s="355">
        <f t="shared" si="38"/>
        <v>1</v>
      </c>
      <c r="BQ260" s="355">
        <f t="shared" si="40"/>
        <v>0</v>
      </c>
      <c r="BR260" s="355">
        <f t="shared" si="39"/>
        <v>177</v>
      </c>
      <c r="BS260" s="243">
        <f t="shared" si="41"/>
        <v>6.7204193548387095E-2</v>
      </c>
      <c r="BT260">
        <f t="shared" si="42"/>
        <v>0</v>
      </c>
      <c r="BU260" t="str">
        <f t="shared" si="43"/>
        <v>ok</v>
      </c>
      <c r="BV260">
        <f t="shared" si="45"/>
        <v>0</v>
      </c>
      <c r="BW260">
        <f t="shared" si="44"/>
        <v>0</v>
      </c>
    </row>
    <row r="261" spans="43:75" x14ac:dyDescent="0.25">
      <c r="AQ261" s="63"/>
      <c r="BM261" s="355">
        <v>256</v>
      </c>
      <c r="BN261" s="362">
        <f t="shared" si="36"/>
        <v>42868</v>
      </c>
      <c r="BO261" s="355">
        <f t="shared" si="37"/>
        <v>0</v>
      </c>
      <c r="BP261" s="355">
        <f t="shared" si="38"/>
        <v>0</v>
      </c>
      <c r="BQ261" s="355">
        <f t="shared" si="40"/>
        <v>0</v>
      </c>
      <c r="BR261" s="355">
        <f t="shared" si="39"/>
        <v>178</v>
      </c>
      <c r="BS261" s="243">
        <f t="shared" si="41"/>
        <v>6.7204193548387095E-2</v>
      </c>
      <c r="BT261">
        <f t="shared" si="42"/>
        <v>0</v>
      </c>
      <c r="BU261" t="str">
        <f t="shared" si="43"/>
        <v>ok</v>
      </c>
      <c r="BV261">
        <f t="shared" si="45"/>
        <v>0</v>
      </c>
      <c r="BW261">
        <f t="shared" si="44"/>
        <v>0</v>
      </c>
    </row>
    <row r="262" spans="43:75" x14ac:dyDescent="0.25">
      <c r="AQ262" s="63"/>
      <c r="BM262" s="355">
        <v>257</v>
      </c>
      <c r="BN262" s="362">
        <f t="shared" ref="BN262:BN325" si="46">BN261+1</f>
        <v>42869</v>
      </c>
      <c r="BO262" s="355">
        <f t="shared" ref="BO262:BO325" si="47">IF(OR(WEEKDAY(BN262)=1,WEEKDAY(BN262)=7),1,0)</f>
        <v>1</v>
      </c>
      <c r="BP262" s="355">
        <f t="shared" ref="BP262:BP325" si="48">IF(BO262=1,0,COUNTIF(tab_ferie,BN262))</f>
        <v>0</v>
      </c>
      <c r="BQ262" s="355">
        <f t="shared" si="40"/>
        <v>0</v>
      </c>
      <c r="BR262" s="355">
        <f t="shared" ref="BR262:BR325" si="49">BR261+1-BP262-BO262</f>
        <v>178</v>
      </c>
      <c r="BS262" s="243">
        <f t="shared" si="41"/>
        <v>6.7204193548387095E-2</v>
      </c>
      <c r="BT262">
        <f t="shared" si="42"/>
        <v>0</v>
      </c>
      <c r="BU262" t="str">
        <f t="shared" si="43"/>
        <v>ok</v>
      </c>
      <c r="BV262">
        <f t="shared" si="45"/>
        <v>0</v>
      </c>
      <c r="BW262">
        <f t="shared" si="44"/>
        <v>0</v>
      </c>
    </row>
    <row r="263" spans="43:75" x14ac:dyDescent="0.25">
      <c r="AQ263" s="63"/>
      <c r="BM263" s="355">
        <v>258</v>
      </c>
      <c r="BN263" s="362">
        <f t="shared" si="46"/>
        <v>42870</v>
      </c>
      <c r="BO263" s="355">
        <f t="shared" si="47"/>
        <v>1</v>
      </c>
      <c r="BP263" s="355">
        <f t="shared" si="48"/>
        <v>0</v>
      </c>
      <c r="BQ263" s="355">
        <f t="shared" ref="BQ263:BQ326" si="50">IF(AND(BN263&gt;=$AF$5,BN263&lt;=$AF$6),IF(BO263+BP263=0,1,0),0)</f>
        <v>0</v>
      </c>
      <c r="BR263" s="355">
        <f t="shared" si="49"/>
        <v>178</v>
      </c>
      <c r="BS263" s="243">
        <f t="shared" ref="BS263:BS326" si="51">2.08333/(EOMONTH(BN263,0)-(EOMONTH(BN263,-1)))</f>
        <v>6.7204193548387095E-2</v>
      </c>
      <c r="BT263">
        <f t="shared" ref="BT263:BT326" si="52">IF(AND(BN263&gt;=$AF$5,BN263&lt;=$AF$6),BS263,0)</f>
        <v>0</v>
      </c>
      <c r="BU263" t="str">
        <f t="shared" ref="BU263:BU326" si="53">IF(OR(MONTH(BN263)&gt;=10,MONTH(BN263)&lt;=5),"ok","non")</f>
        <v>ok</v>
      </c>
      <c r="BV263">
        <f t="shared" si="45"/>
        <v>0</v>
      </c>
      <c r="BW263">
        <f t="shared" ref="BW263:BW326" si="54">IF(AND(BN263&gt;=$AF$5,BN263&lt;=$AF$6),BV263,0)</f>
        <v>0</v>
      </c>
    </row>
    <row r="264" spans="43:75" x14ac:dyDescent="0.25">
      <c r="AQ264" s="63"/>
      <c r="BM264" s="355">
        <v>259</v>
      </c>
      <c r="BN264" s="362">
        <f t="shared" si="46"/>
        <v>42871</v>
      </c>
      <c r="BO264" s="355">
        <f t="shared" si="47"/>
        <v>0</v>
      </c>
      <c r="BP264" s="355">
        <f t="shared" si="48"/>
        <v>0</v>
      </c>
      <c r="BQ264" s="355">
        <f t="shared" si="50"/>
        <v>0</v>
      </c>
      <c r="BR264" s="355">
        <f t="shared" si="49"/>
        <v>179</v>
      </c>
      <c r="BS264" s="243">
        <f t="shared" si="51"/>
        <v>6.7204193548387095E-2</v>
      </c>
      <c r="BT264">
        <f t="shared" si="52"/>
        <v>0</v>
      </c>
      <c r="BU264" t="str">
        <f t="shared" si="53"/>
        <v>ok</v>
      </c>
      <c r="BV264">
        <f t="shared" si="45"/>
        <v>0</v>
      </c>
      <c r="BW264">
        <f t="shared" si="54"/>
        <v>0</v>
      </c>
    </row>
    <row r="265" spans="43:75" x14ac:dyDescent="0.25">
      <c r="AQ265" s="63"/>
      <c r="BM265" s="355">
        <v>260</v>
      </c>
      <c r="BN265" s="362">
        <f t="shared" si="46"/>
        <v>42872</v>
      </c>
      <c r="BO265" s="355">
        <f t="shared" si="47"/>
        <v>0</v>
      </c>
      <c r="BP265" s="355">
        <f t="shared" si="48"/>
        <v>0</v>
      </c>
      <c r="BQ265" s="355">
        <f t="shared" si="50"/>
        <v>0</v>
      </c>
      <c r="BR265" s="355">
        <f t="shared" si="49"/>
        <v>180</v>
      </c>
      <c r="BS265" s="243">
        <f t="shared" si="51"/>
        <v>6.7204193548387095E-2</v>
      </c>
      <c r="BT265">
        <f t="shared" si="52"/>
        <v>0</v>
      </c>
      <c r="BU265" t="str">
        <f t="shared" si="53"/>
        <v>ok</v>
      </c>
      <c r="BV265">
        <f t="shared" si="45"/>
        <v>0</v>
      </c>
      <c r="BW265">
        <f t="shared" si="54"/>
        <v>0</v>
      </c>
    </row>
    <row r="266" spans="43:75" x14ac:dyDescent="0.25">
      <c r="AQ266" s="63"/>
      <c r="BM266" s="355">
        <v>261</v>
      </c>
      <c r="BN266" s="362">
        <f t="shared" si="46"/>
        <v>42873</v>
      </c>
      <c r="BO266" s="355">
        <f t="shared" si="47"/>
        <v>0</v>
      </c>
      <c r="BP266" s="355">
        <f t="shared" si="48"/>
        <v>0</v>
      </c>
      <c r="BQ266" s="355">
        <f t="shared" si="50"/>
        <v>0</v>
      </c>
      <c r="BR266" s="355">
        <f t="shared" si="49"/>
        <v>181</v>
      </c>
      <c r="BS266" s="243">
        <f t="shared" si="51"/>
        <v>6.7204193548387095E-2</v>
      </c>
      <c r="BT266">
        <f t="shared" si="52"/>
        <v>0</v>
      </c>
      <c r="BU266" t="str">
        <f t="shared" si="53"/>
        <v>ok</v>
      </c>
      <c r="BV266">
        <f t="shared" si="45"/>
        <v>0</v>
      </c>
      <c r="BW266">
        <f t="shared" si="54"/>
        <v>0</v>
      </c>
    </row>
    <row r="267" spans="43:75" x14ac:dyDescent="0.25">
      <c r="AQ267" s="63"/>
      <c r="BM267" s="355">
        <v>262</v>
      </c>
      <c r="BN267" s="362">
        <f t="shared" si="46"/>
        <v>42874</v>
      </c>
      <c r="BO267" s="355">
        <f t="shared" si="47"/>
        <v>0</v>
      </c>
      <c r="BP267" s="355">
        <f t="shared" si="48"/>
        <v>0</v>
      </c>
      <c r="BQ267" s="355">
        <f t="shared" si="50"/>
        <v>0</v>
      </c>
      <c r="BR267" s="355">
        <f t="shared" si="49"/>
        <v>182</v>
      </c>
      <c r="BS267" s="243">
        <f t="shared" si="51"/>
        <v>6.7204193548387095E-2</v>
      </c>
      <c r="BT267">
        <f t="shared" si="52"/>
        <v>0</v>
      </c>
      <c r="BU267" t="str">
        <f t="shared" si="53"/>
        <v>ok</v>
      </c>
      <c r="BV267">
        <f t="shared" si="45"/>
        <v>0</v>
      </c>
      <c r="BW267">
        <f t="shared" si="54"/>
        <v>0</v>
      </c>
    </row>
    <row r="268" spans="43:75" x14ac:dyDescent="0.25">
      <c r="AQ268" s="63"/>
      <c r="BM268" s="355">
        <v>263</v>
      </c>
      <c r="BN268" s="362">
        <f t="shared" si="46"/>
        <v>42875</v>
      </c>
      <c r="BO268" s="355">
        <f t="shared" si="47"/>
        <v>0</v>
      </c>
      <c r="BP268" s="355">
        <f t="shared" si="48"/>
        <v>0</v>
      </c>
      <c r="BQ268" s="355">
        <f t="shared" si="50"/>
        <v>0</v>
      </c>
      <c r="BR268" s="355">
        <f t="shared" si="49"/>
        <v>183</v>
      </c>
      <c r="BS268" s="243">
        <f t="shared" si="51"/>
        <v>6.7204193548387095E-2</v>
      </c>
      <c r="BT268">
        <f t="shared" si="52"/>
        <v>0</v>
      </c>
      <c r="BU268" t="str">
        <f t="shared" si="53"/>
        <v>ok</v>
      </c>
      <c r="BV268">
        <f t="shared" si="45"/>
        <v>0</v>
      </c>
      <c r="BW268">
        <f t="shared" si="54"/>
        <v>0</v>
      </c>
    </row>
    <row r="269" spans="43:75" x14ac:dyDescent="0.25">
      <c r="AQ269" s="63"/>
      <c r="BM269" s="355">
        <v>264</v>
      </c>
      <c r="BN269" s="362">
        <f t="shared" si="46"/>
        <v>42876</v>
      </c>
      <c r="BO269" s="355">
        <f t="shared" si="47"/>
        <v>1</v>
      </c>
      <c r="BP269" s="355">
        <f t="shared" si="48"/>
        <v>0</v>
      </c>
      <c r="BQ269" s="355">
        <f t="shared" si="50"/>
        <v>0</v>
      </c>
      <c r="BR269" s="355">
        <f t="shared" si="49"/>
        <v>183</v>
      </c>
      <c r="BS269" s="243">
        <f t="shared" si="51"/>
        <v>6.7204193548387095E-2</v>
      </c>
      <c r="BT269">
        <f t="shared" si="52"/>
        <v>0</v>
      </c>
      <c r="BU269" t="str">
        <f t="shared" si="53"/>
        <v>ok</v>
      </c>
      <c r="BV269">
        <f t="shared" si="45"/>
        <v>0</v>
      </c>
      <c r="BW269">
        <f t="shared" si="54"/>
        <v>0</v>
      </c>
    </row>
    <row r="270" spans="43:75" x14ac:dyDescent="0.25">
      <c r="AQ270" s="63"/>
      <c r="BM270" s="355">
        <v>265</v>
      </c>
      <c r="BN270" s="362">
        <f t="shared" si="46"/>
        <v>42877</v>
      </c>
      <c r="BO270" s="355">
        <f t="shared" si="47"/>
        <v>1</v>
      </c>
      <c r="BP270" s="355">
        <f t="shared" si="48"/>
        <v>0</v>
      </c>
      <c r="BQ270" s="355">
        <f t="shared" si="50"/>
        <v>0</v>
      </c>
      <c r="BR270" s="355">
        <f t="shared" si="49"/>
        <v>183</v>
      </c>
      <c r="BS270" s="243">
        <f t="shared" si="51"/>
        <v>6.7204193548387095E-2</v>
      </c>
      <c r="BT270">
        <f t="shared" si="52"/>
        <v>0</v>
      </c>
      <c r="BU270" t="str">
        <f t="shared" si="53"/>
        <v>ok</v>
      </c>
      <c r="BV270">
        <f t="shared" si="45"/>
        <v>0</v>
      </c>
      <c r="BW270">
        <f t="shared" si="54"/>
        <v>0</v>
      </c>
    </row>
    <row r="271" spans="43:75" x14ac:dyDescent="0.25">
      <c r="AQ271" s="63"/>
      <c r="BM271" s="355">
        <v>266</v>
      </c>
      <c r="BN271" s="362">
        <f t="shared" si="46"/>
        <v>42878</v>
      </c>
      <c r="BO271" s="355">
        <f t="shared" si="47"/>
        <v>0</v>
      </c>
      <c r="BP271" s="355">
        <f t="shared" si="48"/>
        <v>0</v>
      </c>
      <c r="BQ271" s="355">
        <f t="shared" si="50"/>
        <v>0</v>
      </c>
      <c r="BR271" s="355">
        <f t="shared" si="49"/>
        <v>184</v>
      </c>
      <c r="BS271" s="243">
        <f t="shared" si="51"/>
        <v>6.7204193548387095E-2</v>
      </c>
      <c r="BT271">
        <f t="shared" si="52"/>
        <v>0</v>
      </c>
      <c r="BU271" t="str">
        <f t="shared" si="53"/>
        <v>ok</v>
      </c>
      <c r="BV271">
        <f t="shared" si="45"/>
        <v>0</v>
      </c>
      <c r="BW271">
        <f t="shared" si="54"/>
        <v>0</v>
      </c>
    </row>
    <row r="272" spans="43:75" x14ac:dyDescent="0.25">
      <c r="AQ272" s="63"/>
      <c r="BM272" s="355">
        <v>267</v>
      </c>
      <c r="BN272" s="362">
        <f t="shared" si="46"/>
        <v>42879</v>
      </c>
      <c r="BO272" s="355">
        <f t="shared" si="47"/>
        <v>0</v>
      </c>
      <c r="BP272" s="355">
        <f t="shared" si="48"/>
        <v>0</v>
      </c>
      <c r="BQ272" s="355">
        <f t="shared" si="50"/>
        <v>0</v>
      </c>
      <c r="BR272" s="355">
        <f t="shared" si="49"/>
        <v>185</v>
      </c>
      <c r="BS272" s="243">
        <f t="shared" si="51"/>
        <v>6.7204193548387095E-2</v>
      </c>
      <c r="BT272">
        <f t="shared" si="52"/>
        <v>0</v>
      </c>
      <c r="BU272" t="str">
        <f t="shared" si="53"/>
        <v>ok</v>
      </c>
      <c r="BV272">
        <f t="shared" si="45"/>
        <v>0</v>
      </c>
      <c r="BW272">
        <f t="shared" si="54"/>
        <v>0</v>
      </c>
    </row>
    <row r="273" spans="43:75" x14ac:dyDescent="0.25">
      <c r="AQ273" s="63"/>
      <c r="BM273" s="355">
        <v>268</v>
      </c>
      <c r="BN273" s="362">
        <f t="shared" si="46"/>
        <v>42880</v>
      </c>
      <c r="BO273" s="355">
        <f t="shared" si="47"/>
        <v>0</v>
      </c>
      <c r="BP273" s="355">
        <f t="shared" si="48"/>
        <v>0</v>
      </c>
      <c r="BQ273" s="355">
        <f t="shared" si="50"/>
        <v>0</v>
      </c>
      <c r="BR273" s="355">
        <f t="shared" si="49"/>
        <v>186</v>
      </c>
      <c r="BS273" s="243">
        <f t="shared" si="51"/>
        <v>6.7204193548387095E-2</v>
      </c>
      <c r="BT273">
        <f t="shared" si="52"/>
        <v>0</v>
      </c>
      <c r="BU273" t="str">
        <f t="shared" si="53"/>
        <v>ok</v>
      </c>
      <c r="BV273">
        <f t="shared" ref="BV273:BV336" si="55">IF(BU273="ok",$CC$29/(EOMONTH(BN273,0)-(EOMONTH(BN273,-1))),0)</f>
        <v>0</v>
      </c>
      <c r="BW273">
        <f t="shared" si="54"/>
        <v>0</v>
      </c>
    </row>
    <row r="274" spans="43:75" x14ac:dyDescent="0.25">
      <c r="AQ274" s="63"/>
      <c r="BM274" s="355">
        <v>269</v>
      </c>
      <c r="BN274" s="362">
        <f t="shared" si="46"/>
        <v>42881</v>
      </c>
      <c r="BO274" s="355">
        <f t="shared" si="47"/>
        <v>0</v>
      </c>
      <c r="BP274" s="355">
        <f t="shared" si="48"/>
        <v>0</v>
      </c>
      <c r="BQ274" s="355">
        <f t="shared" si="50"/>
        <v>0</v>
      </c>
      <c r="BR274" s="355">
        <f t="shared" si="49"/>
        <v>187</v>
      </c>
      <c r="BS274" s="243">
        <f t="shared" si="51"/>
        <v>6.7204193548387095E-2</v>
      </c>
      <c r="BT274">
        <f t="shared" si="52"/>
        <v>0</v>
      </c>
      <c r="BU274" t="str">
        <f t="shared" si="53"/>
        <v>ok</v>
      </c>
      <c r="BV274">
        <f t="shared" si="55"/>
        <v>0</v>
      </c>
      <c r="BW274">
        <f t="shared" si="54"/>
        <v>0</v>
      </c>
    </row>
    <row r="275" spans="43:75" x14ac:dyDescent="0.25">
      <c r="AQ275" s="63"/>
      <c r="BM275" s="355">
        <v>270</v>
      </c>
      <c r="BN275" s="362">
        <f t="shared" si="46"/>
        <v>42882</v>
      </c>
      <c r="BO275" s="355">
        <f t="shared" si="47"/>
        <v>0</v>
      </c>
      <c r="BP275" s="355">
        <f t="shared" si="48"/>
        <v>0</v>
      </c>
      <c r="BQ275" s="355">
        <f t="shared" si="50"/>
        <v>0</v>
      </c>
      <c r="BR275" s="355">
        <f t="shared" si="49"/>
        <v>188</v>
      </c>
      <c r="BS275" s="243">
        <f t="shared" si="51"/>
        <v>6.7204193548387095E-2</v>
      </c>
      <c r="BT275">
        <f t="shared" si="52"/>
        <v>0</v>
      </c>
      <c r="BU275" t="str">
        <f t="shared" si="53"/>
        <v>ok</v>
      </c>
      <c r="BV275">
        <f t="shared" si="55"/>
        <v>0</v>
      </c>
      <c r="BW275">
        <f t="shared" si="54"/>
        <v>0</v>
      </c>
    </row>
    <row r="276" spans="43:75" x14ac:dyDescent="0.25">
      <c r="AQ276" s="63"/>
      <c r="BM276" s="355">
        <v>271</v>
      </c>
      <c r="BN276" s="362">
        <f t="shared" si="46"/>
        <v>42883</v>
      </c>
      <c r="BO276" s="355">
        <f t="shared" si="47"/>
        <v>1</v>
      </c>
      <c r="BP276" s="355">
        <f t="shared" si="48"/>
        <v>0</v>
      </c>
      <c r="BQ276" s="355">
        <f t="shared" si="50"/>
        <v>0</v>
      </c>
      <c r="BR276" s="355">
        <f t="shared" si="49"/>
        <v>188</v>
      </c>
      <c r="BS276" s="243">
        <f t="shared" si="51"/>
        <v>6.7204193548387095E-2</v>
      </c>
      <c r="BT276">
        <f t="shared" si="52"/>
        <v>0</v>
      </c>
      <c r="BU276" t="str">
        <f t="shared" si="53"/>
        <v>ok</v>
      </c>
      <c r="BV276">
        <f t="shared" si="55"/>
        <v>0</v>
      </c>
      <c r="BW276">
        <f t="shared" si="54"/>
        <v>0</v>
      </c>
    </row>
    <row r="277" spans="43:75" x14ac:dyDescent="0.25">
      <c r="AQ277" s="63"/>
      <c r="BM277" s="355">
        <v>272</v>
      </c>
      <c r="BN277" s="362">
        <f t="shared" si="46"/>
        <v>42884</v>
      </c>
      <c r="BO277" s="355">
        <f t="shared" si="47"/>
        <v>1</v>
      </c>
      <c r="BP277" s="355">
        <f t="shared" si="48"/>
        <v>0</v>
      </c>
      <c r="BQ277" s="355">
        <f t="shared" si="50"/>
        <v>0</v>
      </c>
      <c r="BR277" s="355">
        <f t="shared" si="49"/>
        <v>188</v>
      </c>
      <c r="BS277" s="243">
        <f t="shared" si="51"/>
        <v>6.7204193548387095E-2</v>
      </c>
      <c r="BT277">
        <f t="shared" si="52"/>
        <v>0</v>
      </c>
      <c r="BU277" t="str">
        <f t="shared" si="53"/>
        <v>ok</v>
      </c>
      <c r="BV277">
        <f t="shared" si="55"/>
        <v>0</v>
      </c>
      <c r="BW277">
        <f t="shared" si="54"/>
        <v>0</v>
      </c>
    </row>
    <row r="278" spans="43:75" x14ac:dyDescent="0.25">
      <c r="AQ278" s="63"/>
      <c r="BM278" s="355">
        <v>273</v>
      </c>
      <c r="BN278" s="362">
        <f t="shared" si="46"/>
        <v>42885</v>
      </c>
      <c r="BO278" s="355">
        <f t="shared" si="47"/>
        <v>0</v>
      </c>
      <c r="BP278" s="355">
        <f t="shared" si="48"/>
        <v>0</v>
      </c>
      <c r="BQ278" s="355">
        <f t="shared" si="50"/>
        <v>0</v>
      </c>
      <c r="BR278" s="355">
        <f t="shared" si="49"/>
        <v>189</v>
      </c>
      <c r="BS278" s="243">
        <f t="shared" si="51"/>
        <v>6.7204193548387095E-2</v>
      </c>
      <c r="BT278">
        <f t="shared" si="52"/>
        <v>0</v>
      </c>
      <c r="BU278" t="str">
        <f t="shared" si="53"/>
        <v>ok</v>
      </c>
      <c r="BV278">
        <f t="shared" si="55"/>
        <v>0</v>
      </c>
      <c r="BW278">
        <f t="shared" si="54"/>
        <v>0</v>
      </c>
    </row>
    <row r="279" spans="43:75" x14ac:dyDescent="0.25">
      <c r="AQ279" s="63"/>
      <c r="BM279" s="355">
        <v>274</v>
      </c>
      <c r="BN279" s="362">
        <f t="shared" si="46"/>
        <v>42886</v>
      </c>
      <c r="BO279" s="355">
        <f t="shared" si="47"/>
        <v>0</v>
      </c>
      <c r="BP279" s="355">
        <f t="shared" si="48"/>
        <v>0</v>
      </c>
      <c r="BQ279" s="355">
        <f t="shared" si="50"/>
        <v>0</v>
      </c>
      <c r="BR279" s="355">
        <f t="shared" si="49"/>
        <v>190</v>
      </c>
      <c r="BS279" s="243">
        <f t="shared" si="51"/>
        <v>6.9444333333333344E-2</v>
      </c>
      <c r="BT279">
        <f t="shared" si="52"/>
        <v>0</v>
      </c>
      <c r="BU279" t="str">
        <f t="shared" si="53"/>
        <v>non</v>
      </c>
      <c r="BV279">
        <f t="shared" si="55"/>
        <v>0</v>
      </c>
      <c r="BW279">
        <f t="shared" si="54"/>
        <v>0</v>
      </c>
    </row>
    <row r="280" spans="43:75" x14ac:dyDescent="0.25">
      <c r="AQ280" s="63"/>
      <c r="BM280" s="355">
        <v>275</v>
      </c>
      <c r="BN280" s="362">
        <f t="shared" si="46"/>
        <v>42887</v>
      </c>
      <c r="BO280" s="355">
        <f t="shared" si="47"/>
        <v>0</v>
      </c>
      <c r="BP280" s="355">
        <f t="shared" si="48"/>
        <v>0</v>
      </c>
      <c r="BQ280" s="355">
        <f t="shared" si="50"/>
        <v>0</v>
      </c>
      <c r="BR280" s="355">
        <f t="shared" si="49"/>
        <v>191</v>
      </c>
      <c r="BS280" s="243">
        <f t="shared" si="51"/>
        <v>6.9444333333333344E-2</v>
      </c>
      <c r="BT280">
        <f t="shared" si="52"/>
        <v>0</v>
      </c>
      <c r="BU280" t="str">
        <f t="shared" si="53"/>
        <v>non</v>
      </c>
      <c r="BV280">
        <f t="shared" si="55"/>
        <v>0</v>
      </c>
      <c r="BW280">
        <f t="shared" si="54"/>
        <v>0</v>
      </c>
    </row>
    <row r="281" spans="43:75" x14ac:dyDescent="0.25">
      <c r="AQ281" s="63"/>
      <c r="BM281" s="355">
        <v>276</v>
      </c>
      <c r="BN281" s="362">
        <f t="shared" si="46"/>
        <v>42888</v>
      </c>
      <c r="BO281" s="355">
        <f t="shared" si="47"/>
        <v>0</v>
      </c>
      <c r="BP281" s="355">
        <f t="shared" si="48"/>
        <v>0</v>
      </c>
      <c r="BQ281" s="355">
        <f t="shared" si="50"/>
        <v>0</v>
      </c>
      <c r="BR281" s="355">
        <f t="shared" si="49"/>
        <v>192</v>
      </c>
      <c r="BS281" s="243">
        <f t="shared" si="51"/>
        <v>6.9444333333333344E-2</v>
      </c>
      <c r="BT281">
        <f t="shared" si="52"/>
        <v>0</v>
      </c>
      <c r="BU281" t="str">
        <f t="shared" si="53"/>
        <v>non</v>
      </c>
      <c r="BV281">
        <f t="shared" si="55"/>
        <v>0</v>
      </c>
      <c r="BW281">
        <f t="shared" si="54"/>
        <v>0</v>
      </c>
    </row>
    <row r="282" spans="43:75" x14ac:dyDescent="0.25">
      <c r="AQ282" s="63"/>
      <c r="BM282" s="355">
        <v>277</v>
      </c>
      <c r="BN282" s="362">
        <f t="shared" si="46"/>
        <v>42889</v>
      </c>
      <c r="BO282" s="355">
        <f t="shared" si="47"/>
        <v>0</v>
      </c>
      <c r="BP282" s="355">
        <f t="shared" si="48"/>
        <v>0</v>
      </c>
      <c r="BQ282" s="355">
        <f t="shared" si="50"/>
        <v>0</v>
      </c>
      <c r="BR282" s="355">
        <f t="shared" si="49"/>
        <v>193</v>
      </c>
      <c r="BS282" s="243">
        <f t="shared" si="51"/>
        <v>6.9444333333333344E-2</v>
      </c>
      <c r="BT282">
        <f t="shared" si="52"/>
        <v>0</v>
      </c>
      <c r="BU282" t="str">
        <f t="shared" si="53"/>
        <v>non</v>
      </c>
      <c r="BV282">
        <f t="shared" si="55"/>
        <v>0</v>
      </c>
      <c r="BW282">
        <f t="shared" si="54"/>
        <v>0</v>
      </c>
    </row>
    <row r="283" spans="43:75" x14ac:dyDescent="0.25">
      <c r="AQ283" s="63"/>
      <c r="BM283" s="355">
        <v>278</v>
      </c>
      <c r="BN283" s="362">
        <f t="shared" si="46"/>
        <v>42890</v>
      </c>
      <c r="BO283" s="355">
        <f t="shared" si="47"/>
        <v>1</v>
      </c>
      <c r="BP283" s="355">
        <f t="shared" si="48"/>
        <v>0</v>
      </c>
      <c r="BQ283" s="355">
        <f t="shared" si="50"/>
        <v>0</v>
      </c>
      <c r="BR283" s="355">
        <f t="shared" si="49"/>
        <v>193</v>
      </c>
      <c r="BS283" s="243">
        <f t="shared" si="51"/>
        <v>6.9444333333333344E-2</v>
      </c>
      <c r="BT283">
        <f t="shared" si="52"/>
        <v>0</v>
      </c>
      <c r="BU283" t="str">
        <f t="shared" si="53"/>
        <v>non</v>
      </c>
      <c r="BV283">
        <f t="shared" si="55"/>
        <v>0</v>
      </c>
      <c r="BW283">
        <f t="shared" si="54"/>
        <v>0</v>
      </c>
    </row>
    <row r="284" spans="43:75" x14ac:dyDescent="0.25">
      <c r="AQ284" s="63"/>
      <c r="BM284" s="355">
        <v>279</v>
      </c>
      <c r="BN284" s="362">
        <f t="shared" si="46"/>
        <v>42891</v>
      </c>
      <c r="BO284" s="355">
        <f t="shared" si="47"/>
        <v>1</v>
      </c>
      <c r="BP284" s="355">
        <f t="shared" si="48"/>
        <v>0</v>
      </c>
      <c r="BQ284" s="355">
        <f t="shared" si="50"/>
        <v>0</v>
      </c>
      <c r="BR284" s="355">
        <f t="shared" si="49"/>
        <v>193</v>
      </c>
      <c r="BS284" s="243">
        <f t="shared" si="51"/>
        <v>6.9444333333333344E-2</v>
      </c>
      <c r="BT284">
        <f t="shared" si="52"/>
        <v>0</v>
      </c>
      <c r="BU284" t="str">
        <f t="shared" si="53"/>
        <v>non</v>
      </c>
      <c r="BV284">
        <f t="shared" si="55"/>
        <v>0</v>
      </c>
      <c r="BW284">
        <f t="shared" si="54"/>
        <v>0</v>
      </c>
    </row>
    <row r="285" spans="43:75" x14ac:dyDescent="0.25">
      <c r="AQ285" s="63"/>
      <c r="BM285" s="355">
        <v>280</v>
      </c>
      <c r="BN285" s="362">
        <f t="shared" si="46"/>
        <v>42892</v>
      </c>
      <c r="BO285" s="355">
        <f t="shared" si="47"/>
        <v>0</v>
      </c>
      <c r="BP285" s="355">
        <f t="shared" si="48"/>
        <v>0</v>
      </c>
      <c r="BQ285" s="355">
        <f t="shared" si="50"/>
        <v>0</v>
      </c>
      <c r="BR285" s="355">
        <f t="shared" si="49"/>
        <v>194</v>
      </c>
      <c r="BS285" s="243">
        <f t="shared" si="51"/>
        <v>6.9444333333333344E-2</v>
      </c>
      <c r="BT285">
        <f t="shared" si="52"/>
        <v>0</v>
      </c>
      <c r="BU285" t="str">
        <f t="shared" si="53"/>
        <v>non</v>
      </c>
      <c r="BV285">
        <f t="shared" si="55"/>
        <v>0</v>
      </c>
      <c r="BW285">
        <f t="shared" si="54"/>
        <v>0</v>
      </c>
    </row>
    <row r="286" spans="43:75" x14ac:dyDescent="0.25">
      <c r="AQ286" s="63"/>
      <c r="BM286" s="355">
        <v>281</v>
      </c>
      <c r="BN286" s="362">
        <f t="shared" si="46"/>
        <v>42893</v>
      </c>
      <c r="BO286" s="355">
        <f t="shared" si="47"/>
        <v>0</v>
      </c>
      <c r="BP286" s="355">
        <f t="shared" si="48"/>
        <v>0</v>
      </c>
      <c r="BQ286" s="355">
        <f t="shared" si="50"/>
        <v>0</v>
      </c>
      <c r="BR286" s="355">
        <f t="shared" si="49"/>
        <v>195</v>
      </c>
      <c r="BS286" s="243">
        <f t="shared" si="51"/>
        <v>6.9444333333333344E-2</v>
      </c>
      <c r="BT286">
        <f t="shared" si="52"/>
        <v>0</v>
      </c>
      <c r="BU286" t="str">
        <f t="shared" si="53"/>
        <v>non</v>
      </c>
      <c r="BV286">
        <f t="shared" si="55"/>
        <v>0</v>
      </c>
      <c r="BW286">
        <f t="shared" si="54"/>
        <v>0</v>
      </c>
    </row>
    <row r="287" spans="43:75" x14ac:dyDescent="0.25">
      <c r="AQ287" s="63"/>
      <c r="BM287" s="355">
        <v>282</v>
      </c>
      <c r="BN287" s="362">
        <f t="shared" si="46"/>
        <v>42894</v>
      </c>
      <c r="BO287" s="355">
        <f t="shared" si="47"/>
        <v>0</v>
      </c>
      <c r="BP287" s="355">
        <f t="shared" si="48"/>
        <v>0</v>
      </c>
      <c r="BQ287" s="355">
        <f t="shared" si="50"/>
        <v>0</v>
      </c>
      <c r="BR287" s="355">
        <f t="shared" si="49"/>
        <v>196</v>
      </c>
      <c r="BS287" s="243">
        <f t="shared" si="51"/>
        <v>6.9444333333333344E-2</v>
      </c>
      <c r="BT287">
        <f t="shared" si="52"/>
        <v>0</v>
      </c>
      <c r="BU287" t="str">
        <f t="shared" si="53"/>
        <v>non</v>
      </c>
      <c r="BV287">
        <f t="shared" si="55"/>
        <v>0</v>
      </c>
      <c r="BW287">
        <f t="shared" si="54"/>
        <v>0</v>
      </c>
    </row>
    <row r="288" spans="43:75" x14ac:dyDescent="0.25">
      <c r="AQ288" s="63"/>
      <c r="BM288" s="355">
        <v>283</v>
      </c>
      <c r="BN288" s="362">
        <f t="shared" si="46"/>
        <v>42895</v>
      </c>
      <c r="BO288" s="355">
        <f t="shared" si="47"/>
        <v>0</v>
      </c>
      <c r="BP288" s="355">
        <f t="shared" si="48"/>
        <v>0</v>
      </c>
      <c r="BQ288" s="355">
        <f t="shared" si="50"/>
        <v>0</v>
      </c>
      <c r="BR288" s="355">
        <f t="shared" si="49"/>
        <v>197</v>
      </c>
      <c r="BS288" s="243">
        <f t="shared" si="51"/>
        <v>6.9444333333333344E-2</v>
      </c>
      <c r="BT288">
        <f t="shared" si="52"/>
        <v>0</v>
      </c>
      <c r="BU288" t="str">
        <f t="shared" si="53"/>
        <v>non</v>
      </c>
      <c r="BV288">
        <f t="shared" si="55"/>
        <v>0</v>
      </c>
      <c r="BW288">
        <f t="shared" si="54"/>
        <v>0</v>
      </c>
    </row>
    <row r="289" spans="43:75" x14ac:dyDescent="0.25">
      <c r="AQ289" s="63"/>
      <c r="BM289" s="355">
        <v>284</v>
      </c>
      <c r="BN289" s="362">
        <f t="shared" si="46"/>
        <v>42896</v>
      </c>
      <c r="BO289" s="355">
        <f t="shared" si="47"/>
        <v>0</v>
      </c>
      <c r="BP289" s="355">
        <f t="shared" si="48"/>
        <v>0</v>
      </c>
      <c r="BQ289" s="355">
        <f t="shared" si="50"/>
        <v>0</v>
      </c>
      <c r="BR289" s="355">
        <f t="shared" si="49"/>
        <v>198</v>
      </c>
      <c r="BS289" s="243">
        <f t="shared" si="51"/>
        <v>6.9444333333333344E-2</v>
      </c>
      <c r="BT289">
        <f t="shared" si="52"/>
        <v>0</v>
      </c>
      <c r="BU289" t="str">
        <f t="shared" si="53"/>
        <v>non</v>
      </c>
      <c r="BV289">
        <f t="shared" si="55"/>
        <v>0</v>
      </c>
      <c r="BW289">
        <f t="shared" si="54"/>
        <v>0</v>
      </c>
    </row>
    <row r="290" spans="43:75" x14ac:dyDescent="0.25">
      <c r="AQ290" s="63"/>
      <c r="BM290" s="355">
        <v>285</v>
      </c>
      <c r="BN290" s="362">
        <f t="shared" si="46"/>
        <v>42897</v>
      </c>
      <c r="BO290" s="355">
        <f t="shared" si="47"/>
        <v>1</v>
      </c>
      <c r="BP290" s="355">
        <f t="shared" si="48"/>
        <v>0</v>
      </c>
      <c r="BQ290" s="355">
        <f t="shared" si="50"/>
        <v>0</v>
      </c>
      <c r="BR290" s="355">
        <f t="shared" si="49"/>
        <v>198</v>
      </c>
      <c r="BS290" s="243">
        <f t="shared" si="51"/>
        <v>6.9444333333333344E-2</v>
      </c>
      <c r="BT290">
        <f t="shared" si="52"/>
        <v>0</v>
      </c>
      <c r="BU290" t="str">
        <f t="shared" si="53"/>
        <v>non</v>
      </c>
      <c r="BV290">
        <f t="shared" si="55"/>
        <v>0</v>
      </c>
      <c r="BW290">
        <f t="shared" si="54"/>
        <v>0</v>
      </c>
    </row>
    <row r="291" spans="43:75" x14ac:dyDescent="0.25">
      <c r="AQ291" s="63"/>
      <c r="BM291" s="355">
        <v>286</v>
      </c>
      <c r="BN291" s="362">
        <f t="shared" si="46"/>
        <v>42898</v>
      </c>
      <c r="BO291" s="355">
        <f t="shared" si="47"/>
        <v>1</v>
      </c>
      <c r="BP291" s="355">
        <f t="shared" si="48"/>
        <v>0</v>
      </c>
      <c r="BQ291" s="355">
        <f t="shared" si="50"/>
        <v>0</v>
      </c>
      <c r="BR291" s="355">
        <f t="shared" si="49"/>
        <v>198</v>
      </c>
      <c r="BS291" s="243">
        <f t="shared" si="51"/>
        <v>6.9444333333333344E-2</v>
      </c>
      <c r="BT291">
        <f t="shared" si="52"/>
        <v>0</v>
      </c>
      <c r="BU291" t="str">
        <f t="shared" si="53"/>
        <v>non</v>
      </c>
      <c r="BV291">
        <f t="shared" si="55"/>
        <v>0</v>
      </c>
      <c r="BW291">
        <f t="shared" si="54"/>
        <v>0</v>
      </c>
    </row>
    <row r="292" spans="43:75" x14ac:dyDescent="0.25">
      <c r="AQ292" s="63"/>
      <c r="BM292" s="355">
        <v>287</v>
      </c>
      <c r="BN292" s="362">
        <f t="shared" si="46"/>
        <v>42899</v>
      </c>
      <c r="BO292" s="355">
        <f t="shared" si="47"/>
        <v>0</v>
      </c>
      <c r="BP292" s="355">
        <f t="shared" si="48"/>
        <v>0</v>
      </c>
      <c r="BQ292" s="355">
        <f t="shared" si="50"/>
        <v>0</v>
      </c>
      <c r="BR292" s="355">
        <f t="shared" si="49"/>
        <v>199</v>
      </c>
      <c r="BS292" s="243">
        <f t="shared" si="51"/>
        <v>6.9444333333333344E-2</v>
      </c>
      <c r="BT292">
        <f t="shared" si="52"/>
        <v>0</v>
      </c>
      <c r="BU292" t="str">
        <f t="shared" si="53"/>
        <v>non</v>
      </c>
      <c r="BV292">
        <f t="shared" si="55"/>
        <v>0</v>
      </c>
      <c r="BW292">
        <f t="shared" si="54"/>
        <v>0</v>
      </c>
    </row>
    <row r="293" spans="43:75" x14ac:dyDescent="0.25">
      <c r="AQ293" s="63"/>
      <c r="BM293" s="355">
        <v>288</v>
      </c>
      <c r="BN293" s="362">
        <f t="shared" si="46"/>
        <v>42900</v>
      </c>
      <c r="BO293" s="355">
        <f t="shared" si="47"/>
        <v>0</v>
      </c>
      <c r="BP293" s="355">
        <f t="shared" si="48"/>
        <v>0</v>
      </c>
      <c r="BQ293" s="355">
        <f t="shared" si="50"/>
        <v>0</v>
      </c>
      <c r="BR293" s="355">
        <f t="shared" si="49"/>
        <v>200</v>
      </c>
      <c r="BS293" s="243">
        <f t="shared" si="51"/>
        <v>6.9444333333333344E-2</v>
      </c>
      <c r="BT293">
        <f t="shared" si="52"/>
        <v>0</v>
      </c>
      <c r="BU293" t="str">
        <f t="shared" si="53"/>
        <v>non</v>
      </c>
      <c r="BV293">
        <f t="shared" si="55"/>
        <v>0</v>
      </c>
      <c r="BW293">
        <f t="shared" si="54"/>
        <v>0</v>
      </c>
    </row>
    <row r="294" spans="43:75" x14ac:dyDescent="0.25">
      <c r="AQ294" s="63"/>
      <c r="BM294" s="355">
        <v>289</v>
      </c>
      <c r="BN294" s="362">
        <f t="shared" si="46"/>
        <v>42901</v>
      </c>
      <c r="BO294" s="355">
        <f t="shared" si="47"/>
        <v>0</v>
      </c>
      <c r="BP294" s="355">
        <f t="shared" si="48"/>
        <v>0</v>
      </c>
      <c r="BQ294" s="355">
        <f t="shared" si="50"/>
        <v>0</v>
      </c>
      <c r="BR294" s="355">
        <f t="shared" si="49"/>
        <v>201</v>
      </c>
      <c r="BS294" s="243">
        <f t="shared" si="51"/>
        <v>6.9444333333333344E-2</v>
      </c>
      <c r="BT294">
        <f t="shared" si="52"/>
        <v>0</v>
      </c>
      <c r="BU294" t="str">
        <f t="shared" si="53"/>
        <v>non</v>
      </c>
      <c r="BV294">
        <f t="shared" si="55"/>
        <v>0</v>
      </c>
      <c r="BW294">
        <f t="shared" si="54"/>
        <v>0</v>
      </c>
    </row>
    <row r="295" spans="43:75" x14ac:dyDescent="0.25">
      <c r="AQ295" s="63"/>
      <c r="BM295" s="355">
        <v>290</v>
      </c>
      <c r="BN295" s="362">
        <f t="shared" si="46"/>
        <v>42902</v>
      </c>
      <c r="BO295" s="355">
        <f t="shared" si="47"/>
        <v>0</v>
      </c>
      <c r="BP295" s="355">
        <f t="shared" si="48"/>
        <v>0</v>
      </c>
      <c r="BQ295" s="355">
        <f t="shared" si="50"/>
        <v>0</v>
      </c>
      <c r="BR295" s="355">
        <f t="shared" si="49"/>
        <v>202</v>
      </c>
      <c r="BS295" s="243">
        <f t="shared" si="51"/>
        <v>6.9444333333333344E-2</v>
      </c>
      <c r="BT295">
        <f t="shared" si="52"/>
        <v>0</v>
      </c>
      <c r="BU295" t="str">
        <f t="shared" si="53"/>
        <v>non</v>
      </c>
      <c r="BV295">
        <f t="shared" si="55"/>
        <v>0</v>
      </c>
      <c r="BW295">
        <f t="shared" si="54"/>
        <v>0</v>
      </c>
    </row>
    <row r="296" spans="43:75" x14ac:dyDescent="0.25">
      <c r="AQ296" s="63"/>
      <c r="BM296" s="355">
        <v>291</v>
      </c>
      <c r="BN296" s="362">
        <f t="shared" si="46"/>
        <v>42903</v>
      </c>
      <c r="BO296" s="355">
        <f t="shared" si="47"/>
        <v>0</v>
      </c>
      <c r="BP296" s="355">
        <f t="shared" si="48"/>
        <v>0</v>
      </c>
      <c r="BQ296" s="355">
        <f t="shared" si="50"/>
        <v>0</v>
      </c>
      <c r="BR296" s="355">
        <f t="shared" si="49"/>
        <v>203</v>
      </c>
      <c r="BS296" s="243">
        <f t="shared" si="51"/>
        <v>6.9444333333333344E-2</v>
      </c>
      <c r="BT296">
        <f t="shared" si="52"/>
        <v>0</v>
      </c>
      <c r="BU296" t="str">
        <f t="shared" si="53"/>
        <v>non</v>
      </c>
      <c r="BV296">
        <f t="shared" si="55"/>
        <v>0</v>
      </c>
      <c r="BW296">
        <f t="shared" si="54"/>
        <v>0</v>
      </c>
    </row>
    <row r="297" spans="43:75" x14ac:dyDescent="0.25">
      <c r="AQ297" s="63"/>
      <c r="BM297" s="355">
        <v>292</v>
      </c>
      <c r="BN297" s="362">
        <f t="shared" si="46"/>
        <v>42904</v>
      </c>
      <c r="BO297" s="355">
        <f t="shared" si="47"/>
        <v>1</v>
      </c>
      <c r="BP297" s="355">
        <f t="shared" si="48"/>
        <v>0</v>
      </c>
      <c r="BQ297" s="355">
        <f t="shared" si="50"/>
        <v>0</v>
      </c>
      <c r="BR297" s="355">
        <f t="shared" si="49"/>
        <v>203</v>
      </c>
      <c r="BS297" s="243">
        <f t="shared" si="51"/>
        <v>6.9444333333333344E-2</v>
      </c>
      <c r="BT297">
        <f t="shared" si="52"/>
        <v>0</v>
      </c>
      <c r="BU297" t="str">
        <f t="shared" si="53"/>
        <v>non</v>
      </c>
      <c r="BV297">
        <f t="shared" si="55"/>
        <v>0</v>
      </c>
      <c r="BW297">
        <f t="shared" si="54"/>
        <v>0</v>
      </c>
    </row>
    <row r="298" spans="43:75" x14ac:dyDescent="0.25">
      <c r="AQ298" s="63"/>
      <c r="BM298" s="355">
        <v>293</v>
      </c>
      <c r="BN298" s="362">
        <f t="shared" si="46"/>
        <v>42905</v>
      </c>
      <c r="BO298" s="355">
        <f t="shared" si="47"/>
        <v>1</v>
      </c>
      <c r="BP298" s="355">
        <f t="shared" si="48"/>
        <v>0</v>
      </c>
      <c r="BQ298" s="355">
        <f t="shared" si="50"/>
        <v>0</v>
      </c>
      <c r="BR298" s="355">
        <f t="shared" si="49"/>
        <v>203</v>
      </c>
      <c r="BS298" s="243">
        <f t="shared" si="51"/>
        <v>6.9444333333333344E-2</v>
      </c>
      <c r="BT298">
        <f t="shared" si="52"/>
        <v>0</v>
      </c>
      <c r="BU298" t="str">
        <f t="shared" si="53"/>
        <v>non</v>
      </c>
      <c r="BV298">
        <f t="shared" si="55"/>
        <v>0</v>
      </c>
      <c r="BW298">
        <f t="shared" si="54"/>
        <v>0</v>
      </c>
    </row>
    <row r="299" spans="43:75" x14ac:dyDescent="0.25">
      <c r="AQ299" s="63"/>
      <c r="BM299" s="355">
        <v>294</v>
      </c>
      <c r="BN299" s="362">
        <f t="shared" si="46"/>
        <v>42906</v>
      </c>
      <c r="BO299" s="355">
        <f t="shared" si="47"/>
        <v>0</v>
      </c>
      <c r="BP299" s="355">
        <f t="shared" si="48"/>
        <v>0</v>
      </c>
      <c r="BQ299" s="355">
        <f t="shared" si="50"/>
        <v>0</v>
      </c>
      <c r="BR299" s="355">
        <f t="shared" si="49"/>
        <v>204</v>
      </c>
      <c r="BS299" s="243">
        <f t="shared" si="51"/>
        <v>6.9444333333333344E-2</v>
      </c>
      <c r="BT299">
        <f t="shared" si="52"/>
        <v>0</v>
      </c>
      <c r="BU299" t="str">
        <f t="shared" si="53"/>
        <v>non</v>
      </c>
      <c r="BV299">
        <f t="shared" si="55"/>
        <v>0</v>
      </c>
      <c r="BW299">
        <f t="shared" si="54"/>
        <v>0</v>
      </c>
    </row>
    <row r="300" spans="43:75" x14ac:dyDescent="0.25">
      <c r="AQ300" s="63"/>
      <c r="BM300" s="355">
        <v>295</v>
      </c>
      <c r="BN300" s="362">
        <f t="shared" si="46"/>
        <v>42907</v>
      </c>
      <c r="BO300" s="355">
        <f t="shared" si="47"/>
        <v>0</v>
      </c>
      <c r="BP300" s="355">
        <f t="shared" si="48"/>
        <v>0</v>
      </c>
      <c r="BQ300" s="355">
        <f t="shared" si="50"/>
        <v>0</v>
      </c>
      <c r="BR300" s="355">
        <f t="shared" si="49"/>
        <v>205</v>
      </c>
      <c r="BS300" s="243">
        <f t="shared" si="51"/>
        <v>6.9444333333333344E-2</v>
      </c>
      <c r="BT300">
        <f t="shared" si="52"/>
        <v>0</v>
      </c>
      <c r="BU300" t="str">
        <f t="shared" si="53"/>
        <v>non</v>
      </c>
      <c r="BV300">
        <f t="shared" si="55"/>
        <v>0</v>
      </c>
      <c r="BW300">
        <f t="shared" si="54"/>
        <v>0</v>
      </c>
    </row>
    <row r="301" spans="43:75" x14ac:dyDescent="0.25">
      <c r="AQ301" s="63"/>
      <c r="BM301" s="355">
        <v>296</v>
      </c>
      <c r="BN301" s="362">
        <f t="shared" si="46"/>
        <v>42908</v>
      </c>
      <c r="BO301" s="355">
        <f t="shared" si="47"/>
        <v>0</v>
      </c>
      <c r="BP301" s="355">
        <f t="shared" si="48"/>
        <v>0</v>
      </c>
      <c r="BQ301" s="355">
        <f t="shared" si="50"/>
        <v>0</v>
      </c>
      <c r="BR301" s="355">
        <f t="shared" si="49"/>
        <v>206</v>
      </c>
      <c r="BS301" s="243">
        <f t="shared" si="51"/>
        <v>6.9444333333333344E-2</v>
      </c>
      <c r="BT301">
        <f t="shared" si="52"/>
        <v>0</v>
      </c>
      <c r="BU301" t="str">
        <f t="shared" si="53"/>
        <v>non</v>
      </c>
      <c r="BV301">
        <f t="shared" si="55"/>
        <v>0</v>
      </c>
      <c r="BW301">
        <f t="shared" si="54"/>
        <v>0</v>
      </c>
    </row>
    <row r="302" spans="43:75" x14ac:dyDescent="0.25">
      <c r="AQ302" s="63"/>
      <c r="BM302" s="355">
        <v>297</v>
      </c>
      <c r="BN302" s="362">
        <f t="shared" si="46"/>
        <v>42909</v>
      </c>
      <c r="BO302" s="355">
        <f t="shared" si="47"/>
        <v>0</v>
      </c>
      <c r="BP302" s="355">
        <f t="shared" si="48"/>
        <v>0</v>
      </c>
      <c r="BQ302" s="355">
        <f t="shared" si="50"/>
        <v>0</v>
      </c>
      <c r="BR302" s="355">
        <f t="shared" si="49"/>
        <v>207</v>
      </c>
      <c r="BS302" s="243">
        <f t="shared" si="51"/>
        <v>6.9444333333333344E-2</v>
      </c>
      <c r="BT302">
        <f t="shared" si="52"/>
        <v>0</v>
      </c>
      <c r="BU302" t="str">
        <f t="shared" si="53"/>
        <v>non</v>
      </c>
      <c r="BV302">
        <f t="shared" si="55"/>
        <v>0</v>
      </c>
      <c r="BW302">
        <f t="shared" si="54"/>
        <v>0</v>
      </c>
    </row>
    <row r="303" spans="43:75" x14ac:dyDescent="0.25">
      <c r="BM303" s="355">
        <v>298</v>
      </c>
      <c r="BN303" s="362">
        <f t="shared" si="46"/>
        <v>42910</v>
      </c>
      <c r="BO303" s="355">
        <f t="shared" si="47"/>
        <v>0</v>
      </c>
      <c r="BP303" s="355">
        <f t="shared" si="48"/>
        <v>0</v>
      </c>
      <c r="BQ303" s="355">
        <f t="shared" si="50"/>
        <v>0</v>
      </c>
      <c r="BR303" s="355">
        <f t="shared" si="49"/>
        <v>208</v>
      </c>
      <c r="BS303" s="243">
        <f t="shared" si="51"/>
        <v>6.9444333333333344E-2</v>
      </c>
      <c r="BT303">
        <f t="shared" si="52"/>
        <v>0</v>
      </c>
      <c r="BU303" t="str">
        <f t="shared" si="53"/>
        <v>non</v>
      </c>
      <c r="BV303">
        <f t="shared" si="55"/>
        <v>0</v>
      </c>
      <c r="BW303">
        <f t="shared" si="54"/>
        <v>0</v>
      </c>
    </row>
    <row r="304" spans="43:75" x14ac:dyDescent="0.25">
      <c r="BM304" s="355">
        <v>299</v>
      </c>
      <c r="BN304" s="362">
        <f t="shared" si="46"/>
        <v>42911</v>
      </c>
      <c r="BO304" s="355">
        <f t="shared" si="47"/>
        <v>1</v>
      </c>
      <c r="BP304" s="355">
        <f t="shared" si="48"/>
        <v>0</v>
      </c>
      <c r="BQ304" s="355">
        <f t="shared" si="50"/>
        <v>0</v>
      </c>
      <c r="BR304" s="355">
        <f t="shared" si="49"/>
        <v>208</v>
      </c>
      <c r="BS304" s="243">
        <f t="shared" si="51"/>
        <v>6.9444333333333344E-2</v>
      </c>
      <c r="BT304">
        <f t="shared" si="52"/>
        <v>0</v>
      </c>
      <c r="BU304" t="str">
        <f t="shared" si="53"/>
        <v>non</v>
      </c>
      <c r="BV304">
        <f t="shared" si="55"/>
        <v>0</v>
      </c>
      <c r="BW304">
        <f t="shared" si="54"/>
        <v>0</v>
      </c>
    </row>
    <row r="305" spans="65:75" x14ac:dyDescent="0.25">
      <c r="BM305" s="355">
        <v>300</v>
      </c>
      <c r="BN305" s="362">
        <f t="shared" si="46"/>
        <v>42912</v>
      </c>
      <c r="BO305" s="355">
        <f t="shared" si="47"/>
        <v>1</v>
      </c>
      <c r="BP305" s="355">
        <f t="shared" si="48"/>
        <v>0</v>
      </c>
      <c r="BQ305" s="355">
        <f t="shared" si="50"/>
        <v>0</v>
      </c>
      <c r="BR305" s="355">
        <f t="shared" si="49"/>
        <v>208</v>
      </c>
      <c r="BS305" s="243">
        <f t="shared" si="51"/>
        <v>6.9444333333333344E-2</v>
      </c>
      <c r="BT305">
        <f t="shared" si="52"/>
        <v>0</v>
      </c>
      <c r="BU305" t="str">
        <f t="shared" si="53"/>
        <v>non</v>
      </c>
      <c r="BV305">
        <f t="shared" si="55"/>
        <v>0</v>
      </c>
      <c r="BW305">
        <f t="shared" si="54"/>
        <v>0</v>
      </c>
    </row>
    <row r="306" spans="65:75" x14ac:dyDescent="0.25">
      <c r="BM306" s="355">
        <v>301</v>
      </c>
      <c r="BN306" s="362">
        <f t="shared" si="46"/>
        <v>42913</v>
      </c>
      <c r="BO306" s="355">
        <f t="shared" si="47"/>
        <v>0</v>
      </c>
      <c r="BP306" s="355">
        <f t="shared" si="48"/>
        <v>0</v>
      </c>
      <c r="BQ306" s="355">
        <f t="shared" si="50"/>
        <v>0</v>
      </c>
      <c r="BR306" s="355">
        <f t="shared" si="49"/>
        <v>209</v>
      </c>
      <c r="BS306" s="243">
        <f t="shared" si="51"/>
        <v>6.9444333333333344E-2</v>
      </c>
      <c r="BT306">
        <f t="shared" si="52"/>
        <v>0</v>
      </c>
      <c r="BU306" t="str">
        <f t="shared" si="53"/>
        <v>non</v>
      </c>
      <c r="BV306">
        <f t="shared" si="55"/>
        <v>0</v>
      </c>
      <c r="BW306">
        <f t="shared" si="54"/>
        <v>0</v>
      </c>
    </row>
    <row r="307" spans="65:75" x14ac:dyDescent="0.25">
      <c r="BM307" s="355">
        <v>302</v>
      </c>
      <c r="BN307" s="362">
        <f t="shared" si="46"/>
        <v>42914</v>
      </c>
      <c r="BO307" s="355">
        <f t="shared" si="47"/>
        <v>0</v>
      </c>
      <c r="BP307" s="355">
        <f t="shared" si="48"/>
        <v>0</v>
      </c>
      <c r="BQ307" s="355">
        <f t="shared" si="50"/>
        <v>0</v>
      </c>
      <c r="BR307" s="355">
        <f t="shared" si="49"/>
        <v>210</v>
      </c>
      <c r="BS307" s="243">
        <f t="shared" si="51"/>
        <v>6.9444333333333344E-2</v>
      </c>
      <c r="BT307">
        <f t="shared" si="52"/>
        <v>0</v>
      </c>
      <c r="BU307" t="str">
        <f t="shared" si="53"/>
        <v>non</v>
      </c>
      <c r="BV307">
        <f t="shared" si="55"/>
        <v>0</v>
      </c>
      <c r="BW307">
        <f t="shared" si="54"/>
        <v>0</v>
      </c>
    </row>
    <row r="308" spans="65:75" x14ac:dyDescent="0.25">
      <c r="BM308" s="355">
        <v>303</v>
      </c>
      <c r="BN308" s="362">
        <f t="shared" si="46"/>
        <v>42915</v>
      </c>
      <c r="BO308" s="355">
        <f t="shared" si="47"/>
        <v>0</v>
      </c>
      <c r="BP308" s="355">
        <f t="shared" si="48"/>
        <v>0</v>
      </c>
      <c r="BQ308" s="355">
        <f t="shared" si="50"/>
        <v>0</v>
      </c>
      <c r="BR308" s="355">
        <f t="shared" si="49"/>
        <v>211</v>
      </c>
      <c r="BS308" s="243">
        <f t="shared" si="51"/>
        <v>6.9444333333333344E-2</v>
      </c>
      <c r="BT308">
        <f t="shared" si="52"/>
        <v>0</v>
      </c>
      <c r="BU308" t="str">
        <f t="shared" si="53"/>
        <v>non</v>
      </c>
      <c r="BV308">
        <f t="shared" si="55"/>
        <v>0</v>
      </c>
      <c r="BW308">
        <f t="shared" si="54"/>
        <v>0</v>
      </c>
    </row>
    <row r="309" spans="65:75" x14ac:dyDescent="0.25">
      <c r="BM309" s="355">
        <v>304</v>
      </c>
      <c r="BN309" s="362">
        <f t="shared" si="46"/>
        <v>42916</v>
      </c>
      <c r="BO309" s="355">
        <f t="shared" si="47"/>
        <v>0</v>
      </c>
      <c r="BP309" s="355">
        <f t="shared" si="48"/>
        <v>0</v>
      </c>
      <c r="BQ309" s="355">
        <f t="shared" si="50"/>
        <v>0</v>
      </c>
      <c r="BR309" s="355">
        <f t="shared" si="49"/>
        <v>212</v>
      </c>
      <c r="BS309" s="243">
        <f t="shared" si="51"/>
        <v>6.7204193548387095E-2</v>
      </c>
      <c r="BT309">
        <f t="shared" si="52"/>
        <v>0</v>
      </c>
      <c r="BU309" t="str">
        <f t="shared" si="53"/>
        <v>non</v>
      </c>
      <c r="BV309">
        <f t="shared" si="55"/>
        <v>0</v>
      </c>
      <c r="BW309">
        <f t="shared" si="54"/>
        <v>0</v>
      </c>
    </row>
    <row r="310" spans="65:75" x14ac:dyDescent="0.25">
      <c r="BM310" s="355">
        <v>305</v>
      </c>
      <c r="BN310" s="362">
        <f t="shared" si="46"/>
        <v>42917</v>
      </c>
      <c r="BO310" s="355">
        <f t="shared" si="47"/>
        <v>0</v>
      </c>
      <c r="BP310" s="355">
        <f t="shared" si="48"/>
        <v>0</v>
      </c>
      <c r="BQ310" s="355">
        <f t="shared" si="50"/>
        <v>0</v>
      </c>
      <c r="BR310" s="355">
        <f t="shared" si="49"/>
        <v>213</v>
      </c>
      <c r="BS310" s="243">
        <f t="shared" si="51"/>
        <v>6.7204193548387095E-2</v>
      </c>
      <c r="BT310">
        <f t="shared" si="52"/>
        <v>0</v>
      </c>
      <c r="BU310" t="str">
        <f t="shared" si="53"/>
        <v>non</v>
      </c>
      <c r="BV310">
        <f t="shared" si="55"/>
        <v>0</v>
      </c>
      <c r="BW310">
        <f t="shared" si="54"/>
        <v>0</v>
      </c>
    </row>
    <row r="311" spans="65:75" x14ac:dyDescent="0.25">
      <c r="BM311" s="355">
        <v>306</v>
      </c>
      <c r="BN311" s="362">
        <f t="shared" si="46"/>
        <v>42918</v>
      </c>
      <c r="BO311" s="355">
        <f t="shared" si="47"/>
        <v>1</v>
      </c>
      <c r="BP311" s="355">
        <f t="shared" si="48"/>
        <v>0</v>
      </c>
      <c r="BQ311" s="355">
        <f t="shared" si="50"/>
        <v>0</v>
      </c>
      <c r="BR311" s="355">
        <f t="shared" si="49"/>
        <v>213</v>
      </c>
      <c r="BS311" s="243">
        <f t="shared" si="51"/>
        <v>6.7204193548387095E-2</v>
      </c>
      <c r="BT311">
        <f t="shared" si="52"/>
        <v>0</v>
      </c>
      <c r="BU311" t="str">
        <f t="shared" si="53"/>
        <v>non</v>
      </c>
      <c r="BV311">
        <f t="shared" si="55"/>
        <v>0</v>
      </c>
      <c r="BW311">
        <f t="shared" si="54"/>
        <v>0</v>
      </c>
    </row>
    <row r="312" spans="65:75" x14ac:dyDescent="0.25">
      <c r="BM312" s="355">
        <v>307</v>
      </c>
      <c r="BN312" s="362">
        <f t="shared" si="46"/>
        <v>42919</v>
      </c>
      <c r="BO312" s="355">
        <f t="shared" si="47"/>
        <v>1</v>
      </c>
      <c r="BP312" s="355">
        <f t="shared" si="48"/>
        <v>0</v>
      </c>
      <c r="BQ312" s="355">
        <f t="shared" si="50"/>
        <v>0</v>
      </c>
      <c r="BR312" s="355">
        <f t="shared" si="49"/>
        <v>213</v>
      </c>
      <c r="BS312" s="243">
        <f t="shared" si="51"/>
        <v>6.7204193548387095E-2</v>
      </c>
      <c r="BT312">
        <f t="shared" si="52"/>
        <v>0</v>
      </c>
      <c r="BU312" t="str">
        <f t="shared" si="53"/>
        <v>non</v>
      </c>
      <c r="BV312">
        <f t="shared" si="55"/>
        <v>0</v>
      </c>
      <c r="BW312">
        <f t="shared" si="54"/>
        <v>0</v>
      </c>
    </row>
    <row r="313" spans="65:75" x14ac:dyDescent="0.25">
      <c r="BM313" s="355">
        <v>308</v>
      </c>
      <c r="BN313" s="362">
        <f t="shared" si="46"/>
        <v>42920</v>
      </c>
      <c r="BO313" s="355">
        <f t="shared" si="47"/>
        <v>0</v>
      </c>
      <c r="BP313" s="355">
        <f t="shared" si="48"/>
        <v>0</v>
      </c>
      <c r="BQ313" s="355">
        <f t="shared" si="50"/>
        <v>0</v>
      </c>
      <c r="BR313" s="355">
        <f t="shared" si="49"/>
        <v>214</v>
      </c>
      <c r="BS313" s="243">
        <f t="shared" si="51"/>
        <v>6.7204193548387095E-2</v>
      </c>
      <c r="BT313">
        <f t="shared" si="52"/>
        <v>0</v>
      </c>
      <c r="BU313" t="str">
        <f t="shared" si="53"/>
        <v>non</v>
      </c>
      <c r="BV313">
        <f t="shared" si="55"/>
        <v>0</v>
      </c>
      <c r="BW313">
        <f t="shared" si="54"/>
        <v>0</v>
      </c>
    </row>
    <row r="314" spans="65:75" x14ac:dyDescent="0.25">
      <c r="BM314" s="355">
        <v>309</v>
      </c>
      <c r="BN314" s="362">
        <f t="shared" si="46"/>
        <v>42921</v>
      </c>
      <c r="BO314" s="355">
        <f t="shared" si="47"/>
        <v>0</v>
      </c>
      <c r="BP314" s="355">
        <f t="shared" si="48"/>
        <v>0</v>
      </c>
      <c r="BQ314" s="355">
        <f t="shared" si="50"/>
        <v>0</v>
      </c>
      <c r="BR314" s="355">
        <f t="shared" si="49"/>
        <v>215</v>
      </c>
      <c r="BS314" s="243">
        <f t="shared" si="51"/>
        <v>6.7204193548387095E-2</v>
      </c>
      <c r="BT314">
        <f t="shared" si="52"/>
        <v>0</v>
      </c>
      <c r="BU314" t="str">
        <f t="shared" si="53"/>
        <v>non</v>
      </c>
      <c r="BV314">
        <f t="shared" si="55"/>
        <v>0</v>
      </c>
      <c r="BW314">
        <f t="shared" si="54"/>
        <v>0</v>
      </c>
    </row>
    <row r="315" spans="65:75" x14ac:dyDescent="0.25">
      <c r="BM315" s="355">
        <v>310</v>
      </c>
      <c r="BN315" s="362">
        <f t="shared" si="46"/>
        <v>42922</v>
      </c>
      <c r="BO315" s="355">
        <f t="shared" si="47"/>
        <v>0</v>
      </c>
      <c r="BP315" s="355">
        <f t="shared" si="48"/>
        <v>0</v>
      </c>
      <c r="BQ315" s="355">
        <f t="shared" si="50"/>
        <v>0</v>
      </c>
      <c r="BR315" s="355">
        <f t="shared" si="49"/>
        <v>216</v>
      </c>
      <c r="BS315" s="243">
        <f t="shared" si="51"/>
        <v>6.7204193548387095E-2</v>
      </c>
      <c r="BT315">
        <f t="shared" si="52"/>
        <v>0</v>
      </c>
      <c r="BU315" t="str">
        <f t="shared" si="53"/>
        <v>non</v>
      </c>
      <c r="BV315">
        <f t="shared" si="55"/>
        <v>0</v>
      </c>
      <c r="BW315">
        <f t="shared" si="54"/>
        <v>0</v>
      </c>
    </row>
    <row r="316" spans="65:75" x14ac:dyDescent="0.25">
      <c r="BM316" s="355">
        <v>311</v>
      </c>
      <c r="BN316" s="362">
        <f t="shared" si="46"/>
        <v>42923</v>
      </c>
      <c r="BO316" s="355">
        <f t="shared" si="47"/>
        <v>0</v>
      </c>
      <c r="BP316" s="355">
        <f t="shared" si="48"/>
        <v>0</v>
      </c>
      <c r="BQ316" s="355">
        <f t="shared" si="50"/>
        <v>0</v>
      </c>
      <c r="BR316" s="355">
        <f t="shared" si="49"/>
        <v>217</v>
      </c>
      <c r="BS316" s="243">
        <f t="shared" si="51"/>
        <v>6.7204193548387095E-2</v>
      </c>
      <c r="BT316">
        <f t="shared" si="52"/>
        <v>0</v>
      </c>
      <c r="BU316" t="str">
        <f t="shared" si="53"/>
        <v>non</v>
      </c>
      <c r="BV316">
        <f t="shared" si="55"/>
        <v>0</v>
      </c>
      <c r="BW316">
        <f t="shared" si="54"/>
        <v>0</v>
      </c>
    </row>
    <row r="317" spans="65:75" x14ac:dyDescent="0.25">
      <c r="BM317" s="355">
        <v>312</v>
      </c>
      <c r="BN317" s="362">
        <f t="shared" si="46"/>
        <v>42924</v>
      </c>
      <c r="BO317" s="355">
        <f t="shared" si="47"/>
        <v>0</v>
      </c>
      <c r="BP317" s="355">
        <f t="shared" si="48"/>
        <v>0</v>
      </c>
      <c r="BQ317" s="355">
        <f t="shared" si="50"/>
        <v>0</v>
      </c>
      <c r="BR317" s="355">
        <f t="shared" si="49"/>
        <v>218</v>
      </c>
      <c r="BS317" s="243">
        <f t="shared" si="51"/>
        <v>6.7204193548387095E-2</v>
      </c>
      <c r="BT317">
        <f t="shared" si="52"/>
        <v>0</v>
      </c>
      <c r="BU317" t="str">
        <f t="shared" si="53"/>
        <v>non</v>
      </c>
      <c r="BV317">
        <f t="shared" si="55"/>
        <v>0</v>
      </c>
      <c r="BW317">
        <f t="shared" si="54"/>
        <v>0</v>
      </c>
    </row>
    <row r="318" spans="65:75" x14ac:dyDescent="0.25">
      <c r="BM318" s="355">
        <v>313</v>
      </c>
      <c r="BN318" s="362">
        <f t="shared" si="46"/>
        <v>42925</v>
      </c>
      <c r="BO318" s="355">
        <f t="shared" si="47"/>
        <v>1</v>
      </c>
      <c r="BP318" s="355">
        <f t="shared" si="48"/>
        <v>0</v>
      </c>
      <c r="BQ318" s="355">
        <f t="shared" si="50"/>
        <v>0</v>
      </c>
      <c r="BR318" s="355">
        <f t="shared" si="49"/>
        <v>218</v>
      </c>
      <c r="BS318" s="243">
        <f t="shared" si="51"/>
        <v>6.7204193548387095E-2</v>
      </c>
      <c r="BT318">
        <f t="shared" si="52"/>
        <v>0</v>
      </c>
      <c r="BU318" t="str">
        <f t="shared" si="53"/>
        <v>non</v>
      </c>
      <c r="BV318">
        <f t="shared" si="55"/>
        <v>0</v>
      </c>
      <c r="BW318">
        <f t="shared" si="54"/>
        <v>0</v>
      </c>
    </row>
    <row r="319" spans="65:75" x14ac:dyDescent="0.25">
      <c r="BM319" s="355">
        <v>314</v>
      </c>
      <c r="BN319" s="362">
        <f t="shared" si="46"/>
        <v>42926</v>
      </c>
      <c r="BO319" s="355">
        <f t="shared" si="47"/>
        <v>1</v>
      </c>
      <c r="BP319" s="355">
        <f t="shared" si="48"/>
        <v>0</v>
      </c>
      <c r="BQ319" s="355">
        <f t="shared" si="50"/>
        <v>0</v>
      </c>
      <c r="BR319" s="355">
        <f t="shared" si="49"/>
        <v>218</v>
      </c>
      <c r="BS319" s="243">
        <f t="shared" si="51"/>
        <v>6.7204193548387095E-2</v>
      </c>
      <c r="BT319">
        <f t="shared" si="52"/>
        <v>0</v>
      </c>
      <c r="BU319" t="str">
        <f t="shared" si="53"/>
        <v>non</v>
      </c>
      <c r="BV319">
        <f t="shared" si="55"/>
        <v>0</v>
      </c>
      <c r="BW319">
        <f t="shared" si="54"/>
        <v>0</v>
      </c>
    </row>
    <row r="320" spans="65:75" x14ac:dyDescent="0.25">
      <c r="BM320" s="355">
        <v>315</v>
      </c>
      <c r="BN320" s="362">
        <f t="shared" si="46"/>
        <v>42927</v>
      </c>
      <c r="BO320" s="355">
        <f t="shared" si="47"/>
        <v>0</v>
      </c>
      <c r="BP320" s="355">
        <f t="shared" si="48"/>
        <v>0</v>
      </c>
      <c r="BQ320" s="355">
        <f t="shared" si="50"/>
        <v>0</v>
      </c>
      <c r="BR320" s="355">
        <f t="shared" si="49"/>
        <v>219</v>
      </c>
      <c r="BS320" s="243">
        <f t="shared" si="51"/>
        <v>6.7204193548387095E-2</v>
      </c>
      <c r="BT320">
        <f t="shared" si="52"/>
        <v>0</v>
      </c>
      <c r="BU320" t="str">
        <f t="shared" si="53"/>
        <v>non</v>
      </c>
      <c r="BV320">
        <f t="shared" si="55"/>
        <v>0</v>
      </c>
      <c r="BW320">
        <f t="shared" si="54"/>
        <v>0</v>
      </c>
    </row>
    <row r="321" spans="65:75" x14ac:dyDescent="0.25">
      <c r="BM321" s="355">
        <v>316</v>
      </c>
      <c r="BN321" s="362">
        <f t="shared" si="46"/>
        <v>42928</v>
      </c>
      <c r="BO321" s="355">
        <f t="shared" si="47"/>
        <v>0</v>
      </c>
      <c r="BP321" s="355">
        <f t="shared" si="48"/>
        <v>0</v>
      </c>
      <c r="BQ321" s="355">
        <f t="shared" si="50"/>
        <v>0</v>
      </c>
      <c r="BR321" s="355">
        <f t="shared" si="49"/>
        <v>220</v>
      </c>
      <c r="BS321" s="243">
        <f t="shared" si="51"/>
        <v>6.7204193548387095E-2</v>
      </c>
      <c r="BT321">
        <f t="shared" si="52"/>
        <v>0</v>
      </c>
      <c r="BU321" t="str">
        <f t="shared" si="53"/>
        <v>non</v>
      </c>
      <c r="BV321">
        <f t="shared" si="55"/>
        <v>0</v>
      </c>
      <c r="BW321">
        <f t="shared" si="54"/>
        <v>0</v>
      </c>
    </row>
    <row r="322" spans="65:75" x14ac:dyDescent="0.25">
      <c r="BM322" s="355">
        <v>317</v>
      </c>
      <c r="BN322" s="362">
        <f t="shared" si="46"/>
        <v>42929</v>
      </c>
      <c r="BO322" s="355">
        <f t="shared" si="47"/>
        <v>0</v>
      </c>
      <c r="BP322" s="355">
        <f t="shared" si="48"/>
        <v>1</v>
      </c>
      <c r="BQ322" s="355">
        <f t="shared" si="50"/>
        <v>0</v>
      </c>
      <c r="BR322" s="355">
        <f t="shared" si="49"/>
        <v>220</v>
      </c>
      <c r="BS322" s="243">
        <f t="shared" si="51"/>
        <v>6.7204193548387095E-2</v>
      </c>
      <c r="BT322">
        <f t="shared" si="52"/>
        <v>0</v>
      </c>
      <c r="BU322" t="str">
        <f t="shared" si="53"/>
        <v>non</v>
      </c>
      <c r="BV322">
        <f t="shared" si="55"/>
        <v>0</v>
      </c>
      <c r="BW322">
        <f t="shared" si="54"/>
        <v>0</v>
      </c>
    </row>
    <row r="323" spans="65:75" x14ac:dyDescent="0.25">
      <c r="BM323" s="355">
        <v>318</v>
      </c>
      <c r="BN323" s="362">
        <f t="shared" si="46"/>
        <v>42930</v>
      </c>
      <c r="BO323" s="355">
        <f t="shared" si="47"/>
        <v>0</v>
      </c>
      <c r="BP323" s="355">
        <f t="shared" si="48"/>
        <v>0</v>
      </c>
      <c r="BQ323" s="355">
        <f t="shared" si="50"/>
        <v>0</v>
      </c>
      <c r="BR323" s="355">
        <f t="shared" si="49"/>
        <v>221</v>
      </c>
      <c r="BS323" s="243">
        <f t="shared" si="51"/>
        <v>6.7204193548387095E-2</v>
      </c>
      <c r="BT323">
        <f t="shared" si="52"/>
        <v>0</v>
      </c>
      <c r="BU323" t="str">
        <f t="shared" si="53"/>
        <v>non</v>
      </c>
      <c r="BV323">
        <f t="shared" si="55"/>
        <v>0</v>
      </c>
      <c r="BW323">
        <f t="shared" si="54"/>
        <v>0</v>
      </c>
    </row>
    <row r="324" spans="65:75" x14ac:dyDescent="0.25">
      <c r="BM324" s="355">
        <v>319</v>
      </c>
      <c r="BN324" s="362">
        <f t="shared" si="46"/>
        <v>42931</v>
      </c>
      <c r="BO324" s="355">
        <f t="shared" si="47"/>
        <v>0</v>
      </c>
      <c r="BP324" s="355">
        <f t="shared" si="48"/>
        <v>0</v>
      </c>
      <c r="BQ324" s="355">
        <f t="shared" si="50"/>
        <v>0</v>
      </c>
      <c r="BR324" s="355">
        <f t="shared" si="49"/>
        <v>222</v>
      </c>
      <c r="BS324" s="243">
        <f t="shared" si="51"/>
        <v>6.7204193548387095E-2</v>
      </c>
      <c r="BT324">
        <f t="shared" si="52"/>
        <v>0</v>
      </c>
      <c r="BU324" t="str">
        <f t="shared" si="53"/>
        <v>non</v>
      </c>
      <c r="BV324">
        <f t="shared" si="55"/>
        <v>0</v>
      </c>
      <c r="BW324">
        <f t="shared" si="54"/>
        <v>0</v>
      </c>
    </row>
    <row r="325" spans="65:75" x14ac:dyDescent="0.25">
      <c r="BM325" s="355">
        <v>320</v>
      </c>
      <c r="BN325" s="362">
        <f t="shared" si="46"/>
        <v>42932</v>
      </c>
      <c r="BO325" s="355">
        <f t="shared" si="47"/>
        <v>1</v>
      </c>
      <c r="BP325" s="355">
        <f t="shared" si="48"/>
        <v>0</v>
      </c>
      <c r="BQ325" s="355">
        <f t="shared" si="50"/>
        <v>0</v>
      </c>
      <c r="BR325" s="355">
        <f t="shared" si="49"/>
        <v>222</v>
      </c>
      <c r="BS325" s="243">
        <f t="shared" si="51"/>
        <v>6.7204193548387095E-2</v>
      </c>
      <c r="BT325">
        <f t="shared" si="52"/>
        <v>0</v>
      </c>
      <c r="BU325" t="str">
        <f t="shared" si="53"/>
        <v>non</v>
      </c>
      <c r="BV325">
        <f t="shared" si="55"/>
        <v>0</v>
      </c>
      <c r="BW325">
        <f t="shared" si="54"/>
        <v>0</v>
      </c>
    </row>
    <row r="326" spans="65:75" x14ac:dyDescent="0.25">
      <c r="BM326" s="355">
        <v>321</v>
      </c>
      <c r="BN326" s="362">
        <f t="shared" ref="BN326:BN371" si="56">BN325+1</f>
        <v>42933</v>
      </c>
      <c r="BO326" s="355">
        <f t="shared" ref="BO326:BO371" si="57">IF(OR(WEEKDAY(BN326)=1,WEEKDAY(BN326)=7),1,0)</f>
        <v>1</v>
      </c>
      <c r="BP326" s="355">
        <f t="shared" ref="BP326:BP371" si="58">IF(BO326=1,0,COUNTIF(tab_ferie,BN326))</f>
        <v>0</v>
      </c>
      <c r="BQ326" s="355">
        <f t="shared" si="50"/>
        <v>0</v>
      </c>
      <c r="BR326" s="355">
        <f t="shared" ref="BR326:BR371" si="59">BR325+1-BP326-BO326</f>
        <v>222</v>
      </c>
      <c r="BS326" s="243">
        <f t="shared" si="51"/>
        <v>6.7204193548387095E-2</v>
      </c>
      <c r="BT326">
        <f t="shared" si="52"/>
        <v>0</v>
      </c>
      <c r="BU326" t="str">
        <f t="shared" si="53"/>
        <v>non</v>
      </c>
      <c r="BV326">
        <f t="shared" si="55"/>
        <v>0</v>
      </c>
      <c r="BW326">
        <f t="shared" si="54"/>
        <v>0</v>
      </c>
    </row>
    <row r="327" spans="65:75" x14ac:dyDescent="0.25">
      <c r="BM327" s="355">
        <v>322</v>
      </c>
      <c r="BN327" s="362">
        <f t="shared" si="56"/>
        <v>42934</v>
      </c>
      <c r="BO327" s="355">
        <f t="shared" si="57"/>
        <v>0</v>
      </c>
      <c r="BP327" s="355">
        <f t="shared" si="58"/>
        <v>0</v>
      </c>
      <c r="BQ327" s="355">
        <f t="shared" ref="BQ327:BQ371" si="60">IF(AND(BN327&gt;=$AF$5,BN327&lt;=$AF$6),IF(BO327+BP327=0,1,0),0)</f>
        <v>0</v>
      </c>
      <c r="BR327" s="355">
        <f t="shared" si="59"/>
        <v>223</v>
      </c>
      <c r="BS327" s="243">
        <f t="shared" ref="BS327:BS371" si="61">2.08333/(EOMONTH(BN327,0)-(EOMONTH(BN327,-1)))</f>
        <v>6.7204193548387095E-2</v>
      </c>
      <c r="BT327">
        <f t="shared" ref="BT327:BT371" si="62">IF(AND(BN327&gt;=$AF$5,BN327&lt;=$AF$6),BS327,0)</f>
        <v>0</v>
      </c>
      <c r="BU327" t="str">
        <f t="shared" ref="BU327:BU371" si="63">IF(OR(MONTH(BN327)&gt;=10,MONTH(BN327)&lt;=5),"ok","non")</f>
        <v>non</v>
      </c>
      <c r="BV327">
        <f t="shared" si="55"/>
        <v>0</v>
      </c>
      <c r="BW327">
        <f t="shared" ref="BW327:BW371" si="64">IF(AND(BN327&gt;=$AF$5,BN327&lt;=$AF$6),BV327,0)</f>
        <v>0</v>
      </c>
    </row>
    <row r="328" spans="65:75" x14ac:dyDescent="0.25">
      <c r="BM328" s="355">
        <v>323</v>
      </c>
      <c r="BN328" s="362">
        <f t="shared" si="56"/>
        <v>42935</v>
      </c>
      <c r="BO328" s="355">
        <f t="shared" si="57"/>
        <v>0</v>
      </c>
      <c r="BP328" s="355">
        <f t="shared" si="58"/>
        <v>0</v>
      </c>
      <c r="BQ328" s="355">
        <f t="shared" si="60"/>
        <v>0</v>
      </c>
      <c r="BR328" s="355">
        <f t="shared" si="59"/>
        <v>224</v>
      </c>
      <c r="BS328" s="243">
        <f t="shared" si="61"/>
        <v>6.7204193548387095E-2</v>
      </c>
      <c r="BT328">
        <f t="shared" si="62"/>
        <v>0</v>
      </c>
      <c r="BU328" t="str">
        <f t="shared" si="63"/>
        <v>non</v>
      </c>
      <c r="BV328">
        <f t="shared" si="55"/>
        <v>0</v>
      </c>
      <c r="BW328">
        <f t="shared" si="64"/>
        <v>0</v>
      </c>
    </row>
    <row r="329" spans="65:75" x14ac:dyDescent="0.25">
      <c r="BM329" s="355">
        <v>324</v>
      </c>
      <c r="BN329" s="362">
        <f t="shared" si="56"/>
        <v>42936</v>
      </c>
      <c r="BO329" s="355">
        <f t="shared" si="57"/>
        <v>0</v>
      </c>
      <c r="BP329" s="355">
        <f t="shared" si="58"/>
        <v>0</v>
      </c>
      <c r="BQ329" s="355">
        <f t="shared" si="60"/>
        <v>0</v>
      </c>
      <c r="BR329" s="355">
        <f t="shared" si="59"/>
        <v>225</v>
      </c>
      <c r="BS329" s="243">
        <f t="shared" si="61"/>
        <v>6.7204193548387095E-2</v>
      </c>
      <c r="BT329">
        <f t="shared" si="62"/>
        <v>0</v>
      </c>
      <c r="BU329" t="str">
        <f t="shared" si="63"/>
        <v>non</v>
      </c>
      <c r="BV329">
        <f t="shared" si="55"/>
        <v>0</v>
      </c>
      <c r="BW329">
        <f t="shared" si="64"/>
        <v>0</v>
      </c>
    </row>
    <row r="330" spans="65:75" x14ac:dyDescent="0.25">
      <c r="BM330" s="355">
        <v>325</v>
      </c>
      <c r="BN330" s="362">
        <f t="shared" si="56"/>
        <v>42937</v>
      </c>
      <c r="BO330" s="355">
        <f t="shared" si="57"/>
        <v>0</v>
      </c>
      <c r="BP330" s="355">
        <f t="shared" si="58"/>
        <v>0</v>
      </c>
      <c r="BQ330" s="355">
        <f t="shared" si="60"/>
        <v>0</v>
      </c>
      <c r="BR330" s="355">
        <f t="shared" si="59"/>
        <v>226</v>
      </c>
      <c r="BS330" s="243">
        <f t="shared" si="61"/>
        <v>6.7204193548387095E-2</v>
      </c>
      <c r="BT330">
        <f t="shared" si="62"/>
        <v>0</v>
      </c>
      <c r="BU330" t="str">
        <f t="shared" si="63"/>
        <v>non</v>
      </c>
      <c r="BV330">
        <f t="shared" si="55"/>
        <v>0</v>
      </c>
      <c r="BW330">
        <f t="shared" si="64"/>
        <v>0</v>
      </c>
    </row>
    <row r="331" spans="65:75" x14ac:dyDescent="0.25">
      <c r="BM331" s="355">
        <v>326</v>
      </c>
      <c r="BN331" s="362">
        <f t="shared" si="56"/>
        <v>42938</v>
      </c>
      <c r="BO331" s="355">
        <f t="shared" si="57"/>
        <v>0</v>
      </c>
      <c r="BP331" s="355">
        <f t="shared" si="58"/>
        <v>0</v>
      </c>
      <c r="BQ331" s="355">
        <f t="shared" si="60"/>
        <v>0</v>
      </c>
      <c r="BR331" s="355">
        <f t="shared" si="59"/>
        <v>227</v>
      </c>
      <c r="BS331" s="243">
        <f t="shared" si="61"/>
        <v>6.7204193548387095E-2</v>
      </c>
      <c r="BT331">
        <f t="shared" si="62"/>
        <v>0</v>
      </c>
      <c r="BU331" t="str">
        <f t="shared" si="63"/>
        <v>non</v>
      </c>
      <c r="BV331">
        <f t="shared" si="55"/>
        <v>0</v>
      </c>
      <c r="BW331">
        <f t="shared" si="64"/>
        <v>0</v>
      </c>
    </row>
    <row r="332" spans="65:75" x14ac:dyDescent="0.25">
      <c r="BM332" s="355">
        <v>327</v>
      </c>
      <c r="BN332" s="362">
        <f t="shared" si="56"/>
        <v>42939</v>
      </c>
      <c r="BO332" s="355">
        <f t="shared" si="57"/>
        <v>1</v>
      </c>
      <c r="BP332" s="355">
        <f t="shared" si="58"/>
        <v>0</v>
      </c>
      <c r="BQ332" s="355">
        <f t="shared" si="60"/>
        <v>0</v>
      </c>
      <c r="BR332" s="355">
        <f t="shared" si="59"/>
        <v>227</v>
      </c>
      <c r="BS332" s="243">
        <f t="shared" si="61"/>
        <v>6.7204193548387095E-2</v>
      </c>
      <c r="BT332">
        <f t="shared" si="62"/>
        <v>0</v>
      </c>
      <c r="BU332" t="str">
        <f t="shared" si="63"/>
        <v>non</v>
      </c>
      <c r="BV332">
        <f t="shared" si="55"/>
        <v>0</v>
      </c>
      <c r="BW332">
        <f t="shared" si="64"/>
        <v>0</v>
      </c>
    </row>
    <row r="333" spans="65:75" x14ac:dyDescent="0.25">
      <c r="BM333" s="355">
        <v>328</v>
      </c>
      <c r="BN333" s="362">
        <f t="shared" si="56"/>
        <v>42940</v>
      </c>
      <c r="BO333" s="355">
        <f t="shared" si="57"/>
        <v>1</v>
      </c>
      <c r="BP333" s="355">
        <f t="shared" si="58"/>
        <v>0</v>
      </c>
      <c r="BQ333" s="355">
        <f t="shared" si="60"/>
        <v>0</v>
      </c>
      <c r="BR333" s="355">
        <f t="shared" si="59"/>
        <v>227</v>
      </c>
      <c r="BS333" s="243">
        <f t="shared" si="61"/>
        <v>6.7204193548387095E-2</v>
      </c>
      <c r="BT333">
        <f t="shared" si="62"/>
        <v>0</v>
      </c>
      <c r="BU333" t="str">
        <f t="shared" si="63"/>
        <v>non</v>
      </c>
      <c r="BV333">
        <f t="shared" si="55"/>
        <v>0</v>
      </c>
      <c r="BW333">
        <f t="shared" si="64"/>
        <v>0</v>
      </c>
    </row>
    <row r="334" spans="65:75" x14ac:dyDescent="0.25">
      <c r="BM334" s="355">
        <v>329</v>
      </c>
      <c r="BN334" s="362">
        <f t="shared" si="56"/>
        <v>42941</v>
      </c>
      <c r="BO334" s="355">
        <f t="shared" si="57"/>
        <v>0</v>
      </c>
      <c r="BP334" s="355">
        <f t="shared" si="58"/>
        <v>0</v>
      </c>
      <c r="BQ334" s="355">
        <f t="shared" si="60"/>
        <v>0</v>
      </c>
      <c r="BR334" s="355">
        <f t="shared" si="59"/>
        <v>228</v>
      </c>
      <c r="BS334" s="243">
        <f t="shared" si="61"/>
        <v>6.7204193548387095E-2</v>
      </c>
      <c r="BT334">
        <f t="shared" si="62"/>
        <v>0</v>
      </c>
      <c r="BU334" t="str">
        <f t="shared" si="63"/>
        <v>non</v>
      </c>
      <c r="BV334">
        <f t="shared" si="55"/>
        <v>0</v>
      </c>
      <c r="BW334">
        <f t="shared" si="64"/>
        <v>0</v>
      </c>
    </row>
    <row r="335" spans="65:75" x14ac:dyDescent="0.25">
      <c r="BM335" s="355">
        <v>330</v>
      </c>
      <c r="BN335" s="362">
        <f t="shared" si="56"/>
        <v>42942</v>
      </c>
      <c r="BO335" s="355">
        <f t="shared" si="57"/>
        <v>0</v>
      </c>
      <c r="BP335" s="355">
        <f t="shared" si="58"/>
        <v>0</v>
      </c>
      <c r="BQ335" s="355">
        <f t="shared" si="60"/>
        <v>0</v>
      </c>
      <c r="BR335" s="355">
        <f t="shared" si="59"/>
        <v>229</v>
      </c>
      <c r="BS335" s="243">
        <f t="shared" si="61"/>
        <v>6.7204193548387095E-2</v>
      </c>
      <c r="BT335">
        <f t="shared" si="62"/>
        <v>0</v>
      </c>
      <c r="BU335" t="str">
        <f t="shared" si="63"/>
        <v>non</v>
      </c>
      <c r="BV335">
        <f t="shared" si="55"/>
        <v>0</v>
      </c>
      <c r="BW335">
        <f t="shared" si="64"/>
        <v>0</v>
      </c>
    </row>
    <row r="336" spans="65:75" x14ac:dyDescent="0.25">
      <c r="BM336" s="355">
        <v>331</v>
      </c>
      <c r="BN336" s="362">
        <f t="shared" si="56"/>
        <v>42943</v>
      </c>
      <c r="BO336" s="355">
        <f t="shared" si="57"/>
        <v>0</v>
      </c>
      <c r="BP336" s="355">
        <f t="shared" si="58"/>
        <v>0</v>
      </c>
      <c r="BQ336" s="355">
        <f t="shared" si="60"/>
        <v>0</v>
      </c>
      <c r="BR336" s="355">
        <f t="shared" si="59"/>
        <v>230</v>
      </c>
      <c r="BS336" s="243">
        <f t="shared" si="61"/>
        <v>6.7204193548387095E-2</v>
      </c>
      <c r="BT336">
        <f t="shared" si="62"/>
        <v>0</v>
      </c>
      <c r="BU336" t="str">
        <f t="shared" si="63"/>
        <v>non</v>
      </c>
      <c r="BV336">
        <f t="shared" si="55"/>
        <v>0</v>
      </c>
      <c r="BW336">
        <f t="shared" si="64"/>
        <v>0</v>
      </c>
    </row>
    <row r="337" spans="65:75" x14ac:dyDescent="0.25">
      <c r="BM337" s="355">
        <v>332</v>
      </c>
      <c r="BN337" s="362">
        <f t="shared" si="56"/>
        <v>42944</v>
      </c>
      <c r="BO337" s="355">
        <f t="shared" si="57"/>
        <v>0</v>
      </c>
      <c r="BP337" s="355">
        <f t="shared" si="58"/>
        <v>0</v>
      </c>
      <c r="BQ337" s="355">
        <f t="shared" si="60"/>
        <v>0</v>
      </c>
      <c r="BR337" s="355">
        <f t="shared" si="59"/>
        <v>231</v>
      </c>
      <c r="BS337" s="243">
        <f t="shared" si="61"/>
        <v>6.7204193548387095E-2</v>
      </c>
      <c r="BT337">
        <f t="shared" si="62"/>
        <v>0</v>
      </c>
      <c r="BU337" t="str">
        <f t="shared" si="63"/>
        <v>non</v>
      </c>
      <c r="BV337">
        <f t="shared" ref="BV337:BV370" si="65">IF(BU337="ok",$CC$29/(EOMONTH(BN337,0)-(EOMONTH(BN337,-1))),0)</f>
        <v>0</v>
      </c>
      <c r="BW337">
        <f t="shared" si="64"/>
        <v>0</v>
      </c>
    </row>
    <row r="338" spans="65:75" x14ac:dyDescent="0.25">
      <c r="BM338" s="355">
        <v>333</v>
      </c>
      <c r="BN338" s="362">
        <f t="shared" si="56"/>
        <v>42945</v>
      </c>
      <c r="BO338" s="355">
        <f t="shared" si="57"/>
        <v>0</v>
      </c>
      <c r="BP338" s="355">
        <f t="shared" si="58"/>
        <v>0</v>
      </c>
      <c r="BQ338" s="355">
        <f t="shared" si="60"/>
        <v>0</v>
      </c>
      <c r="BR338" s="355">
        <f t="shared" si="59"/>
        <v>232</v>
      </c>
      <c r="BS338" s="243">
        <f t="shared" si="61"/>
        <v>6.7204193548387095E-2</v>
      </c>
      <c r="BT338">
        <f t="shared" si="62"/>
        <v>0</v>
      </c>
      <c r="BU338" t="str">
        <f t="shared" si="63"/>
        <v>non</v>
      </c>
      <c r="BV338">
        <f t="shared" si="65"/>
        <v>0</v>
      </c>
      <c r="BW338">
        <f t="shared" si="64"/>
        <v>0</v>
      </c>
    </row>
    <row r="339" spans="65:75" x14ac:dyDescent="0.25">
      <c r="BM339" s="355">
        <v>334</v>
      </c>
      <c r="BN339" s="362">
        <f t="shared" si="56"/>
        <v>42946</v>
      </c>
      <c r="BO339" s="355">
        <f t="shared" si="57"/>
        <v>1</v>
      </c>
      <c r="BP339" s="355">
        <f t="shared" si="58"/>
        <v>0</v>
      </c>
      <c r="BQ339" s="355">
        <f t="shared" si="60"/>
        <v>0</v>
      </c>
      <c r="BR339" s="355">
        <f t="shared" si="59"/>
        <v>232</v>
      </c>
      <c r="BS339" s="243">
        <f t="shared" si="61"/>
        <v>6.7204193548387095E-2</v>
      </c>
      <c r="BT339">
        <f t="shared" si="62"/>
        <v>0</v>
      </c>
      <c r="BU339" t="str">
        <f t="shared" si="63"/>
        <v>non</v>
      </c>
      <c r="BV339">
        <f t="shared" si="65"/>
        <v>0</v>
      </c>
      <c r="BW339">
        <f t="shared" si="64"/>
        <v>0</v>
      </c>
    </row>
    <row r="340" spans="65:75" x14ac:dyDescent="0.25">
      <c r="BM340" s="355">
        <v>335</v>
      </c>
      <c r="BN340" s="362">
        <f t="shared" si="56"/>
        <v>42947</v>
      </c>
      <c r="BO340" s="355">
        <f t="shared" si="57"/>
        <v>1</v>
      </c>
      <c r="BP340" s="355">
        <f t="shared" si="58"/>
        <v>0</v>
      </c>
      <c r="BQ340" s="355">
        <f t="shared" si="60"/>
        <v>0</v>
      </c>
      <c r="BR340" s="355">
        <f t="shared" si="59"/>
        <v>232</v>
      </c>
      <c r="BS340" s="243">
        <f t="shared" si="61"/>
        <v>6.7204193548387095E-2</v>
      </c>
      <c r="BT340">
        <f t="shared" si="62"/>
        <v>0</v>
      </c>
      <c r="BU340" t="str">
        <f t="shared" si="63"/>
        <v>non</v>
      </c>
      <c r="BV340">
        <f t="shared" si="65"/>
        <v>0</v>
      </c>
      <c r="BW340">
        <f t="shared" si="64"/>
        <v>0</v>
      </c>
    </row>
    <row r="341" spans="65:75" x14ac:dyDescent="0.25">
      <c r="BM341" s="355">
        <v>336</v>
      </c>
      <c r="BN341" s="362">
        <f t="shared" si="56"/>
        <v>42948</v>
      </c>
      <c r="BO341" s="355">
        <f t="shared" si="57"/>
        <v>0</v>
      </c>
      <c r="BP341" s="355">
        <f t="shared" si="58"/>
        <v>0</v>
      </c>
      <c r="BQ341" s="355">
        <f t="shared" si="60"/>
        <v>0</v>
      </c>
      <c r="BR341" s="355">
        <f t="shared" si="59"/>
        <v>233</v>
      </c>
      <c r="BS341" s="243">
        <f t="shared" si="61"/>
        <v>6.7204193548387095E-2</v>
      </c>
      <c r="BT341">
        <f t="shared" si="62"/>
        <v>0</v>
      </c>
      <c r="BU341" t="str">
        <f t="shared" si="63"/>
        <v>non</v>
      </c>
      <c r="BV341">
        <f t="shared" si="65"/>
        <v>0</v>
      </c>
      <c r="BW341">
        <f t="shared" si="64"/>
        <v>0</v>
      </c>
    </row>
    <row r="342" spans="65:75" x14ac:dyDescent="0.25">
      <c r="BM342" s="355">
        <v>337</v>
      </c>
      <c r="BN342" s="362">
        <f t="shared" si="56"/>
        <v>42949</v>
      </c>
      <c r="BO342" s="355">
        <f t="shared" si="57"/>
        <v>0</v>
      </c>
      <c r="BP342" s="355">
        <f t="shared" si="58"/>
        <v>0</v>
      </c>
      <c r="BQ342" s="355">
        <f t="shared" si="60"/>
        <v>0</v>
      </c>
      <c r="BR342" s="355">
        <f t="shared" si="59"/>
        <v>234</v>
      </c>
      <c r="BS342" s="243">
        <f t="shared" si="61"/>
        <v>6.7204193548387095E-2</v>
      </c>
      <c r="BT342">
        <f t="shared" si="62"/>
        <v>0</v>
      </c>
      <c r="BU342" t="str">
        <f t="shared" si="63"/>
        <v>non</v>
      </c>
      <c r="BV342">
        <f t="shared" si="65"/>
        <v>0</v>
      </c>
      <c r="BW342">
        <f t="shared" si="64"/>
        <v>0</v>
      </c>
    </row>
    <row r="343" spans="65:75" x14ac:dyDescent="0.25">
      <c r="BM343" s="355">
        <v>338</v>
      </c>
      <c r="BN343" s="362">
        <f t="shared" si="56"/>
        <v>42950</v>
      </c>
      <c r="BO343" s="355">
        <f t="shared" si="57"/>
        <v>0</v>
      </c>
      <c r="BP343" s="355">
        <f t="shared" si="58"/>
        <v>0</v>
      </c>
      <c r="BQ343" s="355">
        <f t="shared" si="60"/>
        <v>0</v>
      </c>
      <c r="BR343" s="355">
        <f t="shared" si="59"/>
        <v>235</v>
      </c>
      <c r="BS343" s="243">
        <f t="shared" si="61"/>
        <v>6.7204193548387095E-2</v>
      </c>
      <c r="BT343">
        <f t="shared" si="62"/>
        <v>0</v>
      </c>
      <c r="BU343" t="str">
        <f t="shared" si="63"/>
        <v>non</v>
      </c>
      <c r="BV343">
        <f t="shared" si="65"/>
        <v>0</v>
      </c>
      <c r="BW343">
        <f t="shared" si="64"/>
        <v>0</v>
      </c>
    </row>
    <row r="344" spans="65:75" x14ac:dyDescent="0.25">
      <c r="BM344" s="355">
        <v>339</v>
      </c>
      <c r="BN344" s="362">
        <f t="shared" si="56"/>
        <v>42951</v>
      </c>
      <c r="BO344" s="355">
        <f t="shared" si="57"/>
        <v>0</v>
      </c>
      <c r="BP344" s="355">
        <f t="shared" si="58"/>
        <v>0</v>
      </c>
      <c r="BQ344" s="355">
        <f t="shared" si="60"/>
        <v>0</v>
      </c>
      <c r="BR344" s="355">
        <f t="shared" si="59"/>
        <v>236</v>
      </c>
      <c r="BS344" s="243">
        <f t="shared" si="61"/>
        <v>6.7204193548387095E-2</v>
      </c>
      <c r="BT344">
        <f t="shared" si="62"/>
        <v>0</v>
      </c>
      <c r="BU344" t="str">
        <f t="shared" si="63"/>
        <v>non</v>
      </c>
      <c r="BV344">
        <f t="shared" si="65"/>
        <v>0</v>
      </c>
      <c r="BW344">
        <f t="shared" si="64"/>
        <v>0</v>
      </c>
    </row>
    <row r="345" spans="65:75" x14ac:dyDescent="0.25">
      <c r="BM345" s="355">
        <v>340</v>
      </c>
      <c r="BN345" s="362">
        <f t="shared" si="56"/>
        <v>42952</v>
      </c>
      <c r="BO345" s="355">
        <f t="shared" si="57"/>
        <v>0</v>
      </c>
      <c r="BP345" s="355">
        <f t="shared" si="58"/>
        <v>0</v>
      </c>
      <c r="BQ345" s="355">
        <f t="shared" si="60"/>
        <v>0</v>
      </c>
      <c r="BR345" s="355">
        <f t="shared" si="59"/>
        <v>237</v>
      </c>
      <c r="BS345" s="243">
        <f t="shared" si="61"/>
        <v>6.7204193548387095E-2</v>
      </c>
      <c r="BT345">
        <f t="shared" si="62"/>
        <v>0</v>
      </c>
      <c r="BU345" t="str">
        <f t="shared" si="63"/>
        <v>non</v>
      </c>
      <c r="BV345">
        <f t="shared" si="65"/>
        <v>0</v>
      </c>
      <c r="BW345">
        <f t="shared" si="64"/>
        <v>0</v>
      </c>
    </row>
    <row r="346" spans="65:75" x14ac:dyDescent="0.25">
      <c r="BM346" s="355">
        <v>341</v>
      </c>
      <c r="BN346" s="362">
        <f t="shared" si="56"/>
        <v>42953</v>
      </c>
      <c r="BO346" s="355">
        <f t="shared" si="57"/>
        <v>1</v>
      </c>
      <c r="BP346" s="355">
        <f t="shared" si="58"/>
        <v>0</v>
      </c>
      <c r="BQ346" s="355">
        <f t="shared" si="60"/>
        <v>0</v>
      </c>
      <c r="BR346" s="355">
        <f t="shared" si="59"/>
        <v>237</v>
      </c>
      <c r="BS346" s="243">
        <f t="shared" si="61"/>
        <v>6.7204193548387095E-2</v>
      </c>
      <c r="BT346">
        <f t="shared" si="62"/>
        <v>0</v>
      </c>
      <c r="BU346" t="str">
        <f t="shared" si="63"/>
        <v>non</v>
      </c>
      <c r="BV346">
        <f t="shared" si="65"/>
        <v>0</v>
      </c>
      <c r="BW346">
        <f t="shared" si="64"/>
        <v>0</v>
      </c>
    </row>
    <row r="347" spans="65:75" x14ac:dyDescent="0.25">
      <c r="BM347" s="355">
        <v>342</v>
      </c>
      <c r="BN347" s="362">
        <f t="shared" si="56"/>
        <v>42954</v>
      </c>
      <c r="BO347" s="355">
        <f t="shared" si="57"/>
        <v>1</v>
      </c>
      <c r="BP347" s="355">
        <f t="shared" si="58"/>
        <v>0</v>
      </c>
      <c r="BQ347" s="355">
        <f t="shared" si="60"/>
        <v>0</v>
      </c>
      <c r="BR347" s="355">
        <f t="shared" si="59"/>
        <v>237</v>
      </c>
      <c r="BS347" s="243">
        <f t="shared" si="61"/>
        <v>6.7204193548387095E-2</v>
      </c>
      <c r="BT347">
        <f t="shared" si="62"/>
        <v>0</v>
      </c>
      <c r="BU347" t="str">
        <f t="shared" si="63"/>
        <v>non</v>
      </c>
      <c r="BV347">
        <f t="shared" si="65"/>
        <v>0</v>
      </c>
      <c r="BW347">
        <f t="shared" si="64"/>
        <v>0</v>
      </c>
    </row>
    <row r="348" spans="65:75" x14ac:dyDescent="0.25">
      <c r="BM348" s="355">
        <v>343</v>
      </c>
      <c r="BN348" s="362">
        <f t="shared" si="56"/>
        <v>42955</v>
      </c>
      <c r="BO348" s="355">
        <f t="shared" si="57"/>
        <v>0</v>
      </c>
      <c r="BP348" s="355">
        <f t="shared" si="58"/>
        <v>0</v>
      </c>
      <c r="BQ348" s="355">
        <f t="shared" si="60"/>
        <v>0</v>
      </c>
      <c r="BR348" s="355">
        <f t="shared" si="59"/>
        <v>238</v>
      </c>
      <c r="BS348" s="243">
        <f t="shared" si="61"/>
        <v>6.7204193548387095E-2</v>
      </c>
      <c r="BT348">
        <f t="shared" si="62"/>
        <v>0</v>
      </c>
      <c r="BU348" t="str">
        <f t="shared" si="63"/>
        <v>non</v>
      </c>
      <c r="BV348">
        <f t="shared" si="65"/>
        <v>0</v>
      </c>
      <c r="BW348">
        <f t="shared" si="64"/>
        <v>0</v>
      </c>
    </row>
    <row r="349" spans="65:75" x14ac:dyDescent="0.25">
      <c r="BM349" s="355">
        <v>344</v>
      </c>
      <c r="BN349" s="362">
        <f t="shared" si="56"/>
        <v>42956</v>
      </c>
      <c r="BO349" s="355">
        <f t="shared" si="57"/>
        <v>0</v>
      </c>
      <c r="BP349" s="355">
        <f t="shared" si="58"/>
        <v>0</v>
      </c>
      <c r="BQ349" s="355">
        <f t="shared" si="60"/>
        <v>0</v>
      </c>
      <c r="BR349" s="355">
        <f t="shared" si="59"/>
        <v>239</v>
      </c>
      <c r="BS349" s="243">
        <f t="shared" si="61"/>
        <v>6.7204193548387095E-2</v>
      </c>
      <c r="BT349">
        <f t="shared" si="62"/>
        <v>0</v>
      </c>
      <c r="BU349" t="str">
        <f t="shared" si="63"/>
        <v>non</v>
      </c>
      <c r="BV349">
        <f t="shared" si="65"/>
        <v>0</v>
      </c>
      <c r="BW349">
        <f t="shared" si="64"/>
        <v>0</v>
      </c>
    </row>
    <row r="350" spans="65:75" x14ac:dyDescent="0.25">
      <c r="BM350" s="355">
        <v>345</v>
      </c>
      <c r="BN350" s="362">
        <f t="shared" si="56"/>
        <v>42957</v>
      </c>
      <c r="BO350" s="355">
        <f t="shared" si="57"/>
        <v>0</v>
      </c>
      <c r="BP350" s="355">
        <f t="shared" si="58"/>
        <v>0</v>
      </c>
      <c r="BQ350" s="355">
        <f t="shared" si="60"/>
        <v>0</v>
      </c>
      <c r="BR350" s="355">
        <f t="shared" si="59"/>
        <v>240</v>
      </c>
      <c r="BS350" s="243">
        <f t="shared" si="61"/>
        <v>6.7204193548387095E-2</v>
      </c>
      <c r="BT350">
        <f t="shared" si="62"/>
        <v>0</v>
      </c>
      <c r="BU350" t="str">
        <f t="shared" si="63"/>
        <v>non</v>
      </c>
      <c r="BV350">
        <f t="shared" si="65"/>
        <v>0</v>
      </c>
      <c r="BW350">
        <f t="shared" si="64"/>
        <v>0</v>
      </c>
    </row>
    <row r="351" spans="65:75" x14ac:dyDescent="0.25">
      <c r="BM351" s="355">
        <v>346</v>
      </c>
      <c r="BN351" s="362">
        <f t="shared" si="56"/>
        <v>42958</v>
      </c>
      <c r="BO351" s="355">
        <f t="shared" si="57"/>
        <v>0</v>
      </c>
      <c r="BP351" s="355">
        <f t="shared" si="58"/>
        <v>0</v>
      </c>
      <c r="BQ351" s="355">
        <f t="shared" si="60"/>
        <v>0</v>
      </c>
      <c r="BR351" s="355">
        <f t="shared" si="59"/>
        <v>241</v>
      </c>
      <c r="BS351" s="243">
        <f t="shared" si="61"/>
        <v>6.7204193548387095E-2</v>
      </c>
      <c r="BT351">
        <f t="shared" si="62"/>
        <v>0</v>
      </c>
      <c r="BU351" t="str">
        <f t="shared" si="63"/>
        <v>non</v>
      </c>
      <c r="BV351">
        <f t="shared" si="65"/>
        <v>0</v>
      </c>
      <c r="BW351">
        <f t="shared" si="64"/>
        <v>0</v>
      </c>
    </row>
    <row r="352" spans="65:75" x14ac:dyDescent="0.25">
      <c r="BM352" s="355">
        <v>347</v>
      </c>
      <c r="BN352" s="362">
        <f t="shared" si="56"/>
        <v>42959</v>
      </c>
      <c r="BO352" s="355">
        <f t="shared" si="57"/>
        <v>0</v>
      </c>
      <c r="BP352" s="355">
        <f t="shared" si="58"/>
        <v>0</v>
      </c>
      <c r="BQ352" s="355">
        <f t="shared" si="60"/>
        <v>0</v>
      </c>
      <c r="BR352" s="355">
        <f t="shared" si="59"/>
        <v>242</v>
      </c>
      <c r="BS352" s="243">
        <f t="shared" si="61"/>
        <v>6.7204193548387095E-2</v>
      </c>
      <c r="BT352">
        <f t="shared" si="62"/>
        <v>0</v>
      </c>
      <c r="BU352" t="str">
        <f t="shared" si="63"/>
        <v>non</v>
      </c>
      <c r="BV352">
        <f t="shared" si="65"/>
        <v>0</v>
      </c>
      <c r="BW352">
        <f t="shared" si="64"/>
        <v>0</v>
      </c>
    </row>
    <row r="353" spans="65:75" x14ac:dyDescent="0.25">
      <c r="BM353" s="355">
        <v>348</v>
      </c>
      <c r="BN353" s="362">
        <f t="shared" si="56"/>
        <v>42960</v>
      </c>
      <c r="BO353" s="355">
        <f t="shared" si="57"/>
        <v>1</v>
      </c>
      <c r="BP353" s="355">
        <f t="shared" si="58"/>
        <v>0</v>
      </c>
      <c r="BQ353" s="355">
        <f t="shared" si="60"/>
        <v>0</v>
      </c>
      <c r="BR353" s="355">
        <f t="shared" si="59"/>
        <v>242</v>
      </c>
      <c r="BS353" s="243">
        <f t="shared" si="61"/>
        <v>6.7204193548387095E-2</v>
      </c>
      <c r="BT353">
        <f t="shared" si="62"/>
        <v>0</v>
      </c>
      <c r="BU353" t="str">
        <f t="shared" si="63"/>
        <v>non</v>
      </c>
      <c r="BV353">
        <f t="shared" si="65"/>
        <v>0</v>
      </c>
      <c r="BW353">
        <f t="shared" si="64"/>
        <v>0</v>
      </c>
    </row>
    <row r="354" spans="65:75" x14ac:dyDescent="0.25">
      <c r="BM354" s="355">
        <v>349</v>
      </c>
      <c r="BN354" s="362">
        <f t="shared" si="56"/>
        <v>42961</v>
      </c>
      <c r="BO354" s="355">
        <f t="shared" si="57"/>
        <v>1</v>
      </c>
      <c r="BP354" s="355">
        <f t="shared" si="58"/>
        <v>0</v>
      </c>
      <c r="BQ354" s="355">
        <f t="shared" si="60"/>
        <v>0</v>
      </c>
      <c r="BR354" s="355">
        <f t="shared" si="59"/>
        <v>242</v>
      </c>
      <c r="BS354" s="243">
        <f t="shared" si="61"/>
        <v>6.7204193548387095E-2</v>
      </c>
      <c r="BT354">
        <f t="shared" si="62"/>
        <v>0</v>
      </c>
      <c r="BU354" t="str">
        <f t="shared" si="63"/>
        <v>non</v>
      </c>
      <c r="BV354">
        <f t="shared" si="65"/>
        <v>0</v>
      </c>
      <c r="BW354">
        <f t="shared" si="64"/>
        <v>0</v>
      </c>
    </row>
    <row r="355" spans="65:75" x14ac:dyDescent="0.25">
      <c r="BM355" s="355">
        <v>350</v>
      </c>
      <c r="BN355" s="362">
        <f t="shared" si="56"/>
        <v>42962</v>
      </c>
      <c r="BO355" s="355">
        <f t="shared" si="57"/>
        <v>0</v>
      </c>
      <c r="BP355" s="355">
        <f t="shared" si="58"/>
        <v>0</v>
      </c>
      <c r="BQ355" s="355">
        <f t="shared" si="60"/>
        <v>0</v>
      </c>
      <c r="BR355" s="355">
        <f t="shared" si="59"/>
        <v>243</v>
      </c>
      <c r="BS355" s="243">
        <f t="shared" si="61"/>
        <v>6.7204193548387095E-2</v>
      </c>
      <c r="BT355">
        <f t="shared" si="62"/>
        <v>0</v>
      </c>
      <c r="BU355" t="str">
        <f t="shared" si="63"/>
        <v>non</v>
      </c>
      <c r="BV355">
        <f t="shared" si="65"/>
        <v>0</v>
      </c>
      <c r="BW355">
        <f t="shared" si="64"/>
        <v>0</v>
      </c>
    </row>
    <row r="356" spans="65:75" x14ac:dyDescent="0.25">
      <c r="BM356" s="355">
        <v>351</v>
      </c>
      <c r="BN356" s="362">
        <f t="shared" si="56"/>
        <v>42963</v>
      </c>
      <c r="BO356" s="355">
        <f t="shared" si="57"/>
        <v>0</v>
      </c>
      <c r="BP356" s="355">
        <f t="shared" si="58"/>
        <v>0</v>
      </c>
      <c r="BQ356" s="355">
        <f t="shared" si="60"/>
        <v>0</v>
      </c>
      <c r="BR356" s="355">
        <f t="shared" si="59"/>
        <v>244</v>
      </c>
      <c r="BS356" s="243">
        <f t="shared" si="61"/>
        <v>6.7204193548387095E-2</v>
      </c>
      <c r="BT356">
        <f t="shared" si="62"/>
        <v>0</v>
      </c>
      <c r="BU356" t="str">
        <f t="shared" si="63"/>
        <v>non</v>
      </c>
      <c r="BV356">
        <f t="shared" si="65"/>
        <v>0</v>
      </c>
      <c r="BW356">
        <f t="shared" si="64"/>
        <v>0</v>
      </c>
    </row>
    <row r="357" spans="65:75" x14ac:dyDescent="0.25">
      <c r="BM357" s="355">
        <v>352</v>
      </c>
      <c r="BN357" s="362">
        <f t="shared" si="56"/>
        <v>42964</v>
      </c>
      <c r="BO357" s="355">
        <f t="shared" si="57"/>
        <v>0</v>
      </c>
      <c r="BP357" s="355">
        <f t="shared" si="58"/>
        <v>0</v>
      </c>
      <c r="BQ357" s="355">
        <f t="shared" si="60"/>
        <v>0</v>
      </c>
      <c r="BR357" s="355">
        <f t="shared" si="59"/>
        <v>245</v>
      </c>
      <c r="BS357" s="243">
        <f t="shared" si="61"/>
        <v>6.7204193548387095E-2</v>
      </c>
      <c r="BT357">
        <f t="shared" si="62"/>
        <v>0</v>
      </c>
      <c r="BU357" t="str">
        <f t="shared" si="63"/>
        <v>non</v>
      </c>
      <c r="BV357">
        <f t="shared" si="65"/>
        <v>0</v>
      </c>
      <c r="BW357">
        <f t="shared" si="64"/>
        <v>0</v>
      </c>
    </row>
    <row r="358" spans="65:75" x14ac:dyDescent="0.25">
      <c r="BM358" s="355">
        <v>353</v>
      </c>
      <c r="BN358" s="362">
        <f t="shared" si="56"/>
        <v>42965</v>
      </c>
      <c r="BO358" s="355">
        <f t="shared" si="57"/>
        <v>0</v>
      </c>
      <c r="BP358" s="355">
        <f t="shared" si="58"/>
        <v>0</v>
      </c>
      <c r="BQ358" s="355">
        <f t="shared" si="60"/>
        <v>0</v>
      </c>
      <c r="BR358" s="355">
        <f t="shared" si="59"/>
        <v>246</v>
      </c>
      <c r="BS358" s="243">
        <f t="shared" si="61"/>
        <v>6.7204193548387095E-2</v>
      </c>
      <c r="BT358">
        <f t="shared" si="62"/>
        <v>0</v>
      </c>
      <c r="BU358" t="str">
        <f t="shared" si="63"/>
        <v>non</v>
      </c>
      <c r="BV358">
        <f t="shared" si="65"/>
        <v>0</v>
      </c>
      <c r="BW358">
        <f t="shared" si="64"/>
        <v>0</v>
      </c>
    </row>
    <row r="359" spans="65:75" x14ac:dyDescent="0.25">
      <c r="BM359" s="355">
        <v>354</v>
      </c>
      <c r="BN359" s="362">
        <f t="shared" si="56"/>
        <v>42966</v>
      </c>
      <c r="BO359" s="355">
        <f t="shared" si="57"/>
        <v>0</v>
      </c>
      <c r="BP359" s="355">
        <f t="shared" si="58"/>
        <v>0</v>
      </c>
      <c r="BQ359" s="355">
        <f t="shared" si="60"/>
        <v>0</v>
      </c>
      <c r="BR359" s="355">
        <f t="shared" si="59"/>
        <v>247</v>
      </c>
      <c r="BS359" s="243">
        <f t="shared" si="61"/>
        <v>6.7204193548387095E-2</v>
      </c>
      <c r="BT359">
        <f t="shared" si="62"/>
        <v>0</v>
      </c>
      <c r="BU359" t="str">
        <f t="shared" si="63"/>
        <v>non</v>
      </c>
      <c r="BV359">
        <f t="shared" si="65"/>
        <v>0</v>
      </c>
      <c r="BW359">
        <f t="shared" si="64"/>
        <v>0</v>
      </c>
    </row>
    <row r="360" spans="65:75" x14ac:dyDescent="0.25">
      <c r="BM360" s="355">
        <v>355</v>
      </c>
      <c r="BN360" s="362">
        <f t="shared" si="56"/>
        <v>42967</v>
      </c>
      <c r="BO360" s="355">
        <f t="shared" si="57"/>
        <v>1</v>
      </c>
      <c r="BP360" s="355">
        <f t="shared" si="58"/>
        <v>0</v>
      </c>
      <c r="BQ360" s="355">
        <f t="shared" si="60"/>
        <v>0</v>
      </c>
      <c r="BR360" s="355">
        <f t="shared" si="59"/>
        <v>247</v>
      </c>
      <c r="BS360" s="243">
        <f t="shared" si="61"/>
        <v>6.7204193548387095E-2</v>
      </c>
      <c r="BT360">
        <f t="shared" si="62"/>
        <v>0</v>
      </c>
      <c r="BU360" t="str">
        <f t="shared" si="63"/>
        <v>non</v>
      </c>
      <c r="BV360">
        <f t="shared" si="65"/>
        <v>0</v>
      </c>
      <c r="BW360">
        <f t="shared" si="64"/>
        <v>0</v>
      </c>
    </row>
    <row r="361" spans="65:75" x14ac:dyDescent="0.25">
      <c r="BM361" s="355">
        <v>356</v>
      </c>
      <c r="BN361" s="362">
        <f t="shared" si="56"/>
        <v>42968</v>
      </c>
      <c r="BO361" s="355">
        <f t="shared" si="57"/>
        <v>1</v>
      </c>
      <c r="BP361" s="355">
        <f t="shared" si="58"/>
        <v>0</v>
      </c>
      <c r="BQ361" s="355">
        <f t="shared" si="60"/>
        <v>0</v>
      </c>
      <c r="BR361" s="355">
        <f t="shared" si="59"/>
        <v>247</v>
      </c>
      <c r="BS361" s="243">
        <f t="shared" si="61"/>
        <v>6.7204193548387095E-2</v>
      </c>
      <c r="BT361">
        <f t="shared" si="62"/>
        <v>0</v>
      </c>
      <c r="BU361" t="str">
        <f t="shared" si="63"/>
        <v>non</v>
      </c>
      <c r="BV361">
        <f t="shared" si="65"/>
        <v>0</v>
      </c>
      <c r="BW361">
        <f t="shared" si="64"/>
        <v>0</v>
      </c>
    </row>
    <row r="362" spans="65:75" x14ac:dyDescent="0.25">
      <c r="BM362" s="355">
        <v>357</v>
      </c>
      <c r="BN362" s="362">
        <f t="shared" si="56"/>
        <v>42969</v>
      </c>
      <c r="BO362" s="355">
        <f t="shared" si="57"/>
        <v>0</v>
      </c>
      <c r="BP362" s="355">
        <f t="shared" si="58"/>
        <v>0</v>
      </c>
      <c r="BQ362" s="355">
        <f t="shared" si="60"/>
        <v>0</v>
      </c>
      <c r="BR362" s="355">
        <f t="shared" si="59"/>
        <v>248</v>
      </c>
      <c r="BS362" s="243">
        <f t="shared" si="61"/>
        <v>6.7204193548387095E-2</v>
      </c>
      <c r="BT362">
        <f t="shared" si="62"/>
        <v>0</v>
      </c>
      <c r="BU362" t="str">
        <f t="shared" si="63"/>
        <v>non</v>
      </c>
      <c r="BV362">
        <f t="shared" si="65"/>
        <v>0</v>
      </c>
      <c r="BW362">
        <f t="shared" si="64"/>
        <v>0</v>
      </c>
    </row>
    <row r="363" spans="65:75" x14ac:dyDescent="0.25">
      <c r="BM363" s="355">
        <v>358</v>
      </c>
      <c r="BN363" s="362">
        <f t="shared" si="56"/>
        <v>42970</v>
      </c>
      <c r="BO363" s="355">
        <f t="shared" si="57"/>
        <v>0</v>
      </c>
      <c r="BP363" s="355">
        <f t="shared" si="58"/>
        <v>0</v>
      </c>
      <c r="BQ363" s="355">
        <f t="shared" si="60"/>
        <v>0</v>
      </c>
      <c r="BR363" s="355">
        <f t="shared" si="59"/>
        <v>249</v>
      </c>
      <c r="BS363" s="243">
        <f t="shared" si="61"/>
        <v>6.7204193548387095E-2</v>
      </c>
      <c r="BT363">
        <f t="shared" si="62"/>
        <v>0</v>
      </c>
      <c r="BU363" t="str">
        <f t="shared" si="63"/>
        <v>non</v>
      </c>
      <c r="BV363">
        <f t="shared" si="65"/>
        <v>0</v>
      </c>
      <c r="BW363">
        <f t="shared" si="64"/>
        <v>0</v>
      </c>
    </row>
    <row r="364" spans="65:75" x14ac:dyDescent="0.25">
      <c r="BM364" s="355">
        <v>359</v>
      </c>
      <c r="BN364" s="362">
        <f t="shared" si="56"/>
        <v>42971</v>
      </c>
      <c r="BO364" s="355">
        <f t="shared" si="57"/>
        <v>0</v>
      </c>
      <c r="BP364" s="355">
        <f t="shared" si="58"/>
        <v>0</v>
      </c>
      <c r="BQ364" s="355">
        <f t="shared" si="60"/>
        <v>0</v>
      </c>
      <c r="BR364" s="355">
        <f t="shared" si="59"/>
        <v>250</v>
      </c>
      <c r="BS364" s="243">
        <f t="shared" si="61"/>
        <v>6.7204193548387095E-2</v>
      </c>
      <c r="BT364">
        <f t="shared" si="62"/>
        <v>0</v>
      </c>
      <c r="BU364" t="str">
        <f t="shared" si="63"/>
        <v>non</v>
      </c>
      <c r="BV364">
        <f t="shared" si="65"/>
        <v>0</v>
      </c>
      <c r="BW364">
        <f t="shared" si="64"/>
        <v>0</v>
      </c>
    </row>
    <row r="365" spans="65:75" x14ac:dyDescent="0.25">
      <c r="BM365" s="355">
        <v>360</v>
      </c>
      <c r="BN365" s="362">
        <f t="shared" si="56"/>
        <v>42972</v>
      </c>
      <c r="BO365" s="355">
        <f t="shared" si="57"/>
        <v>0</v>
      </c>
      <c r="BP365" s="355">
        <f t="shared" si="58"/>
        <v>0</v>
      </c>
      <c r="BQ365" s="355">
        <f t="shared" si="60"/>
        <v>0</v>
      </c>
      <c r="BR365" s="355">
        <f t="shared" si="59"/>
        <v>251</v>
      </c>
      <c r="BS365" s="243">
        <f t="shared" si="61"/>
        <v>6.7204193548387095E-2</v>
      </c>
      <c r="BT365">
        <f t="shared" si="62"/>
        <v>0</v>
      </c>
      <c r="BU365" t="str">
        <f t="shared" si="63"/>
        <v>non</v>
      </c>
      <c r="BV365">
        <f t="shared" si="65"/>
        <v>0</v>
      </c>
      <c r="BW365">
        <f t="shared" si="64"/>
        <v>0</v>
      </c>
    </row>
    <row r="366" spans="65:75" x14ac:dyDescent="0.25">
      <c r="BM366" s="355">
        <v>361</v>
      </c>
      <c r="BN366" s="362">
        <f t="shared" si="56"/>
        <v>42973</v>
      </c>
      <c r="BO366" s="355">
        <f t="shared" si="57"/>
        <v>0</v>
      </c>
      <c r="BP366" s="355">
        <f t="shared" si="58"/>
        <v>0</v>
      </c>
      <c r="BQ366" s="355">
        <f t="shared" si="60"/>
        <v>0</v>
      </c>
      <c r="BR366" s="355">
        <f t="shared" si="59"/>
        <v>252</v>
      </c>
      <c r="BS366" s="243">
        <f t="shared" si="61"/>
        <v>6.7204193548387095E-2</v>
      </c>
      <c r="BT366">
        <f t="shared" si="62"/>
        <v>0</v>
      </c>
      <c r="BU366" t="str">
        <f t="shared" si="63"/>
        <v>non</v>
      </c>
      <c r="BV366">
        <f t="shared" si="65"/>
        <v>0</v>
      </c>
      <c r="BW366">
        <f t="shared" si="64"/>
        <v>0</v>
      </c>
    </row>
    <row r="367" spans="65:75" x14ac:dyDescent="0.25">
      <c r="BM367" s="355">
        <v>362</v>
      </c>
      <c r="BN367" s="362">
        <f t="shared" si="56"/>
        <v>42974</v>
      </c>
      <c r="BO367" s="355">
        <f t="shared" si="57"/>
        <v>1</v>
      </c>
      <c r="BP367" s="355">
        <f t="shared" si="58"/>
        <v>0</v>
      </c>
      <c r="BQ367" s="355">
        <f t="shared" si="60"/>
        <v>0</v>
      </c>
      <c r="BR367" s="355">
        <f t="shared" si="59"/>
        <v>252</v>
      </c>
      <c r="BS367" s="243">
        <f t="shared" si="61"/>
        <v>6.7204193548387095E-2</v>
      </c>
      <c r="BT367">
        <f t="shared" si="62"/>
        <v>0</v>
      </c>
      <c r="BU367" t="str">
        <f t="shared" si="63"/>
        <v>non</v>
      </c>
      <c r="BV367">
        <f t="shared" si="65"/>
        <v>0</v>
      </c>
      <c r="BW367">
        <f t="shared" si="64"/>
        <v>0</v>
      </c>
    </row>
    <row r="368" spans="65:75" x14ac:dyDescent="0.25">
      <c r="BM368" s="355">
        <v>363</v>
      </c>
      <c r="BN368" s="362">
        <f t="shared" si="56"/>
        <v>42975</v>
      </c>
      <c r="BO368" s="355">
        <f t="shared" si="57"/>
        <v>1</v>
      </c>
      <c r="BP368" s="355">
        <f t="shared" si="58"/>
        <v>0</v>
      </c>
      <c r="BQ368" s="355">
        <f t="shared" si="60"/>
        <v>0</v>
      </c>
      <c r="BR368" s="355">
        <f t="shared" si="59"/>
        <v>252</v>
      </c>
      <c r="BS368" s="243">
        <f t="shared" si="61"/>
        <v>6.7204193548387095E-2</v>
      </c>
      <c r="BT368">
        <f t="shared" si="62"/>
        <v>0</v>
      </c>
      <c r="BU368" t="str">
        <f t="shared" si="63"/>
        <v>non</v>
      </c>
      <c r="BV368">
        <f t="shared" si="65"/>
        <v>0</v>
      </c>
      <c r="BW368">
        <f t="shared" si="64"/>
        <v>0</v>
      </c>
    </row>
    <row r="369" spans="65:75" x14ac:dyDescent="0.25">
      <c r="BM369" s="355">
        <v>364</v>
      </c>
      <c r="BN369" s="362">
        <f t="shared" si="56"/>
        <v>42976</v>
      </c>
      <c r="BO369" s="355">
        <f t="shared" si="57"/>
        <v>0</v>
      </c>
      <c r="BP369" s="355">
        <f t="shared" si="58"/>
        <v>0</v>
      </c>
      <c r="BQ369" s="355">
        <f t="shared" si="60"/>
        <v>0</v>
      </c>
      <c r="BR369" s="355">
        <f t="shared" si="59"/>
        <v>253</v>
      </c>
      <c r="BS369" s="243">
        <f t="shared" si="61"/>
        <v>6.7204193548387095E-2</v>
      </c>
      <c r="BT369">
        <f t="shared" si="62"/>
        <v>0</v>
      </c>
      <c r="BU369" t="str">
        <f t="shared" si="63"/>
        <v>non</v>
      </c>
      <c r="BV369">
        <f t="shared" si="65"/>
        <v>0</v>
      </c>
      <c r="BW369">
        <f t="shared" si="64"/>
        <v>0</v>
      </c>
    </row>
    <row r="370" spans="65:75" x14ac:dyDescent="0.25">
      <c r="BM370" s="355">
        <v>365</v>
      </c>
      <c r="BN370" s="362">
        <f t="shared" si="56"/>
        <v>42977</v>
      </c>
      <c r="BO370" s="355">
        <f t="shared" si="57"/>
        <v>0</v>
      </c>
      <c r="BP370" s="355">
        <f t="shared" si="58"/>
        <v>0</v>
      </c>
      <c r="BQ370" s="355">
        <f t="shared" si="60"/>
        <v>0</v>
      </c>
      <c r="BR370" s="355">
        <f t="shared" si="59"/>
        <v>254</v>
      </c>
      <c r="BS370" s="243">
        <f t="shared" si="61"/>
        <v>6.7204193548387095E-2</v>
      </c>
      <c r="BT370">
        <f t="shared" si="62"/>
        <v>0</v>
      </c>
      <c r="BU370" t="str">
        <f t="shared" si="63"/>
        <v>non</v>
      </c>
      <c r="BV370">
        <f t="shared" si="65"/>
        <v>0</v>
      </c>
      <c r="BW370">
        <f t="shared" si="64"/>
        <v>0</v>
      </c>
    </row>
    <row r="371" spans="65:75" x14ac:dyDescent="0.25">
      <c r="BM371" s="355">
        <v>366</v>
      </c>
      <c r="BN371" s="362">
        <f t="shared" si="56"/>
        <v>42978</v>
      </c>
      <c r="BO371" s="355">
        <f t="shared" si="57"/>
        <v>0</v>
      </c>
      <c r="BP371" s="355">
        <f t="shared" si="58"/>
        <v>0</v>
      </c>
      <c r="BQ371" s="355">
        <f t="shared" si="60"/>
        <v>0</v>
      </c>
      <c r="BR371" s="355">
        <f t="shared" si="59"/>
        <v>255</v>
      </c>
      <c r="BS371" s="243">
        <f t="shared" si="61"/>
        <v>6.9444333333333344E-2</v>
      </c>
      <c r="BT371">
        <f t="shared" si="62"/>
        <v>0</v>
      </c>
      <c r="BU371" t="str">
        <f t="shared" si="63"/>
        <v>non</v>
      </c>
      <c r="BV371">
        <f t="shared" ref="BV371" si="66">IF(BU371="ok",$CC$30/(EOMONTH(BN371,0)-(EOMONTH(BN371,-1))),0)</f>
        <v>0</v>
      </c>
      <c r="BW371">
        <f t="shared" si="64"/>
        <v>0</v>
      </c>
    </row>
    <row r="372" spans="65:75" x14ac:dyDescent="0.25">
      <c r="BN372" s="362"/>
    </row>
    <row r="373" spans="65:75" x14ac:dyDescent="0.25">
      <c r="BN373" s="362"/>
    </row>
    <row r="374" spans="65:75" x14ac:dyDescent="0.25">
      <c r="BN374" s="362"/>
    </row>
    <row r="375" spans="65:75" x14ac:dyDescent="0.25">
      <c r="BN375" s="362"/>
    </row>
    <row r="376" spans="65:75" x14ac:dyDescent="0.25">
      <c r="BN376" s="362"/>
    </row>
    <row r="377" spans="65:75" x14ac:dyDescent="0.25">
      <c r="BN377" s="362"/>
    </row>
    <row r="378" spans="65:75" x14ac:dyDescent="0.25">
      <c r="BN378" s="362"/>
    </row>
    <row r="379" spans="65:75" x14ac:dyDescent="0.25">
      <c r="BN379" s="362"/>
    </row>
    <row r="380" spans="65:75" x14ac:dyDescent="0.25">
      <c r="BN380" s="362"/>
    </row>
    <row r="381" spans="65:75" x14ac:dyDescent="0.25">
      <c r="BN381" s="362"/>
    </row>
    <row r="382" spans="65:75" x14ac:dyDescent="0.25">
      <c r="BN382" s="362"/>
    </row>
    <row r="383" spans="65:75" x14ac:dyDescent="0.25">
      <c r="BN383" s="362"/>
    </row>
    <row r="384" spans="65:75" x14ac:dyDescent="0.25">
      <c r="BN384" s="362"/>
    </row>
    <row r="385" spans="66:66" x14ac:dyDescent="0.25">
      <c r="BN385" s="362"/>
    </row>
    <row r="386" spans="66:66" x14ac:dyDescent="0.25">
      <c r="BN386" s="362"/>
    </row>
    <row r="387" spans="66:66" x14ac:dyDescent="0.25">
      <c r="BN387" s="362"/>
    </row>
    <row r="388" spans="66:66" x14ac:dyDescent="0.25">
      <c r="BN388" s="362"/>
    </row>
    <row r="389" spans="66:66" x14ac:dyDescent="0.25">
      <c r="BN389" s="362"/>
    </row>
    <row r="390" spans="66:66" x14ac:dyDescent="0.25">
      <c r="BN390" s="362"/>
    </row>
    <row r="391" spans="66:66" x14ac:dyDescent="0.25">
      <c r="BN391" s="362"/>
    </row>
    <row r="392" spans="66:66" x14ac:dyDescent="0.25">
      <c r="BN392" s="362"/>
    </row>
    <row r="393" spans="66:66" x14ac:dyDescent="0.25">
      <c r="BN393" s="362"/>
    </row>
    <row r="394" spans="66:66" x14ac:dyDescent="0.25">
      <c r="BN394" s="362"/>
    </row>
    <row r="395" spans="66:66" x14ac:dyDescent="0.25">
      <c r="BN395" s="362"/>
    </row>
    <row r="396" spans="66:66" x14ac:dyDescent="0.25">
      <c r="BN396" s="362"/>
    </row>
    <row r="397" spans="66:66" x14ac:dyDescent="0.25">
      <c r="BN397" s="362"/>
    </row>
    <row r="398" spans="66:66" x14ac:dyDescent="0.25">
      <c r="BN398" s="362"/>
    </row>
    <row r="399" spans="66:66" x14ac:dyDescent="0.25">
      <c r="BN399" s="362"/>
    </row>
    <row r="400" spans="66:66" x14ac:dyDescent="0.25">
      <c r="BN400" s="362"/>
    </row>
    <row r="401" spans="66:66" x14ac:dyDescent="0.25">
      <c r="BN401" s="362"/>
    </row>
    <row r="402" spans="66:66" x14ac:dyDescent="0.25">
      <c r="BN402" s="362"/>
    </row>
    <row r="403" spans="66:66" x14ac:dyDescent="0.25">
      <c r="BN403" s="362"/>
    </row>
    <row r="404" spans="66:66" x14ac:dyDescent="0.25">
      <c r="BN404" s="362"/>
    </row>
    <row r="405" spans="66:66" x14ac:dyDescent="0.25">
      <c r="BN405" s="362"/>
    </row>
    <row r="406" spans="66:66" x14ac:dyDescent="0.25">
      <c r="BN406" s="362"/>
    </row>
    <row r="407" spans="66:66" x14ac:dyDescent="0.25">
      <c r="BN407" s="362"/>
    </row>
    <row r="408" spans="66:66" x14ac:dyDescent="0.25">
      <c r="BN408" s="362"/>
    </row>
    <row r="409" spans="66:66" x14ac:dyDescent="0.25">
      <c r="BN409" s="362"/>
    </row>
    <row r="410" spans="66:66" x14ac:dyDescent="0.25">
      <c r="BN410" s="362"/>
    </row>
    <row r="411" spans="66:66" x14ac:dyDescent="0.25">
      <c r="BN411" s="362"/>
    </row>
    <row r="412" spans="66:66" x14ac:dyDescent="0.25">
      <c r="BN412" s="362"/>
    </row>
    <row r="413" spans="66:66" x14ac:dyDescent="0.25">
      <c r="BN413" s="362"/>
    </row>
    <row r="414" spans="66:66" x14ac:dyDescent="0.25">
      <c r="BN414" s="362"/>
    </row>
    <row r="415" spans="66:66" x14ac:dyDescent="0.25">
      <c r="BN415" s="362"/>
    </row>
    <row r="416" spans="66:66" x14ac:dyDescent="0.25">
      <c r="BN416" s="362"/>
    </row>
    <row r="417" spans="66:66" x14ac:dyDescent="0.25">
      <c r="BN417" s="362"/>
    </row>
    <row r="418" spans="66:66" x14ac:dyDescent="0.25">
      <c r="BN418" s="362"/>
    </row>
    <row r="419" spans="66:66" x14ac:dyDescent="0.25">
      <c r="BN419" s="362"/>
    </row>
    <row r="420" spans="66:66" x14ac:dyDescent="0.25">
      <c r="BN420" s="362"/>
    </row>
    <row r="421" spans="66:66" x14ac:dyDescent="0.25">
      <c r="BN421" s="362"/>
    </row>
    <row r="422" spans="66:66" x14ac:dyDescent="0.25">
      <c r="BN422" s="362"/>
    </row>
    <row r="423" spans="66:66" x14ac:dyDescent="0.25">
      <c r="BN423" s="362"/>
    </row>
    <row r="424" spans="66:66" x14ac:dyDescent="0.25">
      <c r="BN424" s="362"/>
    </row>
    <row r="425" spans="66:66" x14ac:dyDescent="0.25">
      <c r="BN425" s="362"/>
    </row>
    <row r="426" spans="66:66" x14ac:dyDescent="0.25">
      <c r="BN426" s="362"/>
    </row>
    <row r="427" spans="66:66" x14ac:dyDescent="0.25">
      <c r="BN427" s="362"/>
    </row>
    <row r="428" spans="66:66" x14ac:dyDescent="0.25">
      <c r="BN428" s="362"/>
    </row>
    <row r="429" spans="66:66" x14ac:dyDescent="0.25">
      <c r="BN429" s="362"/>
    </row>
    <row r="430" spans="66:66" x14ac:dyDescent="0.25">
      <c r="BN430" s="362"/>
    </row>
    <row r="431" spans="66:66" x14ac:dyDescent="0.25">
      <c r="BN431" s="362"/>
    </row>
    <row r="432" spans="66:66" x14ac:dyDescent="0.25">
      <c r="BN432" s="362"/>
    </row>
    <row r="433" spans="66:66" x14ac:dyDescent="0.25">
      <c r="BN433" s="362"/>
    </row>
    <row r="434" spans="66:66" x14ac:dyDescent="0.25">
      <c r="BN434" s="362"/>
    </row>
    <row r="435" spans="66:66" x14ac:dyDescent="0.25">
      <c r="BN435" s="362"/>
    </row>
    <row r="436" spans="66:66" x14ac:dyDescent="0.25">
      <c r="BN436" s="362"/>
    </row>
    <row r="437" spans="66:66" x14ac:dyDescent="0.25">
      <c r="BN437" s="362"/>
    </row>
    <row r="438" spans="66:66" x14ac:dyDescent="0.25">
      <c r="BN438" s="362"/>
    </row>
    <row r="439" spans="66:66" x14ac:dyDescent="0.25">
      <c r="BN439" s="362"/>
    </row>
    <row r="440" spans="66:66" x14ac:dyDescent="0.25">
      <c r="BN440" s="362"/>
    </row>
    <row r="441" spans="66:66" x14ac:dyDescent="0.25">
      <c r="BN441" s="362"/>
    </row>
    <row r="442" spans="66:66" x14ac:dyDescent="0.25">
      <c r="BN442" s="362"/>
    </row>
    <row r="443" spans="66:66" x14ac:dyDescent="0.25">
      <c r="BN443" s="362"/>
    </row>
    <row r="444" spans="66:66" x14ac:dyDescent="0.25">
      <c r="BN444" s="362"/>
    </row>
    <row r="445" spans="66:66" x14ac:dyDescent="0.25">
      <c r="BN445" s="362"/>
    </row>
    <row r="446" spans="66:66" x14ac:dyDescent="0.25">
      <c r="BN446" s="362"/>
    </row>
    <row r="447" spans="66:66" x14ac:dyDescent="0.25">
      <c r="BN447" s="362"/>
    </row>
    <row r="448" spans="66:66" x14ac:dyDescent="0.25">
      <c r="BN448" s="362"/>
    </row>
    <row r="449" spans="66:66" x14ac:dyDescent="0.25">
      <c r="BN449" s="362"/>
    </row>
    <row r="450" spans="66:66" x14ac:dyDescent="0.25">
      <c r="BN450" s="362"/>
    </row>
    <row r="451" spans="66:66" x14ac:dyDescent="0.25">
      <c r="BN451" s="362"/>
    </row>
    <row r="452" spans="66:66" x14ac:dyDescent="0.25">
      <c r="BN452" s="362"/>
    </row>
    <row r="453" spans="66:66" x14ac:dyDescent="0.25">
      <c r="BN453" s="362"/>
    </row>
    <row r="454" spans="66:66" x14ac:dyDescent="0.25">
      <c r="BN454" s="362"/>
    </row>
    <row r="455" spans="66:66" x14ac:dyDescent="0.25">
      <c r="BN455" s="362"/>
    </row>
    <row r="456" spans="66:66" x14ac:dyDescent="0.25">
      <c r="BN456" s="362"/>
    </row>
    <row r="457" spans="66:66" x14ac:dyDescent="0.25">
      <c r="BN457" s="362"/>
    </row>
    <row r="458" spans="66:66" x14ac:dyDescent="0.25">
      <c r="BN458" s="362"/>
    </row>
    <row r="459" spans="66:66" x14ac:dyDescent="0.25">
      <c r="BN459" s="362"/>
    </row>
    <row r="460" spans="66:66" x14ac:dyDescent="0.25">
      <c r="BN460" s="362"/>
    </row>
    <row r="461" spans="66:66" x14ac:dyDescent="0.25">
      <c r="BN461" s="362"/>
    </row>
    <row r="462" spans="66:66" x14ac:dyDescent="0.25">
      <c r="BN462" s="362"/>
    </row>
    <row r="463" spans="66:66" x14ac:dyDescent="0.25">
      <c r="BN463" s="362"/>
    </row>
    <row r="464" spans="66:66" x14ac:dyDescent="0.25">
      <c r="BN464" s="362"/>
    </row>
    <row r="465" spans="66:66" x14ac:dyDescent="0.25">
      <c r="BN465" s="362"/>
    </row>
    <row r="466" spans="66:66" x14ac:dyDescent="0.25">
      <c r="BN466" s="362"/>
    </row>
    <row r="467" spans="66:66" x14ac:dyDescent="0.25">
      <c r="BN467" s="362"/>
    </row>
    <row r="468" spans="66:66" x14ac:dyDescent="0.25">
      <c r="BN468" s="362"/>
    </row>
    <row r="469" spans="66:66" x14ac:dyDescent="0.25">
      <c r="BN469" s="362"/>
    </row>
    <row r="470" spans="66:66" x14ac:dyDescent="0.25">
      <c r="BN470" s="362"/>
    </row>
    <row r="471" spans="66:66" x14ac:dyDescent="0.25">
      <c r="BN471" s="362"/>
    </row>
    <row r="472" spans="66:66" x14ac:dyDescent="0.25">
      <c r="BN472" s="362"/>
    </row>
    <row r="473" spans="66:66" x14ac:dyDescent="0.25">
      <c r="BN473" s="362"/>
    </row>
    <row r="474" spans="66:66" x14ac:dyDescent="0.25">
      <c r="BN474" s="362"/>
    </row>
    <row r="475" spans="66:66" x14ac:dyDescent="0.25">
      <c r="BN475" s="362"/>
    </row>
    <row r="476" spans="66:66" x14ac:dyDescent="0.25">
      <c r="BN476" s="362"/>
    </row>
    <row r="477" spans="66:66" x14ac:dyDescent="0.25">
      <c r="BN477" s="362"/>
    </row>
    <row r="478" spans="66:66" x14ac:dyDescent="0.25">
      <c r="BN478" s="362"/>
    </row>
    <row r="479" spans="66:66" x14ac:dyDescent="0.25">
      <c r="BN479" s="362"/>
    </row>
    <row r="480" spans="66:66" x14ac:dyDescent="0.25">
      <c r="BN480" s="362"/>
    </row>
    <row r="481" spans="66:66" x14ac:dyDescent="0.25">
      <c r="BN481" s="362"/>
    </row>
    <row r="482" spans="66:66" x14ac:dyDescent="0.25">
      <c r="BN482" s="362"/>
    </row>
    <row r="483" spans="66:66" x14ac:dyDescent="0.25">
      <c r="BN483" s="362"/>
    </row>
    <row r="484" spans="66:66" x14ac:dyDescent="0.25">
      <c r="BN484" s="362"/>
    </row>
    <row r="485" spans="66:66" x14ac:dyDescent="0.25">
      <c r="BN485" s="362"/>
    </row>
    <row r="486" spans="66:66" x14ac:dyDescent="0.25">
      <c r="BN486" s="362"/>
    </row>
    <row r="487" spans="66:66" x14ac:dyDescent="0.25">
      <c r="BN487" s="362"/>
    </row>
    <row r="488" spans="66:66" x14ac:dyDescent="0.25">
      <c r="BN488" s="362"/>
    </row>
    <row r="489" spans="66:66" x14ac:dyDescent="0.25">
      <c r="BN489" s="362"/>
    </row>
    <row r="490" spans="66:66" x14ac:dyDescent="0.25">
      <c r="BN490" s="362"/>
    </row>
    <row r="491" spans="66:66" x14ac:dyDescent="0.25">
      <c r="BN491" s="362"/>
    </row>
    <row r="492" spans="66:66" x14ac:dyDescent="0.25">
      <c r="BN492" s="362"/>
    </row>
    <row r="493" spans="66:66" x14ac:dyDescent="0.25">
      <c r="BN493" s="362"/>
    </row>
    <row r="494" spans="66:66" x14ac:dyDescent="0.25">
      <c r="BN494" s="362"/>
    </row>
    <row r="495" spans="66:66" x14ac:dyDescent="0.25">
      <c r="BN495" s="362"/>
    </row>
    <row r="496" spans="66:66" x14ac:dyDescent="0.25">
      <c r="BN496" s="362"/>
    </row>
    <row r="497" spans="66:66" x14ac:dyDescent="0.25">
      <c r="BN497" s="362"/>
    </row>
    <row r="498" spans="66:66" x14ac:dyDescent="0.25">
      <c r="BN498" s="362"/>
    </row>
    <row r="499" spans="66:66" x14ac:dyDescent="0.25">
      <c r="BN499" s="362"/>
    </row>
    <row r="500" spans="66:66" x14ac:dyDescent="0.25">
      <c r="BN500" s="362"/>
    </row>
    <row r="501" spans="66:66" x14ac:dyDescent="0.25">
      <c r="BN501" s="362"/>
    </row>
    <row r="502" spans="66:66" x14ac:dyDescent="0.25">
      <c r="BN502" s="362"/>
    </row>
    <row r="503" spans="66:66" x14ac:dyDescent="0.25">
      <c r="BN503" s="362"/>
    </row>
    <row r="504" spans="66:66" x14ac:dyDescent="0.25">
      <c r="BN504" s="362"/>
    </row>
    <row r="505" spans="66:66" x14ac:dyDescent="0.25">
      <c r="BN505" s="362"/>
    </row>
    <row r="506" spans="66:66" x14ac:dyDescent="0.25">
      <c r="BN506" s="362"/>
    </row>
    <row r="507" spans="66:66" x14ac:dyDescent="0.25">
      <c r="BN507" s="362"/>
    </row>
    <row r="508" spans="66:66" x14ac:dyDescent="0.25">
      <c r="BN508" s="362"/>
    </row>
    <row r="509" spans="66:66" x14ac:dyDescent="0.25">
      <c r="BN509" s="362"/>
    </row>
    <row r="510" spans="66:66" x14ac:dyDescent="0.25">
      <c r="BN510" s="362"/>
    </row>
    <row r="511" spans="66:66" x14ac:dyDescent="0.25">
      <c r="BN511" s="362"/>
    </row>
    <row r="512" spans="66:66" x14ac:dyDescent="0.25">
      <c r="BN512" s="362"/>
    </row>
  </sheetData>
  <sheetProtection password="CE45" sheet="1" objects="1" scenarios="1"/>
  <mergeCells count="153">
    <mergeCell ref="R58:V58"/>
    <mergeCell ref="M55:N55"/>
    <mergeCell ref="O55:P55"/>
    <mergeCell ref="R55:S55"/>
    <mergeCell ref="U55:V55"/>
    <mergeCell ref="M56:N56"/>
    <mergeCell ref="O56:P56"/>
    <mergeCell ref="R56:S56"/>
    <mergeCell ref="U56:V56"/>
    <mergeCell ref="M53:N53"/>
    <mergeCell ref="O53:P53"/>
    <mergeCell ref="R53:S53"/>
    <mergeCell ref="U53:V53"/>
    <mergeCell ref="AH53:AJ53"/>
    <mergeCell ref="M54:N54"/>
    <mergeCell ref="O54:P54"/>
    <mergeCell ref="R54:S54"/>
    <mergeCell ref="U54:V54"/>
    <mergeCell ref="M51:N51"/>
    <mergeCell ref="O51:P51"/>
    <mergeCell ref="R51:S51"/>
    <mergeCell ref="U51:V51"/>
    <mergeCell ref="M52:N52"/>
    <mergeCell ref="O52:P52"/>
    <mergeCell ref="R52:S52"/>
    <mergeCell ref="U52:V52"/>
    <mergeCell ref="M47:W47"/>
    <mergeCell ref="O49:P49"/>
    <mergeCell ref="R49:S49"/>
    <mergeCell ref="U49:V49"/>
    <mergeCell ref="M50:N50"/>
    <mergeCell ref="O50:P50"/>
    <mergeCell ref="R50:S50"/>
    <mergeCell ref="U50:V50"/>
    <mergeCell ref="L32:N32"/>
    <mergeCell ref="Q33:AF33"/>
    <mergeCell ref="AD35:AF35"/>
    <mergeCell ref="AD37:AF37"/>
    <mergeCell ref="AD40:AF40"/>
    <mergeCell ref="AD42:AF42"/>
    <mergeCell ref="AB25:AI25"/>
    <mergeCell ref="S26:Z26"/>
    <mergeCell ref="AB30:AI30"/>
    <mergeCell ref="C22:E22"/>
    <mergeCell ref="F22:H22"/>
    <mergeCell ref="I22:K22"/>
    <mergeCell ref="S22:U22"/>
    <mergeCell ref="V22:W22"/>
    <mergeCell ref="X22:AB22"/>
    <mergeCell ref="AD22:AI22"/>
    <mergeCell ref="C21:E21"/>
    <mergeCell ref="F21:H21"/>
    <mergeCell ref="I21:K21"/>
    <mergeCell ref="S21:U21"/>
    <mergeCell ref="V21:W21"/>
    <mergeCell ref="X21:AB21"/>
    <mergeCell ref="S20:U20"/>
    <mergeCell ref="V20:W20"/>
    <mergeCell ref="X20:AB20"/>
    <mergeCell ref="AD20:AI20"/>
    <mergeCell ref="AR20:AS20"/>
    <mergeCell ref="BG30:BK30"/>
    <mergeCell ref="L31:N31"/>
    <mergeCell ref="AB31:AI31"/>
    <mergeCell ref="BG31:BK31"/>
    <mergeCell ref="AD21:AI21"/>
    <mergeCell ref="BG15:BH15"/>
    <mergeCell ref="P17:R22"/>
    <mergeCell ref="S17:U17"/>
    <mergeCell ref="V17:AI17"/>
    <mergeCell ref="A18:B22"/>
    <mergeCell ref="C18:E18"/>
    <mergeCell ref="F18:H18"/>
    <mergeCell ref="I18:K18"/>
    <mergeCell ref="S18:U18"/>
    <mergeCell ref="V18:W18"/>
    <mergeCell ref="X18:AB18"/>
    <mergeCell ref="AD18:AI18"/>
    <mergeCell ref="AR18:AS18"/>
    <mergeCell ref="C19:E19"/>
    <mergeCell ref="F19:H19"/>
    <mergeCell ref="I19:K19"/>
    <mergeCell ref="S19:U19"/>
    <mergeCell ref="V19:W19"/>
    <mergeCell ref="X19:AB19"/>
    <mergeCell ref="AD19:AI19"/>
    <mergeCell ref="AR19:AS19"/>
    <mergeCell ref="C20:E20"/>
    <mergeCell ref="F20:H20"/>
    <mergeCell ref="I20:K20"/>
    <mergeCell ref="A14:E14"/>
    <mergeCell ref="F14:H14"/>
    <mergeCell ref="I14:K14"/>
    <mergeCell ref="X14:AC14"/>
    <mergeCell ref="AD14:AE14"/>
    <mergeCell ref="X15:AC15"/>
    <mergeCell ref="AD15:AE15"/>
    <mergeCell ref="AH12:AI12"/>
    <mergeCell ref="BB12:BF12"/>
    <mergeCell ref="BB15:BF15"/>
    <mergeCell ref="BG12:BH12"/>
    <mergeCell ref="A13:E13"/>
    <mergeCell ref="F13:H13"/>
    <mergeCell ref="I13:K13"/>
    <mergeCell ref="AF13:AG13"/>
    <mergeCell ref="AH13:AI13"/>
    <mergeCell ref="AH11:AI11"/>
    <mergeCell ref="BB11:BF11"/>
    <mergeCell ref="BG11:BH11"/>
    <mergeCell ref="A12:E12"/>
    <mergeCell ref="F12:H12"/>
    <mergeCell ref="I12:K12"/>
    <mergeCell ref="S12:U12"/>
    <mergeCell ref="X12:AC12"/>
    <mergeCell ref="AD12:AE12"/>
    <mergeCell ref="AF12:AG12"/>
    <mergeCell ref="A10:E10"/>
    <mergeCell ref="F10:H10"/>
    <mergeCell ref="I10:K10"/>
    <mergeCell ref="S10:U10"/>
    <mergeCell ref="X10:AC10"/>
    <mergeCell ref="AD10:AE10"/>
    <mergeCell ref="AF10:AG10"/>
    <mergeCell ref="AH10:AI10"/>
    <mergeCell ref="A11:E11"/>
    <mergeCell ref="F11:H11"/>
    <mergeCell ref="I11:K11"/>
    <mergeCell ref="S11:U11"/>
    <mergeCell ref="X11:AC11"/>
    <mergeCell ref="AD11:AE11"/>
    <mergeCell ref="AF11:AG11"/>
    <mergeCell ref="AF6:AJ6"/>
    <mergeCell ref="G7:H7"/>
    <mergeCell ref="M7:N7"/>
    <mergeCell ref="S7:W7"/>
    <mergeCell ref="X8:AE9"/>
    <mergeCell ref="AF8:AG9"/>
    <mergeCell ref="AH8:AI9"/>
    <mergeCell ref="A1:AJ1"/>
    <mergeCell ref="BY1:BZ1"/>
    <mergeCell ref="AH2:AJ2"/>
    <mergeCell ref="BS2:BT2"/>
    <mergeCell ref="C5:G5"/>
    <mergeCell ref="K5:O5"/>
    <mergeCell ref="S5:W5"/>
    <mergeCell ref="AF5:AJ5"/>
    <mergeCell ref="BC5:BE5"/>
    <mergeCell ref="BG5:BI5"/>
    <mergeCell ref="AK8:AK9"/>
    <mergeCell ref="AL8:AL9"/>
    <mergeCell ref="A9:E9"/>
    <mergeCell ref="F9:H9"/>
    <mergeCell ref="I9:K9"/>
  </mergeCells>
  <conditionalFormatting sqref="BN4:BN44">
    <cfRule type="expression" dxfId="1945" priority="16">
      <formula>AND($L4=0,$M4=0)</formula>
    </cfRule>
  </conditionalFormatting>
  <conditionalFormatting sqref="BO4:BQ4">
    <cfRule type="cellIs" dxfId="1944" priority="15" operator="equal">
      <formula>1</formula>
    </cfRule>
  </conditionalFormatting>
  <conditionalFormatting sqref="BO5:BO370 BQ5:BQ370">
    <cfRule type="cellIs" dxfId="1943" priority="14" operator="equal">
      <formula>1</formula>
    </cfRule>
  </conditionalFormatting>
  <conditionalFormatting sqref="BP5:BP370">
    <cfRule type="cellIs" dxfId="1942" priority="13" operator="equal">
      <formula>1</formula>
    </cfRule>
  </conditionalFormatting>
  <conditionalFormatting sqref="I10:K10">
    <cfRule type="cellIs" dxfId="1941" priority="12" operator="equal">
      <formula>"CP payés ?"</formula>
    </cfRule>
  </conditionalFormatting>
  <conditionalFormatting sqref="X10:AC11">
    <cfRule type="cellIs" dxfId="1940" priority="11" operator="equal">
      <formula>"ERREUR"</formula>
    </cfRule>
  </conditionalFormatting>
  <conditionalFormatting sqref="AF8:AI9 AH10:AI12">
    <cfRule type="expression" dxfId="1939" priority="10">
      <formula>IF($AF$6=$BN$370,TRUE,FALSE)</formula>
    </cfRule>
  </conditionalFormatting>
  <conditionalFormatting sqref="AF10:AG12">
    <cfRule type="expression" dxfId="1938" priority="9">
      <formula>IF($AF$6=$BN$370,TRUE,FALSE)</formula>
    </cfRule>
  </conditionalFormatting>
  <conditionalFormatting sqref="I11:K11">
    <cfRule type="expression" dxfId="1937" priority="8">
      <formula>IF(OR($AD$35="",$AD$37=""),TRUE,FALSE)</formula>
    </cfRule>
  </conditionalFormatting>
  <conditionalFormatting sqref="BN74:BN370 BN62:BN63">
    <cfRule type="expression" dxfId="1936" priority="17">
      <formula>AND($L45=0,$M45=0)</formula>
    </cfRule>
  </conditionalFormatting>
  <conditionalFormatting sqref="BN45:BN60">
    <cfRule type="expression" dxfId="1935" priority="18">
      <formula>AND(#REF!=0,#REF!=0)</formula>
    </cfRule>
  </conditionalFormatting>
  <conditionalFormatting sqref="BN64:BN73">
    <cfRule type="expression" dxfId="1934" priority="19">
      <formula>AND($L47=0,#REF!=0)</formula>
    </cfRule>
  </conditionalFormatting>
  <conditionalFormatting sqref="BN61">
    <cfRule type="expression" dxfId="1933" priority="20">
      <formula>AND(#REF!=0,#REF!=0)</formula>
    </cfRule>
  </conditionalFormatting>
  <conditionalFormatting sqref="AI28:AI29">
    <cfRule type="cellIs" dxfId="1932" priority="7" operator="greaterThan">
      <formula>25</formula>
    </cfRule>
  </conditionalFormatting>
  <conditionalFormatting sqref="AB30:AI30">
    <cfRule type="expression" dxfId="1931" priority="6">
      <formula>IF(AI28&gt;0,TRUE,FALSE)</formula>
    </cfRule>
  </conditionalFormatting>
  <conditionalFormatting sqref="AB31:AI31">
    <cfRule type="expression" dxfId="1930" priority="5">
      <formula>IF($AI$29&gt;0,TRUE,FALSE)</formula>
    </cfRule>
  </conditionalFormatting>
  <conditionalFormatting sqref="BP371">
    <cfRule type="cellIs" dxfId="1929" priority="1" operator="equal">
      <formula>1</formula>
    </cfRule>
  </conditionalFormatting>
  <conditionalFormatting sqref="BO371 BQ371">
    <cfRule type="cellIs" dxfId="1928" priority="4" operator="equal">
      <formula>1</formula>
    </cfRule>
  </conditionalFormatting>
  <conditionalFormatting sqref="BO371 BQ371">
    <cfRule type="cellIs" dxfId="1927" priority="2" operator="equal">
      <formula>1</formula>
    </cfRule>
  </conditionalFormatting>
  <conditionalFormatting sqref="BN371">
    <cfRule type="expression" dxfId="1926" priority="3">
      <formula>AND($L354=0,$M354=0)</formula>
    </cfRule>
  </conditionalFormatting>
  <hyperlinks>
    <hyperlink ref="BG30:BK30" r:id="rId1" display="Pour 228 jours : décret n°2000-815" xr:uid="{3AFBC579-E311-4C15-8827-C41549DFF3EA}"/>
  </hyperlinks>
  <pageMargins left="0.7" right="0.7" top="0.75" bottom="0.75" header="0.3" footer="0.3"/>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B0415-6C91-4288-BFE0-F8ECE7CAD6AA}">
  <sheetPr codeName="Feuil9"/>
  <dimension ref="A1:CD512"/>
  <sheetViews>
    <sheetView workbookViewId="0">
      <selection sqref="A1:AJ1"/>
    </sheetView>
  </sheetViews>
  <sheetFormatPr baseColWidth="10" defaultRowHeight="15" x14ac:dyDescent="0.25"/>
  <cols>
    <col min="1" max="1" width="2.7109375" style="63" customWidth="1"/>
    <col min="2" max="2" width="6.7109375" style="63" customWidth="1"/>
    <col min="3" max="3" width="3.7109375" style="63" customWidth="1"/>
    <col min="4" max="4" width="2.7109375" style="63" customWidth="1"/>
    <col min="5" max="5" width="6.7109375" style="76" customWidth="1"/>
    <col min="6" max="6" width="3.7109375" style="63" customWidth="1"/>
    <col min="7" max="7" width="2.7109375" style="63" customWidth="1"/>
    <col min="8" max="8" width="7.42578125" style="63" customWidth="1"/>
    <col min="9" max="9" width="3.7109375" style="76" customWidth="1"/>
    <col min="10" max="10" width="2.7109375" style="76" customWidth="1"/>
    <col min="11" max="11" width="6.7109375" style="63" customWidth="1"/>
    <col min="12" max="12" width="3.7109375" style="63" customWidth="1"/>
    <col min="13" max="13" width="2.7109375" style="63" customWidth="1"/>
    <col min="14" max="14" width="6.7109375" style="76" customWidth="1"/>
    <col min="15" max="15" width="3.7109375" style="63" customWidth="1"/>
    <col min="16" max="16" width="2.7109375" style="63" customWidth="1"/>
    <col min="17" max="17" width="6.7109375" style="63" customWidth="1"/>
    <col min="18" max="18" width="3.7109375" style="76" customWidth="1"/>
    <col min="19" max="19" width="2.7109375" style="76" customWidth="1"/>
    <col min="20" max="20" width="6.7109375" style="63" customWidth="1"/>
    <col min="21" max="21" width="3.7109375" style="63" customWidth="1"/>
    <col min="22" max="22" width="2.7109375" style="63" customWidth="1"/>
    <col min="23" max="23" width="7.28515625" style="76" customWidth="1"/>
    <col min="24" max="24" width="4.7109375" style="63" customWidth="1"/>
    <col min="25" max="25" width="2.7109375" style="63" customWidth="1"/>
    <col min="26" max="26" width="8" style="63" customWidth="1"/>
    <col min="27" max="27" width="3.7109375" style="76" customWidth="1"/>
    <col min="28" max="28" width="2.7109375" style="76" customWidth="1"/>
    <col min="29" max="29" width="6.7109375" style="63" customWidth="1"/>
    <col min="30" max="30" width="3.7109375" style="63" customWidth="1"/>
    <col min="31" max="31" width="2.7109375" style="63" customWidth="1"/>
    <col min="32" max="32" width="6.7109375" style="76" customWidth="1"/>
    <col min="33" max="33" width="3.7109375" style="63" customWidth="1"/>
    <col min="34" max="34" width="2.7109375" style="63" customWidth="1"/>
    <col min="35" max="35" width="6.7109375" style="63" customWidth="1"/>
    <col min="36" max="36" width="3.7109375" style="76" customWidth="1"/>
    <col min="37" max="38" width="10.85546875" style="76" customWidth="1"/>
    <col min="39" max="43" width="10.7109375" style="75" customWidth="1"/>
    <col min="44" max="44" width="11.42578125" style="63" customWidth="1"/>
    <col min="45" max="45" width="18.28515625" style="63" customWidth="1"/>
    <col min="46" max="46" width="11.5703125" style="63" customWidth="1"/>
    <col min="47" max="48" width="11.42578125" style="63" customWidth="1"/>
    <col min="49" max="49" width="11.5703125" style="63" customWidth="1"/>
    <col min="50" max="50" width="12.42578125" style="63" customWidth="1"/>
    <col min="51" max="61" width="11.42578125" style="63" customWidth="1"/>
    <col min="62" max="62" width="14.7109375" style="63" customWidth="1"/>
    <col min="63" max="64" width="11.42578125" style="63" customWidth="1"/>
    <col min="65" max="65" width="11.42578125" style="29" customWidth="1"/>
    <col min="66" max="66" width="11.85546875" style="29" customWidth="1"/>
    <col min="67" max="67" width="11.42578125" style="29" customWidth="1"/>
    <col min="68" max="69" width="12.5703125" style="29" customWidth="1"/>
    <col min="70" max="70" width="11.42578125" style="29" customWidth="1"/>
    <col min="71" max="71" width="12.42578125" customWidth="1"/>
    <col min="72" max="78" width="11.42578125" customWidth="1"/>
    <col min="79" max="79" width="27" customWidth="1"/>
    <col min="80" max="80" width="28.7109375" customWidth="1"/>
    <col min="81" max="82" width="11.42578125" customWidth="1"/>
    <col min="83" max="16384" width="11.42578125" style="63"/>
  </cols>
  <sheetData>
    <row r="1" spans="1:82" s="70" customFormat="1" ht="24" customHeight="1" x14ac:dyDescent="0.35">
      <c r="A1" s="598" t="s">
        <v>119</v>
      </c>
      <c r="B1" s="599"/>
      <c r="C1" s="599"/>
      <c r="D1" s="599"/>
      <c r="E1" s="599"/>
      <c r="F1" s="599"/>
      <c r="G1" s="599"/>
      <c r="H1" s="599"/>
      <c r="I1" s="599"/>
      <c r="J1" s="599"/>
      <c r="K1" s="599"/>
      <c r="L1" s="599"/>
      <c r="M1" s="599"/>
      <c r="N1" s="599"/>
      <c r="O1" s="599"/>
      <c r="P1" s="599"/>
      <c r="Q1" s="599"/>
      <c r="R1" s="599"/>
      <c r="S1" s="599"/>
      <c r="T1" s="599"/>
      <c r="U1" s="599"/>
      <c r="V1" s="599"/>
      <c r="W1" s="599"/>
      <c r="X1" s="599"/>
      <c r="Y1" s="599"/>
      <c r="Z1" s="599"/>
      <c r="AA1" s="599"/>
      <c r="AB1" s="599"/>
      <c r="AC1" s="599"/>
      <c r="AD1" s="599"/>
      <c r="AE1" s="599"/>
      <c r="AF1" s="599"/>
      <c r="AG1" s="599"/>
      <c r="AH1" s="599"/>
      <c r="AI1" s="599"/>
      <c r="AJ1" s="600"/>
      <c r="AK1" s="68"/>
      <c r="AL1" s="68"/>
      <c r="AM1" s="69"/>
      <c r="AN1" s="69"/>
      <c r="AO1" s="69"/>
      <c r="AP1" s="69"/>
      <c r="AQ1" s="69"/>
      <c r="BM1" s="355"/>
      <c r="BN1" s="355"/>
      <c r="BO1" s="355"/>
      <c r="BP1" s="355"/>
      <c r="BQ1" s="355"/>
      <c r="BR1" s="355"/>
      <c r="BS1"/>
      <c r="BT1"/>
      <c r="BU1"/>
      <c r="BV1"/>
      <c r="BW1"/>
      <c r="BX1"/>
      <c r="BY1" s="520" t="s">
        <v>278</v>
      </c>
      <c r="BZ1" s="520"/>
      <c r="CA1"/>
      <c r="CB1"/>
      <c r="CC1"/>
      <c r="CD1"/>
    </row>
    <row r="2" spans="1:82" s="168" customFormat="1" ht="24" customHeight="1" x14ac:dyDescent="0.25">
      <c r="A2" s="166"/>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624" t="s">
        <v>301</v>
      </c>
      <c r="AI2" s="624"/>
      <c r="AJ2" s="624"/>
      <c r="AK2" s="166"/>
      <c r="AL2" s="166"/>
      <c r="AM2" s="167"/>
      <c r="AN2" s="167"/>
      <c r="AO2" s="167"/>
      <c r="AP2" s="167"/>
      <c r="AQ2" s="167"/>
      <c r="BJ2" s="169">
        <v>1.4583333333333333</v>
      </c>
      <c r="BM2" s="355"/>
      <c r="BN2" s="355" t="s">
        <v>250</v>
      </c>
      <c r="BO2" s="355" t="s">
        <v>251</v>
      </c>
      <c r="BP2" s="355" t="s">
        <v>252</v>
      </c>
      <c r="BQ2" s="355" t="s">
        <v>253</v>
      </c>
      <c r="BR2" s="240" t="s">
        <v>118</v>
      </c>
      <c r="BS2" s="520" t="s">
        <v>254</v>
      </c>
      <c r="BT2" s="520"/>
      <c r="BU2" s="355" t="s">
        <v>255</v>
      </c>
      <c r="BV2" s="355"/>
      <c r="BW2" s="355"/>
      <c r="BX2" s="355"/>
      <c r="BY2" s="355" t="s">
        <v>176</v>
      </c>
      <c r="BZ2" s="355" t="s">
        <v>279</v>
      </c>
      <c r="CA2"/>
      <c r="CB2"/>
      <c r="CC2"/>
      <c r="CD2"/>
    </row>
    <row r="3" spans="1:82" s="171" customFormat="1" ht="15.95" customHeight="1" x14ac:dyDescent="0.25">
      <c r="A3" s="165"/>
      <c r="B3" s="165"/>
      <c r="C3" s="165"/>
      <c r="D3" s="165"/>
      <c r="E3" s="165"/>
      <c r="F3" s="165"/>
      <c r="G3" s="165"/>
      <c r="H3" s="165"/>
      <c r="I3" s="165"/>
      <c r="J3" s="165"/>
      <c r="K3" s="165"/>
      <c r="L3" s="165"/>
      <c r="M3" s="165"/>
      <c r="N3" s="165"/>
      <c r="O3" s="165"/>
      <c r="P3" s="165"/>
      <c r="Q3" s="165"/>
      <c r="R3" s="165"/>
      <c r="S3" s="165"/>
      <c r="U3" s="165"/>
      <c r="V3" s="165"/>
      <c r="W3" s="165"/>
      <c r="X3" s="165"/>
      <c r="Y3" s="165"/>
      <c r="Z3" s="165"/>
      <c r="AA3" s="165"/>
      <c r="AB3" s="165"/>
      <c r="AC3" s="165"/>
      <c r="AD3" s="165"/>
      <c r="AE3" s="165"/>
      <c r="AF3" s="165"/>
      <c r="AG3" s="165"/>
      <c r="AH3" s="165"/>
      <c r="AI3" s="165"/>
      <c r="AJ3" s="165"/>
      <c r="AK3" s="165"/>
      <c r="AL3" s="165"/>
      <c r="AM3" s="170"/>
      <c r="AN3" s="170"/>
      <c r="AO3" s="170"/>
      <c r="AP3" s="170"/>
      <c r="AQ3" s="170"/>
      <c r="BJ3" s="172">
        <v>0.29166666666666669</v>
      </c>
      <c r="BM3" s="240" t="s">
        <v>102</v>
      </c>
      <c r="BN3" s="240">
        <f>COUNTA(BN4:BN374)</f>
        <v>366</v>
      </c>
      <c r="BO3" s="240">
        <f>SUM(BO4:BO374)</f>
        <v>104</v>
      </c>
      <c r="BP3" s="240">
        <f>SUM(BP4:BP374)</f>
        <v>7</v>
      </c>
      <c r="BQ3" s="241">
        <f>SUM(BQ4:BQ374)</f>
        <v>254</v>
      </c>
      <c r="BR3" s="240">
        <f>BN3-BP3-BO3</f>
        <v>255</v>
      </c>
      <c r="BS3" s="241">
        <f>SUM(BS4:BS374)</f>
        <v>25.069404333333395</v>
      </c>
      <c r="BT3" s="241">
        <f>SUM(BT4:BT374)</f>
        <v>24.999960000000062</v>
      </c>
      <c r="BU3"/>
      <c r="BV3" s="241">
        <f>SUM(BV4:BV374)</f>
        <v>0</v>
      </c>
      <c r="BW3" s="241">
        <f>SUM(BW4:BW374)</f>
        <v>0</v>
      </c>
      <c r="BX3" s="355"/>
      <c r="BY3" s="274">
        <f>COUNTIF('T1'!B6:B156,"css")+COUNTIF('T2'!B6:B156,"css")+COUNTIF('T3'!B6:B168,"css")+COUNTIF('T4'!B6:B156,"css")</f>
        <v>0</v>
      </c>
      <c r="BZ3" s="274">
        <f>COUNTIF('T1'!C6:C156,"css")+COUNTIF('T2'!C6:C156,"css")+COUNTIF('T3'!C6:C168,"css")+COUNTIF('T4'!C6:C156,"css")</f>
        <v>0</v>
      </c>
      <c r="CA3"/>
      <c r="CB3"/>
      <c r="CC3"/>
      <c r="CD3"/>
    </row>
    <row r="4" spans="1:82" s="171" customFormat="1" ht="15.95" customHeight="1" x14ac:dyDescent="0.25">
      <c r="A4" s="165"/>
      <c r="B4" s="165"/>
      <c r="C4" s="165"/>
      <c r="D4" s="165"/>
      <c r="E4" s="165"/>
      <c r="F4" s="165"/>
      <c r="G4" s="165"/>
      <c r="H4" s="165"/>
      <c r="I4" s="165"/>
      <c r="J4" s="165"/>
      <c r="K4" s="165"/>
      <c r="L4" s="165"/>
      <c r="M4" s="165"/>
      <c r="N4" s="165"/>
      <c r="O4" s="165"/>
      <c r="P4" s="165"/>
      <c r="Q4" s="165"/>
      <c r="R4" s="165"/>
      <c r="S4" s="165"/>
      <c r="T4" s="165"/>
      <c r="U4" s="165"/>
      <c r="V4" s="165"/>
      <c r="W4" s="165"/>
      <c r="X4" s="165"/>
      <c r="Y4" s="165"/>
      <c r="Z4" s="165"/>
      <c r="AA4" s="165"/>
      <c r="AB4" s="165"/>
      <c r="AC4" s="165"/>
      <c r="AD4" s="165"/>
      <c r="AE4" s="165"/>
      <c r="AF4" s="165"/>
      <c r="AG4" s="165"/>
      <c r="AH4" s="165"/>
      <c r="AI4" s="165"/>
      <c r="AJ4" s="165"/>
      <c r="AK4" s="165"/>
      <c r="AL4" s="165"/>
      <c r="AM4" s="170"/>
      <c r="AN4" s="170"/>
      <c r="AO4" s="170"/>
      <c r="AP4" s="170"/>
      <c r="AQ4" s="170"/>
      <c r="BM4" s="355">
        <v>1</v>
      </c>
      <c r="BN4" s="362">
        <f>DATE(annualisation!W2,9,1)</f>
        <v>42613</v>
      </c>
      <c r="BO4" s="355">
        <f t="shared" ref="BO4:BO67" si="0">IF(OR(WEEKDAY(BN4)=1,WEEKDAY(BN4)=7),1,0)</f>
        <v>0</v>
      </c>
      <c r="BP4" s="355">
        <f t="shared" ref="BP4:BP69" si="1">IF(BO4=1,0,COUNTIF(tab_ferie,BN4))</f>
        <v>0</v>
      </c>
      <c r="BQ4" s="355">
        <f>IF(AND(BN4&gt;=$AF$5,BN4&lt;=$AF$6),IF(BO4+BP4=0,1,0),0)</f>
        <v>1</v>
      </c>
      <c r="BR4" s="355">
        <f>1-BP4-BO4</f>
        <v>1</v>
      </c>
      <c r="BS4" s="243">
        <f>2.08333/(EOMONTH(BN4,0)-(EOMONTH(BN4,-1)))</f>
        <v>6.9444333333333344E-2</v>
      </c>
      <c r="BT4">
        <f>IF(AND(BN4&gt;=$AF$5,BN4&lt;=$AF$6),BS4,0)</f>
        <v>6.9444333333333344E-2</v>
      </c>
      <c r="BU4" t="str">
        <f>IF(OR(MONTH(BN4)&gt;=10,MONTH(BN4)&lt;=5),"ok","non")</f>
        <v>non</v>
      </c>
      <c r="BV4">
        <f t="shared" ref="BV4:BV13" si="2">IF(BU4="ok",$CC$29/(EOMONTH(BN4,0)-(EOMONTH(BN4,-1))),0)</f>
        <v>0</v>
      </c>
      <c r="BW4">
        <f>IF(AND(BN4&gt;=$AF$5,BN4&lt;=$AF$6),BV4,0)</f>
        <v>0</v>
      </c>
      <c r="BX4"/>
      <c r="BY4"/>
      <c r="BZ4"/>
      <c r="CA4"/>
      <c r="CB4"/>
      <c r="CC4"/>
      <c r="CD4"/>
    </row>
    <row r="5" spans="1:82" s="171" customFormat="1" ht="15.95" customHeight="1" x14ac:dyDescent="0.25">
      <c r="A5" s="173"/>
      <c r="B5" s="174" t="s">
        <v>110</v>
      </c>
      <c r="C5" s="685"/>
      <c r="D5" s="686"/>
      <c r="E5" s="686"/>
      <c r="F5" s="686"/>
      <c r="G5" s="687"/>
      <c r="H5" s="175"/>
      <c r="I5" s="175"/>
      <c r="J5" s="174" t="s">
        <v>108</v>
      </c>
      <c r="K5" s="685"/>
      <c r="L5" s="686"/>
      <c r="M5" s="686"/>
      <c r="N5" s="686"/>
      <c r="O5" s="687"/>
      <c r="Q5" s="176"/>
      <c r="R5" s="174" t="s">
        <v>83</v>
      </c>
      <c r="S5" s="685"/>
      <c r="T5" s="686"/>
      <c r="U5" s="686"/>
      <c r="V5" s="686"/>
      <c r="W5" s="687"/>
      <c r="X5" s="176"/>
      <c r="Y5" s="165"/>
      <c r="Z5" s="165"/>
      <c r="AA5" s="164"/>
      <c r="AB5" s="174"/>
      <c r="AE5" s="177" t="s">
        <v>203</v>
      </c>
      <c r="AF5" s="680">
        <f>Paramétrage!Y60</f>
        <v>1</v>
      </c>
      <c r="AG5" s="681"/>
      <c r="AH5" s="681"/>
      <c r="AI5" s="681"/>
      <c r="AJ5" s="682"/>
      <c r="AK5" s="165"/>
      <c r="AL5" s="165"/>
      <c r="AM5" s="170"/>
      <c r="AN5" s="170"/>
      <c r="AO5" s="170"/>
      <c r="AP5" s="170"/>
      <c r="AQ5" s="170"/>
      <c r="BB5" s="174" t="s">
        <v>76</v>
      </c>
      <c r="BC5" s="692">
        <f>IF(MONTH(AF5)&gt;8,YEAR(AF5),YEAR(AF5)-1)</f>
        <v>1903</v>
      </c>
      <c r="BD5" s="693"/>
      <c r="BE5" s="694"/>
      <c r="BF5" s="165" t="s">
        <v>77</v>
      </c>
      <c r="BG5" s="537">
        <f>BC5+1</f>
        <v>1904</v>
      </c>
      <c r="BH5" s="537"/>
      <c r="BI5" s="537"/>
      <c r="BM5" s="355">
        <v>2</v>
      </c>
      <c r="BN5" s="362">
        <f>BN4+1</f>
        <v>42614</v>
      </c>
      <c r="BO5" s="355">
        <f t="shared" si="0"/>
        <v>0</v>
      </c>
      <c r="BP5" s="355">
        <f t="shared" si="1"/>
        <v>0</v>
      </c>
      <c r="BQ5" s="355">
        <f t="shared" ref="BQ5:BQ70" si="3">IF(AND(BN5&gt;=$AF$5,BN5&lt;=$AF$6),IF(BO5+BP5=0,1,0),0)</f>
        <v>1</v>
      </c>
      <c r="BR5" s="355">
        <f>BR4+1-BP5-BO5</f>
        <v>2</v>
      </c>
      <c r="BS5" s="243">
        <f t="shared" ref="BS5:BS70" si="4">2.08333/(EOMONTH(BN5,0)-(EOMONTH(BN5,-1)))</f>
        <v>6.9444333333333344E-2</v>
      </c>
      <c r="BT5">
        <f t="shared" ref="BT5:BT70" si="5">IF(AND(BN5&gt;=$AF$5,BN5&lt;=$AF$6),BS5,0)</f>
        <v>6.9444333333333344E-2</v>
      </c>
      <c r="BU5" t="str">
        <f t="shared" ref="BU5:BU70" si="6">IF(OR(MONTH(BN5)&gt;=10,MONTH(BN5)&lt;=5),"ok","non")</f>
        <v>non</v>
      </c>
      <c r="BV5">
        <f t="shared" si="2"/>
        <v>0</v>
      </c>
      <c r="BW5">
        <f t="shared" ref="BW5:BW70" si="7">IF(AND(BN5&gt;=$AF$5,BN5&lt;=$AF$6),BV5,0)</f>
        <v>0</v>
      </c>
      <c r="BX5"/>
      <c r="BY5"/>
      <c r="BZ5"/>
      <c r="CA5"/>
      <c r="CB5"/>
      <c r="CC5"/>
      <c r="CD5"/>
    </row>
    <row r="6" spans="1:82" s="171" customFormat="1" ht="15.95" customHeight="1" x14ac:dyDescent="0.25">
      <c r="A6" s="173"/>
      <c r="B6" s="165"/>
      <c r="C6" s="173"/>
      <c r="E6" s="164"/>
      <c r="F6" s="174"/>
      <c r="G6" s="165"/>
      <c r="H6" s="165"/>
      <c r="I6" s="165"/>
      <c r="J6" s="165"/>
      <c r="K6" s="165"/>
      <c r="L6" s="165"/>
      <c r="M6" s="165"/>
      <c r="N6" s="165"/>
      <c r="O6" s="165"/>
      <c r="Q6" s="176"/>
      <c r="R6" s="174"/>
      <c r="S6" s="165"/>
      <c r="T6" s="165"/>
      <c r="U6" s="165"/>
      <c r="V6" s="165"/>
      <c r="W6" s="165"/>
      <c r="X6" s="176"/>
      <c r="Y6" s="165"/>
      <c r="Z6" s="165"/>
      <c r="AA6" s="165"/>
      <c r="AB6" s="165"/>
      <c r="AC6" s="174"/>
      <c r="AE6" s="177" t="s">
        <v>204</v>
      </c>
      <c r="AF6" s="680">
        <f>Paramétrage!Y61</f>
        <v>42977</v>
      </c>
      <c r="AG6" s="681"/>
      <c r="AH6" s="681"/>
      <c r="AI6" s="681"/>
      <c r="AJ6" s="682"/>
      <c r="AK6" s="165"/>
      <c r="AL6" s="165"/>
      <c r="AM6" s="170"/>
      <c r="AN6" s="170"/>
      <c r="AO6" s="170"/>
      <c r="AP6" s="170"/>
      <c r="AQ6" s="170"/>
      <c r="BM6" s="355">
        <v>3</v>
      </c>
      <c r="BN6" s="362">
        <f t="shared" ref="BN6:BN69" si="8">BN5+1</f>
        <v>42615</v>
      </c>
      <c r="BO6" s="355">
        <f t="shared" si="0"/>
        <v>0</v>
      </c>
      <c r="BP6" s="355">
        <f t="shared" si="1"/>
        <v>0</v>
      </c>
      <c r="BQ6" s="355">
        <f t="shared" si="3"/>
        <v>1</v>
      </c>
      <c r="BR6" s="355">
        <f t="shared" ref="BR6:BR69" si="9">BR5+1-BP6-BO6</f>
        <v>3</v>
      </c>
      <c r="BS6" s="243">
        <f t="shared" si="4"/>
        <v>6.9444333333333344E-2</v>
      </c>
      <c r="BT6">
        <f t="shared" si="5"/>
        <v>6.9444333333333344E-2</v>
      </c>
      <c r="BU6" t="str">
        <f t="shared" si="6"/>
        <v>non</v>
      </c>
      <c r="BV6">
        <f t="shared" si="2"/>
        <v>0</v>
      </c>
      <c r="BW6">
        <f t="shared" si="7"/>
        <v>0</v>
      </c>
      <c r="BX6"/>
      <c r="BY6"/>
      <c r="BZ6"/>
      <c r="CA6"/>
      <c r="CB6"/>
      <c r="CC6"/>
      <c r="CD6"/>
    </row>
    <row r="7" spans="1:82" s="171" customFormat="1" ht="15.95" customHeight="1" x14ac:dyDescent="0.25">
      <c r="A7" s="165"/>
      <c r="B7" s="165"/>
      <c r="C7" s="173"/>
      <c r="E7" s="164"/>
      <c r="F7" s="174" t="s">
        <v>86</v>
      </c>
      <c r="G7" s="683">
        <f>Paramétrage!O61</f>
        <v>0</v>
      </c>
      <c r="H7" s="684"/>
      <c r="I7" s="165"/>
      <c r="J7" s="165"/>
      <c r="K7" s="165"/>
      <c r="L7" s="174" t="s">
        <v>87</v>
      </c>
      <c r="M7" s="628" t="str">
        <f>ROUND(151.67/(35/24)*G7,2)&amp;" h"</f>
        <v>0 h</v>
      </c>
      <c r="N7" s="629"/>
      <c r="O7" s="165"/>
      <c r="Q7" s="176"/>
      <c r="R7" s="174" t="s">
        <v>88</v>
      </c>
      <c r="S7" s="685"/>
      <c r="T7" s="686"/>
      <c r="U7" s="686"/>
      <c r="V7" s="686"/>
      <c r="W7" s="687"/>
      <c r="X7" s="176"/>
      <c r="Y7" s="165"/>
      <c r="AA7" s="164"/>
      <c r="AB7" s="164"/>
      <c r="AF7" s="164"/>
      <c r="AG7" s="78"/>
      <c r="AI7" s="267"/>
      <c r="AJ7" s="267"/>
      <c r="AK7" s="164"/>
      <c r="AL7" s="164"/>
      <c r="AM7" s="170"/>
      <c r="AN7" s="170"/>
      <c r="AO7" s="178" t="str">
        <f>S22</f>
        <v>Eté</v>
      </c>
      <c r="AP7" s="178" t="str">
        <f>S18</f>
        <v>Toussaint</v>
      </c>
      <c r="AQ7" s="178" t="str">
        <f>S19</f>
        <v>Noël</v>
      </c>
      <c r="AS7" s="179" t="s">
        <v>159</v>
      </c>
      <c r="BM7" s="355">
        <v>4</v>
      </c>
      <c r="BN7" s="362">
        <f t="shared" si="8"/>
        <v>42616</v>
      </c>
      <c r="BO7" s="355">
        <f t="shared" si="0"/>
        <v>0</v>
      </c>
      <c r="BP7" s="355">
        <f t="shared" si="1"/>
        <v>0</v>
      </c>
      <c r="BQ7" s="355">
        <f t="shared" si="3"/>
        <v>1</v>
      </c>
      <c r="BR7" s="355">
        <f t="shared" si="9"/>
        <v>4</v>
      </c>
      <c r="BS7" s="243">
        <f t="shared" si="4"/>
        <v>6.9444333333333344E-2</v>
      </c>
      <c r="BT7">
        <f t="shared" si="5"/>
        <v>6.9444333333333344E-2</v>
      </c>
      <c r="BU7" t="str">
        <f t="shared" si="6"/>
        <v>non</v>
      </c>
      <c r="BV7">
        <f t="shared" si="2"/>
        <v>0</v>
      </c>
      <c r="BW7">
        <f t="shared" si="7"/>
        <v>0</v>
      </c>
      <c r="BX7"/>
      <c r="BY7"/>
      <c r="BZ7"/>
      <c r="CA7"/>
      <c r="CB7"/>
      <c r="CC7"/>
      <c r="CD7"/>
    </row>
    <row r="8" spans="1:82" s="171" customFormat="1" ht="15.95" customHeight="1" thickBot="1" x14ac:dyDescent="0.3">
      <c r="A8" s="165"/>
      <c r="B8" s="173"/>
      <c r="C8" s="174"/>
      <c r="D8" s="165"/>
      <c r="E8" s="165"/>
      <c r="F8" s="165"/>
      <c r="G8" s="165"/>
      <c r="H8" s="180"/>
      <c r="I8" s="165"/>
      <c r="J8" s="165"/>
      <c r="K8" s="165"/>
      <c r="L8" s="165"/>
      <c r="M8" s="165"/>
      <c r="N8" s="165"/>
      <c r="O8" s="165"/>
      <c r="P8" s="174"/>
      <c r="Q8" s="165"/>
      <c r="R8" s="165"/>
      <c r="S8" s="165"/>
      <c r="T8" s="165"/>
      <c r="U8" s="165"/>
      <c r="V8" s="165"/>
      <c r="W8" s="165"/>
      <c r="X8" s="545" t="str">
        <f>IF(BN371&lt;&gt;AF6,"Attention : mettre les CP et JC en réel pour connaître le TTE à effectuer","Tous les congés"&amp;CHAR(10)&amp;" doivent être pris sur la période")</f>
        <v>Attention : mettre les CP et JC en réel pour connaître le TTE à effectuer</v>
      </c>
      <c r="Y8" s="545"/>
      <c r="Z8" s="545"/>
      <c r="AA8" s="545"/>
      <c r="AB8" s="545"/>
      <c r="AC8" s="545"/>
      <c r="AD8" s="545"/>
      <c r="AE8" s="546"/>
      <c r="AF8" s="529" t="s">
        <v>273</v>
      </c>
      <c r="AG8" s="530"/>
      <c r="AH8" s="529" t="s">
        <v>272</v>
      </c>
      <c r="AI8" s="530"/>
      <c r="AK8" s="528" t="s">
        <v>270</v>
      </c>
      <c r="AL8" s="528" t="s">
        <v>271</v>
      </c>
      <c r="AM8" s="181">
        <f>X20</f>
        <v>41693</v>
      </c>
      <c r="AN8" s="181">
        <f>X21</f>
        <v>41749</v>
      </c>
      <c r="AO8" s="181">
        <f>X22</f>
        <v>41826</v>
      </c>
      <c r="AP8" s="181">
        <f>X18</f>
        <v>41567</v>
      </c>
      <c r="AQ8" s="181">
        <f>X19</f>
        <v>41630</v>
      </c>
      <c r="AU8" s="182" t="s">
        <v>165</v>
      </c>
      <c r="BM8" s="29">
        <v>5</v>
      </c>
      <c r="BN8" s="242">
        <f t="shared" si="8"/>
        <v>42617</v>
      </c>
      <c r="BO8" s="29">
        <f t="shared" si="0"/>
        <v>1</v>
      </c>
      <c r="BP8" s="29">
        <f t="shared" si="1"/>
        <v>0</v>
      </c>
      <c r="BQ8" s="29">
        <f t="shared" si="3"/>
        <v>0</v>
      </c>
      <c r="BR8" s="29">
        <f t="shared" si="9"/>
        <v>4</v>
      </c>
      <c r="BS8" s="243">
        <f t="shared" si="4"/>
        <v>6.9444333333333344E-2</v>
      </c>
      <c r="BT8">
        <f t="shared" si="5"/>
        <v>6.9444333333333344E-2</v>
      </c>
      <c r="BU8" t="str">
        <f t="shared" si="6"/>
        <v>non</v>
      </c>
      <c r="BV8">
        <f t="shared" si="2"/>
        <v>0</v>
      </c>
      <c r="BW8">
        <f t="shared" si="7"/>
        <v>0</v>
      </c>
      <c r="BX8"/>
      <c r="BY8"/>
      <c r="BZ8"/>
      <c r="CA8"/>
      <c r="CB8"/>
      <c r="CC8"/>
      <c r="CD8"/>
    </row>
    <row r="9" spans="1:82" s="171" customFormat="1" ht="15.75" customHeight="1" thickTop="1" thickBot="1" x14ac:dyDescent="0.3">
      <c r="A9" s="642"/>
      <c r="B9" s="642"/>
      <c r="C9" s="642"/>
      <c r="D9" s="642"/>
      <c r="E9" s="642"/>
      <c r="F9" s="643" t="s">
        <v>93</v>
      </c>
      <c r="G9" s="644"/>
      <c r="H9" s="644"/>
      <c r="I9" s="618" t="s">
        <v>94</v>
      </c>
      <c r="J9" s="619"/>
      <c r="K9" s="620"/>
      <c r="M9" s="164"/>
      <c r="N9" s="164"/>
      <c r="R9" s="164"/>
      <c r="S9" s="164"/>
      <c r="W9" s="164"/>
      <c r="X9" s="547"/>
      <c r="Y9" s="547"/>
      <c r="Z9" s="547"/>
      <c r="AA9" s="547"/>
      <c r="AB9" s="547"/>
      <c r="AC9" s="547"/>
      <c r="AD9" s="547"/>
      <c r="AE9" s="548"/>
      <c r="AF9" s="529"/>
      <c r="AG9" s="530"/>
      <c r="AH9" s="529"/>
      <c r="AI9" s="530"/>
      <c r="AK9" s="528"/>
      <c r="AL9" s="528"/>
      <c r="AM9" s="181">
        <f>IF(AM8="","",IF(AM8=$AD$20,"",AM8+1))</f>
        <v>41694</v>
      </c>
      <c r="AN9" s="181">
        <f>IF(AN8="","",IF(AN8=$AD$21,"",AN8+1))</f>
        <v>41750</v>
      </c>
      <c r="AO9" s="181">
        <f>IF(AO8="","",IF(AO8=$AD$22,"",AO8+1))</f>
        <v>41827</v>
      </c>
      <c r="AP9" s="181">
        <f>IF(AP8="","",IF(AP8=$AD$18,"",AP8+1))</f>
        <v>41568</v>
      </c>
      <c r="AQ9" s="181">
        <f>IF(AQ8="","",IF(AQ8=$AD$19,"",AQ8+1))</f>
        <v>41631</v>
      </c>
      <c r="AU9" s="183" t="e">
        <f>"Nb jours pris entre le "&amp;AT10&amp;" et le "&amp;AT11&amp;" :"</f>
        <v>#NUM!</v>
      </c>
      <c r="AV9" s="184">
        <f>SUM('T1'!AD6:AD156)+SUM('T2'!AD6:AD156)+SUM('T3'!AD6:AD168)+SUM('T4'!AD6:AD156)</f>
        <v>0</v>
      </c>
      <c r="AX9" s="183" t="str">
        <f>"Nb jours pris entre le "&amp;AW10&amp;" et le "&amp;AW11&amp;" :"</f>
        <v>Nb jours pris entre le 121 et le 243 :</v>
      </c>
      <c r="AY9" s="171">
        <f>SUM('T1'!AF6:AF156)+SUM('T2'!AF6:AF156)+SUM('T3'!AF6:AF168)+SUM('T4'!AF6:AF156)</f>
        <v>0</v>
      </c>
      <c r="BM9" s="29">
        <v>6</v>
      </c>
      <c r="BN9" s="242">
        <f t="shared" si="8"/>
        <v>42618</v>
      </c>
      <c r="BO9" s="29">
        <f t="shared" si="0"/>
        <v>1</v>
      </c>
      <c r="BP9" s="29">
        <f t="shared" si="1"/>
        <v>0</v>
      </c>
      <c r="BQ9" s="29">
        <f t="shared" si="3"/>
        <v>0</v>
      </c>
      <c r="BR9" s="29">
        <f t="shared" si="9"/>
        <v>4</v>
      </c>
      <c r="BS9" s="243">
        <f t="shared" si="4"/>
        <v>6.9444333333333344E-2</v>
      </c>
      <c r="BT9">
        <f t="shared" si="5"/>
        <v>6.9444333333333344E-2</v>
      </c>
      <c r="BU9" t="str">
        <f t="shared" si="6"/>
        <v>non</v>
      </c>
      <c r="BV9">
        <f t="shared" si="2"/>
        <v>0</v>
      </c>
      <c r="BW9">
        <f t="shared" si="7"/>
        <v>0</v>
      </c>
      <c r="BX9"/>
      <c r="BY9"/>
      <c r="BZ9"/>
      <c r="CA9"/>
      <c r="CB9"/>
      <c r="CC9"/>
      <c r="CD9"/>
    </row>
    <row r="10" spans="1:82" s="171" customFormat="1" ht="15.75" customHeight="1" thickTop="1" x14ac:dyDescent="0.25">
      <c r="A10" s="596" t="s">
        <v>96</v>
      </c>
      <c r="B10" s="597"/>
      <c r="C10" s="597"/>
      <c r="D10" s="597"/>
      <c r="E10" s="645"/>
      <c r="F10" s="622">
        <v>66.375</v>
      </c>
      <c r="G10" s="622"/>
      <c r="H10" s="646"/>
      <c r="I10" s="621">
        <f>IF(AND(AF5=BN4,AF6=BN371),F10/CC27*G7,IF(AF6=BN371,BJ35,BJ35+(AL10*BJ29/227)))</f>
        <v>0</v>
      </c>
      <c r="J10" s="622"/>
      <c r="K10" s="623"/>
      <c r="M10" s="164"/>
      <c r="N10" s="164"/>
      <c r="R10" s="174" t="s">
        <v>152</v>
      </c>
      <c r="S10" s="615">
        <v>1.3888888888888888E-2</v>
      </c>
      <c r="T10" s="616"/>
      <c r="U10" s="617"/>
      <c r="W10" s="164"/>
      <c r="X10" s="559" t="str">
        <f>IF(AND(AF5=BN4,AF6=BN371),"Nb prévisionnel de CP légaux :","Nombre de jours CP à prendre :")</f>
        <v>Nombre de jours CP à prendre :</v>
      </c>
      <c r="Y10" s="560"/>
      <c r="Z10" s="560"/>
      <c r="AA10" s="560"/>
      <c r="AB10" s="560"/>
      <c r="AC10" s="560"/>
      <c r="AD10" s="561">
        <f>BT3+AD14</f>
        <v>24.999960000000062</v>
      </c>
      <c r="AE10" s="562"/>
      <c r="AF10" s="535">
        <f>annualisation!D81</f>
        <v>0</v>
      </c>
      <c r="AG10" s="536"/>
      <c r="AH10" s="531">
        <f>IF(AL10&lt;=-1,"trop pris",IF(AL10&gt;0,AL10,0))</f>
        <v>24.999960000000062</v>
      </c>
      <c r="AI10" s="532"/>
      <c r="AK10" s="268">
        <f>IF(AF10&gt;AD10,AD10,AF10)</f>
        <v>0</v>
      </c>
      <c r="AL10" s="268">
        <f>IF(AD10-AF10&lt;0,0,AD10-AF10)</f>
        <v>24.999960000000062</v>
      </c>
      <c r="AM10" s="181">
        <f>IF(AM9="","",IF(AM9=$AD$20,"",AM9+1))</f>
        <v>41695</v>
      </c>
      <c r="AN10" s="181">
        <f>IF(AN9="","",IF(AN9=$AD$21,"",AN9+1))</f>
        <v>41751</v>
      </c>
      <c r="AO10" s="181">
        <f>IF(AO9="","",IF(AO9=$AD$22,"",AO9+1))</f>
        <v>41828</v>
      </c>
      <c r="AP10" s="181">
        <f>IF(AP9="","",IF(AP9=$AD$18,"",AP9+1))</f>
        <v>41569</v>
      </c>
      <c r="AQ10" s="181">
        <f>IF(AQ9="","",IF(AQ9=$AD$19,"",AQ9+1))</f>
        <v>41632</v>
      </c>
      <c r="AT10" s="185" t="e">
        <f>DATE(BC5,9,1)</f>
        <v>#NUM!</v>
      </c>
      <c r="AU10" s="186" t="e">
        <f>AT10</f>
        <v>#NUM!</v>
      </c>
      <c r="AW10" s="185">
        <f>DATE(BG5,5,1)</f>
        <v>121</v>
      </c>
      <c r="AX10" s="186">
        <f>AW10</f>
        <v>121</v>
      </c>
      <c r="BM10" s="29">
        <v>7</v>
      </c>
      <c r="BN10" s="242">
        <f t="shared" si="8"/>
        <v>42619</v>
      </c>
      <c r="BO10" s="29">
        <f t="shared" si="0"/>
        <v>0</v>
      </c>
      <c r="BP10" s="29">
        <f t="shared" si="1"/>
        <v>0</v>
      </c>
      <c r="BQ10" s="29">
        <f t="shared" si="3"/>
        <v>1</v>
      </c>
      <c r="BR10" s="29">
        <f t="shared" si="9"/>
        <v>5</v>
      </c>
      <c r="BS10" s="243">
        <f t="shared" si="4"/>
        <v>6.9444333333333344E-2</v>
      </c>
      <c r="BT10">
        <f t="shared" si="5"/>
        <v>6.9444333333333344E-2</v>
      </c>
      <c r="BU10" t="str">
        <f t="shared" si="6"/>
        <v>non</v>
      </c>
      <c r="BV10">
        <f t="shared" si="2"/>
        <v>0</v>
      </c>
      <c r="BW10">
        <f t="shared" si="7"/>
        <v>0</v>
      </c>
      <c r="BX10"/>
      <c r="BY10"/>
      <c r="BZ10"/>
      <c r="CA10"/>
      <c r="CB10"/>
      <c r="CC10"/>
      <c r="CD10"/>
    </row>
    <row r="11" spans="1:82" s="171" customFormat="1" ht="15.95" customHeight="1" x14ac:dyDescent="0.25">
      <c r="A11" s="491" t="s">
        <v>98</v>
      </c>
      <c r="B11" s="492"/>
      <c r="C11" s="492"/>
      <c r="D11" s="492"/>
      <c r="E11" s="493"/>
      <c r="F11" s="494"/>
      <c r="G11" s="494"/>
      <c r="H11" s="495"/>
      <c r="I11" s="651">
        <f>-AD12</f>
        <v>0</v>
      </c>
      <c r="J11" s="502"/>
      <c r="K11" s="652"/>
      <c r="N11" s="164"/>
      <c r="S11" s="647">
        <v>1.3877314814814815E-2</v>
      </c>
      <c r="T11" s="647"/>
      <c r="U11" s="647"/>
      <c r="W11" s="164"/>
      <c r="X11" s="559" t="str">
        <f>IF(AND(AF5=BN4,AF6=BN371),"Nb prév. de jours conv. :","Nombre de jours JC à prendre :")</f>
        <v>Nombre de jours JC à prendre :</v>
      </c>
      <c r="Y11" s="560"/>
      <c r="Z11" s="560"/>
      <c r="AA11" s="560"/>
      <c r="AB11" s="560"/>
      <c r="AC11" s="560"/>
      <c r="AD11" s="561">
        <f>BW3</f>
        <v>0</v>
      </c>
      <c r="AE11" s="562"/>
      <c r="AF11" s="535">
        <f>annualisation!D83</f>
        <v>0</v>
      </c>
      <c r="AG11" s="536"/>
      <c r="AH11" s="531">
        <f>IF(AL11&lt;=-1,"trop prisr",IF(AL11&gt;0,AL11,0))</f>
        <v>0</v>
      </c>
      <c r="AI11" s="532"/>
      <c r="AK11" s="268">
        <f>IF(AF11&gt;AD11,AD11,AF11)</f>
        <v>0</v>
      </c>
      <c r="AL11" s="268">
        <f>IF(AD11-AF11&lt;0,0,AD11-AF11)</f>
        <v>0</v>
      </c>
      <c r="AM11" s="181">
        <f>IF(AM10="","",IF(AM10=$AD$20,"",AM10+1))</f>
        <v>41696</v>
      </c>
      <c r="AN11" s="181">
        <f>IF(AN10="","",IF(AN10=$AD$21,"",AN10+1))</f>
        <v>41752</v>
      </c>
      <c r="AO11" s="181">
        <f>IF(AO10="","",IF(AO10=$AD$22,"",AO10+1))</f>
        <v>41829</v>
      </c>
      <c r="AP11" s="181">
        <f>IF(AP10="","",IF(AP10=$AD$18,"",AP10+1))</f>
        <v>41570</v>
      </c>
      <c r="AQ11" s="181">
        <f>IF(AQ10="","",IF(AQ10=$AD$19,"",AQ10+1))</f>
        <v>41633</v>
      </c>
      <c r="AT11" s="185" t="e">
        <f>DATE(BC5,10,31)</f>
        <v>#NUM!</v>
      </c>
      <c r="AU11" s="186" t="e">
        <f>AT11</f>
        <v>#NUM!</v>
      </c>
      <c r="AW11" s="185">
        <f>DATE(BG5,8,31)</f>
        <v>243</v>
      </c>
      <c r="AX11" s="186">
        <f>AW11</f>
        <v>243</v>
      </c>
      <c r="BB11" s="540" t="s">
        <v>95</v>
      </c>
      <c r="BC11" s="541"/>
      <c r="BD11" s="541"/>
      <c r="BE11" s="541"/>
      <c r="BF11" s="541"/>
      <c r="BG11" s="710">
        <f>IF(BG12&gt;BG15,BG15+1+12-BG12,BG15+1-BG12)</f>
        <v>8</v>
      </c>
      <c r="BH11" s="711"/>
      <c r="BM11" s="29">
        <v>8</v>
      </c>
      <c r="BN11" s="242">
        <f t="shared" si="8"/>
        <v>42620</v>
      </c>
      <c r="BO11" s="29">
        <f t="shared" si="0"/>
        <v>0</v>
      </c>
      <c r="BP11" s="29">
        <f t="shared" si="1"/>
        <v>0</v>
      </c>
      <c r="BQ11" s="29">
        <f t="shared" si="3"/>
        <v>1</v>
      </c>
      <c r="BR11" s="29">
        <f t="shared" si="9"/>
        <v>6</v>
      </c>
      <c r="BS11" s="243">
        <f t="shared" si="4"/>
        <v>6.9444333333333344E-2</v>
      </c>
      <c r="BT11">
        <f t="shared" si="5"/>
        <v>6.9444333333333344E-2</v>
      </c>
      <c r="BU11" t="str">
        <f t="shared" si="6"/>
        <v>non</v>
      </c>
      <c r="BV11">
        <f t="shared" si="2"/>
        <v>0</v>
      </c>
      <c r="BW11">
        <f t="shared" si="7"/>
        <v>0</v>
      </c>
      <c r="BX11"/>
      <c r="BY11"/>
      <c r="BZ11"/>
      <c r="CA11"/>
      <c r="CB11"/>
      <c r="CC11"/>
      <c r="CD11"/>
    </row>
    <row r="12" spans="1:82" s="171" customFormat="1" ht="15.95" customHeight="1" x14ac:dyDescent="0.25">
      <c r="A12" s="491" t="s">
        <v>100</v>
      </c>
      <c r="B12" s="492"/>
      <c r="C12" s="492"/>
      <c r="D12" s="492"/>
      <c r="E12" s="493"/>
      <c r="F12" s="502">
        <f>(0-2.33333333333333)</f>
        <v>-2.3333333333333299</v>
      </c>
      <c r="G12" s="502"/>
      <c r="H12" s="503"/>
      <c r="I12" s="589">
        <f>IF(AL14&lt;-56/24,-56/24,AL14)</f>
        <v>0</v>
      </c>
      <c r="J12" s="590"/>
      <c r="K12" s="591"/>
      <c r="N12" s="164"/>
      <c r="P12" s="187"/>
      <c r="Q12" s="187"/>
      <c r="R12" s="174" t="s">
        <v>153</v>
      </c>
      <c r="S12" s="610">
        <v>1.5</v>
      </c>
      <c r="T12" s="611"/>
      <c r="U12" s="612"/>
      <c r="W12" s="164"/>
      <c r="X12" s="505" t="s">
        <v>205</v>
      </c>
      <c r="Y12" s="506"/>
      <c r="Z12" s="506"/>
      <c r="AA12" s="506"/>
      <c r="AB12" s="506"/>
      <c r="AC12" s="506"/>
      <c r="AD12" s="613">
        <f>IF(AND(AF5=annualisation!B8,annualisation!AA62=Paramétrage!AF6),(AX21*7)/35*G7,0)</f>
        <v>0</v>
      </c>
      <c r="AE12" s="614"/>
      <c r="AF12" s="533"/>
      <c r="AG12" s="534"/>
      <c r="AH12" s="533"/>
      <c r="AI12" s="534"/>
      <c r="AM12" s="181">
        <f>IF(AM11="","",IF(AM11=$AD$20,"",AM11+1))</f>
        <v>41697</v>
      </c>
      <c r="AN12" s="181">
        <f>IF(AN11="","",IF(AN11=$AD$21,"",AN11+1))</f>
        <v>41753</v>
      </c>
      <c r="AO12" s="181">
        <f>IF(AO11="","",IF(AO11=$AD$22,"",AO11+1))</f>
        <v>41830</v>
      </c>
      <c r="AP12" s="181">
        <f>IF(AP11="","",IF(AP11=$AD$18,"",AP11+1))</f>
        <v>41571</v>
      </c>
      <c r="AQ12" s="181">
        <f>IF(AQ11="","",IF(AQ11=$AD$19,"",AQ11+1))</f>
        <v>41634</v>
      </c>
      <c r="AS12" s="188" t="s">
        <v>163</v>
      </c>
      <c r="BB12" s="538" t="s">
        <v>97</v>
      </c>
      <c r="BC12" s="539"/>
      <c r="BD12" s="539"/>
      <c r="BE12" s="539"/>
      <c r="BF12" s="539"/>
      <c r="BG12" s="708">
        <f>MONTH(AF5)</f>
        <v>1</v>
      </c>
      <c r="BH12" s="709"/>
      <c r="BM12" s="29">
        <v>9</v>
      </c>
      <c r="BN12" s="242">
        <f t="shared" si="8"/>
        <v>42621</v>
      </c>
      <c r="BO12" s="29">
        <f t="shared" si="0"/>
        <v>0</v>
      </c>
      <c r="BP12" s="29">
        <f t="shared" si="1"/>
        <v>0</v>
      </c>
      <c r="BQ12" s="29">
        <f t="shared" si="3"/>
        <v>1</v>
      </c>
      <c r="BR12" s="29">
        <f t="shared" si="9"/>
        <v>7</v>
      </c>
      <c r="BS12" s="243">
        <f t="shared" si="4"/>
        <v>6.9444333333333344E-2</v>
      </c>
      <c r="BT12">
        <f t="shared" si="5"/>
        <v>6.9444333333333344E-2</v>
      </c>
      <c r="BU12" t="str">
        <f t="shared" si="6"/>
        <v>non</v>
      </c>
      <c r="BV12">
        <f t="shared" si="2"/>
        <v>0</v>
      </c>
      <c r="BW12">
        <f t="shared" si="7"/>
        <v>0</v>
      </c>
      <c r="BX12"/>
      <c r="BY12"/>
      <c r="BZ12"/>
      <c r="CA12"/>
      <c r="CB12"/>
      <c r="CC12"/>
      <c r="CD12"/>
    </row>
    <row r="13" spans="1:82" s="171" customFormat="1" ht="15.95" customHeight="1" x14ac:dyDescent="0.25">
      <c r="A13" s="491" t="s">
        <v>281</v>
      </c>
      <c r="B13" s="492"/>
      <c r="C13" s="492"/>
      <c r="D13" s="492"/>
      <c r="E13" s="493"/>
      <c r="F13" s="494"/>
      <c r="G13" s="494"/>
      <c r="H13" s="495"/>
      <c r="I13" s="589">
        <f>-AD15*(BJ35/BJ34)</f>
        <v>0</v>
      </c>
      <c r="J13" s="590"/>
      <c r="K13" s="591"/>
      <c r="N13" s="164"/>
      <c r="P13" s="187"/>
      <c r="Q13" s="187"/>
      <c r="R13" s="174"/>
      <c r="S13" s="189"/>
      <c r="T13" s="189"/>
      <c r="U13" s="189"/>
      <c r="V13" s="189"/>
      <c r="W13" s="189"/>
      <c r="AA13" s="164"/>
      <c r="AB13" s="164"/>
      <c r="AF13" s="521"/>
      <c r="AG13" s="521"/>
      <c r="AH13" s="521"/>
      <c r="AI13" s="521"/>
      <c r="AM13" s="181"/>
      <c r="AN13" s="181"/>
      <c r="AO13" s="181"/>
      <c r="AP13" s="181"/>
      <c r="AQ13" s="181"/>
      <c r="AS13" s="188"/>
      <c r="BB13" s="159"/>
      <c r="BC13" s="160"/>
      <c r="BD13" s="160"/>
      <c r="BE13" s="160"/>
      <c r="BF13" s="160"/>
      <c r="BG13" s="319"/>
      <c r="BH13" s="320"/>
      <c r="BM13" s="29">
        <v>10</v>
      </c>
      <c r="BN13" s="242">
        <f t="shared" si="8"/>
        <v>42622</v>
      </c>
      <c r="BO13" s="29">
        <f t="shared" si="0"/>
        <v>0</v>
      </c>
      <c r="BP13" s="29">
        <f t="shared" si="1"/>
        <v>0</v>
      </c>
      <c r="BQ13" s="29">
        <f t="shared" si="3"/>
        <v>1</v>
      </c>
      <c r="BR13" s="29">
        <f t="shared" si="9"/>
        <v>8</v>
      </c>
      <c r="BS13" s="243">
        <f t="shared" si="4"/>
        <v>6.9444333333333344E-2</v>
      </c>
      <c r="BT13">
        <f t="shared" si="5"/>
        <v>6.9444333333333344E-2</v>
      </c>
      <c r="BU13" t="str">
        <f t="shared" si="6"/>
        <v>non</v>
      </c>
      <c r="BV13">
        <f t="shared" si="2"/>
        <v>0</v>
      </c>
      <c r="BW13">
        <f t="shared" si="7"/>
        <v>0</v>
      </c>
      <c r="BX13"/>
      <c r="BY13"/>
      <c r="BZ13"/>
      <c r="CA13"/>
      <c r="CB13"/>
      <c r="CC13"/>
      <c r="CD13"/>
    </row>
    <row r="14" spans="1:82" s="171" customFormat="1" ht="15.95" customHeight="1" thickBot="1" x14ac:dyDescent="0.3">
      <c r="A14" s="497" t="s">
        <v>102</v>
      </c>
      <c r="B14" s="498"/>
      <c r="C14" s="498"/>
      <c r="D14" s="498"/>
      <c r="E14" s="499"/>
      <c r="F14" s="500">
        <f>F10+F12</f>
        <v>64.041666666666671</v>
      </c>
      <c r="G14" s="500"/>
      <c r="H14" s="501"/>
      <c r="I14" s="507">
        <f>I10+I11+I12+I13</f>
        <v>0</v>
      </c>
      <c r="J14" s="500"/>
      <c r="K14" s="508"/>
      <c r="N14" s="164"/>
      <c r="O14" s="164"/>
      <c r="S14" s="164"/>
      <c r="T14" s="164"/>
      <c r="U14" s="164"/>
      <c r="V14" s="164"/>
      <c r="W14" s="189"/>
      <c r="X14" s="522" t="s">
        <v>283</v>
      </c>
      <c r="Y14" s="523"/>
      <c r="Z14" s="523"/>
      <c r="AA14" s="523"/>
      <c r="AB14" s="523"/>
      <c r="AC14" s="523"/>
      <c r="AD14" s="717"/>
      <c r="AE14" s="718"/>
      <c r="AK14" s="182" t="s">
        <v>289</v>
      </c>
      <c r="AL14" s="288">
        <f>IF(AND(AF5=BN4,AF6=BN371),F12/8*AD11,IF(BN371=AF6,-(AD11*CC26/227),-(AK11*CC26/227)))</f>
        <v>0</v>
      </c>
      <c r="AM14" s="181"/>
      <c r="AN14" s="181"/>
      <c r="AO14" s="181"/>
      <c r="AP14" s="181"/>
      <c r="AQ14" s="181"/>
      <c r="AS14" s="188"/>
      <c r="BB14" s="159"/>
      <c r="BC14" s="160"/>
      <c r="BD14" s="160"/>
      <c r="BE14" s="160"/>
      <c r="BF14" s="160"/>
      <c r="BG14" s="319"/>
      <c r="BH14" s="320"/>
      <c r="BM14" s="29"/>
      <c r="BN14" s="242"/>
      <c r="BO14" s="29"/>
      <c r="BP14" s="29"/>
      <c r="BQ14" s="29"/>
      <c r="BR14" s="29"/>
      <c r="BS14" s="243"/>
      <c r="BT14"/>
      <c r="BU14"/>
      <c r="BV14"/>
      <c r="BW14"/>
      <c r="BX14"/>
      <c r="BY14"/>
      <c r="BZ14"/>
      <c r="CA14"/>
      <c r="CB14"/>
      <c r="CC14"/>
      <c r="CD14"/>
    </row>
    <row r="15" spans="1:82" s="171" customFormat="1" ht="15.95" customHeight="1" thickTop="1" x14ac:dyDescent="0.25">
      <c r="N15" s="164"/>
      <c r="O15" s="164"/>
      <c r="P15" s="164"/>
      <c r="Q15" s="164"/>
      <c r="R15" s="164"/>
      <c r="S15" s="164"/>
      <c r="T15" s="164"/>
      <c r="U15" s="164"/>
      <c r="V15" s="164"/>
      <c r="W15" s="164"/>
      <c r="X15" s="522" t="s">
        <v>282</v>
      </c>
      <c r="Y15" s="523"/>
      <c r="Z15" s="523"/>
      <c r="AA15" s="523"/>
      <c r="AB15" s="523"/>
      <c r="AC15" s="523"/>
      <c r="AD15" s="526">
        <f>COUNTIF('T1'!C6:C156,"css")+COUNTIF('T2'!C6:C156,"css")+COUNTIF('T3'!C6:C168,"css")+COUNTIF('T4'!C6:C156,"css")</f>
        <v>0</v>
      </c>
      <c r="AE15" s="527"/>
      <c r="AJ15" s="164"/>
      <c r="AK15" s="164"/>
      <c r="AL15" s="164"/>
      <c r="AM15" s="181">
        <f>IF(AM12="","",IF(AM12=$AD$20,"",AM12+1))</f>
        <v>41698</v>
      </c>
      <c r="AN15" s="181">
        <f>IF(AN12="","",IF(AN12=$AD$21,"",AN12+1))</f>
        <v>41754</v>
      </c>
      <c r="AO15" s="181">
        <f>IF(AO12="","",IF(AO12=$AD$22,"",AO12+1))</f>
        <v>41831</v>
      </c>
      <c r="AP15" s="181">
        <f>IF(AP12="","",IF(AP12=$AD$18,"",AP12+1))</f>
        <v>41572</v>
      </c>
      <c r="AQ15" s="181">
        <f>IF(AQ12="","",IF(AQ12=$AD$19,"",AQ12+1))</f>
        <v>41635</v>
      </c>
      <c r="AT15" s="171" t="s">
        <v>167</v>
      </c>
      <c r="AU15" s="171" t="s">
        <v>168</v>
      </c>
      <c r="AV15" s="171" t="s">
        <v>170</v>
      </c>
      <c r="AW15" s="171" t="s">
        <v>118</v>
      </c>
      <c r="AX15" s="171" t="s">
        <v>171</v>
      </c>
      <c r="BB15" s="538" t="s">
        <v>99</v>
      </c>
      <c r="BC15" s="539"/>
      <c r="BD15" s="539"/>
      <c r="BE15" s="539"/>
      <c r="BF15" s="539"/>
      <c r="BG15" s="708">
        <f>MONTH(AF6)</f>
        <v>8</v>
      </c>
      <c r="BH15" s="709"/>
      <c r="BM15" s="29">
        <v>11</v>
      </c>
      <c r="BN15" s="242">
        <f>BN13+1</f>
        <v>42623</v>
      </c>
      <c r="BO15" s="29">
        <f t="shared" si="0"/>
        <v>0</v>
      </c>
      <c r="BP15" s="29">
        <f t="shared" si="1"/>
        <v>0</v>
      </c>
      <c r="BQ15" s="29">
        <f t="shared" si="3"/>
        <v>1</v>
      </c>
      <c r="BR15" s="29">
        <f>BR13+1-BP15-BO15</f>
        <v>9</v>
      </c>
      <c r="BS15" s="243">
        <f t="shared" si="4"/>
        <v>6.9444333333333344E-2</v>
      </c>
      <c r="BT15">
        <f t="shared" si="5"/>
        <v>6.9444333333333344E-2</v>
      </c>
      <c r="BU15" t="str">
        <f t="shared" si="6"/>
        <v>non</v>
      </c>
      <c r="BV15">
        <f>IF(BU15="ok",$CC$29/(EOMONTH(BN15,0)-(EOMONTH(BN15,-1))),0)</f>
        <v>0</v>
      </c>
      <c r="BW15">
        <f t="shared" si="7"/>
        <v>0</v>
      </c>
      <c r="BX15"/>
      <c r="BY15"/>
      <c r="BZ15"/>
      <c r="CA15"/>
      <c r="CB15"/>
      <c r="CC15"/>
      <c r="CD15"/>
    </row>
    <row r="16" spans="1:82" s="171" customFormat="1" ht="15.95" customHeight="1" thickBot="1" x14ac:dyDescent="0.3">
      <c r="N16" s="164"/>
      <c r="R16" s="164"/>
      <c r="S16" s="164"/>
      <c r="W16" s="164"/>
      <c r="AA16" s="164"/>
      <c r="AB16" s="164"/>
      <c r="AF16" s="164"/>
      <c r="AI16" s="164"/>
      <c r="AJ16" s="164"/>
      <c r="AK16" s="164"/>
      <c r="AL16" s="164"/>
      <c r="AM16" s="181"/>
      <c r="AN16" s="181"/>
      <c r="AO16" s="181"/>
      <c r="AP16" s="181"/>
      <c r="AQ16" s="181"/>
      <c r="BB16" s="160"/>
      <c r="BC16" s="160"/>
      <c r="BD16" s="160"/>
      <c r="BE16" s="160"/>
      <c r="BF16" s="160"/>
      <c r="BG16" s="319"/>
      <c r="BH16" s="319"/>
      <c r="BM16" s="29"/>
      <c r="BN16" s="242"/>
      <c r="BO16" s="29"/>
      <c r="BP16" s="29"/>
      <c r="BQ16" s="29"/>
      <c r="BR16" s="29"/>
      <c r="BS16" s="243"/>
      <c r="BT16"/>
      <c r="BU16"/>
      <c r="BV16"/>
      <c r="BW16"/>
      <c r="BX16"/>
      <c r="BY16"/>
      <c r="BZ16"/>
      <c r="CA16"/>
      <c r="CB16"/>
      <c r="CC16"/>
      <c r="CD16"/>
    </row>
    <row r="17" spans="1:82" s="171" customFormat="1" ht="15.95" customHeight="1" thickTop="1" thickBot="1" x14ac:dyDescent="0.3">
      <c r="A17" s="187"/>
      <c r="B17" s="187"/>
      <c r="C17" s="187"/>
      <c r="D17" s="187"/>
      <c r="E17" s="187"/>
      <c r="F17" s="187"/>
      <c r="G17" s="187"/>
      <c r="H17" s="187"/>
      <c r="I17" s="187"/>
      <c r="J17" s="187"/>
      <c r="K17" s="187"/>
      <c r="N17" s="164"/>
      <c r="P17" s="569" t="s">
        <v>103</v>
      </c>
      <c r="Q17" s="570"/>
      <c r="R17" s="571"/>
      <c r="S17" s="478" t="s">
        <v>104</v>
      </c>
      <c r="T17" s="479"/>
      <c r="U17" s="480"/>
      <c r="V17" s="630" t="s">
        <v>105</v>
      </c>
      <c r="W17" s="630"/>
      <c r="X17" s="630"/>
      <c r="Y17" s="630"/>
      <c r="Z17" s="630"/>
      <c r="AA17" s="630"/>
      <c r="AB17" s="630"/>
      <c r="AC17" s="630"/>
      <c r="AD17" s="630"/>
      <c r="AE17" s="630"/>
      <c r="AF17" s="630"/>
      <c r="AG17" s="630"/>
      <c r="AH17" s="630"/>
      <c r="AI17" s="631"/>
      <c r="AJ17" s="164"/>
      <c r="AK17" s="164"/>
      <c r="AL17" s="164"/>
      <c r="AM17" s="181">
        <f>IF(AM15="","",IF(AM15=$AD$20,"",AM15+1))</f>
        <v>41699</v>
      </c>
      <c r="AN17" s="181">
        <f>IF(AN15="","",IF(AN15=$AD$21,"",AN15+1))</f>
        <v>41755</v>
      </c>
      <c r="AO17" s="181">
        <f>IF(AO15="","",IF(AO15=$AD$22,"",AO15+1))</f>
        <v>41832</v>
      </c>
      <c r="AP17" s="181">
        <f>IF(AP15="","",IF(AP15=$AD$18,"",AP15+1))</f>
        <v>41573</v>
      </c>
      <c r="AQ17" s="181">
        <f>IF(AQ15="","",IF(AQ15=$AD$19,"",AQ15+1))</f>
        <v>41636</v>
      </c>
      <c r="AS17" s="171" t="s">
        <v>169</v>
      </c>
      <c r="AT17" s="171">
        <v>24</v>
      </c>
      <c r="AU17" s="190">
        <v>20</v>
      </c>
      <c r="AV17" s="191">
        <f>AD37+AD40</f>
        <v>0</v>
      </c>
      <c r="AW17" s="190">
        <f>ROUND(AU17-AV17,0)</f>
        <v>20</v>
      </c>
      <c r="BM17" s="29">
        <v>12</v>
      </c>
      <c r="BN17" s="242">
        <f>BN15+1</f>
        <v>42624</v>
      </c>
      <c r="BO17" s="29">
        <f t="shared" si="0"/>
        <v>1</v>
      </c>
      <c r="BP17" s="29">
        <f t="shared" si="1"/>
        <v>0</v>
      </c>
      <c r="BQ17" s="29">
        <f t="shared" si="3"/>
        <v>0</v>
      </c>
      <c r="BR17" s="29">
        <f>BR15+1-BP17-BO17</f>
        <v>9</v>
      </c>
      <c r="BS17" s="243">
        <f t="shared" si="4"/>
        <v>6.9444333333333344E-2</v>
      </c>
      <c r="BT17">
        <f t="shared" si="5"/>
        <v>6.9444333333333344E-2</v>
      </c>
      <c r="BU17" t="str">
        <f t="shared" si="6"/>
        <v>non</v>
      </c>
      <c r="BV17">
        <f t="shared" ref="BV17:BV80" si="10">IF(BU17="ok",$CC$29/(EOMONTH(BN17,0)-(EOMONTH(BN17,-1))),0)</f>
        <v>0</v>
      </c>
      <c r="BW17">
        <f t="shared" si="7"/>
        <v>0</v>
      </c>
      <c r="BX17"/>
      <c r="BY17"/>
      <c r="BZ17"/>
      <c r="CA17"/>
      <c r="CB17"/>
      <c r="CC17"/>
      <c r="CD17"/>
    </row>
    <row r="18" spans="1:82" s="171" customFormat="1" ht="15.95" customHeight="1" thickTop="1" x14ac:dyDescent="0.25">
      <c r="A18" s="655" t="str">
        <f>COUNTA(B18:K22)&amp;" jours fériés dont "&amp;COUNTA(C18:K22)-SUM('Récap annuel'!AN7:AO21)&amp;" jours hors WE"</f>
        <v>13 jours fériés dont 8 jours hors WE</v>
      </c>
      <c r="B18" s="656"/>
      <c r="C18" s="504">
        <v>41578</v>
      </c>
      <c r="D18" s="476"/>
      <c r="E18" s="476"/>
      <c r="F18" s="476">
        <v>41588</v>
      </c>
      <c r="G18" s="476"/>
      <c r="H18" s="476"/>
      <c r="I18" s="476">
        <v>41632</v>
      </c>
      <c r="J18" s="476"/>
      <c r="K18" s="477"/>
      <c r="N18" s="164"/>
      <c r="P18" s="572"/>
      <c r="Q18" s="573"/>
      <c r="R18" s="574"/>
      <c r="S18" s="625" t="s">
        <v>91</v>
      </c>
      <c r="T18" s="626"/>
      <c r="U18" s="627"/>
      <c r="V18" s="511" t="s">
        <v>9</v>
      </c>
      <c r="W18" s="511"/>
      <c r="X18" s="496">
        <v>41567</v>
      </c>
      <c r="Y18" s="496"/>
      <c r="Z18" s="496"/>
      <c r="AA18" s="496"/>
      <c r="AB18" s="496"/>
      <c r="AC18" s="85" t="s">
        <v>10</v>
      </c>
      <c r="AD18" s="517">
        <v>41582</v>
      </c>
      <c r="AE18" s="518"/>
      <c r="AF18" s="518"/>
      <c r="AG18" s="518"/>
      <c r="AH18" s="518"/>
      <c r="AI18" s="519"/>
      <c r="AJ18" s="164"/>
      <c r="AK18" s="164"/>
      <c r="AL18" s="164"/>
      <c r="AM18" s="181">
        <f t="shared" ref="AM18:AM77" si="11">IF(AM17="","",IF(AM17=$AD$20,"",AM17+1))</f>
        <v>41700</v>
      </c>
      <c r="AN18" s="181">
        <f t="shared" ref="AN18:AN77" si="12">IF(AN17="","",IF(AN17=$AD$21,"",AN17+1))</f>
        <v>41756</v>
      </c>
      <c r="AO18" s="181">
        <f t="shared" ref="AO18:AO77" si="13">IF(AO17="","",IF(AO17=$AD$22,"",AO17+1))</f>
        <v>41833</v>
      </c>
      <c r="AP18" s="181">
        <f t="shared" ref="AP18:AP77" si="14">IF(AP17="","",IF(AP17=$AD$18,"",AP17+1))</f>
        <v>41574</v>
      </c>
      <c r="AQ18" s="181">
        <f t="shared" ref="AQ18:AQ77" si="15">IF(AQ17="","",IF(AQ17=$AD$19,"",AQ17+1))</f>
        <v>41637</v>
      </c>
      <c r="AR18" s="509" t="s">
        <v>172</v>
      </c>
      <c r="AS18" s="510"/>
      <c r="AT18" s="171">
        <v>3</v>
      </c>
      <c r="AU18" s="190">
        <v>2.5</v>
      </c>
      <c r="AX18" s="171">
        <f>IF(AW17&lt;AU18,0,0)</f>
        <v>0</v>
      </c>
      <c r="BM18" s="29">
        <v>13</v>
      </c>
      <c r="BN18" s="242">
        <f>BN17+1</f>
        <v>42625</v>
      </c>
      <c r="BO18" s="29">
        <f t="shared" si="0"/>
        <v>1</v>
      </c>
      <c r="BP18" s="29">
        <f t="shared" si="1"/>
        <v>0</v>
      </c>
      <c r="BQ18" s="29">
        <f t="shared" si="3"/>
        <v>0</v>
      </c>
      <c r="BR18" s="29">
        <f t="shared" si="9"/>
        <v>9</v>
      </c>
      <c r="BS18" s="243">
        <f t="shared" si="4"/>
        <v>6.9444333333333344E-2</v>
      </c>
      <c r="BT18">
        <f t="shared" si="5"/>
        <v>6.9444333333333344E-2</v>
      </c>
      <c r="BU18" t="str">
        <f t="shared" si="6"/>
        <v>non</v>
      </c>
      <c r="BV18">
        <f t="shared" si="10"/>
        <v>0</v>
      </c>
      <c r="BW18">
        <f t="shared" si="7"/>
        <v>0</v>
      </c>
      <c r="BX18"/>
      <c r="BY18"/>
      <c r="BZ18"/>
      <c r="CA18"/>
      <c r="CB18"/>
      <c r="CC18"/>
      <c r="CD18"/>
    </row>
    <row r="19" spans="1:82" s="171" customFormat="1" ht="15.95" customHeight="1" x14ac:dyDescent="0.25">
      <c r="A19" s="657"/>
      <c r="B19" s="658"/>
      <c r="C19" s="483">
        <v>41633</v>
      </c>
      <c r="D19" s="484"/>
      <c r="E19" s="484"/>
      <c r="F19" s="484">
        <v>41639</v>
      </c>
      <c r="G19" s="484"/>
      <c r="H19" s="484"/>
      <c r="I19" s="484">
        <v>41727</v>
      </c>
      <c r="J19" s="484"/>
      <c r="K19" s="485"/>
      <c r="N19" s="164"/>
      <c r="P19" s="572"/>
      <c r="Q19" s="573"/>
      <c r="R19" s="574"/>
      <c r="S19" s="456" t="s">
        <v>92</v>
      </c>
      <c r="T19" s="457"/>
      <c r="U19" s="458"/>
      <c r="V19" s="516" t="s">
        <v>9</v>
      </c>
      <c r="W19" s="516"/>
      <c r="X19" s="512">
        <v>41630</v>
      </c>
      <c r="Y19" s="512"/>
      <c r="Z19" s="512"/>
      <c r="AA19" s="512"/>
      <c r="AB19" s="512"/>
      <c r="AC19" s="86" t="s">
        <v>10</v>
      </c>
      <c r="AD19" s="513">
        <v>41645</v>
      </c>
      <c r="AE19" s="514"/>
      <c r="AF19" s="514"/>
      <c r="AG19" s="514"/>
      <c r="AH19" s="514"/>
      <c r="AI19" s="515"/>
      <c r="AJ19" s="164"/>
      <c r="AK19" s="164"/>
      <c r="AL19" s="164"/>
      <c r="AM19" s="181">
        <f t="shared" si="11"/>
        <v>41701</v>
      </c>
      <c r="AN19" s="181">
        <f t="shared" si="12"/>
        <v>41757</v>
      </c>
      <c r="AO19" s="181">
        <f t="shared" si="13"/>
        <v>41834</v>
      </c>
      <c r="AP19" s="181">
        <f t="shared" si="14"/>
        <v>41575</v>
      </c>
      <c r="AQ19" s="181">
        <f t="shared" si="15"/>
        <v>41638</v>
      </c>
      <c r="AR19" s="509" t="s">
        <v>164</v>
      </c>
      <c r="AS19" s="510"/>
      <c r="AT19" s="171">
        <v>5</v>
      </c>
      <c r="AU19" s="190">
        <v>5</v>
      </c>
      <c r="AX19" s="171">
        <f>IF(AND(AW17&gt;AU18,AW17&lt;AU19),1,0)</f>
        <v>0</v>
      </c>
      <c r="BM19" s="29">
        <v>14</v>
      </c>
      <c r="BN19" s="242">
        <f t="shared" si="8"/>
        <v>42626</v>
      </c>
      <c r="BO19" s="29">
        <f t="shared" si="0"/>
        <v>0</v>
      </c>
      <c r="BP19" s="29">
        <f t="shared" si="1"/>
        <v>0</v>
      </c>
      <c r="BQ19" s="29">
        <f t="shared" si="3"/>
        <v>1</v>
      </c>
      <c r="BR19" s="29">
        <f t="shared" si="9"/>
        <v>10</v>
      </c>
      <c r="BS19" s="243">
        <f t="shared" si="4"/>
        <v>6.9444333333333344E-2</v>
      </c>
      <c r="BT19">
        <f t="shared" si="5"/>
        <v>6.9444333333333344E-2</v>
      </c>
      <c r="BU19" t="str">
        <f t="shared" si="6"/>
        <v>non</v>
      </c>
      <c r="BV19">
        <f t="shared" si="10"/>
        <v>0</v>
      </c>
      <c r="BW19">
        <f t="shared" si="7"/>
        <v>0</v>
      </c>
      <c r="BX19"/>
      <c r="BY19"/>
      <c r="BZ19"/>
      <c r="CA19"/>
      <c r="CB19"/>
      <c r="CC19"/>
      <c r="CD19"/>
    </row>
    <row r="20" spans="1:82" s="171" customFormat="1" ht="15.95" customHeight="1" x14ac:dyDescent="0.25">
      <c r="A20" s="657"/>
      <c r="B20" s="658"/>
      <c r="C20" s="483">
        <v>41730</v>
      </c>
      <c r="D20" s="484"/>
      <c r="E20" s="484"/>
      <c r="F20" s="484">
        <v>41759</v>
      </c>
      <c r="G20" s="484"/>
      <c r="H20" s="484"/>
      <c r="I20" s="484">
        <v>41766</v>
      </c>
      <c r="J20" s="484"/>
      <c r="K20" s="485"/>
      <c r="N20" s="164"/>
      <c r="P20" s="572"/>
      <c r="Q20" s="573"/>
      <c r="R20" s="574"/>
      <c r="S20" s="456" t="s">
        <v>106</v>
      </c>
      <c r="T20" s="457"/>
      <c r="U20" s="458"/>
      <c r="V20" s="516" t="s">
        <v>9</v>
      </c>
      <c r="W20" s="516"/>
      <c r="X20" s="512">
        <v>41693</v>
      </c>
      <c r="Y20" s="512"/>
      <c r="Z20" s="512"/>
      <c r="AA20" s="512"/>
      <c r="AB20" s="512"/>
      <c r="AC20" s="86" t="s">
        <v>10</v>
      </c>
      <c r="AD20" s="513">
        <v>41708</v>
      </c>
      <c r="AE20" s="514"/>
      <c r="AF20" s="514"/>
      <c r="AG20" s="514"/>
      <c r="AH20" s="514"/>
      <c r="AI20" s="515"/>
      <c r="AJ20" s="164"/>
      <c r="AK20" s="164"/>
      <c r="AL20" s="164"/>
      <c r="AM20" s="181">
        <f t="shared" si="11"/>
        <v>41702</v>
      </c>
      <c r="AN20" s="181">
        <f t="shared" si="12"/>
        <v>41758</v>
      </c>
      <c r="AO20" s="181">
        <f t="shared" si="13"/>
        <v>41835</v>
      </c>
      <c r="AP20" s="181">
        <f t="shared" si="14"/>
        <v>41576</v>
      </c>
      <c r="AQ20" s="181">
        <f t="shared" si="15"/>
        <v>41639</v>
      </c>
      <c r="AR20" s="509" t="s">
        <v>246</v>
      </c>
      <c r="AS20" s="510"/>
      <c r="AT20" s="171">
        <v>6</v>
      </c>
      <c r="AU20" s="190">
        <v>5</v>
      </c>
      <c r="AX20" s="171">
        <f>IF(AW17&gt;=AU20,2,0)</f>
        <v>2</v>
      </c>
      <c r="BM20" s="29">
        <v>15</v>
      </c>
      <c r="BN20" s="242">
        <f t="shared" si="8"/>
        <v>42627</v>
      </c>
      <c r="BO20" s="29">
        <f t="shared" si="0"/>
        <v>0</v>
      </c>
      <c r="BP20" s="29">
        <f t="shared" si="1"/>
        <v>0</v>
      </c>
      <c r="BQ20" s="29">
        <f t="shared" si="3"/>
        <v>1</v>
      </c>
      <c r="BR20" s="29">
        <f t="shared" si="9"/>
        <v>11</v>
      </c>
      <c r="BS20" s="243">
        <f t="shared" si="4"/>
        <v>6.9444333333333344E-2</v>
      </c>
      <c r="BT20">
        <f t="shared" si="5"/>
        <v>6.9444333333333344E-2</v>
      </c>
      <c r="BU20" t="str">
        <f t="shared" si="6"/>
        <v>non</v>
      </c>
      <c r="BV20">
        <f t="shared" si="10"/>
        <v>0</v>
      </c>
      <c r="BW20">
        <f t="shared" si="7"/>
        <v>0</v>
      </c>
      <c r="BX20"/>
      <c r="BY20"/>
      <c r="BZ20"/>
      <c r="CA20" s="21"/>
      <c r="CB20"/>
      <c r="CC20"/>
      <c r="CD20"/>
    </row>
    <row r="21" spans="1:82" s="171" customFormat="1" ht="15.95" customHeight="1" x14ac:dyDescent="0.25">
      <c r="A21" s="657"/>
      <c r="B21" s="658"/>
      <c r="C21" s="483">
        <v>41768</v>
      </c>
      <c r="D21" s="484"/>
      <c r="E21" s="484"/>
      <c r="F21" s="484">
        <v>41779</v>
      </c>
      <c r="G21" s="484"/>
      <c r="H21" s="484"/>
      <c r="I21" s="484">
        <v>41833</v>
      </c>
      <c r="J21" s="484"/>
      <c r="K21" s="485"/>
      <c r="N21" s="164"/>
      <c r="P21" s="572"/>
      <c r="Q21" s="573"/>
      <c r="R21" s="574"/>
      <c r="S21" s="456" t="s">
        <v>89</v>
      </c>
      <c r="T21" s="457"/>
      <c r="U21" s="458"/>
      <c r="V21" s="516" t="s">
        <v>9</v>
      </c>
      <c r="W21" s="516"/>
      <c r="X21" s="512">
        <v>41749</v>
      </c>
      <c r="Y21" s="512"/>
      <c r="Z21" s="512"/>
      <c r="AA21" s="512"/>
      <c r="AB21" s="512"/>
      <c r="AC21" s="86" t="s">
        <v>10</v>
      </c>
      <c r="AD21" s="513">
        <v>41764</v>
      </c>
      <c r="AE21" s="514"/>
      <c r="AF21" s="514"/>
      <c r="AG21" s="514"/>
      <c r="AH21" s="514"/>
      <c r="AI21" s="515"/>
      <c r="AJ21" s="164"/>
      <c r="AK21" s="164"/>
      <c r="AL21" s="164"/>
      <c r="AM21" s="181">
        <f t="shared" si="11"/>
        <v>41703</v>
      </c>
      <c r="AN21" s="181">
        <f t="shared" si="12"/>
        <v>41759</v>
      </c>
      <c r="AO21" s="181">
        <f t="shared" si="13"/>
        <v>41836</v>
      </c>
      <c r="AP21" s="181">
        <f t="shared" si="14"/>
        <v>41577</v>
      </c>
      <c r="AQ21" s="181">
        <f t="shared" si="15"/>
        <v>41640</v>
      </c>
      <c r="AX21" s="171">
        <f>IF(AD35&lt;10,0,SUM(AX18:AX20))</f>
        <v>0</v>
      </c>
      <c r="BM21" s="29">
        <v>16</v>
      </c>
      <c r="BN21" s="242">
        <f t="shared" si="8"/>
        <v>42628</v>
      </c>
      <c r="BO21" s="29">
        <f t="shared" si="0"/>
        <v>0</v>
      </c>
      <c r="BP21" s="29">
        <f t="shared" si="1"/>
        <v>0</v>
      </c>
      <c r="BQ21" s="29">
        <f t="shared" si="3"/>
        <v>1</v>
      </c>
      <c r="BR21" s="29">
        <f t="shared" si="9"/>
        <v>12</v>
      </c>
      <c r="BS21" s="243">
        <f t="shared" si="4"/>
        <v>6.9444333333333344E-2</v>
      </c>
      <c r="BT21">
        <f t="shared" si="5"/>
        <v>6.9444333333333344E-2</v>
      </c>
      <c r="BU21" t="str">
        <f t="shared" si="6"/>
        <v>non</v>
      </c>
      <c r="BV21">
        <f t="shared" si="10"/>
        <v>0</v>
      </c>
      <c r="BW21">
        <f t="shared" si="7"/>
        <v>0</v>
      </c>
      <c r="BX21"/>
      <c r="BY21"/>
      <c r="BZ21"/>
      <c r="CA21"/>
      <c r="CB21"/>
      <c r="CC21" t="s">
        <v>256</v>
      </c>
      <c r="CD21"/>
    </row>
    <row r="22" spans="1:82" s="171" customFormat="1" ht="15.95" customHeight="1" thickBot="1" x14ac:dyDescent="0.3">
      <c r="A22" s="659"/>
      <c r="B22" s="660"/>
      <c r="C22" s="488">
        <v>41865</v>
      </c>
      <c r="D22" s="489"/>
      <c r="E22" s="490"/>
      <c r="F22" s="461"/>
      <c r="G22" s="461"/>
      <c r="H22" s="461"/>
      <c r="I22" s="461"/>
      <c r="J22" s="461"/>
      <c r="K22" s="462"/>
      <c r="L22" s="192"/>
      <c r="N22" s="164"/>
      <c r="O22" s="193"/>
      <c r="P22" s="575"/>
      <c r="Q22" s="576"/>
      <c r="R22" s="577"/>
      <c r="S22" s="632" t="s">
        <v>90</v>
      </c>
      <c r="T22" s="633"/>
      <c r="U22" s="634"/>
      <c r="V22" s="464" t="s">
        <v>9</v>
      </c>
      <c r="W22" s="464"/>
      <c r="X22" s="463">
        <v>41826</v>
      </c>
      <c r="Y22" s="463"/>
      <c r="Z22" s="463"/>
      <c r="AA22" s="463"/>
      <c r="AB22" s="463"/>
      <c r="AC22" s="87" t="s">
        <v>10</v>
      </c>
      <c r="AD22" s="471">
        <v>41881</v>
      </c>
      <c r="AE22" s="472"/>
      <c r="AF22" s="472"/>
      <c r="AG22" s="472"/>
      <c r="AH22" s="472"/>
      <c r="AI22" s="473"/>
      <c r="AJ22" s="194"/>
      <c r="AK22" s="164"/>
      <c r="AL22" s="164"/>
      <c r="AM22" s="181">
        <f t="shared" si="11"/>
        <v>41704</v>
      </c>
      <c r="AN22" s="181">
        <f t="shared" si="12"/>
        <v>41760</v>
      </c>
      <c r="AO22" s="181">
        <f t="shared" si="13"/>
        <v>41837</v>
      </c>
      <c r="AP22" s="181">
        <f t="shared" si="14"/>
        <v>41578</v>
      </c>
      <c r="AQ22" s="181">
        <f t="shared" si="15"/>
        <v>41641</v>
      </c>
      <c r="BM22" s="29">
        <v>17</v>
      </c>
      <c r="BN22" s="242">
        <f t="shared" si="8"/>
        <v>42629</v>
      </c>
      <c r="BO22" s="29">
        <f t="shared" si="0"/>
        <v>0</v>
      </c>
      <c r="BP22" s="29">
        <f t="shared" si="1"/>
        <v>0</v>
      </c>
      <c r="BQ22" s="29">
        <f t="shared" si="3"/>
        <v>1</v>
      </c>
      <c r="BR22" s="29">
        <f t="shared" si="9"/>
        <v>13</v>
      </c>
      <c r="BS22" s="243">
        <f t="shared" si="4"/>
        <v>6.9444333333333344E-2</v>
      </c>
      <c r="BT22">
        <f t="shared" si="5"/>
        <v>6.9444333333333344E-2</v>
      </c>
      <c r="BU22" t="str">
        <f t="shared" si="6"/>
        <v>non</v>
      </c>
      <c r="BV22">
        <f t="shared" si="10"/>
        <v>0</v>
      </c>
      <c r="BW22">
        <f t="shared" si="7"/>
        <v>0</v>
      </c>
      <c r="BX22"/>
      <c r="BY22"/>
      <c r="BZ22"/>
      <c r="CA22" s="244" t="s">
        <v>257</v>
      </c>
      <c r="CB22" s="21">
        <f>AF5</f>
        <v>1</v>
      </c>
      <c r="CC22" t="e">
        <f>VLOOKUP(CB22,tab_calc2,4)</f>
        <v>#N/A</v>
      </c>
      <c r="CD22"/>
    </row>
    <row r="23" spans="1:82" s="171" customFormat="1" ht="15.95" customHeight="1" thickTop="1" x14ac:dyDescent="0.25">
      <c r="A23" s="195">
        <f>IF(BG11="",0,9)</f>
        <v>9</v>
      </c>
      <c r="B23" s="195"/>
      <c r="C23" s="195"/>
      <c r="D23" s="195"/>
      <c r="E23" s="195"/>
      <c r="F23" s="195"/>
      <c r="G23" s="195"/>
      <c r="H23" s="195"/>
      <c r="I23" s="195"/>
      <c r="J23" s="196"/>
      <c r="K23" s="196"/>
      <c r="L23" s="196"/>
      <c r="M23" s="196"/>
      <c r="N23" s="196"/>
      <c r="O23" s="196"/>
      <c r="P23" s="195"/>
      <c r="Q23" s="195"/>
      <c r="R23" s="195"/>
      <c r="S23" s="195"/>
      <c r="T23" s="195"/>
      <c r="U23" s="195"/>
      <c r="V23" s="195"/>
      <c r="W23" s="195"/>
      <c r="X23" s="195"/>
      <c r="Y23" s="195"/>
      <c r="Z23" s="195"/>
      <c r="AA23" s="195"/>
      <c r="AB23" s="195"/>
      <c r="AC23" s="195"/>
      <c r="AD23" s="195"/>
      <c r="AE23" s="195"/>
      <c r="AF23" s="195"/>
      <c r="AG23" s="195"/>
      <c r="AH23" s="196"/>
      <c r="AI23" s="196"/>
      <c r="AJ23" s="196"/>
      <c r="AK23" s="164"/>
      <c r="AL23" s="164"/>
      <c r="AM23" s="181">
        <f t="shared" si="11"/>
        <v>41705</v>
      </c>
      <c r="AN23" s="181">
        <f t="shared" si="12"/>
        <v>41761</v>
      </c>
      <c r="AO23" s="181">
        <f t="shared" si="13"/>
        <v>41838</v>
      </c>
      <c r="AP23" s="181">
        <f t="shared" si="14"/>
        <v>41579</v>
      </c>
      <c r="AQ23" s="181">
        <f t="shared" si="15"/>
        <v>41642</v>
      </c>
      <c r="BG23" s="245"/>
      <c r="BH23" s="246"/>
      <c r="BI23" s="246"/>
      <c r="BJ23" s="246"/>
      <c r="BK23" s="247"/>
      <c r="BM23" s="29">
        <v>18</v>
      </c>
      <c r="BN23" s="242">
        <f t="shared" si="8"/>
        <v>42630</v>
      </c>
      <c r="BO23" s="29">
        <f t="shared" si="0"/>
        <v>0</v>
      </c>
      <c r="BP23" s="29">
        <f t="shared" si="1"/>
        <v>0</v>
      </c>
      <c r="BQ23" s="29">
        <f t="shared" si="3"/>
        <v>1</v>
      </c>
      <c r="BR23" s="29">
        <f t="shared" si="9"/>
        <v>14</v>
      </c>
      <c r="BS23" s="243">
        <f t="shared" si="4"/>
        <v>6.9444333333333344E-2</v>
      </c>
      <c r="BT23">
        <f t="shared" si="5"/>
        <v>6.9444333333333344E-2</v>
      </c>
      <c r="BU23" t="str">
        <f t="shared" si="6"/>
        <v>non</v>
      </c>
      <c r="BV23">
        <f t="shared" si="10"/>
        <v>0</v>
      </c>
      <c r="BW23">
        <f t="shared" si="7"/>
        <v>0</v>
      </c>
      <c r="BX23"/>
      <c r="BY23"/>
      <c r="BZ23"/>
      <c r="CA23" s="244" t="s">
        <v>258</v>
      </c>
      <c r="CB23" s="21">
        <f>AF6</f>
        <v>42977</v>
      </c>
      <c r="CC23">
        <f>VLOOKUP(CB23,tab_calc2,4)</f>
        <v>1</v>
      </c>
      <c r="CD23"/>
    </row>
    <row r="24" spans="1:82" s="171" customFormat="1" ht="15.95" customHeight="1" x14ac:dyDescent="0.25">
      <c r="A24" s="197"/>
      <c r="B24" s="198"/>
      <c r="C24" s="199"/>
      <c r="D24" s="197"/>
      <c r="E24" s="198"/>
      <c r="F24" s="199"/>
      <c r="G24" s="197"/>
      <c r="H24" s="198"/>
      <c r="I24" s="199"/>
      <c r="J24" s="197"/>
      <c r="K24" s="198"/>
      <c r="L24" s="199"/>
      <c r="M24" s="197"/>
      <c r="N24" s="198"/>
      <c r="O24" s="199"/>
      <c r="P24" s="197"/>
      <c r="Q24" s="198"/>
      <c r="R24" s="199"/>
      <c r="S24" s="197"/>
      <c r="T24" s="198"/>
      <c r="U24" s="199"/>
      <c r="V24" s="197"/>
      <c r="W24" s="198"/>
      <c r="X24" s="199"/>
      <c r="Y24" s="197"/>
      <c r="Z24" s="198"/>
      <c r="AK24" s="199"/>
      <c r="AL24" s="199"/>
      <c r="AM24" s="181">
        <f t="shared" si="11"/>
        <v>41706</v>
      </c>
      <c r="AN24" s="181">
        <f t="shared" si="12"/>
        <v>41762</v>
      </c>
      <c r="AO24" s="181">
        <f t="shared" si="13"/>
        <v>41839</v>
      </c>
      <c r="AP24" s="181">
        <f t="shared" si="14"/>
        <v>41580</v>
      </c>
      <c r="AQ24" s="181">
        <f t="shared" si="15"/>
        <v>41643</v>
      </c>
      <c r="BG24" s="248"/>
      <c r="BH24" s="249" t="s">
        <v>76</v>
      </c>
      <c r="BI24" s="321">
        <f>annualisation!W2</f>
        <v>2020</v>
      </c>
      <c r="BJ24" s="251" t="str">
        <f>"/ "&amp;BI24+1</f>
        <v>/ 2021</v>
      </c>
      <c r="BK24" s="252"/>
      <c r="BM24" s="29">
        <v>19</v>
      </c>
      <c r="BN24" s="242">
        <f t="shared" si="8"/>
        <v>42631</v>
      </c>
      <c r="BO24" s="29">
        <f t="shared" si="0"/>
        <v>1</v>
      </c>
      <c r="BP24" s="29">
        <f t="shared" si="1"/>
        <v>0</v>
      </c>
      <c r="BQ24" s="29">
        <f t="shared" si="3"/>
        <v>0</v>
      </c>
      <c r="BR24" s="29">
        <f t="shared" si="9"/>
        <v>14</v>
      </c>
      <c r="BS24" s="243">
        <f t="shared" si="4"/>
        <v>6.9444333333333344E-2</v>
      </c>
      <c r="BT24">
        <f t="shared" si="5"/>
        <v>6.9444333333333344E-2</v>
      </c>
      <c r="BU24" t="str">
        <f t="shared" si="6"/>
        <v>non</v>
      </c>
      <c r="BV24">
        <f t="shared" si="10"/>
        <v>0</v>
      </c>
      <c r="BW24">
        <f t="shared" si="7"/>
        <v>0</v>
      </c>
      <c r="BX24"/>
      <c r="BY24"/>
      <c r="BZ24"/>
      <c r="CA24"/>
      <c r="CB24" s="244" t="s">
        <v>259</v>
      </c>
      <c r="CC24" t="e">
        <f>IF(BH12=BN4,CC23-CC22+BR4,CC23-CC22+BR4)</f>
        <v>#N/A</v>
      </c>
      <c r="CD24" t="e">
        <f>IF(BH12=BN4,CC23-CC22+BR4,CC23-CC22)</f>
        <v>#N/A</v>
      </c>
    </row>
    <row r="25" spans="1:82" s="171" customFormat="1" ht="15.95" customHeight="1" x14ac:dyDescent="0.25">
      <c r="A25" s="197"/>
      <c r="B25" s="179" t="s">
        <v>126</v>
      </c>
      <c r="E25" s="198"/>
      <c r="F25" s="199"/>
      <c r="G25" s="197"/>
      <c r="H25" s="198"/>
      <c r="I25" s="199"/>
      <c r="J25" s="197"/>
      <c r="K25" s="198"/>
      <c r="L25" s="199"/>
      <c r="M25" s="197"/>
      <c r="N25" s="198"/>
      <c r="O25" s="199"/>
      <c r="P25" s="197"/>
      <c r="Q25" s="198"/>
      <c r="R25" s="199"/>
      <c r="S25" s="197"/>
      <c r="T25" s="198"/>
      <c r="U25" s="199"/>
      <c r="V25" s="197"/>
      <c r="W25" s="164"/>
      <c r="X25" s="199"/>
      <c r="Y25" s="197"/>
      <c r="Z25" s="198"/>
      <c r="AB25" s="468" t="str">
        <f>"Contrôle CP au 31 mai "&amp;YEAR(AF5)+1</f>
        <v>Contrôle CP au 31 mai 1905</v>
      </c>
      <c r="AC25" s="469"/>
      <c r="AD25" s="469"/>
      <c r="AE25" s="469"/>
      <c r="AF25" s="469"/>
      <c r="AG25" s="469"/>
      <c r="AH25" s="469"/>
      <c r="AI25" s="470"/>
      <c r="AM25" s="181">
        <f t="shared" si="11"/>
        <v>41707</v>
      </c>
      <c r="AN25" s="181">
        <f t="shared" si="12"/>
        <v>41763</v>
      </c>
      <c r="AO25" s="181">
        <f t="shared" si="13"/>
        <v>41840</v>
      </c>
      <c r="AP25" s="181">
        <f t="shared" si="14"/>
        <v>41581</v>
      </c>
      <c r="AQ25" s="181">
        <f t="shared" si="15"/>
        <v>41644</v>
      </c>
      <c r="BG25" s="248"/>
      <c r="BH25" s="251"/>
      <c r="BI25" s="249" t="s">
        <v>257</v>
      </c>
      <c r="BJ25" s="322">
        <f>AF5</f>
        <v>1</v>
      </c>
      <c r="BK25" s="252"/>
      <c r="BM25" s="29">
        <v>20</v>
      </c>
      <c r="BN25" s="242">
        <f t="shared" si="8"/>
        <v>42632</v>
      </c>
      <c r="BO25" s="29">
        <f t="shared" si="0"/>
        <v>1</v>
      </c>
      <c r="BP25" s="29">
        <f t="shared" si="1"/>
        <v>0</v>
      </c>
      <c r="BQ25" s="29">
        <f t="shared" si="3"/>
        <v>0</v>
      </c>
      <c r="BR25" s="29">
        <f t="shared" si="9"/>
        <v>14</v>
      </c>
      <c r="BS25" s="243">
        <f t="shared" si="4"/>
        <v>6.9444333333333344E-2</v>
      </c>
      <c r="BT25">
        <f t="shared" si="5"/>
        <v>6.9444333333333344E-2</v>
      </c>
      <c r="BU25" t="str">
        <f t="shared" si="6"/>
        <v>non</v>
      </c>
      <c r="BV25">
        <f t="shared" si="10"/>
        <v>0</v>
      </c>
      <c r="BW25">
        <f t="shared" si="7"/>
        <v>0</v>
      </c>
      <c r="BX25"/>
      <c r="BY25"/>
      <c r="BZ25"/>
      <c r="CA25"/>
      <c r="CB25"/>
      <c r="CC25"/>
      <c r="CD25"/>
    </row>
    <row r="26" spans="1:82" s="171" customFormat="1" ht="15.95" customHeight="1" x14ac:dyDescent="0.25">
      <c r="A26" s="197"/>
      <c r="C26" s="200"/>
      <c r="E26" s="198"/>
      <c r="F26" s="199"/>
      <c r="G26" s="197"/>
      <c r="H26" s="198"/>
      <c r="I26" s="199"/>
      <c r="J26" s="197"/>
      <c r="K26" s="198"/>
      <c r="L26" s="199"/>
      <c r="M26" s="197"/>
      <c r="N26" s="198"/>
      <c r="O26" s="199"/>
      <c r="P26" s="197"/>
      <c r="Q26" s="198"/>
      <c r="R26" s="199"/>
      <c r="S26" s="468" t="s">
        <v>162</v>
      </c>
      <c r="T26" s="469"/>
      <c r="U26" s="469"/>
      <c r="V26" s="469"/>
      <c r="W26" s="469"/>
      <c r="X26" s="469"/>
      <c r="Y26" s="469"/>
      <c r="Z26" s="470"/>
      <c r="AB26" s="233"/>
      <c r="AH26" s="283" t="str">
        <f>"Solde CP N au 31 mai "&amp;YEAR(AF5)&amp;" :"</f>
        <v>Solde CP N au 31 mai 1904 :</v>
      </c>
      <c r="AI26" s="323"/>
      <c r="AM26" s="181">
        <f t="shared" si="11"/>
        <v>41708</v>
      </c>
      <c r="AN26" s="181">
        <f t="shared" si="12"/>
        <v>41764</v>
      </c>
      <c r="AO26" s="181">
        <f t="shared" si="13"/>
        <v>41841</v>
      </c>
      <c r="AP26" s="181">
        <f t="shared" si="14"/>
        <v>41582</v>
      </c>
      <c r="AQ26" s="181">
        <f t="shared" si="15"/>
        <v>41645</v>
      </c>
      <c r="AS26" s="171" t="s">
        <v>224</v>
      </c>
      <c r="AU26" s="204" t="str">
        <f>IF(G7&gt;=35/24,"plein","partiel")</f>
        <v>partiel</v>
      </c>
      <c r="BG26" s="248"/>
      <c r="BH26" s="251"/>
      <c r="BI26" s="249" t="s">
        <v>258</v>
      </c>
      <c r="BJ26" s="322">
        <f>AF6</f>
        <v>42977</v>
      </c>
      <c r="BK26" s="252"/>
      <c r="BM26" s="29">
        <v>21</v>
      </c>
      <c r="BN26" s="242">
        <f t="shared" si="8"/>
        <v>42633</v>
      </c>
      <c r="BO26" s="29">
        <f t="shared" si="0"/>
        <v>0</v>
      </c>
      <c r="BP26" s="29">
        <f t="shared" si="1"/>
        <v>0</v>
      </c>
      <c r="BQ26" s="29">
        <f t="shared" si="3"/>
        <v>1</v>
      </c>
      <c r="BR26" s="29">
        <f t="shared" si="9"/>
        <v>15</v>
      </c>
      <c r="BS26" s="243">
        <f t="shared" si="4"/>
        <v>6.9444333333333344E-2</v>
      </c>
      <c r="BT26">
        <f t="shared" si="5"/>
        <v>6.9444333333333344E-2</v>
      </c>
      <c r="BU26" t="str">
        <f t="shared" si="6"/>
        <v>non</v>
      </c>
      <c r="BV26">
        <f t="shared" si="10"/>
        <v>0</v>
      </c>
      <c r="BW26">
        <f t="shared" si="7"/>
        <v>0</v>
      </c>
      <c r="BX26"/>
      <c r="BY26"/>
      <c r="BZ26"/>
      <c r="CA26"/>
      <c r="CB26" t="s">
        <v>260</v>
      </c>
      <c r="CC26" s="26">
        <v>66.375</v>
      </c>
      <c r="CD26"/>
    </row>
    <row r="27" spans="1:82" s="171" customFormat="1" ht="15.95" customHeight="1" x14ac:dyDescent="0.25">
      <c r="A27" s="197"/>
      <c r="B27" s="205" t="str">
        <f>"Semaine "&amp;_xlfn.ISOWEEKNUM(annualisation!$B$8)-12</f>
        <v>Semaine 24</v>
      </c>
      <c r="D27" s="206"/>
      <c r="E27" s="324"/>
      <c r="F27" s="199"/>
      <c r="I27" s="164"/>
      <c r="J27" s="164"/>
      <c r="L27" s="199"/>
      <c r="M27" s="197"/>
      <c r="N27" s="198"/>
      <c r="O27" s="199"/>
      <c r="P27" s="197"/>
      <c r="Q27" s="198"/>
      <c r="R27" s="199"/>
      <c r="S27" s="207"/>
      <c r="T27" s="203"/>
      <c r="U27" s="201"/>
      <c r="V27" s="202"/>
      <c r="W27" s="208" t="s">
        <v>156</v>
      </c>
      <c r="X27" s="325" t="s">
        <v>157</v>
      </c>
      <c r="Y27" s="202"/>
      <c r="Z27" s="209"/>
      <c r="AB27" s="233"/>
      <c r="AH27" s="283" t="str">
        <f>"CP pris du 1er au 31 mai "&amp;YEAR(AF5)</f>
        <v>CP pris du 1er au 31 mai 1904</v>
      </c>
      <c r="AI27" s="320"/>
      <c r="AM27" s="181" t="str">
        <f t="shared" si="11"/>
        <v/>
      </c>
      <c r="AN27" s="181" t="str">
        <f t="shared" si="12"/>
        <v/>
      </c>
      <c r="AO27" s="181">
        <f t="shared" si="13"/>
        <v>41842</v>
      </c>
      <c r="AP27" s="181" t="str">
        <f t="shared" si="14"/>
        <v/>
      </c>
      <c r="AQ27" s="181" t="str">
        <f t="shared" si="15"/>
        <v/>
      </c>
      <c r="AU27" s="210">
        <v>1</v>
      </c>
      <c r="BG27" s="248"/>
      <c r="BH27" s="251"/>
      <c r="BI27" s="249" t="s">
        <v>264</v>
      </c>
      <c r="BJ27" s="326">
        <f>G7</f>
        <v>0</v>
      </c>
      <c r="BK27" s="252"/>
      <c r="BM27" s="29">
        <v>22</v>
      </c>
      <c r="BN27" s="242">
        <f t="shared" si="8"/>
        <v>42634</v>
      </c>
      <c r="BO27" s="29">
        <f t="shared" si="0"/>
        <v>0</v>
      </c>
      <c r="BP27" s="29">
        <f t="shared" si="1"/>
        <v>0</v>
      </c>
      <c r="BQ27" s="29">
        <f t="shared" si="3"/>
        <v>1</v>
      </c>
      <c r="BR27" s="29">
        <f t="shared" si="9"/>
        <v>16</v>
      </c>
      <c r="BS27" s="243">
        <f t="shared" si="4"/>
        <v>6.9444333333333344E-2</v>
      </c>
      <c r="BT27">
        <f t="shared" si="5"/>
        <v>6.9444333333333344E-2</v>
      </c>
      <c r="BU27" t="str">
        <f t="shared" si="6"/>
        <v>non</v>
      </c>
      <c r="BV27">
        <f t="shared" si="10"/>
        <v>0</v>
      </c>
      <c r="BW27">
        <f t="shared" si="7"/>
        <v>0</v>
      </c>
      <c r="BX27"/>
      <c r="BY27"/>
      <c r="BZ27"/>
      <c r="CA27"/>
      <c r="CB27" s="244" t="s">
        <v>261</v>
      </c>
      <c r="CC27" s="26">
        <v>1.4583333333333333</v>
      </c>
      <c r="CD27"/>
    </row>
    <row r="28" spans="1:82" s="171" customFormat="1" ht="15.95" customHeight="1" x14ac:dyDescent="0.25">
      <c r="A28" s="197"/>
      <c r="B28" s="205" t="str">
        <f>"Semaine "&amp;_xlfn.ISOWEEKNUM(annualisation!$B$8)-11</f>
        <v>Semaine 25</v>
      </c>
      <c r="D28" s="206"/>
      <c r="E28" s="324"/>
      <c r="F28" s="199"/>
      <c r="I28" s="164"/>
      <c r="J28" s="164"/>
      <c r="L28" s="199"/>
      <c r="M28" s="197"/>
      <c r="N28" s="198"/>
      <c r="O28" s="199"/>
      <c r="P28" s="197"/>
      <c r="Q28" s="198"/>
      <c r="R28" s="199"/>
      <c r="S28" s="207"/>
      <c r="T28" s="203"/>
      <c r="U28" s="201"/>
      <c r="V28" s="202"/>
      <c r="W28" s="208" t="s">
        <v>158</v>
      </c>
      <c r="X28" s="325" t="s">
        <v>157</v>
      </c>
      <c r="Y28" s="202"/>
      <c r="Z28" s="209"/>
      <c r="AB28" s="233"/>
      <c r="AH28" s="283" t="str">
        <f>"CP N-1 prév. au 31 mai "&amp;YEAR(AF5)+1&amp;" :"</f>
        <v>CP N-1 prév. au 31 mai 1905 :</v>
      </c>
      <c r="AI28" s="285">
        <f>AI26-AD37+AI27-(SUM('T1'!AR6:AR154)+SUM('T2'!AR6:AR154)+SUM('T3'!AR6:AR166)+SUM('T4'!AR6:AR154))</f>
        <v>0</v>
      </c>
      <c r="AM28" s="181" t="str">
        <f t="shared" si="11"/>
        <v/>
      </c>
      <c r="AN28" s="181" t="str">
        <f t="shared" si="12"/>
        <v/>
      </c>
      <c r="AO28" s="181">
        <f t="shared" si="13"/>
        <v>41843</v>
      </c>
      <c r="AP28" s="181" t="str">
        <f t="shared" si="14"/>
        <v/>
      </c>
      <c r="AQ28" s="181" t="str">
        <f t="shared" si="15"/>
        <v/>
      </c>
      <c r="BG28" s="248"/>
      <c r="BH28" s="251"/>
      <c r="BI28" s="249" t="s">
        <v>263</v>
      </c>
      <c r="BJ28" s="171" t="s">
        <v>157</v>
      </c>
      <c r="BK28" s="326" t="s">
        <v>157</v>
      </c>
      <c r="BM28" s="29">
        <v>23</v>
      </c>
      <c r="BN28" s="242">
        <f t="shared" si="8"/>
        <v>42635</v>
      </c>
      <c r="BO28" s="29">
        <f t="shared" si="0"/>
        <v>0</v>
      </c>
      <c r="BP28" s="29">
        <f t="shared" si="1"/>
        <v>0</v>
      </c>
      <c r="BQ28" s="29">
        <f t="shared" si="3"/>
        <v>1</v>
      </c>
      <c r="BR28" s="29">
        <f t="shared" si="9"/>
        <v>17</v>
      </c>
      <c r="BS28" s="243">
        <f t="shared" si="4"/>
        <v>6.9444333333333344E-2</v>
      </c>
      <c r="BT28">
        <f t="shared" si="5"/>
        <v>6.9444333333333344E-2</v>
      </c>
      <c r="BU28" t="str">
        <f t="shared" si="6"/>
        <v>non</v>
      </c>
      <c r="BV28">
        <f t="shared" si="10"/>
        <v>0</v>
      </c>
      <c r="BW28">
        <f t="shared" si="7"/>
        <v>0</v>
      </c>
      <c r="BX28"/>
      <c r="BY28"/>
      <c r="BZ28"/>
      <c r="CA28"/>
      <c r="CB28"/>
      <c r="CC28"/>
      <c r="CD28"/>
    </row>
    <row r="29" spans="1:82" s="171" customFormat="1" ht="15.95" customHeight="1" x14ac:dyDescent="0.25">
      <c r="A29" s="197"/>
      <c r="B29" s="205" t="str">
        <f>"Semaine "&amp;_xlfn.ISOWEEKNUM(annualisation!$B$8)-10</f>
        <v>Semaine 26</v>
      </c>
      <c r="E29" s="324"/>
      <c r="F29" s="199"/>
      <c r="G29" s="197"/>
      <c r="H29" s="198"/>
      <c r="I29" s="199"/>
      <c r="J29" s="197"/>
      <c r="K29" s="198"/>
      <c r="L29" s="199"/>
      <c r="M29" s="197"/>
      <c r="N29" s="198"/>
      <c r="O29" s="199"/>
      <c r="P29" s="197"/>
      <c r="Q29" s="198"/>
      <c r="R29" s="199"/>
      <c r="S29" s="207"/>
      <c r="T29" s="203"/>
      <c r="U29" s="201"/>
      <c r="V29" s="202"/>
      <c r="W29" s="208" t="s">
        <v>160</v>
      </c>
      <c r="X29" s="325" t="s">
        <v>157</v>
      </c>
      <c r="Y29" s="202"/>
      <c r="Z29" s="209"/>
      <c r="AB29" s="284"/>
      <c r="AC29" s="217"/>
      <c r="AD29" s="218"/>
      <c r="AE29" s="226"/>
      <c r="AF29" s="227"/>
      <c r="AG29" s="225"/>
      <c r="AH29" s="286" t="str">
        <f>"CP N-1 réel au 31 mai "&amp;YEAR(AF5)+1&amp;" :"</f>
        <v>CP N-1 réel au 31 mai 1905 :</v>
      </c>
      <c r="AI29" s="287">
        <f>AI26-AD37+AI27-(SUM('T1'!AS6:AS154)+SUM('T2'!AS6:AS154)+SUM('T3'!AS6:AS166)+SUM('T4'!AS6:AS154))</f>
        <v>0</v>
      </c>
      <c r="AM29" s="181" t="str">
        <f t="shared" si="11"/>
        <v/>
      </c>
      <c r="AN29" s="181" t="str">
        <f t="shared" si="12"/>
        <v/>
      </c>
      <c r="AO29" s="181">
        <f t="shared" si="13"/>
        <v>41844</v>
      </c>
      <c r="AP29" s="181" t="str">
        <f t="shared" si="14"/>
        <v/>
      </c>
      <c r="AQ29" s="181" t="str">
        <f t="shared" si="15"/>
        <v/>
      </c>
      <c r="BG29" s="248"/>
      <c r="BH29" s="251"/>
      <c r="BI29" s="249" t="s">
        <v>113</v>
      </c>
      <c r="BJ29" s="255">
        <f>CC26/CC27*BJ27</f>
        <v>0</v>
      </c>
      <c r="BK29" s="252"/>
      <c r="BM29" s="29">
        <v>24</v>
      </c>
      <c r="BN29" s="242">
        <f t="shared" si="8"/>
        <v>42636</v>
      </c>
      <c r="BO29" s="29">
        <f t="shared" si="0"/>
        <v>0</v>
      </c>
      <c r="BP29" s="29">
        <f t="shared" si="1"/>
        <v>0</v>
      </c>
      <c r="BQ29" s="29">
        <f t="shared" si="3"/>
        <v>1</v>
      </c>
      <c r="BR29" s="29">
        <f t="shared" si="9"/>
        <v>18</v>
      </c>
      <c r="BS29" s="243">
        <f t="shared" si="4"/>
        <v>6.9444333333333344E-2</v>
      </c>
      <c r="BT29">
        <f t="shared" si="5"/>
        <v>6.9444333333333344E-2</v>
      </c>
      <c r="BU29" t="str">
        <f t="shared" si="6"/>
        <v>non</v>
      </c>
      <c r="BV29">
        <f t="shared" si="10"/>
        <v>0</v>
      </c>
      <c r="BW29">
        <f t="shared" si="7"/>
        <v>0</v>
      </c>
      <c r="BX29"/>
      <c r="BY29"/>
      <c r="BZ29"/>
      <c r="CA29"/>
      <c r="CB29" s="244" t="s">
        <v>262</v>
      </c>
      <c r="CC29">
        <f>1/CC27*G7</f>
        <v>0</v>
      </c>
      <c r="CD29"/>
    </row>
    <row r="30" spans="1:82" s="171" customFormat="1" ht="15.95" customHeight="1" x14ac:dyDescent="0.25">
      <c r="A30" s="197"/>
      <c r="B30" s="205" t="str">
        <f>"Semaine "&amp;_xlfn.ISOWEEKNUM(annualisation!$B$8)-9</f>
        <v>Semaine 27</v>
      </c>
      <c r="E30" s="324"/>
      <c r="F30" s="199"/>
      <c r="G30" s="197"/>
      <c r="H30" s="211"/>
      <c r="I30" s="212"/>
      <c r="J30" s="213"/>
      <c r="K30" s="214"/>
      <c r="L30" s="212"/>
      <c r="M30" s="213"/>
      <c r="N30" s="215"/>
      <c r="O30" s="199"/>
      <c r="P30" s="197"/>
      <c r="Q30" s="198"/>
      <c r="R30" s="199"/>
      <c r="S30" s="216"/>
      <c r="T30" s="217"/>
      <c r="U30" s="218"/>
      <c r="V30" s="219"/>
      <c r="W30" s="220" t="s">
        <v>161</v>
      </c>
      <c r="X30" s="327" t="s">
        <v>157</v>
      </c>
      <c r="Y30" s="219"/>
      <c r="Z30" s="221"/>
      <c r="AA30" s="201"/>
      <c r="AB30" s="453" t="str">
        <f>IF(AI28&gt;0,"Rajouter des CP prév. avant le 31/05/"&amp;YEAR(AF5)+1,"Pas de perte prévisionnelle de CP")</f>
        <v>Pas de perte prévisionnelle de CP</v>
      </c>
      <c r="AC30" s="454"/>
      <c r="AD30" s="454"/>
      <c r="AE30" s="454"/>
      <c r="AF30" s="454"/>
      <c r="AG30" s="454"/>
      <c r="AH30" s="454"/>
      <c r="AI30" s="455"/>
      <c r="AJ30" s="199"/>
      <c r="AK30" s="199"/>
      <c r="AL30" s="199"/>
      <c r="AM30" s="181" t="str">
        <f t="shared" si="11"/>
        <v/>
      </c>
      <c r="AN30" s="181" t="str">
        <f t="shared" si="12"/>
        <v/>
      </c>
      <c r="AO30" s="181">
        <f t="shared" si="13"/>
        <v>41845</v>
      </c>
      <c r="AP30" s="181" t="str">
        <f t="shared" si="14"/>
        <v/>
      </c>
      <c r="AQ30" s="181" t="str">
        <f t="shared" si="15"/>
        <v/>
      </c>
      <c r="BG30" s="674" t="s">
        <v>265</v>
      </c>
      <c r="BH30" s="675"/>
      <c r="BI30" s="675"/>
      <c r="BJ30" s="675"/>
      <c r="BK30" s="676"/>
      <c r="BM30" s="29">
        <v>25</v>
      </c>
      <c r="BN30" s="242">
        <f t="shared" si="8"/>
        <v>42637</v>
      </c>
      <c r="BO30" s="29">
        <f t="shared" si="0"/>
        <v>0</v>
      </c>
      <c r="BP30" s="29">
        <f t="shared" si="1"/>
        <v>0</v>
      </c>
      <c r="BQ30" s="29">
        <f t="shared" si="3"/>
        <v>1</v>
      </c>
      <c r="BR30" s="29">
        <f t="shared" si="9"/>
        <v>19</v>
      </c>
      <c r="BS30" s="243">
        <f t="shared" si="4"/>
        <v>6.9444333333333344E-2</v>
      </c>
      <c r="BT30">
        <f t="shared" si="5"/>
        <v>6.9444333333333344E-2</v>
      </c>
      <c r="BU30" t="str">
        <f t="shared" si="6"/>
        <v>non</v>
      </c>
      <c r="BV30">
        <f t="shared" si="10"/>
        <v>0</v>
      </c>
      <c r="BW30">
        <f t="shared" si="7"/>
        <v>0</v>
      </c>
      <c r="BX30"/>
      <c r="BY30"/>
      <c r="BZ30"/>
      <c r="CA30"/>
      <c r="CB30"/>
      <c r="CC30"/>
      <c r="CD30"/>
    </row>
    <row r="31" spans="1:82" s="171" customFormat="1" ht="15.95" customHeight="1" x14ac:dyDescent="0.25">
      <c r="A31" s="197"/>
      <c r="B31" s="205" t="str">
        <f>"Semaine "&amp;_xlfn.ISOWEEKNUM(annualisation!$B$8)-8</f>
        <v>Semaine 28</v>
      </c>
      <c r="E31" s="324"/>
      <c r="F31" s="199"/>
      <c r="G31" s="197"/>
      <c r="H31" s="222"/>
      <c r="I31" s="197"/>
      <c r="K31" s="223" t="s">
        <v>127</v>
      </c>
      <c r="L31" s="747">
        <f>SUM(E27:E38)</f>
        <v>0</v>
      </c>
      <c r="M31" s="747"/>
      <c r="N31" s="748"/>
      <c r="O31" s="199"/>
      <c r="P31" s="197"/>
      <c r="Q31" s="198"/>
      <c r="R31" s="199"/>
      <c r="S31" s="197"/>
      <c r="T31" s="203"/>
      <c r="U31" s="201"/>
      <c r="V31" s="202"/>
      <c r="W31" s="203"/>
      <c r="X31" s="201"/>
      <c r="Y31" s="202"/>
      <c r="Z31" s="203"/>
      <c r="AA31" s="201"/>
      <c r="AB31" s="450" t="str">
        <f>IF(AI29&gt;0,"Rajouter des CP réel avant le 31/05/"&amp;YEAR(AF5)+1,"CP réels conformes")</f>
        <v>CP réels conformes</v>
      </c>
      <c r="AC31" s="451"/>
      <c r="AD31" s="451"/>
      <c r="AE31" s="451"/>
      <c r="AF31" s="451"/>
      <c r="AG31" s="451"/>
      <c r="AH31" s="451"/>
      <c r="AI31" s="452"/>
      <c r="AJ31" s="199"/>
      <c r="AK31" s="199"/>
      <c r="AL31" s="199"/>
      <c r="AM31" s="181" t="str">
        <f t="shared" si="11"/>
        <v/>
      </c>
      <c r="AN31" s="181" t="str">
        <f t="shared" si="12"/>
        <v/>
      </c>
      <c r="AO31" s="181">
        <f t="shared" si="13"/>
        <v>41846</v>
      </c>
      <c r="AP31" s="181" t="str">
        <f t="shared" si="14"/>
        <v/>
      </c>
      <c r="AQ31" s="181" t="str">
        <f t="shared" si="15"/>
        <v/>
      </c>
      <c r="BG31" s="677" t="s">
        <v>266</v>
      </c>
      <c r="BH31" s="678"/>
      <c r="BI31" s="678"/>
      <c r="BJ31" s="678"/>
      <c r="BK31" s="679"/>
      <c r="BM31" s="29">
        <v>26</v>
      </c>
      <c r="BN31" s="242">
        <f t="shared" si="8"/>
        <v>42638</v>
      </c>
      <c r="BO31" s="29">
        <f t="shared" si="0"/>
        <v>1</v>
      </c>
      <c r="BP31" s="29">
        <f t="shared" si="1"/>
        <v>0</v>
      </c>
      <c r="BQ31" s="29">
        <f t="shared" si="3"/>
        <v>0</v>
      </c>
      <c r="BR31" s="29">
        <f t="shared" si="9"/>
        <v>19</v>
      </c>
      <c r="BS31" s="243">
        <f t="shared" si="4"/>
        <v>6.9444333333333344E-2</v>
      </c>
      <c r="BT31">
        <f t="shared" si="5"/>
        <v>6.9444333333333344E-2</v>
      </c>
      <c r="BU31" t="str">
        <f t="shared" si="6"/>
        <v>non</v>
      </c>
      <c r="BV31">
        <f t="shared" si="10"/>
        <v>0</v>
      </c>
      <c r="BW31">
        <f t="shared" si="7"/>
        <v>0</v>
      </c>
      <c r="BX31"/>
      <c r="BY31"/>
      <c r="BZ31"/>
      <c r="CA31"/>
      <c r="CB31"/>
      <c r="CC31"/>
      <c r="CD31"/>
    </row>
    <row r="32" spans="1:82" s="171" customFormat="1" ht="15.95" customHeight="1" x14ac:dyDescent="0.25">
      <c r="A32" s="197"/>
      <c r="B32" s="205" t="str">
        <f>"Semaine "&amp;_xlfn.ISOWEEKNUM(annualisation!$B$8)-7</f>
        <v>Semaine 29</v>
      </c>
      <c r="E32" s="324"/>
      <c r="F32" s="199"/>
      <c r="G32" s="197"/>
      <c r="H32" s="222"/>
      <c r="I32" s="197"/>
      <c r="K32" s="223" t="s">
        <v>128</v>
      </c>
      <c r="L32" s="747">
        <f>+L31/12</f>
        <v>0</v>
      </c>
      <c r="M32" s="747"/>
      <c r="N32" s="748"/>
      <c r="O32" s="199"/>
      <c r="P32" s="197"/>
      <c r="Q32" s="198"/>
      <c r="R32" s="199"/>
      <c r="S32" s="197"/>
      <c r="T32" s="203"/>
      <c r="U32" s="201"/>
      <c r="V32" s="202"/>
      <c r="W32" s="203"/>
      <c r="X32" s="201"/>
      <c r="Y32" s="202"/>
      <c r="Z32" s="203"/>
      <c r="AA32" s="201"/>
      <c r="AB32" s="202"/>
      <c r="AC32" s="203"/>
      <c r="AD32" s="201"/>
      <c r="AE32" s="197"/>
      <c r="AF32" s="198"/>
      <c r="AG32" s="199"/>
      <c r="AH32" s="197"/>
      <c r="AI32" s="198"/>
      <c r="AJ32" s="199"/>
      <c r="AK32" s="199"/>
      <c r="AL32" s="199"/>
      <c r="AM32" s="181" t="str">
        <f t="shared" si="11"/>
        <v/>
      </c>
      <c r="AN32" s="181" t="str">
        <f t="shared" si="12"/>
        <v/>
      </c>
      <c r="AO32" s="181">
        <f t="shared" si="13"/>
        <v>41847</v>
      </c>
      <c r="AP32" s="181" t="str">
        <f t="shared" si="14"/>
        <v/>
      </c>
      <c r="AQ32" s="181" t="str">
        <f t="shared" si="15"/>
        <v/>
      </c>
      <c r="BG32" s="251"/>
      <c r="BH32" s="251"/>
      <c r="BI32" s="251"/>
      <c r="BJ32" s="251"/>
      <c r="BK32" s="251"/>
      <c r="BM32" s="29">
        <v>27</v>
      </c>
      <c r="BN32" s="242">
        <f t="shared" si="8"/>
        <v>42639</v>
      </c>
      <c r="BO32" s="29">
        <f t="shared" si="0"/>
        <v>1</v>
      </c>
      <c r="BP32" s="29">
        <f t="shared" si="1"/>
        <v>0</v>
      </c>
      <c r="BQ32" s="29">
        <f t="shared" si="3"/>
        <v>0</v>
      </c>
      <c r="BR32" s="29">
        <f t="shared" si="9"/>
        <v>19</v>
      </c>
      <c r="BS32" s="243">
        <f t="shared" si="4"/>
        <v>6.9444333333333344E-2</v>
      </c>
      <c r="BT32">
        <f t="shared" si="5"/>
        <v>6.9444333333333344E-2</v>
      </c>
      <c r="BU32" t="str">
        <f t="shared" si="6"/>
        <v>non</v>
      </c>
      <c r="BV32">
        <f t="shared" si="10"/>
        <v>0</v>
      </c>
      <c r="BW32">
        <f t="shared" si="7"/>
        <v>0</v>
      </c>
      <c r="BX32"/>
      <c r="BY32"/>
      <c r="BZ32"/>
      <c r="CA32"/>
      <c r="CB32"/>
      <c r="CC32"/>
      <c r="CD32"/>
    </row>
    <row r="33" spans="1:82" s="171" customFormat="1" ht="15.95" customHeight="1" x14ac:dyDescent="0.25">
      <c r="A33" s="197"/>
      <c r="B33" s="205" t="str">
        <f>"Semaine "&amp;_xlfn.ISOWEEKNUM(annualisation!$B$8)-6</f>
        <v>Semaine 30</v>
      </c>
      <c r="E33" s="324"/>
      <c r="F33" s="199"/>
      <c r="G33" s="197"/>
      <c r="H33" s="224"/>
      <c r="I33" s="225"/>
      <c r="J33" s="226"/>
      <c r="K33" s="227"/>
      <c r="L33" s="225"/>
      <c r="M33" s="226"/>
      <c r="N33" s="228"/>
      <c r="O33" s="199"/>
      <c r="P33" s="197"/>
      <c r="Q33" s="465" t="s">
        <v>166</v>
      </c>
      <c r="R33" s="466"/>
      <c r="S33" s="466"/>
      <c r="T33" s="466"/>
      <c r="U33" s="466"/>
      <c r="V33" s="466"/>
      <c r="W33" s="466"/>
      <c r="X33" s="466"/>
      <c r="Y33" s="466"/>
      <c r="Z33" s="466"/>
      <c r="AA33" s="466"/>
      <c r="AB33" s="466"/>
      <c r="AC33" s="466"/>
      <c r="AD33" s="466"/>
      <c r="AE33" s="466"/>
      <c r="AF33" s="467"/>
      <c r="AG33" s="199"/>
      <c r="AH33" s="197"/>
      <c r="AI33" s="198"/>
      <c r="AJ33" s="199"/>
      <c r="AK33" s="199"/>
      <c r="AL33" s="199"/>
      <c r="AM33" s="181" t="str">
        <f t="shared" si="11"/>
        <v/>
      </c>
      <c r="AN33" s="181" t="str">
        <f t="shared" si="12"/>
        <v/>
      </c>
      <c r="AO33" s="181">
        <f t="shared" si="13"/>
        <v>41848</v>
      </c>
      <c r="AP33" s="181" t="str">
        <f t="shared" si="14"/>
        <v/>
      </c>
      <c r="AQ33" s="181" t="str">
        <f t="shared" si="15"/>
        <v/>
      </c>
      <c r="BG33" s="245"/>
      <c r="BH33" s="246"/>
      <c r="BI33" s="256" t="s">
        <v>269</v>
      </c>
      <c r="BJ33" s="257">
        <f>BQ3</f>
        <v>254</v>
      </c>
      <c r="BK33" s="247"/>
      <c r="BM33" s="29">
        <v>28</v>
      </c>
      <c r="BN33" s="242">
        <f t="shared" si="8"/>
        <v>42640</v>
      </c>
      <c r="BO33" s="29">
        <f t="shared" si="0"/>
        <v>0</v>
      </c>
      <c r="BP33" s="29">
        <f t="shared" si="1"/>
        <v>0</v>
      </c>
      <c r="BQ33" s="29">
        <f t="shared" si="3"/>
        <v>1</v>
      </c>
      <c r="BR33" s="29">
        <f t="shared" si="9"/>
        <v>20</v>
      </c>
      <c r="BS33" s="243">
        <f t="shared" si="4"/>
        <v>6.9444333333333344E-2</v>
      </c>
      <c r="BT33">
        <f t="shared" si="5"/>
        <v>6.9444333333333344E-2</v>
      </c>
      <c r="BU33" t="str">
        <f t="shared" si="6"/>
        <v>non</v>
      </c>
      <c r="BV33">
        <f t="shared" si="10"/>
        <v>0</v>
      </c>
      <c r="BW33">
        <f t="shared" si="7"/>
        <v>0</v>
      </c>
      <c r="BX33"/>
      <c r="BY33"/>
      <c r="BZ33"/>
      <c r="CA33"/>
      <c r="CB33"/>
      <c r="CC33"/>
      <c r="CD33"/>
    </row>
    <row r="34" spans="1:82" s="171" customFormat="1" ht="15.95" customHeight="1" x14ac:dyDescent="0.25">
      <c r="A34" s="197"/>
      <c r="B34" s="205" t="str">
        <f>"Semaine "&amp;_xlfn.ISOWEEKNUM(annualisation!$B$8)-5</f>
        <v>Semaine 31</v>
      </c>
      <c r="E34" s="324"/>
      <c r="F34" s="199"/>
      <c r="G34" s="197"/>
      <c r="H34" s="198"/>
      <c r="I34" s="199"/>
      <c r="J34" s="197"/>
      <c r="K34" s="198"/>
      <c r="L34" s="199"/>
      <c r="M34" s="197"/>
      <c r="N34" s="198"/>
      <c r="O34" s="199"/>
      <c r="P34" s="197"/>
      <c r="Q34" s="222"/>
      <c r="R34" s="199"/>
      <c r="S34" s="197"/>
      <c r="T34" s="203"/>
      <c r="U34" s="201"/>
      <c r="V34" s="202"/>
      <c r="W34" s="203"/>
      <c r="X34" s="201"/>
      <c r="Y34" s="202"/>
      <c r="Z34" s="203"/>
      <c r="AA34" s="201"/>
      <c r="AB34" s="202"/>
      <c r="AC34" s="203"/>
      <c r="AD34" s="201"/>
      <c r="AE34" s="197"/>
      <c r="AF34" s="229"/>
      <c r="AG34" s="199"/>
      <c r="AH34" s="197"/>
      <c r="AI34" s="198"/>
      <c r="AJ34" s="199"/>
      <c r="AK34" s="199"/>
      <c r="AL34" s="199"/>
      <c r="AM34" s="181" t="str">
        <f t="shared" si="11"/>
        <v/>
      </c>
      <c r="AN34" s="181" t="str">
        <f t="shared" si="12"/>
        <v/>
      </c>
      <c r="AO34" s="181">
        <f t="shared" si="13"/>
        <v>41849</v>
      </c>
      <c r="AP34" s="181" t="str">
        <f t="shared" si="14"/>
        <v/>
      </c>
      <c r="AQ34" s="181" t="str">
        <f t="shared" si="15"/>
        <v/>
      </c>
      <c r="BG34" s="248"/>
      <c r="BH34"/>
      <c r="BI34" s="256" t="s">
        <v>267</v>
      </c>
      <c r="BJ34" s="257">
        <f>IF(BJ28="o",BQ3,BQ3-BT3)</f>
        <v>229.00003999999993</v>
      </c>
      <c r="BK34" s="252"/>
      <c r="BM34" s="29">
        <v>29</v>
      </c>
      <c r="BN34" s="242">
        <f t="shared" si="8"/>
        <v>42641</v>
      </c>
      <c r="BO34" s="29">
        <f t="shared" si="0"/>
        <v>0</v>
      </c>
      <c r="BP34" s="29">
        <f t="shared" si="1"/>
        <v>0</v>
      </c>
      <c r="BQ34" s="29">
        <f t="shared" si="3"/>
        <v>1</v>
      </c>
      <c r="BR34" s="29">
        <f t="shared" si="9"/>
        <v>21</v>
      </c>
      <c r="BS34" s="243">
        <f t="shared" si="4"/>
        <v>6.9444333333333344E-2</v>
      </c>
      <c r="BT34">
        <f t="shared" si="5"/>
        <v>6.9444333333333344E-2</v>
      </c>
      <c r="BU34" t="str">
        <f t="shared" si="6"/>
        <v>non</v>
      </c>
      <c r="BV34">
        <f t="shared" si="10"/>
        <v>0</v>
      </c>
      <c r="BW34">
        <f t="shared" si="7"/>
        <v>0</v>
      </c>
      <c r="BX34"/>
      <c r="BY34"/>
      <c r="BZ34"/>
      <c r="CA34"/>
      <c r="CB34"/>
      <c r="CC34"/>
      <c r="CD34"/>
    </row>
    <row r="35" spans="1:82" s="171" customFormat="1" ht="15.95" customHeight="1" x14ac:dyDescent="0.25">
      <c r="A35" s="197"/>
      <c r="B35" s="205" t="str">
        <f>"Semaine "&amp;_xlfn.ISOWEEKNUM(annualisation!$B$8)-4</f>
        <v>Semaine 32</v>
      </c>
      <c r="E35" s="324"/>
      <c r="F35" s="199"/>
      <c r="G35" s="197"/>
      <c r="H35" s="198"/>
      <c r="I35" s="199"/>
      <c r="J35" s="197"/>
      <c r="K35" s="198"/>
      <c r="L35" s="199"/>
      <c r="M35" s="197"/>
      <c r="N35" s="198"/>
      <c r="O35" s="199"/>
      <c r="P35" s="197"/>
      <c r="Q35" s="230" t="str">
        <f>"Nb de CP légaux acquis N (pris ou non) au 31 mai "&amp;BC5&amp;" :"</f>
        <v>Nb de CP légaux acquis N (pris ou non) au 31 mai 1903 :</v>
      </c>
      <c r="AD35" s="753"/>
      <c r="AE35" s="753"/>
      <c r="AF35" s="754"/>
      <c r="AG35" s="199"/>
      <c r="AH35" s="197"/>
      <c r="AI35" s="198"/>
      <c r="AJ35" s="199"/>
      <c r="AK35" s="199"/>
      <c r="AL35" s="199"/>
      <c r="AM35" s="181" t="str">
        <f t="shared" si="11"/>
        <v/>
      </c>
      <c r="AN35" s="181" t="str">
        <f t="shared" si="12"/>
        <v/>
      </c>
      <c r="AO35" s="181">
        <f t="shared" si="13"/>
        <v>41850</v>
      </c>
      <c r="AP35" s="181" t="str">
        <f t="shared" si="14"/>
        <v/>
      </c>
      <c r="AQ35" s="181" t="str">
        <f t="shared" si="15"/>
        <v/>
      </c>
      <c r="BG35" s="248"/>
      <c r="BH35" s="251"/>
      <c r="BI35" s="249" t="s">
        <v>268</v>
      </c>
      <c r="BJ35" s="255">
        <f>(BJ29/BR3*BQ3)</f>
        <v>0</v>
      </c>
      <c r="BK35" s="252"/>
      <c r="BM35" s="29">
        <v>30</v>
      </c>
      <c r="BN35" s="242">
        <f t="shared" si="8"/>
        <v>42642</v>
      </c>
      <c r="BO35" s="29">
        <f t="shared" si="0"/>
        <v>0</v>
      </c>
      <c r="BP35" s="29">
        <f t="shared" si="1"/>
        <v>0</v>
      </c>
      <c r="BQ35" s="29">
        <f t="shared" si="3"/>
        <v>1</v>
      </c>
      <c r="BR35" s="29">
        <f t="shared" si="9"/>
        <v>22</v>
      </c>
      <c r="BS35" s="243">
        <f t="shared" si="4"/>
        <v>6.9444333333333344E-2</v>
      </c>
      <c r="BT35">
        <f t="shared" si="5"/>
        <v>6.9444333333333344E-2</v>
      </c>
      <c r="BU35" t="str">
        <f t="shared" si="6"/>
        <v>non</v>
      </c>
      <c r="BV35">
        <f t="shared" si="10"/>
        <v>0</v>
      </c>
      <c r="BW35">
        <f t="shared" si="7"/>
        <v>0</v>
      </c>
      <c r="BX35"/>
      <c r="BY35"/>
      <c r="BZ35"/>
      <c r="CA35"/>
      <c r="CB35"/>
      <c r="CC35"/>
      <c r="CD35"/>
    </row>
    <row r="36" spans="1:82" s="171" customFormat="1" ht="15.95" customHeight="1" x14ac:dyDescent="0.25">
      <c r="A36" s="197"/>
      <c r="B36" s="205" t="str">
        <f>"Semaine "&amp;_xlfn.ISOWEEKNUM(annualisation!$B$8)-3</f>
        <v>Semaine 33</v>
      </c>
      <c r="E36" s="324"/>
      <c r="F36" s="199"/>
      <c r="G36" s="197"/>
      <c r="H36" s="198"/>
      <c r="I36" s="199"/>
      <c r="J36" s="197"/>
      <c r="K36" s="198"/>
      <c r="L36" s="199"/>
      <c r="M36" s="197"/>
      <c r="N36" s="198"/>
      <c r="O36" s="199"/>
      <c r="P36" s="197"/>
      <c r="Q36" s="222"/>
      <c r="R36" s="199"/>
      <c r="S36" s="197"/>
      <c r="T36" s="198"/>
      <c r="U36" s="199"/>
      <c r="V36" s="197"/>
      <c r="W36" s="198"/>
      <c r="X36" s="199"/>
      <c r="Y36" s="197"/>
      <c r="Z36" s="198"/>
      <c r="AA36" s="199"/>
      <c r="AB36" s="197"/>
      <c r="AC36" s="198"/>
      <c r="AD36" s="231"/>
      <c r="AE36" s="232"/>
      <c r="AF36" s="229"/>
      <c r="AG36" s="199"/>
      <c r="AH36" s="197"/>
      <c r="AI36" s="198"/>
      <c r="AJ36" s="199"/>
      <c r="AK36" s="199"/>
      <c r="AL36" s="199"/>
      <c r="AM36" s="181" t="str">
        <f t="shared" si="11"/>
        <v/>
      </c>
      <c r="AN36" s="181" t="str">
        <f t="shared" si="12"/>
        <v/>
      </c>
      <c r="AO36" s="181">
        <f t="shared" si="13"/>
        <v>41851</v>
      </c>
      <c r="AP36" s="181" t="str">
        <f t="shared" si="14"/>
        <v/>
      </c>
      <c r="AQ36" s="181" t="str">
        <f t="shared" si="15"/>
        <v/>
      </c>
      <c r="BG36" s="248"/>
      <c r="BH36" s="251"/>
      <c r="BI36" s="251"/>
      <c r="BJ36" s="251"/>
      <c r="BK36" s="252"/>
      <c r="BM36" s="29">
        <v>31</v>
      </c>
      <c r="BN36" s="242">
        <f t="shared" si="8"/>
        <v>42643</v>
      </c>
      <c r="BO36" s="29">
        <f t="shared" si="0"/>
        <v>0</v>
      </c>
      <c r="BP36" s="29">
        <f t="shared" si="1"/>
        <v>0</v>
      </c>
      <c r="BQ36" s="29">
        <f t="shared" si="3"/>
        <v>1</v>
      </c>
      <c r="BR36" s="29">
        <f t="shared" si="9"/>
        <v>23</v>
      </c>
      <c r="BS36" s="243">
        <f t="shared" si="4"/>
        <v>6.7204193548387095E-2</v>
      </c>
      <c r="BT36">
        <f t="shared" si="5"/>
        <v>6.7204193548387095E-2</v>
      </c>
      <c r="BU36" t="str">
        <f t="shared" si="6"/>
        <v>ok</v>
      </c>
      <c r="BV36">
        <f t="shared" si="10"/>
        <v>0</v>
      </c>
      <c r="BW36">
        <f t="shared" si="7"/>
        <v>0</v>
      </c>
      <c r="BX36"/>
      <c r="BY36"/>
      <c r="BZ36"/>
      <c r="CA36"/>
      <c r="CB36"/>
      <c r="CC36"/>
      <c r="CD36"/>
    </row>
    <row r="37" spans="1:82" s="171" customFormat="1" ht="15.95" customHeight="1" x14ac:dyDescent="0.25">
      <c r="A37" s="197"/>
      <c r="B37" s="205" t="str">
        <f>"Semaine "&amp;_xlfn.ISOWEEKNUM(annualisation!$B$8)-2</f>
        <v>Semaine 34</v>
      </c>
      <c r="E37" s="324"/>
      <c r="F37" s="199"/>
      <c r="G37" s="197"/>
      <c r="H37" s="198"/>
      <c r="I37" s="199"/>
      <c r="J37" s="197"/>
      <c r="K37" s="198"/>
      <c r="L37" s="199"/>
      <c r="M37" s="197"/>
      <c r="N37" s="198"/>
      <c r="O37" s="199"/>
      <c r="P37" s="197"/>
      <c r="Q37" s="230" t="str">
        <f>"Nb de CP légaux pris entre le 01/05/"&amp;BC5&amp;" et le 31/08/"&amp;BC5&amp;" :"</f>
        <v>Nb de CP légaux pris entre le 01/05/1903 et le 31/08/1903 :</v>
      </c>
      <c r="R37" s="164"/>
      <c r="S37" s="197"/>
      <c r="U37" s="199"/>
      <c r="V37" s="197"/>
      <c r="W37" s="198"/>
      <c r="X37" s="199"/>
      <c r="Y37" s="197"/>
      <c r="Z37" s="198"/>
      <c r="AA37" s="199"/>
      <c r="AB37" s="197"/>
      <c r="AC37" s="198"/>
      <c r="AD37" s="753"/>
      <c r="AE37" s="753"/>
      <c r="AF37" s="754"/>
      <c r="AG37" s="199"/>
      <c r="AH37" s="197"/>
      <c r="AI37" s="198"/>
      <c r="AJ37" s="199"/>
      <c r="AK37" s="199"/>
      <c r="AL37" s="199"/>
      <c r="AM37" s="181" t="str">
        <f t="shared" si="11"/>
        <v/>
      </c>
      <c r="AN37" s="181" t="str">
        <f t="shared" si="12"/>
        <v/>
      </c>
      <c r="AO37" s="181">
        <f t="shared" si="13"/>
        <v>41852</v>
      </c>
      <c r="AP37" s="181" t="str">
        <f t="shared" si="14"/>
        <v/>
      </c>
      <c r="AQ37" s="181" t="str">
        <f t="shared" si="15"/>
        <v/>
      </c>
      <c r="BG37" s="248"/>
      <c r="BH37" s="251"/>
      <c r="BI37" s="249" t="str">
        <f>IF(BK28="o","Nb de CP payé en fin de contrat :","Nb de CP à prendre :")</f>
        <v>Nb de CP à prendre :</v>
      </c>
      <c r="BJ37" s="258">
        <f>IF(BK28="o",BT3,ROUNDUP(BT3,0))</f>
        <v>25</v>
      </c>
      <c r="BK37" s="252"/>
      <c r="BM37" s="29">
        <v>32</v>
      </c>
      <c r="BN37" s="242">
        <f t="shared" si="8"/>
        <v>42644</v>
      </c>
      <c r="BO37" s="29">
        <f t="shared" si="0"/>
        <v>0</v>
      </c>
      <c r="BP37" s="29">
        <f t="shared" si="1"/>
        <v>0</v>
      </c>
      <c r="BQ37" s="29">
        <f t="shared" si="3"/>
        <v>1</v>
      </c>
      <c r="BR37" s="29">
        <f t="shared" si="9"/>
        <v>24</v>
      </c>
      <c r="BS37" s="243">
        <f t="shared" si="4"/>
        <v>6.7204193548387095E-2</v>
      </c>
      <c r="BT37">
        <f t="shared" si="5"/>
        <v>6.7204193548387095E-2</v>
      </c>
      <c r="BU37" t="str">
        <f t="shared" si="6"/>
        <v>ok</v>
      </c>
      <c r="BV37">
        <f t="shared" si="10"/>
        <v>0</v>
      </c>
      <c r="BW37">
        <f t="shared" si="7"/>
        <v>0</v>
      </c>
      <c r="BX37"/>
      <c r="BY37"/>
      <c r="BZ37"/>
      <c r="CA37"/>
      <c r="CB37"/>
      <c r="CC37"/>
      <c r="CD37"/>
    </row>
    <row r="38" spans="1:82" s="171" customFormat="1" ht="15.95" customHeight="1" x14ac:dyDescent="0.25">
      <c r="A38" s="197"/>
      <c r="B38" s="205" t="str">
        <f>"Semaine "&amp;_xlfn.ISOWEEKNUM(annualisation!$B$8)-1</f>
        <v>Semaine 35</v>
      </c>
      <c r="E38" s="324"/>
      <c r="F38" s="199"/>
      <c r="G38" s="197"/>
      <c r="H38" s="198"/>
      <c r="I38" s="199"/>
      <c r="J38" s="197"/>
      <c r="K38" s="198"/>
      <c r="L38" s="199"/>
      <c r="M38" s="197"/>
      <c r="N38" s="198"/>
      <c r="O38" s="199"/>
      <c r="P38" s="197"/>
      <c r="Q38" s="222"/>
      <c r="R38" s="199"/>
      <c r="S38" s="197"/>
      <c r="T38" s="198"/>
      <c r="U38" s="199"/>
      <c r="V38" s="197"/>
      <c r="W38" s="198"/>
      <c r="X38" s="199"/>
      <c r="Y38" s="197"/>
      <c r="Z38" s="198"/>
      <c r="AA38" s="199"/>
      <c r="AB38" s="197"/>
      <c r="AC38" s="198"/>
      <c r="AD38" s="199"/>
      <c r="AE38" s="197"/>
      <c r="AF38" s="229"/>
      <c r="AG38" s="199"/>
      <c r="AH38" s="197"/>
      <c r="AI38" s="198"/>
      <c r="AJ38" s="199"/>
      <c r="AK38" s="199"/>
      <c r="AL38" s="199"/>
      <c r="AM38" s="181" t="str">
        <f t="shared" si="11"/>
        <v/>
      </c>
      <c r="AN38" s="181" t="str">
        <f t="shared" si="12"/>
        <v/>
      </c>
      <c r="AO38" s="181">
        <f t="shared" si="13"/>
        <v>41853</v>
      </c>
      <c r="AP38" s="181" t="str">
        <f t="shared" si="14"/>
        <v/>
      </c>
      <c r="AQ38" s="181" t="str">
        <f t="shared" si="15"/>
        <v/>
      </c>
      <c r="BG38" s="248"/>
      <c r="BH38" s="251"/>
      <c r="BI38" s="249" t="str">
        <f>IF(BK28="o","Nb de JC payé en fin de contrat :","Nb de JC à prendre :")</f>
        <v>Nb de JC à prendre :</v>
      </c>
      <c r="BJ38" s="258">
        <f>IF(BK28="o",BW3,ROUNDUP(BW3,0))</f>
        <v>0</v>
      </c>
      <c r="BK38" s="252"/>
      <c r="BM38" s="29">
        <v>33</v>
      </c>
      <c r="BN38" s="242">
        <f t="shared" si="8"/>
        <v>42645</v>
      </c>
      <c r="BO38" s="29">
        <f t="shared" si="0"/>
        <v>1</v>
      </c>
      <c r="BP38" s="29">
        <f t="shared" si="1"/>
        <v>0</v>
      </c>
      <c r="BQ38" s="29">
        <f t="shared" si="3"/>
        <v>0</v>
      </c>
      <c r="BR38" s="29">
        <f t="shared" si="9"/>
        <v>24</v>
      </c>
      <c r="BS38" s="243">
        <f t="shared" si="4"/>
        <v>6.7204193548387095E-2</v>
      </c>
      <c r="BT38">
        <f t="shared" si="5"/>
        <v>6.7204193548387095E-2</v>
      </c>
      <c r="BU38" t="str">
        <f t="shared" si="6"/>
        <v>ok</v>
      </c>
      <c r="BV38">
        <f t="shared" si="10"/>
        <v>0</v>
      </c>
      <c r="BW38">
        <f t="shared" si="7"/>
        <v>0</v>
      </c>
      <c r="BX38"/>
      <c r="BY38"/>
      <c r="BZ38"/>
      <c r="CA38"/>
      <c r="CB38"/>
      <c r="CC38"/>
      <c r="CD38"/>
    </row>
    <row r="39" spans="1:82" s="171" customFormat="1" ht="15.95" customHeight="1" x14ac:dyDescent="0.25">
      <c r="A39" s="197"/>
      <c r="E39" s="198"/>
      <c r="F39" s="199"/>
      <c r="G39" s="197"/>
      <c r="H39" s="198"/>
      <c r="I39" s="199"/>
      <c r="J39" s="197"/>
      <c r="K39" s="198"/>
      <c r="L39" s="199"/>
      <c r="M39" s="197"/>
      <c r="N39" s="198"/>
      <c r="O39" s="199"/>
      <c r="P39" s="197"/>
      <c r="Q39" s="233"/>
      <c r="AF39" s="234"/>
      <c r="AG39" s="199"/>
      <c r="AH39" s="197"/>
      <c r="AI39" s="198"/>
      <c r="AJ39" s="199"/>
      <c r="AK39" s="199"/>
      <c r="AL39" s="199"/>
      <c r="AM39" s="181" t="str">
        <f t="shared" si="11"/>
        <v/>
      </c>
      <c r="AN39" s="181" t="str">
        <f t="shared" si="12"/>
        <v/>
      </c>
      <c r="AO39" s="181">
        <f t="shared" si="13"/>
        <v>41854</v>
      </c>
      <c r="AP39" s="181" t="str">
        <f t="shared" si="14"/>
        <v/>
      </c>
      <c r="AQ39" s="181" t="str">
        <f t="shared" si="15"/>
        <v/>
      </c>
      <c r="BG39" s="259"/>
      <c r="BH39" s="260"/>
      <c r="BI39" s="260"/>
      <c r="BJ39" s="260"/>
      <c r="BK39" s="261"/>
      <c r="BM39" s="29">
        <v>34</v>
      </c>
      <c r="BN39" s="242">
        <f t="shared" si="8"/>
        <v>42646</v>
      </c>
      <c r="BO39" s="29">
        <f t="shared" si="0"/>
        <v>1</v>
      </c>
      <c r="BP39" s="29">
        <f t="shared" si="1"/>
        <v>0</v>
      </c>
      <c r="BQ39" s="29">
        <f t="shared" si="3"/>
        <v>0</v>
      </c>
      <c r="BR39" s="29">
        <f t="shared" si="9"/>
        <v>24</v>
      </c>
      <c r="BS39" s="243">
        <f t="shared" si="4"/>
        <v>6.7204193548387095E-2</v>
      </c>
      <c r="BT39">
        <f t="shared" si="5"/>
        <v>6.7204193548387095E-2</v>
      </c>
      <c r="BU39" t="str">
        <f t="shared" si="6"/>
        <v>ok</v>
      </c>
      <c r="BV39">
        <f t="shared" si="10"/>
        <v>0</v>
      </c>
      <c r="BW39">
        <f t="shared" si="7"/>
        <v>0</v>
      </c>
      <c r="BX39"/>
      <c r="BY39"/>
      <c r="BZ39"/>
      <c r="CA39"/>
      <c r="CB39"/>
      <c r="CC39"/>
      <c r="CD39"/>
    </row>
    <row r="40" spans="1:82" s="171" customFormat="1" ht="15.95" customHeight="1" x14ac:dyDescent="0.25">
      <c r="A40" s="197"/>
      <c r="E40" s="164"/>
      <c r="G40" s="197"/>
      <c r="H40" s="198"/>
      <c r="I40" s="199"/>
      <c r="J40" s="197"/>
      <c r="K40" s="198"/>
      <c r="L40" s="199"/>
      <c r="M40" s="197"/>
      <c r="N40" s="198"/>
      <c r="O40" s="199"/>
      <c r="P40" s="197"/>
      <c r="Q40" s="230" t="str">
        <f>"Nb de CP légaux pris entre le 01/09/"&amp;BC5&amp;" et le 31/10/"&amp;BC5&amp;" :"</f>
        <v>Nb de CP légaux pris entre le 01/09/1903 et le 31/10/1903 :</v>
      </c>
      <c r="R40" s="199"/>
      <c r="S40" s="197"/>
      <c r="T40" s="198"/>
      <c r="U40" s="199"/>
      <c r="V40" s="197"/>
      <c r="W40" s="198"/>
      <c r="X40" s="199"/>
      <c r="Y40" s="197"/>
      <c r="Z40" s="198"/>
      <c r="AA40" s="199"/>
      <c r="AB40" s="197"/>
      <c r="AC40" s="198"/>
      <c r="AD40" s="486">
        <f>AV9</f>
        <v>0</v>
      </c>
      <c r="AE40" s="486"/>
      <c r="AF40" s="487"/>
      <c r="AG40" s="199"/>
      <c r="AH40" s="197"/>
      <c r="AI40" s="198"/>
      <c r="AJ40" s="199"/>
      <c r="AK40" s="199"/>
      <c r="AL40" s="199"/>
      <c r="AM40" s="181" t="str">
        <f t="shared" si="11"/>
        <v/>
      </c>
      <c r="AN40" s="181" t="str">
        <f t="shared" si="12"/>
        <v/>
      </c>
      <c r="AO40" s="181">
        <f t="shared" si="13"/>
        <v>41855</v>
      </c>
      <c r="AP40" s="181" t="str">
        <f t="shared" si="14"/>
        <v/>
      </c>
      <c r="AQ40" s="181" t="str">
        <f t="shared" si="15"/>
        <v/>
      </c>
      <c r="BM40" s="29">
        <v>35</v>
      </c>
      <c r="BN40" s="242">
        <f t="shared" si="8"/>
        <v>42647</v>
      </c>
      <c r="BO40" s="29">
        <f t="shared" si="0"/>
        <v>0</v>
      </c>
      <c r="BP40" s="29">
        <f t="shared" si="1"/>
        <v>0</v>
      </c>
      <c r="BQ40" s="29">
        <f t="shared" si="3"/>
        <v>1</v>
      </c>
      <c r="BR40" s="29">
        <f t="shared" si="9"/>
        <v>25</v>
      </c>
      <c r="BS40" s="243">
        <f t="shared" si="4"/>
        <v>6.7204193548387095E-2</v>
      </c>
      <c r="BT40">
        <f t="shared" si="5"/>
        <v>6.7204193548387095E-2</v>
      </c>
      <c r="BU40" t="str">
        <f t="shared" si="6"/>
        <v>ok</v>
      </c>
      <c r="BV40">
        <f t="shared" si="10"/>
        <v>0</v>
      </c>
      <c r="BW40">
        <f t="shared" si="7"/>
        <v>0</v>
      </c>
      <c r="BX40"/>
      <c r="BY40"/>
      <c r="BZ40"/>
      <c r="CA40"/>
      <c r="CB40"/>
      <c r="CC40"/>
      <c r="CD40"/>
    </row>
    <row r="41" spans="1:82" s="171" customFormat="1" ht="15.95" customHeight="1" x14ac:dyDescent="0.25">
      <c r="A41" s="197"/>
      <c r="J41" s="197"/>
      <c r="K41" s="198"/>
      <c r="L41" s="199"/>
      <c r="M41" s="197"/>
      <c r="N41" s="198"/>
      <c r="O41" s="199"/>
      <c r="P41" s="197"/>
      <c r="Q41" s="222"/>
      <c r="R41" s="199"/>
      <c r="S41" s="197"/>
      <c r="T41" s="198"/>
      <c r="U41" s="199"/>
      <c r="V41" s="197"/>
      <c r="W41" s="198"/>
      <c r="X41" s="199"/>
      <c r="Y41" s="197"/>
      <c r="Z41" s="198"/>
      <c r="AA41" s="199"/>
      <c r="AB41" s="197"/>
      <c r="AC41" s="198"/>
      <c r="AD41" s="199"/>
      <c r="AE41" s="197"/>
      <c r="AF41" s="229"/>
      <c r="AG41" s="199"/>
      <c r="AH41" s="197"/>
      <c r="AI41" s="198"/>
      <c r="AJ41" s="199"/>
      <c r="AK41" s="199"/>
      <c r="AL41" s="199"/>
      <c r="AM41" s="181" t="str">
        <f t="shared" si="11"/>
        <v/>
      </c>
      <c r="AN41" s="181" t="str">
        <f t="shared" si="12"/>
        <v/>
      </c>
      <c r="AO41" s="181">
        <f t="shared" si="13"/>
        <v>41856</v>
      </c>
      <c r="AP41" s="181" t="str">
        <f t="shared" si="14"/>
        <v/>
      </c>
      <c r="AQ41" s="181" t="str">
        <f t="shared" si="15"/>
        <v/>
      </c>
      <c r="BM41" s="29">
        <v>36</v>
      </c>
      <c r="BN41" s="242">
        <f t="shared" si="8"/>
        <v>42648</v>
      </c>
      <c r="BO41" s="29">
        <f t="shared" si="0"/>
        <v>0</v>
      </c>
      <c r="BP41" s="29">
        <f t="shared" si="1"/>
        <v>0</v>
      </c>
      <c r="BQ41" s="29">
        <f t="shared" si="3"/>
        <v>1</v>
      </c>
      <c r="BR41" s="29">
        <f t="shared" si="9"/>
        <v>26</v>
      </c>
      <c r="BS41" s="243">
        <f t="shared" si="4"/>
        <v>6.7204193548387095E-2</v>
      </c>
      <c r="BT41">
        <f t="shared" si="5"/>
        <v>6.7204193548387095E-2</v>
      </c>
      <c r="BU41" t="str">
        <f t="shared" si="6"/>
        <v>ok</v>
      </c>
      <c r="BV41">
        <f t="shared" si="10"/>
        <v>0</v>
      </c>
      <c r="BW41">
        <f t="shared" si="7"/>
        <v>0</v>
      </c>
      <c r="BX41"/>
      <c r="BY41"/>
      <c r="BZ41"/>
      <c r="CA41"/>
      <c r="CB41"/>
      <c r="CC41"/>
      <c r="CD41"/>
    </row>
    <row r="42" spans="1:82" ht="15.95" customHeight="1" x14ac:dyDescent="0.25">
      <c r="A42" s="88"/>
      <c r="J42" s="88"/>
      <c r="K42" s="89"/>
      <c r="L42" s="90"/>
      <c r="M42" s="88"/>
      <c r="N42" s="89"/>
      <c r="O42" s="90"/>
      <c r="P42" s="88"/>
      <c r="Q42" s="270" t="str">
        <f>"Nb de CP légaux pris entre le 01/05/"&amp;BG5&amp;" et le 31/08/"&amp;BG5&amp;" :"</f>
        <v>Nb de CP légaux pris entre le 01/05/1904 et le 31/08/1904 :</v>
      </c>
      <c r="R42" s="271"/>
      <c r="S42" s="272"/>
      <c r="T42" s="273"/>
      <c r="U42" s="271"/>
      <c r="V42" s="272"/>
      <c r="W42" s="273"/>
      <c r="X42" s="271"/>
      <c r="Y42" s="272"/>
      <c r="Z42" s="273"/>
      <c r="AA42" s="271"/>
      <c r="AB42" s="272"/>
      <c r="AC42" s="273"/>
      <c r="AD42" s="481">
        <f>AY9</f>
        <v>0</v>
      </c>
      <c r="AE42" s="481"/>
      <c r="AF42" s="482"/>
      <c r="AG42" s="90"/>
      <c r="AH42" s="88"/>
      <c r="AI42" s="89"/>
      <c r="AJ42" s="90"/>
      <c r="AK42" s="90"/>
      <c r="AL42" s="90"/>
      <c r="AM42" s="81" t="str">
        <f t="shared" si="11"/>
        <v/>
      </c>
      <c r="AN42" s="81" t="str">
        <f t="shared" si="12"/>
        <v/>
      </c>
      <c r="AO42" s="81">
        <f t="shared" si="13"/>
        <v>41857</v>
      </c>
      <c r="AP42" s="81" t="str">
        <f t="shared" si="14"/>
        <v/>
      </c>
      <c r="AQ42" s="81" t="str">
        <f t="shared" si="15"/>
        <v/>
      </c>
      <c r="BM42" s="29">
        <v>37</v>
      </c>
      <c r="BN42" s="242">
        <f t="shared" si="8"/>
        <v>42649</v>
      </c>
      <c r="BO42" s="29">
        <f t="shared" si="0"/>
        <v>0</v>
      </c>
      <c r="BP42" s="29">
        <f t="shared" si="1"/>
        <v>0</v>
      </c>
      <c r="BQ42" s="29">
        <f t="shared" si="3"/>
        <v>1</v>
      </c>
      <c r="BR42" s="29">
        <f t="shared" si="9"/>
        <v>27</v>
      </c>
      <c r="BS42" s="243">
        <f t="shared" si="4"/>
        <v>6.7204193548387095E-2</v>
      </c>
      <c r="BT42">
        <f t="shared" si="5"/>
        <v>6.7204193548387095E-2</v>
      </c>
      <c r="BU42" t="str">
        <f t="shared" si="6"/>
        <v>ok</v>
      </c>
      <c r="BV42">
        <f t="shared" si="10"/>
        <v>0</v>
      </c>
      <c r="BW42">
        <f t="shared" si="7"/>
        <v>0</v>
      </c>
    </row>
    <row r="43" spans="1:82" ht="14.1" customHeight="1" x14ac:dyDescent="0.25">
      <c r="A43" s="88"/>
      <c r="J43" s="88"/>
      <c r="K43" s="89"/>
      <c r="L43" s="90"/>
      <c r="M43" s="88"/>
      <c r="N43" s="89"/>
      <c r="O43" s="90"/>
      <c r="P43" s="88"/>
      <c r="Q43" s="235"/>
      <c r="R43" s="236"/>
      <c r="S43" s="237"/>
      <c r="T43" s="238"/>
      <c r="U43" s="236"/>
      <c r="V43" s="237"/>
      <c r="W43" s="238"/>
      <c r="X43" s="236"/>
      <c r="Y43" s="237"/>
      <c r="Z43" s="238"/>
      <c r="AA43" s="236"/>
      <c r="AB43" s="237"/>
      <c r="AC43" s="238"/>
      <c r="AD43" s="236"/>
      <c r="AE43" s="237"/>
      <c r="AF43" s="239"/>
      <c r="AG43" s="90"/>
      <c r="AH43" s="88"/>
      <c r="AI43" s="89"/>
      <c r="AJ43" s="90"/>
      <c r="AK43" s="90"/>
      <c r="AL43" s="90"/>
      <c r="AM43" s="81" t="str">
        <f t="shared" si="11"/>
        <v/>
      </c>
      <c r="AN43" s="81" t="str">
        <f t="shared" si="12"/>
        <v/>
      </c>
      <c r="AO43" s="81">
        <f t="shared" si="13"/>
        <v>41858</v>
      </c>
      <c r="AP43" s="81" t="str">
        <f t="shared" si="14"/>
        <v/>
      </c>
      <c r="AQ43" s="81" t="str">
        <f t="shared" si="15"/>
        <v/>
      </c>
      <c r="BM43" s="29">
        <v>38</v>
      </c>
      <c r="BN43" s="242">
        <f t="shared" si="8"/>
        <v>42650</v>
      </c>
      <c r="BO43" s="29">
        <f t="shared" si="0"/>
        <v>0</v>
      </c>
      <c r="BP43" s="29">
        <f t="shared" si="1"/>
        <v>0</v>
      </c>
      <c r="BQ43" s="29">
        <f t="shared" si="3"/>
        <v>1</v>
      </c>
      <c r="BR43" s="29">
        <f t="shared" si="9"/>
        <v>28</v>
      </c>
      <c r="BS43" s="243">
        <f t="shared" si="4"/>
        <v>6.7204193548387095E-2</v>
      </c>
      <c r="BT43">
        <f t="shared" si="5"/>
        <v>6.7204193548387095E-2</v>
      </c>
      <c r="BU43" t="str">
        <f t="shared" si="6"/>
        <v>ok</v>
      </c>
      <c r="BV43">
        <f t="shared" si="10"/>
        <v>0</v>
      </c>
      <c r="BW43">
        <f t="shared" si="7"/>
        <v>0</v>
      </c>
    </row>
    <row r="44" spans="1:82" ht="14.1" customHeight="1" x14ac:dyDescent="0.25">
      <c r="A44" s="88"/>
      <c r="J44" s="88"/>
      <c r="K44" s="89"/>
      <c r="L44" s="90"/>
      <c r="M44" s="88"/>
      <c r="N44" s="89"/>
      <c r="O44" s="90"/>
      <c r="P44" s="88"/>
      <c r="Q44" s="89"/>
      <c r="R44" s="90"/>
      <c r="S44" s="88"/>
      <c r="T44" s="89"/>
      <c r="U44" s="90"/>
      <c r="V44" s="88"/>
      <c r="W44" s="89"/>
      <c r="X44" s="90"/>
      <c r="Y44" s="88"/>
      <c r="Z44" s="89"/>
      <c r="AA44" s="90"/>
      <c r="AB44" s="88"/>
      <c r="AC44" s="89"/>
      <c r="AD44" s="90"/>
      <c r="AE44" s="88"/>
      <c r="AF44" s="89"/>
      <c r="AG44" s="90"/>
      <c r="AH44" s="88"/>
      <c r="AI44" s="89"/>
      <c r="AJ44" s="90"/>
      <c r="AK44" s="90"/>
      <c r="AL44" s="90"/>
      <c r="AM44" s="81" t="str">
        <f t="shared" si="11"/>
        <v/>
      </c>
      <c r="AN44" s="81" t="str">
        <f t="shared" si="12"/>
        <v/>
      </c>
      <c r="AO44" s="81">
        <f t="shared" si="13"/>
        <v>41859</v>
      </c>
      <c r="AP44" s="81" t="str">
        <f t="shared" si="14"/>
        <v/>
      </c>
      <c r="AQ44" s="81" t="str">
        <f t="shared" si="15"/>
        <v/>
      </c>
      <c r="BM44" s="29">
        <v>39</v>
      </c>
      <c r="BN44" s="242">
        <f t="shared" si="8"/>
        <v>42651</v>
      </c>
      <c r="BO44" s="29">
        <f t="shared" si="0"/>
        <v>0</v>
      </c>
      <c r="BP44" s="29">
        <f t="shared" si="1"/>
        <v>0</v>
      </c>
      <c r="BQ44" s="29">
        <f t="shared" si="3"/>
        <v>1</v>
      </c>
      <c r="BR44" s="29">
        <f t="shared" si="9"/>
        <v>29</v>
      </c>
      <c r="BS44" s="243">
        <f t="shared" si="4"/>
        <v>6.7204193548387095E-2</v>
      </c>
      <c r="BT44">
        <f t="shared" si="5"/>
        <v>6.7204193548387095E-2</v>
      </c>
      <c r="BU44" t="str">
        <f t="shared" si="6"/>
        <v>ok</v>
      </c>
      <c r="BV44">
        <f t="shared" si="10"/>
        <v>0</v>
      </c>
      <c r="BW44">
        <f t="shared" si="7"/>
        <v>0</v>
      </c>
    </row>
    <row r="45" spans="1:82" ht="14.1" customHeight="1" x14ac:dyDescent="0.25">
      <c r="J45" s="63"/>
      <c r="N45" s="63"/>
      <c r="R45" s="63"/>
      <c r="S45" s="63"/>
      <c r="W45" s="63"/>
      <c r="AA45" s="63"/>
      <c r="AB45" s="63"/>
      <c r="AG45" s="90"/>
      <c r="AH45" s="88"/>
      <c r="AI45" s="89"/>
      <c r="AJ45" s="90"/>
      <c r="AK45" s="90"/>
      <c r="AL45" s="90"/>
      <c r="AM45" s="81" t="str">
        <f t="shared" si="11"/>
        <v/>
      </c>
      <c r="AN45" s="81" t="str">
        <f t="shared" si="12"/>
        <v/>
      </c>
      <c r="AO45" s="81">
        <f t="shared" si="13"/>
        <v>41860</v>
      </c>
      <c r="AP45" s="81" t="str">
        <f t="shared" si="14"/>
        <v/>
      </c>
      <c r="AQ45" s="81" t="str">
        <f t="shared" si="15"/>
        <v/>
      </c>
      <c r="BM45" s="29">
        <v>40</v>
      </c>
      <c r="BN45" s="242">
        <f t="shared" si="8"/>
        <v>42652</v>
      </c>
      <c r="BO45" s="29">
        <f t="shared" si="0"/>
        <v>1</v>
      </c>
      <c r="BP45" s="29">
        <f t="shared" si="1"/>
        <v>0</v>
      </c>
      <c r="BQ45" s="29">
        <f t="shared" si="3"/>
        <v>0</v>
      </c>
      <c r="BR45" s="29">
        <f t="shared" si="9"/>
        <v>29</v>
      </c>
      <c r="BS45" s="243">
        <f t="shared" si="4"/>
        <v>6.7204193548387095E-2</v>
      </c>
      <c r="BT45">
        <f t="shared" si="5"/>
        <v>6.7204193548387095E-2</v>
      </c>
      <c r="BU45" t="str">
        <f t="shared" si="6"/>
        <v>ok</v>
      </c>
      <c r="BV45">
        <f t="shared" si="10"/>
        <v>0</v>
      </c>
      <c r="BW45">
        <f t="shared" si="7"/>
        <v>0</v>
      </c>
    </row>
    <row r="46" spans="1:82" ht="14.1" customHeight="1" x14ac:dyDescent="0.25">
      <c r="J46" s="63"/>
      <c r="N46" s="63"/>
      <c r="R46" s="63"/>
      <c r="S46" s="63"/>
      <c r="W46" s="63"/>
      <c r="AA46" s="63"/>
      <c r="AB46" s="63"/>
      <c r="AG46" s="90"/>
      <c r="AH46" s="88"/>
      <c r="AI46" s="89"/>
      <c r="AJ46" s="90"/>
      <c r="AK46" s="90"/>
      <c r="AL46" s="90"/>
      <c r="AM46" s="81" t="str">
        <f t="shared" si="11"/>
        <v/>
      </c>
      <c r="AN46" s="81" t="str">
        <f t="shared" si="12"/>
        <v/>
      </c>
      <c r="AO46" s="81">
        <f t="shared" si="13"/>
        <v>41861</v>
      </c>
      <c r="AP46" s="81" t="str">
        <f t="shared" si="14"/>
        <v/>
      </c>
      <c r="AQ46" s="81" t="str">
        <f t="shared" si="15"/>
        <v/>
      </c>
      <c r="BM46" s="29">
        <v>41</v>
      </c>
      <c r="BN46" s="242">
        <f t="shared" si="8"/>
        <v>42653</v>
      </c>
      <c r="BO46" s="29">
        <f t="shared" si="0"/>
        <v>1</v>
      </c>
      <c r="BP46" s="29">
        <f t="shared" si="1"/>
        <v>0</v>
      </c>
      <c r="BQ46" s="29">
        <f t="shared" si="3"/>
        <v>0</v>
      </c>
      <c r="BR46" s="29">
        <f t="shared" si="9"/>
        <v>29</v>
      </c>
      <c r="BS46" s="243">
        <f t="shared" si="4"/>
        <v>6.7204193548387095E-2</v>
      </c>
      <c r="BT46">
        <f t="shared" si="5"/>
        <v>6.7204193548387095E-2</v>
      </c>
      <c r="BU46" t="str">
        <f t="shared" si="6"/>
        <v>ok</v>
      </c>
      <c r="BV46">
        <f t="shared" si="10"/>
        <v>0</v>
      </c>
      <c r="BW46">
        <f t="shared" si="7"/>
        <v>0</v>
      </c>
    </row>
    <row r="47" spans="1:82" ht="14.1" customHeight="1" x14ac:dyDescent="0.25">
      <c r="J47" s="63"/>
      <c r="M47" s="661" t="s">
        <v>290</v>
      </c>
      <c r="N47" s="661"/>
      <c r="O47" s="661"/>
      <c r="P47" s="661"/>
      <c r="Q47" s="661"/>
      <c r="R47" s="661"/>
      <c r="S47" s="661"/>
      <c r="T47" s="661"/>
      <c r="U47" s="661"/>
      <c r="V47" s="661"/>
      <c r="W47" s="661"/>
      <c r="AA47" s="63"/>
      <c r="AB47" s="63"/>
      <c r="AH47" s="88"/>
      <c r="AI47" s="89"/>
      <c r="AJ47" s="90"/>
      <c r="AK47" s="90"/>
      <c r="AL47" s="90"/>
      <c r="AM47" s="81" t="str">
        <f t="shared" si="11"/>
        <v/>
      </c>
      <c r="AN47" s="81" t="str">
        <f t="shared" si="12"/>
        <v/>
      </c>
      <c r="AO47" s="81">
        <f t="shared" si="13"/>
        <v>41862</v>
      </c>
      <c r="AP47" s="81" t="str">
        <f t="shared" si="14"/>
        <v/>
      </c>
      <c r="AQ47" s="81" t="str">
        <f t="shared" si="15"/>
        <v/>
      </c>
      <c r="BM47" s="29">
        <v>42</v>
      </c>
      <c r="BN47" s="242">
        <f t="shared" si="8"/>
        <v>42654</v>
      </c>
      <c r="BO47" s="29">
        <f t="shared" si="0"/>
        <v>0</v>
      </c>
      <c r="BP47" s="29">
        <f t="shared" si="1"/>
        <v>0</v>
      </c>
      <c r="BQ47" s="29">
        <f t="shared" si="3"/>
        <v>1</v>
      </c>
      <c r="BR47" s="29">
        <f t="shared" si="9"/>
        <v>30</v>
      </c>
      <c r="BS47" s="243">
        <f t="shared" si="4"/>
        <v>6.7204193548387095E-2</v>
      </c>
      <c r="BT47">
        <f t="shared" si="5"/>
        <v>6.7204193548387095E-2</v>
      </c>
      <c r="BU47" t="str">
        <f t="shared" si="6"/>
        <v>ok</v>
      </c>
      <c r="BV47">
        <f t="shared" si="10"/>
        <v>0</v>
      </c>
      <c r="BW47">
        <f t="shared" si="7"/>
        <v>0</v>
      </c>
    </row>
    <row r="48" spans="1:82" ht="14.1" customHeight="1" thickBot="1" x14ac:dyDescent="0.3">
      <c r="J48" s="63"/>
      <c r="M48" s="171"/>
      <c r="N48" s="279"/>
      <c r="O48" s="279"/>
      <c r="P48" s="279"/>
      <c r="Q48" s="279"/>
      <c r="R48" s="279"/>
      <c r="S48" s="279"/>
      <c r="T48" s="279"/>
      <c r="U48" s="171"/>
      <c r="V48" s="171"/>
      <c r="W48" s="171"/>
      <c r="AA48" s="63"/>
      <c r="AB48" s="63"/>
      <c r="AH48" s="88"/>
      <c r="AI48" s="89"/>
      <c r="AJ48" s="90"/>
      <c r="AK48" s="90"/>
      <c r="AL48" s="90"/>
      <c r="AM48" s="81" t="str">
        <f t="shared" si="11"/>
        <v/>
      </c>
      <c r="AN48" s="81" t="str">
        <f t="shared" si="12"/>
        <v/>
      </c>
      <c r="AO48" s="81">
        <f t="shared" si="13"/>
        <v>41863</v>
      </c>
      <c r="AP48" s="81" t="str">
        <f t="shared" si="14"/>
        <v/>
      </c>
      <c r="AQ48" s="81" t="str">
        <f t="shared" si="15"/>
        <v/>
      </c>
      <c r="BM48" s="29">
        <v>43</v>
      </c>
      <c r="BN48" s="242">
        <f t="shared" si="8"/>
        <v>42655</v>
      </c>
      <c r="BO48" s="29">
        <f t="shared" si="0"/>
        <v>0</v>
      </c>
      <c r="BP48" s="29">
        <f t="shared" si="1"/>
        <v>0</v>
      </c>
      <c r="BQ48" s="29">
        <f t="shared" si="3"/>
        <v>1</v>
      </c>
      <c r="BR48" s="29">
        <f t="shared" si="9"/>
        <v>31</v>
      </c>
      <c r="BS48" s="243">
        <f t="shared" si="4"/>
        <v>6.7204193548387095E-2</v>
      </c>
      <c r="BT48">
        <f t="shared" si="5"/>
        <v>6.7204193548387095E-2</v>
      </c>
      <c r="BU48" t="str">
        <f t="shared" si="6"/>
        <v>ok</v>
      </c>
      <c r="BV48">
        <f t="shared" si="10"/>
        <v>0</v>
      </c>
      <c r="BW48">
        <f t="shared" si="7"/>
        <v>0</v>
      </c>
    </row>
    <row r="49" spans="1:82" ht="14.1" customHeight="1" thickBot="1" x14ac:dyDescent="0.3">
      <c r="J49" s="63"/>
      <c r="M49" s="171"/>
      <c r="N49" s="279"/>
      <c r="O49" s="440" t="s">
        <v>17</v>
      </c>
      <c r="P49" s="441"/>
      <c r="Q49" s="289" t="s">
        <v>18</v>
      </c>
      <c r="R49" s="440" t="s">
        <v>17</v>
      </c>
      <c r="S49" s="441"/>
      <c r="T49" s="289" t="s">
        <v>18</v>
      </c>
      <c r="U49" s="440" t="s">
        <v>17</v>
      </c>
      <c r="V49" s="441"/>
      <c r="W49" s="289" t="s">
        <v>18</v>
      </c>
      <c r="AA49" s="63"/>
      <c r="AB49" s="63"/>
      <c r="AH49" s="88"/>
      <c r="AI49" s="89"/>
      <c r="AJ49" s="90"/>
      <c r="AK49" s="90"/>
      <c r="AL49" s="90"/>
      <c r="AM49" s="81" t="str">
        <f t="shared" si="11"/>
        <v/>
      </c>
      <c r="AN49" s="81" t="str">
        <f t="shared" si="12"/>
        <v/>
      </c>
      <c r="AO49" s="81">
        <f t="shared" si="13"/>
        <v>41864</v>
      </c>
      <c r="AP49" s="81" t="str">
        <f t="shared" si="14"/>
        <v/>
      </c>
      <c r="AQ49" s="81" t="str">
        <f t="shared" si="15"/>
        <v/>
      </c>
      <c r="BM49" s="29">
        <v>44</v>
      </c>
      <c r="BN49" s="242">
        <f t="shared" si="8"/>
        <v>42656</v>
      </c>
      <c r="BO49" s="29">
        <f t="shared" si="0"/>
        <v>0</v>
      </c>
      <c r="BP49" s="29">
        <f t="shared" si="1"/>
        <v>0</v>
      </c>
      <c r="BQ49" s="29">
        <f t="shared" si="3"/>
        <v>1</v>
      </c>
      <c r="BR49" s="29">
        <f t="shared" si="9"/>
        <v>32</v>
      </c>
      <c r="BS49" s="243">
        <f t="shared" si="4"/>
        <v>6.7204193548387095E-2</v>
      </c>
      <c r="BT49">
        <f t="shared" si="5"/>
        <v>6.7204193548387095E-2</v>
      </c>
      <c r="BU49" t="str">
        <f t="shared" si="6"/>
        <v>ok</v>
      </c>
      <c r="BV49">
        <f t="shared" si="10"/>
        <v>0</v>
      </c>
      <c r="BW49">
        <f t="shared" si="7"/>
        <v>0</v>
      </c>
    </row>
    <row r="50" spans="1:82" ht="14.1" customHeight="1" x14ac:dyDescent="0.25">
      <c r="J50" s="63"/>
      <c r="M50" s="442" t="s">
        <v>291</v>
      </c>
      <c r="N50" s="443"/>
      <c r="O50" s="766"/>
      <c r="P50" s="767"/>
      <c r="Q50" s="328"/>
      <c r="R50" s="766"/>
      <c r="S50" s="767"/>
      <c r="T50" s="328"/>
      <c r="U50" s="766"/>
      <c r="V50" s="767"/>
      <c r="W50" s="328"/>
      <c r="X50" s="92"/>
      <c r="AA50" s="63"/>
      <c r="AB50" s="63"/>
      <c r="AH50" s="88"/>
      <c r="AI50" s="89"/>
      <c r="AJ50" s="90"/>
      <c r="AK50" s="90"/>
      <c r="AL50" s="90"/>
      <c r="AM50" s="81" t="str">
        <f>IF(AM49="","",IF(AM49=$AD$20,"",AM49+1))</f>
        <v/>
      </c>
      <c r="AN50" s="81" t="str">
        <f>IF(AN49="","",IF(AN49=$AD$21,"",AN49+1))</f>
        <v/>
      </c>
      <c r="AO50" s="81">
        <f>IF(AO49="","",IF(AO49=$AD$22,"",AO49+1))</f>
        <v>41865</v>
      </c>
      <c r="AP50" s="81" t="str">
        <f>IF(AP49="","",IF(AP49=$AD$18,"",AP49+1))</f>
        <v/>
      </c>
      <c r="AQ50" s="81" t="str">
        <f>IF(AQ49="","",IF(AQ49=$AD$19,"",AQ49+1))</f>
        <v/>
      </c>
      <c r="BM50" s="29">
        <v>45</v>
      </c>
      <c r="BN50" s="242">
        <f>BN49+1</f>
        <v>42657</v>
      </c>
      <c r="BO50" s="29">
        <f t="shared" si="0"/>
        <v>0</v>
      </c>
      <c r="BP50" s="29">
        <f t="shared" si="1"/>
        <v>0</v>
      </c>
      <c r="BQ50" s="29">
        <f t="shared" si="3"/>
        <v>1</v>
      </c>
      <c r="BR50" s="29">
        <f>BR49+1-BP50-BO50</f>
        <v>33</v>
      </c>
      <c r="BS50" s="243">
        <f t="shared" si="4"/>
        <v>6.7204193548387095E-2</v>
      </c>
      <c r="BT50">
        <f t="shared" si="5"/>
        <v>6.7204193548387095E-2</v>
      </c>
      <c r="BU50" t="str">
        <f t="shared" si="6"/>
        <v>ok</v>
      </c>
      <c r="BV50">
        <f t="shared" si="10"/>
        <v>0</v>
      </c>
      <c r="BW50">
        <f t="shared" si="7"/>
        <v>0</v>
      </c>
    </row>
    <row r="51" spans="1:82" ht="14.1" customHeight="1" x14ac:dyDescent="0.25">
      <c r="J51" s="63"/>
      <c r="M51" s="446" t="s">
        <v>292</v>
      </c>
      <c r="N51" s="447"/>
      <c r="O51" s="755"/>
      <c r="P51" s="756"/>
      <c r="Q51" s="329"/>
      <c r="R51" s="764"/>
      <c r="S51" s="765"/>
      <c r="T51" s="329"/>
      <c r="U51" s="764"/>
      <c r="V51" s="765"/>
      <c r="W51" s="329"/>
      <c r="X51" s="92"/>
      <c r="AA51" s="63"/>
      <c r="AB51" s="63"/>
      <c r="AH51" s="88"/>
      <c r="AI51" s="89"/>
      <c r="AJ51" s="90"/>
      <c r="AK51" s="90"/>
      <c r="AL51" s="90"/>
      <c r="AM51" s="81" t="str">
        <f t="shared" si="11"/>
        <v/>
      </c>
      <c r="AN51" s="81" t="str">
        <f t="shared" si="12"/>
        <v/>
      </c>
      <c r="AO51" s="81">
        <f t="shared" si="13"/>
        <v>41866</v>
      </c>
      <c r="AP51" s="81" t="str">
        <f t="shared" si="14"/>
        <v/>
      </c>
      <c r="AQ51" s="81" t="str">
        <f t="shared" si="15"/>
        <v/>
      </c>
      <c r="BM51" s="29">
        <v>46</v>
      </c>
      <c r="BN51" s="242">
        <f t="shared" si="8"/>
        <v>42658</v>
      </c>
      <c r="BO51" s="29">
        <f t="shared" si="0"/>
        <v>0</v>
      </c>
      <c r="BP51" s="29">
        <f t="shared" si="1"/>
        <v>0</v>
      </c>
      <c r="BQ51" s="29">
        <f t="shared" si="3"/>
        <v>1</v>
      </c>
      <c r="BR51" s="29">
        <f t="shared" si="9"/>
        <v>34</v>
      </c>
      <c r="BS51" s="243">
        <f t="shared" si="4"/>
        <v>6.7204193548387095E-2</v>
      </c>
      <c r="BT51">
        <f t="shared" si="5"/>
        <v>6.7204193548387095E-2</v>
      </c>
      <c r="BU51" t="str">
        <f t="shared" si="6"/>
        <v>ok</v>
      </c>
      <c r="BV51">
        <f t="shared" si="10"/>
        <v>0</v>
      </c>
      <c r="BW51">
        <f t="shared" si="7"/>
        <v>0</v>
      </c>
    </row>
    <row r="52" spans="1:82" ht="14.1" customHeight="1" x14ac:dyDescent="0.25">
      <c r="J52" s="63"/>
      <c r="M52" s="446" t="s">
        <v>293</v>
      </c>
      <c r="N52" s="447"/>
      <c r="O52" s="755"/>
      <c r="P52" s="756"/>
      <c r="Q52" s="329"/>
      <c r="R52" s="764"/>
      <c r="S52" s="765"/>
      <c r="T52" s="329"/>
      <c r="U52" s="764"/>
      <c r="V52" s="765"/>
      <c r="W52" s="329"/>
      <c r="AA52" s="63"/>
      <c r="AB52" s="63"/>
      <c r="AH52" s="88"/>
      <c r="AI52" s="89"/>
      <c r="AJ52" s="90"/>
      <c r="AK52" s="90"/>
      <c r="AL52" s="90"/>
      <c r="AM52" s="81" t="str">
        <f t="shared" si="11"/>
        <v/>
      </c>
      <c r="AN52" s="81" t="str">
        <f t="shared" si="12"/>
        <v/>
      </c>
      <c r="AO52" s="81">
        <f t="shared" si="13"/>
        <v>41867</v>
      </c>
      <c r="AP52" s="81" t="str">
        <f t="shared" si="14"/>
        <v/>
      </c>
      <c r="AQ52" s="81" t="str">
        <f t="shared" si="15"/>
        <v/>
      </c>
      <c r="BM52" s="29">
        <v>47</v>
      </c>
      <c r="BN52" s="242">
        <f t="shared" si="8"/>
        <v>42659</v>
      </c>
      <c r="BO52" s="29">
        <f t="shared" si="0"/>
        <v>1</v>
      </c>
      <c r="BP52" s="29">
        <f t="shared" si="1"/>
        <v>0</v>
      </c>
      <c r="BQ52" s="29">
        <f t="shared" si="3"/>
        <v>0</v>
      </c>
      <c r="BR52" s="29">
        <f t="shared" si="9"/>
        <v>34</v>
      </c>
      <c r="BS52" s="243">
        <f t="shared" si="4"/>
        <v>6.7204193548387095E-2</v>
      </c>
      <c r="BT52">
        <f t="shared" si="5"/>
        <v>6.7204193548387095E-2</v>
      </c>
      <c r="BU52" t="str">
        <f t="shared" si="6"/>
        <v>ok</v>
      </c>
      <c r="BV52">
        <f t="shared" si="10"/>
        <v>0</v>
      </c>
      <c r="BW52">
        <f t="shared" si="7"/>
        <v>0</v>
      </c>
    </row>
    <row r="53" spans="1:82" s="92" customFormat="1" ht="14.1" customHeight="1" x14ac:dyDescent="0.25">
      <c r="A53" s="63"/>
      <c r="B53" s="63"/>
      <c r="C53" s="63"/>
      <c r="D53" s="63"/>
      <c r="E53" s="76"/>
      <c r="F53" s="63"/>
      <c r="G53" s="63"/>
      <c r="H53" s="63"/>
      <c r="I53" s="76"/>
      <c r="J53" s="63"/>
      <c r="K53" s="63"/>
      <c r="L53" s="63"/>
      <c r="M53" s="446" t="s">
        <v>294</v>
      </c>
      <c r="N53" s="447"/>
      <c r="O53" s="764"/>
      <c r="P53" s="765"/>
      <c r="Q53" s="329"/>
      <c r="R53" s="764"/>
      <c r="S53" s="765"/>
      <c r="T53" s="329"/>
      <c r="U53" s="764"/>
      <c r="V53" s="765"/>
      <c r="W53" s="329"/>
      <c r="X53" s="63"/>
      <c r="Y53" s="63"/>
      <c r="Z53" s="63"/>
      <c r="AA53" s="63"/>
      <c r="AB53" s="63"/>
      <c r="AC53" s="63"/>
      <c r="AD53" s="63"/>
      <c r="AE53" s="63"/>
      <c r="AF53" s="76"/>
      <c r="AG53" s="63"/>
      <c r="AH53" s="761"/>
      <c r="AI53" s="761"/>
      <c r="AJ53" s="761"/>
      <c r="AK53" s="91"/>
      <c r="AL53" s="91"/>
      <c r="AM53" s="81" t="str">
        <f t="shared" si="11"/>
        <v/>
      </c>
      <c r="AN53" s="81" t="str">
        <f t="shared" si="12"/>
        <v/>
      </c>
      <c r="AO53" s="81">
        <f t="shared" si="13"/>
        <v>41868</v>
      </c>
      <c r="AP53" s="81" t="str">
        <f t="shared" si="14"/>
        <v/>
      </c>
      <c r="AQ53" s="81" t="str">
        <f t="shared" si="15"/>
        <v/>
      </c>
      <c r="BM53" s="29">
        <v>48</v>
      </c>
      <c r="BN53" s="242">
        <f t="shared" si="8"/>
        <v>42660</v>
      </c>
      <c r="BO53" s="29">
        <f t="shared" si="0"/>
        <v>1</v>
      </c>
      <c r="BP53" s="29">
        <f t="shared" si="1"/>
        <v>0</v>
      </c>
      <c r="BQ53" s="29">
        <f t="shared" si="3"/>
        <v>0</v>
      </c>
      <c r="BR53" s="29">
        <f t="shared" si="9"/>
        <v>34</v>
      </c>
      <c r="BS53" s="243">
        <f t="shared" si="4"/>
        <v>6.7204193548387095E-2</v>
      </c>
      <c r="BT53">
        <f t="shared" si="5"/>
        <v>6.7204193548387095E-2</v>
      </c>
      <c r="BU53" t="str">
        <f t="shared" si="6"/>
        <v>ok</v>
      </c>
      <c r="BV53">
        <f t="shared" si="10"/>
        <v>0</v>
      </c>
      <c r="BW53">
        <f t="shared" si="7"/>
        <v>0</v>
      </c>
      <c r="BX53"/>
      <c r="BY53"/>
      <c r="BZ53"/>
      <c r="CA53"/>
      <c r="CB53"/>
      <c r="CC53"/>
      <c r="CD53"/>
    </row>
    <row r="54" spans="1:82" s="92" customFormat="1" ht="14.1" customHeight="1" x14ac:dyDescent="0.25">
      <c r="A54" s="63"/>
      <c r="B54" s="63"/>
      <c r="C54" s="63"/>
      <c r="D54" s="63"/>
      <c r="E54" s="76"/>
      <c r="F54" s="63"/>
      <c r="G54" s="63"/>
      <c r="H54" s="63"/>
      <c r="I54" s="76"/>
      <c r="J54" s="63"/>
      <c r="K54" s="63"/>
      <c r="L54" s="63"/>
      <c r="M54" s="446" t="s">
        <v>295</v>
      </c>
      <c r="N54" s="447"/>
      <c r="O54" s="764"/>
      <c r="P54" s="765"/>
      <c r="Q54" s="329"/>
      <c r="R54" s="764"/>
      <c r="S54" s="765"/>
      <c r="T54" s="329"/>
      <c r="U54" s="764"/>
      <c r="V54" s="765"/>
      <c r="W54" s="329"/>
      <c r="X54" s="63"/>
      <c r="Y54" s="63"/>
      <c r="Z54" s="63"/>
      <c r="AA54" s="63"/>
      <c r="AB54" s="63"/>
      <c r="AC54" s="63"/>
      <c r="AD54" s="63"/>
      <c r="AE54" s="63"/>
      <c r="AF54" s="76"/>
      <c r="AG54" s="63"/>
      <c r="AH54" s="91"/>
      <c r="AI54" s="91"/>
      <c r="AJ54" s="91"/>
      <c r="AK54" s="91"/>
      <c r="AL54" s="91"/>
      <c r="AM54" s="81" t="str">
        <f t="shared" si="11"/>
        <v/>
      </c>
      <c r="AN54" s="81" t="str">
        <f t="shared" si="12"/>
        <v/>
      </c>
      <c r="AO54" s="81">
        <f t="shared" si="13"/>
        <v>41869</v>
      </c>
      <c r="AP54" s="81" t="str">
        <f t="shared" si="14"/>
        <v/>
      </c>
      <c r="AQ54" s="81" t="str">
        <f t="shared" si="15"/>
        <v/>
      </c>
      <c r="BM54" s="29">
        <v>49</v>
      </c>
      <c r="BN54" s="242">
        <f t="shared" si="8"/>
        <v>42661</v>
      </c>
      <c r="BO54" s="29">
        <f t="shared" si="0"/>
        <v>0</v>
      </c>
      <c r="BP54" s="29">
        <f t="shared" si="1"/>
        <v>0</v>
      </c>
      <c r="BQ54" s="29">
        <f t="shared" si="3"/>
        <v>1</v>
      </c>
      <c r="BR54" s="29">
        <f t="shared" si="9"/>
        <v>35</v>
      </c>
      <c r="BS54" s="243">
        <f t="shared" si="4"/>
        <v>6.7204193548387095E-2</v>
      </c>
      <c r="BT54">
        <f t="shared" si="5"/>
        <v>6.7204193548387095E-2</v>
      </c>
      <c r="BU54" t="str">
        <f t="shared" si="6"/>
        <v>ok</v>
      </c>
      <c r="BV54">
        <f t="shared" si="10"/>
        <v>0</v>
      </c>
      <c r="BW54">
        <f t="shared" si="7"/>
        <v>0</v>
      </c>
      <c r="BX54"/>
      <c r="BY54"/>
      <c r="BZ54"/>
      <c r="CA54"/>
      <c r="CB54"/>
      <c r="CC54"/>
      <c r="CD54"/>
    </row>
    <row r="55" spans="1:82" ht="14.1" customHeight="1" x14ac:dyDescent="0.25">
      <c r="M55" s="446" t="s">
        <v>296</v>
      </c>
      <c r="N55" s="447"/>
      <c r="O55" s="764"/>
      <c r="P55" s="765"/>
      <c r="Q55" s="329"/>
      <c r="R55" s="764"/>
      <c r="S55" s="765"/>
      <c r="T55" s="329"/>
      <c r="U55" s="764"/>
      <c r="V55" s="765"/>
      <c r="W55" s="329"/>
      <c r="AM55" s="81" t="str">
        <f t="shared" si="11"/>
        <v/>
      </c>
      <c r="AN55" s="81" t="str">
        <f t="shared" si="12"/>
        <v/>
      </c>
      <c r="AO55" s="81">
        <f t="shared" si="13"/>
        <v>41870</v>
      </c>
      <c r="AP55" s="81" t="str">
        <f t="shared" si="14"/>
        <v/>
      </c>
      <c r="AQ55" s="81" t="str">
        <f t="shared" si="15"/>
        <v/>
      </c>
      <c r="BM55" s="29">
        <v>50</v>
      </c>
      <c r="BN55" s="242">
        <f t="shared" si="8"/>
        <v>42662</v>
      </c>
      <c r="BO55" s="29">
        <f t="shared" si="0"/>
        <v>0</v>
      </c>
      <c r="BP55" s="29">
        <f t="shared" si="1"/>
        <v>0</v>
      </c>
      <c r="BQ55" s="29">
        <f t="shared" si="3"/>
        <v>1</v>
      </c>
      <c r="BR55" s="29">
        <f t="shared" si="9"/>
        <v>36</v>
      </c>
      <c r="BS55" s="243">
        <f t="shared" si="4"/>
        <v>6.7204193548387095E-2</v>
      </c>
      <c r="BT55">
        <f t="shared" si="5"/>
        <v>6.7204193548387095E-2</v>
      </c>
      <c r="BU55" t="str">
        <f t="shared" si="6"/>
        <v>ok</v>
      </c>
      <c r="BV55">
        <f t="shared" si="10"/>
        <v>0</v>
      </c>
      <c r="BW55">
        <f t="shared" si="7"/>
        <v>0</v>
      </c>
    </row>
    <row r="56" spans="1:82" ht="14.1" customHeight="1" thickBot="1" x14ac:dyDescent="0.3">
      <c r="M56" s="638" t="s">
        <v>297</v>
      </c>
      <c r="N56" s="639"/>
      <c r="O56" s="762"/>
      <c r="P56" s="763"/>
      <c r="Q56" s="330"/>
      <c r="R56" s="768"/>
      <c r="S56" s="769"/>
      <c r="T56" s="330"/>
      <c r="U56" s="768"/>
      <c r="V56" s="769"/>
      <c r="W56" s="330"/>
      <c r="AM56" s="81" t="str">
        <f t="shared" si="11"/>
        <v/>
      </c>
      <c r="AN56" s="81" t="str">
        <f t="shared" si="12"/>
        <v/>
      </c>
      <c r="AO56" s="81">
        <f t="shared" si="13"/>
        <v>41871</v>
      </c>
      <c r="AP56" s="81" t="str">
        <f t="shared" si="14"/>
        <v/>
      </c>
      <c r="AQ56" s="81" t="str">
        <f t="shared" si="15"/>
        <v/>
      </c>
      <c r="BM56" s="29">
        <v>51</v>
      </c>
      <c r="BN56" s="242">
        <f t="shared" si="8"/>
        <v>42663</v>
      </c>
      <c r="BO56" s="29">
        <f t="shared" si="0"/>
        <v>0</v>
      </c>
      <c r="BP56" s="29">
        <f t="shared" si="1"/>
        <v>0</v>
      </c>
      <c r="BQ56" s="29">
        <f t="shared" si="3"/>
        <v>1</v>
      </c>
      <c r="BR56" s="29">
        <f t="shared" si="9"/>
        <v>37</v>
      </c>
      <c r="BS56" s="243">
        <f t="shared" si="4"/>
        <v>6.7204193548387095E-2</v>
      </c>
      <c r="BT56">
        <f t="shared" si="5"/>
        <v>6.7204193548387095E-2</v>
      </c>
      <c r="BU56" t="str">
        <f t="shared" si="6"/>
        <v>ok</v>
      </c>
      <c r="BV56">
        <f t="shared" si="10"/>
        <v>0</v>
      </c>
      <c r="BW56">
        <f t="shared" si="7"/>
        <v>0</v>
      </c>
    </row>
    <row r="57" spans="1:82" ht="14.1" customHeight="1" thickBot="1" x14ac:dyDescent="0.3">
      <c r="AH57" s="93"/>
      <c r="AI57" s="93"/>
      <c r="AJ57" s="94"/>
      <c r="AK57" s="94"/>
      <c r="AL57" s="94"/>
      <c r="AM57" s="81" t="str">
        <f t="shared" si="11"/>
        <v/>
      </c>
      <c r="AN57" s="81" t="str">
        <f t="shared" si="12"/>
        <v/>
      </c>
      <c r="AO57" s="81">
        <f t="shared" si="13"/>
        <v>41872</v>
      </c>
      <c r="AP57" s="81" t="str">
        <f t="shared" si="14"/>
        <v/>
      </c>
      <c r="AQ57" s="81" t="str">
        <f t="shared" si="15"/>
        <v/>
      </c>
      <c r="BM57" s="29">
        <v>52</v>
      </c>
      <c r="BN57" s="242">
        <f t="shared" si="8"/>
        <v>42664</v>
      </c>
      <c r="BO57" s="29">
        <f t="shared" si="0"/>
        <v>0</v>
      </c>
      <c r="BP57" s="29">
        <f t="shared" si="1"/>
        <v>0</v>
      </c>
      <c r="BQ57" s="29">
        <f t="shared" si="3"/>
        <v>1</v>
      </c>
      <c r="BR57" s="29">
        <f t="shared" si="9"/>
        <v>38</v>
      </c>
      <c r="BS57" s="243">
        <f t="shared" si="4"/>
        <v>6.7204193548387095E-2</v>
      </c>
      <c r="BT57">
        <f t="shared" si="5"/>
        <v>6.7204193548387095E-2</v>
      </c>
      <c r="BU57" t="str">
        <f t="shared" si="6"/>
        <v>ok</v>
      </c>
      <c r="BV57">
        <f t="shared" si="10"/>
        <v>0</v>
      </c>
      <c r="BW57">
        <f t="shared" si="7"/>
        <v>0</v>
      </c>
    </row>
    <row r="58" spans="1:82" ht="21.75" customHeight="1" thickBot="1" x14ac:dyDescent="0.3">
      <c r="R58" s="648" t="s">
        <v>298</v>
      </c>
      <c r="S58" s="649"/>
      <c r="T58" s="649"/>
      <c r="U58" s="649"/>
      <c r="V58" s="650"/>
      <c r="W58" s="290">
        <f>Q50-O50+T50-R50+W50-U50+W51-U51+T51-R51+Q51-O51+W52-U52+T52-R52+Q52-O52+W53-U53+T53-R53+Q53-O53+W54-U54+T54-R54+Q54-O54+W55-U55+T55-R55+Q55-O55+W56-U56+T56-R56+Q56-O56</f>
        <v>0</v>
      </c>
      <c r="AJ58" s="95"/>
      <c r="AK58" s="95"/>
      <c r="AL58" s="95"/>
      <c r="AM58" s="81" t="str">
        <f t="shared" si="11"/>
        <v/>
      </c>
      <c r="AN58" s="81" t="str">
        <f t="shared" si="12"/>
        <v/>
      </c>
      <c r="AO58" s="81">
        <f t="shared" si="13"/>
        <v>41873</v>
      </c>
      <c r="AP58" s="81" t="str">
        <f t="shared" si="14"/>
        <v/>
      </c>
      <c r="AQ58" s="81" t="str">
        <f t="shared" si="15"/>
        <v/>
      </c>
      <c r="BM58" s="29">
        <v>53</v>
      </c>
      <c r="BN58" s="242">
        <f t="shared" si="8"/>
        <v>42665</v>
      </c>
      <c r="BO58" s="29">
        <f t="shared" si="0"/>
        <v>0</v>
      </c>
      <c r="BP58" s="29">
        <f t="shared" si="1"/>
        <v>0</v>
      </c>
      <c r="BQ58" s="29">
        <f t="shared" si="3"/>
        <v>1</v>
      </c>
      <c r="BR58" s="29">
        <f t="shared" si="9"/>
        <v>39</v>
      </c>
      <c r="BS58" s="243">
        <f t="shared" si="4"/>
        <v>6.7204193548387095E-2</v>
      </c>
      <c r="BT58">
        <f t="shared" si="5"/>
        <v>6.7204193548387095E-2</v>
      </c>
      <c r="BU58" t="str">
        <f t="shared" si="6"/>
        <v>ok</v>
      </c>
      <c r="BV58">
        <f t="shared" si="10"/>
        <v>0</v>
      </c>
      <c r="BW58">
        <f t="shared" si="7"/>
        <v>0</v>
      </c>
    </row>
    <row r="59" spans="1:82" ht="13.5" customHeight="1" x14ac:dyDescent="0.25">
      <c r="AM59" s="81" t="str">
        <f t="shared" si="11"/>
        <v/>
      </c>
      <c r="AN59" s="81" t="str">
        <f t="shared" si="12"/>
        <v/>
      </c>
      <c r="AO59" s="81">
        <f t="shared" si="13"/>
        <v>41874</v>
      </c>
      <c r="AP59" s="81" t="str">
        <f t="shared" si="14"/>
        <v/>
      </c>
      <c r="AQ59" s="81" t="str">
        <f t="shared" si="15"/>
        <v/>
      </c>
      <c r="BM59" s="29">
        <v>54</v>
      </c>
      <c r="BN59" s="242">
        <f t="shared" si="8"/>
        <v>42666</v>
      </c>
      <c r="BO59" s="29">
        <f t="shared" si="0"/>
        <v>1</v>
      </c>
      <c r="BP59" s="29">
        <f t="shared" si="1"/>
        <v>0</v>
      </c>
      <c r="BQ59" s="29">
        <f t="shared" si="3"/>
        <v>0</v>
      </c>
      <c r="BR59" s="29">
        <f t="shared" si="9"/>
        <v>39</v>
      </c>
      <c r="BS59" s="243">
        <f t="shared" si="4"/>
        <v>6.7204193548387095E-2</v>
      </c>
      <c r="BT59">
        <f t="shared" si="5"/>
        <v>6.7204193548387095E-2</v>
      </c>
      <c r="BU59" t="str">
        <f t="shared" si="6"/>
        <v>ok</v>
      </c>
      <c r="BV59">
        <f t="shared" si="10"/>
        <v>0</v>
      </c>
      <c r="BW59">
        <f t="shared" si="7"/>
        <v>0</v>
      </c>
    </row>
    <row r="60" spans="1:82" x14ac:dyDescent="0.25">
      <c r="AM60" s="81" t="str">
        <f>IF(AM59="","",IF(AM59=$AD$20,"",AM59+1))</f>
        <v/>
      </c>
      <c r="AN60" s="81" t="str">
        <f>IF(AN59="","",IF(AN59=$AD$21,"",AN59+1))</f>
        <v/>
      </c>
      <c r="AO60" s="81">
        <f>IF(AO59="","",IF(AO59=$AD$22,"",AO59+1))</f>
        <v>41875</v>
      </c>
      <c r="AP60" s="81" t="str">
        <f>IF(AP59="","",IF(AP59=$AD$18,"",AP59+1))</f>
        <v/>
      </c>
      <c r="AQ60" s="81" t="str">
        <f>IF(AQ59="","",IF(AQ59=$AD$19,"",AQ59+1))</f>
        <v/>
      </c>
      <c r="BM60" s="29">
        <v>55</v>
      </c>
      <c r="BN60" s="242">
        <f>BN59+1</f>
        <v>42667</v>
      </c>
      <c r="BO60" s="29">
        <f t="shared" si="0"/>
        <v>1</v>
      </c>
      <c r="BP60" s="29">
        <f t="shared" si="1"/>
        <v>0</v>
      </c>
      <c r="BQ60" s="29">
        <f t="shared" si="3"/>
        <v>0</v>
      </c>
      <c r="BR60" s="29">
        <f>BR59+1-BP60-BO60</f>
        <v>39</v>
      </c>
      <c r="BS60" s="243">
        <f t="shared" si="4"/>
        <v>6.7204193548387095E-2</v>
      </c>
      <c r="BT60">
        <f t="shared" si="5"/>
        <v>6.7204193548387095E-2</v>
      </c>
      <c r="BU60" t="str">
        <f t="shared" si="6"/>
        <v>ok</v>
      </c>
      <c r="BV60">
        <f t="shared" si="10"/>
        <v>0</v>
      </c>
      <c r="BW60">
        <f t="shared" si="7"/>
        <v>0</v>
      </c>
    </row>
    <row r="61" spans="1:82" x14ac:dyDescent="0.25">
      <c r="AM61" s="81" t="str">
        <f t="shared" si="11"/>
        <v/>
      </c>
      <c r="AN61" s="81" t="str">
        <f t="shared" si="12"/>
        <v/>
      </c>
      <c r="AO61" s="81">
        <f t="shared" si="13"/>
        <v>41876</v>
      </c>
      <c r="AP61" s="81" t="str">
        <f t="shared" si="14"/>
        <v/>
      </c>
      <c r="AQ61" s="81" t="str">
        <f t="shared" si="15"/>
        <v/>
      </c>
      <c r="BM61" s="29">
        <v>56</v>
      </c>
      <c r="BN61" s="242">
        <f t="shared" si="8"/>
        <v>42668</v>
      </c>
      <c r="BO61" s="29">
        <f t="shared" si="0"/>
        <v>0</v>
      </c>
      <c r="BP61" s="29">
        <f t="shared" si="1"/>
        <v>0</v>
      </c>
      <c r="BQ61" s="29">
        <f t="shared" si="3"/>
        <v>1</v>
      </c>
      <c r="BR61" s="29">
        <f t="shared" si="9"/>
        <v>40</v>
      </c>
      <c r="BS61" s="243">
        <f t="shared" si="4"/>
        <v>6.7204193548387095E-2</v>
      </c>
      <c r="BT61">
        <f t="shared" si="5"/>
        <v>6.7204193548387095E-2</v>
      </c>
      <c r="BU61" t="str">
        <f t="shared" si="6"/>
        <v>ok</v>
      </c>
      <c r="BV61">
        <f t="shared" si="10"/>
        <v>0</v>
      </c>
      <c r="BW61">
        <f t="shared" si="7"/>
        <v>0</v>
      </c>
    </row>
    <row r="62" spans="1:82" x14ac:dyDescent="0.25">
      <c r="AM62" s="81" t="str">
        <f t="shared" si="11"/>
        <v/>
      </c>
      <c r="AN62" s="81" t="str">
        <f t="shared" si="12"/>
        <v/>
      </c>
      <c r="AO62" s="81">
        <f t="shared" si="13"/>
        <v>41877</v>
      </c>
      <c r="AP62" s="81" t="str">
        <f t="shared" si="14"/>
        <v/>
      </c>
      <c r="AQ62" s="81" t="str">
        <f t="shared" si="15"/>
        <v/>
      </c>
      <c r="BM62" s="29">
        <v>57</v>
      </c>
      <c r="BN62" s="242">
        <f t="shared" si="8"/>
        <v>42669</v>
      </c>
      <c r="BO62" s="29">
        <f t="shared" si="0"/>
        <v>0</v>
      </c>
      <c r="BP62" s="29">
        <f t="shared" si="1"/>
        <v>0</v>
      </c>
      <c r="BQ62" s="29">
        <f t="shared" si="3"/>
        <v>1</v>
      </c>
      <c r="BR62" s="29">
        <f t="shared" si="9"/>
        <v>41</v>
      </c>
      <c r="BS62" s="243">
        <f t="shared" si="4"/>
        <v>6.7204193548387095E-2</v>
      </c>
      <c r="BT62">
        <f t="shared" si="5"/>
        <v>6.7204193548387095E-2</v>
      </c>
      <c r="BU62" t="str">
        <f t="shared" si="6"/>
        <v>ok</v>
      </c>
      <c r="BV62">
        <f t="shared" si="10"/>
        <v>0</v>
      </c>
      <c r="BW62">
        <f t="shared" si="7"/>
        <v>0</v>
      </c>
    </row>
    <row r="63" spans="1:82" x14ac:dyDescent="0.25">
      <c r="AM63" s="81" t="str">
        <f t="shared" si="11"/>
        <v/>
      </c>
      <c r="AN63" s="81" t="str">
        <f t="shared" si="12"/>
        <v/>
      </c>
      <c r="AO63" s="81">
        <f t="shared" si="13"/>
        <v>41878</v>
      </c>
      <c r="AP63" s="81" t="str">
        <f t="shared" si="14"/>
        <v/>
      </c>
      <c r="AQ63" s="81" t="str">
        <f t="shared" si="15"/>
        <v/>
      </c>
      <c r="BM63" s="29">
        <v>58</v>
      </c>
      <c r="BN63" s="242">
        <f t="shared" si="8"/>
        <v>42670</v>
      </c>
      <c r="BO63" s="29">
        <f t="shared" si="0"/>
        <v>0</v>
      </c>
      <c r="BP63" s="29">
        <f t="shared" si="1"/>
        <v>0</v>
      </c>
      <c r="BQ63" s="29">
        <f t="shared" si="3"/>
        <v>1</v>
      </c>
      <c r="BR63" s="29">
        <f t="shared" si="9"/>
        <v>42</v>
      </c>
      <c r="BS63" s="243">
        <f t="shared" si="4"/>
        <v>6.7204193548387095E-2</v>
      </c>
      <c r="BT63">
        <f t="shared" si="5"/>
        <v>6.7204193548387095E-2</v>
      </c>
      <c r="BU63" t="str">
        <f t="shared" si="6"/>
        <v>ok</v>
      </c>
      <c r="BV63">
        <f t="shared" si="10"/>
        <v>0</v>
      </c>
      <c r="BW63">
        <f t="shared" si="7"/>
        <v>0</v>
      </c>
    </row>
    <row r="64" spans="1:82" x14ac:dyDescent="0.25">
      <c r="AM64" s="81" t="str">
        <f t="shared" si="11"/>
        <v/>
      </c>
      <c r="AN64" s="81" t="str">
        <f t="shared" si="12"/>
        <v/>
      </c>
      <c r="AO64" s="81">
        <f t="shared" si="13"/>
        <v>41879</v>
      </c>
      <c r="AP64" s="81" t="str">
        <f t="shared" si="14"/>
        <v/>
      </c>
      <c r="AQ64" s="81" t="str">
        <f t="shared" si="15"/>
        <v/>
      </c>
      <c r="BM64" s="29">
        <v>59</v>
      </c>
      <c r="BN64" s="242">
        <f t="shared" si="8"/>
        <v>42671</v>
      </c>
      <c r="BO64" s="29">
        <f t="shared" si="0"/>
        <v>0</v>
      </c>
      <c r="BP64" s="29">
        <f t="shared" si="1"/>
        <v>0</v>
      </c>
      <c r="BQ64" s="29">
        <f t="shared" si="3"/>
        <v>1</v>
      </c>
      <c r="BR64" s="29">
        <f t="shared" si="9"/>
        <v>43</v>
      </c>
      <c r="BS64" s="243">
        <f t="shared" si="4"/>
        <v>6.7204193548387095E-2</v>
      </c>
      <c r="BT64">
        <f t="shared" si="5"/>
        <v>6.7204193548387095E-2</v>
      </c>
      <c r="BU64" t="str">
        <f t="shared" si="6"/>
        <v>ok</v>
      </c>
      <c r="BV64">
        <f t="shared" si="10"/>
        <v>0</v>
      </c>
      <c r="BW64">
        <f t="shared" si="7"/>
        <v>0</v>
      </c>
    </row>
    <row r="65" spans="39:75" x14ac:dyDescent="0.25">
      <c r="AM65" s="81" t="str">
        <f t="shared" si="11"/>
        <v/>
      </c>
      <c r="AN65" s="81" t="str">
        <f t="shared" si="12"/>
        <v/>
      </c>
      <c r="AO65" s="81">
        <f t="shared" si="13"/>
        <v>41880</v>
      </c>
      <c r="AP65" s="81" t="str">
        <f t="shared" si="14"/>
        <v/>
      </c>
      <c r="AQ65" s="81" t="str">
        <f t="shared" si="15"/>
        <v/>
      </c>
      <c r="BM65" s="29">
        <v>60</v>
      </c>
      <c r="BN65" s="242">
        <f t="shared" si="8"/>
        <v>42672</v>
      </c>
      <c r="BO65" s="29">
        <f t="shared" si="0"/>
        <v>0</v>
      </c>
      <c r="BP65" s="29">
        <f t="shared" si="1"/>
        <v>0</v>
      </c>
      <c r="BQ65" s="29">
        <f t="shared" si="3"/>
        <v>1</v>
      </c>
      <c r="BR65" s="29">
        <f t="shared" si="9"/>
        <v>44</v>
      </c>
      <c r="BS65" s="243">
        <f t="shared" si="4"/>
        <v>6.7204193548387095E-2</v>
      </c>
      <c r="BT65">
        <f t="shared" si="5"/>
        <v>6.7204193548387095E-2</v>
      </c>
      <c r="BU65" t="str">
        <f t="shared" si="6"/>
        <v>ok</v>
      </c>
      <c r="BV65">
        <f t="shared" si="10"/>
        <v>0</v>
      </c>
      <c r="BW65">
        <f t="shared" si="7"/>
        <v>0</v>
      </c>
    </row>
    <row r="66" spans="39:75" x14ac:dyDescent="0.25">
      <c r="AM66" s="81" t="str">
        <f t="shared" si="11"/>
        <v/>
      </c>
      <c r="AN66" s="81" t="str">
        <f t="shared" si="12"/>
        <v/>
      </c>
      <c r="AO66" s="81">
        <f t="shared" si="13"/>
        <v>41881</v>
      </c>
      <c r="AP66" s="81" t="str">
        <f t="shared" si="14"/>
        <v/>
      </c>
      <c r="AQ66" s="81" t="str">
        <f t="shared" si="15"/>
        <v/>
      </c>
      <c r="BM66" s="29">
        <v>61</v>
      </c>
      <c r="BN66" s="242">
        <f t="shared" si="8"/>
        <v>42673</v>
      </c>
      <c r="BO66" s="29">
        <f t="shared" si="0"/>
        <v>1</v>
      </c>
      <c r="BP66" s="29">
        <f t="shared" si="1"/>
        <v>0</v>
      </c>
      <c r="BQ66" s="29">
        <f t="shared" si="3"/>
        <v>0</v>
      </c>
      <c r="BR66" s="29">
        <f t="shared" si="9"/>
        <v>44</v>
      </c>
      <c r="BS66" s="243">
        <f t="shared" si="4"/>
        <v>6.7204193548387095E-2</v>
      </c>
      <c r="BT66">
        <f t="shared" si="5"/>
        <v>6.7204193548387095E-2</v>
      </c>
      <c r="BU66" t="str">
        <f t="shared" si="6"/>
        <v>ok</v>
      </c>
      <c r="BV66">
        <f t="shared" si="10"/>
        <v>0</v>
      </c>
      <c r="BW66">
        <f t="shared" si="7"/>
        <v>0</v>
      </c>
    </row>
    <row r="67" spans="39:75" x14ac:dyDescent="0.25">
      <c r="AM67" s="81" t="str">
        <f t="shared" si="11"/>
        <v/>
      </c>
      <c r="AN67" s="81" t="str">
        <f t="shared" si="12"/>
        <v/>
      </c>
      <c r="AO67" s="81" t="str">
        <f t="shared" si="13"/>
        <v/>
      </c>
      <c r="AP67" s="81" t="str">
        <f t="shared" si="14"/>
        <v/>
      </c>
      <c r="AQ67" s="81" t="str">
        <f t="shared" si="15"/>
        <v/>
      </c>
      <c r="BM67" s="29">
        <v>62</v>
      </c>
      <c r="BN67" s="242">
        <f t="shared" si="8"/>
        <v>42674</v>
      </c>
      <c r="BO67" s="29">
        <f t="shared" si="0"/>
        <v>1</v>
      </c>
      <c r="BP67" s="29">
        <f t="shared" si="1"/>
        <v>0</v>
      </c>
      <c r="BQ67" s="29">
        <f t="shared" si="3"/>
        <v>0</v>
      </c>
      <c r="BR67" s="29">
        <f t="shared" si="9"/>
        <v>44</v>
      </c>
      <c r="BS67" s="243">
        <f t="shared" si="4"/>
        <v>6.9444333333333344E-2</v>
      </c>
      <c r="BT67">
        <f t="shared" si="5"/>
        <v>6.9444333333333344E-2</v>
      </c>
      <c r="BU67" t="str">
        <f t="shared" si="6"/>
        <v>ok</v>
      </c>
      <c r="BV67">
        <f t="shared" si="10"/>
        <v>0</v>
      </c>
      <c r="BW67">
        <f t="shared" si="7"/>
        <v>0</v>
      </c>
    </row>
    <row r="68" spans="39:75" x14ac:dyDescent="0.25">
      <c r="AM68" s="81" t="str">
        <f t="shared" si="11"/>
        <v/>
      </c>
      <c r="AN68" s="81" t="str">
        <f t="shared" si="12"/>
        <v/>
      </c>
      <c r="AO68" s="81" t="str">
        <f t="shared" si="13"/>
        <v/>
      </c>
      <c r="AP68" s="81" t="str">
        <f t="shared" si="14"/>
        <v/>
      </c>
      <c r="AQ68" s="81" t="str">
        <f t="shared" si="15"/>
        <v/>
      </c>
      <c r="BM68" s="29">
        <v>63</v>
      </c>
      <c r="BN68" s="242">
        <f t="shared" si="8"/>
        <v>42675</v>
      </c>
      <c r="BO68" s="29">
        <f t="shared" ref="BO68:BO133" si="16">IF(OR(WEEKDAY(BN68)=1,WEEKDAY(BN68)=7),1,0)</f>
        <v>0</v>
      </c>
      <c r="BP68" s="29">
        <f t="shared" si="1"/>
        <v>0</v>
      </c>
      <c r="BQ68" s="29">
        <f t="shared" si="3"/>
        <v>1</v>
      </c>
      <c r="BR68" s="29">
        <f t="shared" si="9"/>
        <v>45</v>
      </c>
      <c r="BS68" s="243">
        <f t="shared" si="4"/>
        <v>6.9444333333333344E-2</v>
      </c>
      <c r="BT68">
        <f t="shared" si="5"/>
        <v>6.9444333333333344E-2</v>
      </c>
      <c r="BU68" t="str">
        <f t="shared" si="6"/>
        <v>ok</v>
      </c>
      <c r="BV68">
        <f t="shared" si="10"/>
        <v>0</v>
      </c>
      <c r="BW68">
        <f t="shared" si="7"/>
        <v>0</v>
      </c>
    </row>
    <row r="69" spans="39:75" x14ac:dyDescent="0.25">
      <c r="AM69" s="81" t="str">
        <f t="shared" si="11"/>
        <v/>
      </c>
      <c r="AN69" s="81" t="str">
        <f t="shared" si="12"/>
        <v/>
      </c>
      <c r="AO69" s="81" t="str">
        <f t="shared" si="13"/>
        <v/>
      </c>
      <c r="AP69" s="81" t="str">
        <f t="shared" si="14"/>
        <v/>
      </c>
      <c r="AQ69" s="81" t="str">
        <f t="shared" si="15"/>
        <v/>
      </c>
      <c r="BM69" s="29">
        <v>64</v>
      </c>
      <c r="BN69" s="242">
        <f t="shared" si="8"/>
        <v>42676</v>
      </c>
      <c r="BO69" s="29">
        <f t="shared" si="16"/>
        <v>0</v>
      </c>
      <c r="BP69" s="29">
        <f t="shared" si="1"/>
        <v>0</v>
      </c>
      <c r="BQ69" s="29">
        <f t="shared" si="3"/>
        <v>1</v>
      </c>
      <c r="BR69" s="29">
        <f t="shared" si="9"/>
        <v>46</v>
      </c>
      <c r="BS69" s="243">
        <f t="shared" si="4"/>
        <v>6.9444333333333344E-2</v>
      </c>
      <c r="BT69">
        <f t="shared" si="5"/>
        <v>6.9444333333333344E-2</v>
      </c>
      <c r="BU69" t="str">
        <f t="shared" si="6"/>
        <v>ok</v>
      </c>
      <c r="BV69">
        <f t="shared" si="10"/>
        <v>0</v>
      </c>
      <c r="BW69">
        <f t="shared" si="7"/>
        <v>0</v>
      </c>
    </row>
    <row r="70" spans="39:75" x14ac:dyDescent="0.25">
      <c r="AM70" s="81" t="str">
        <f t="shared" si="11"/>
        <v/>
      </c>
      <c r="AN70" s="81" t="str">
        <f t="shared" si="12"/>
        <v/>
      </c>
      <c r="AO70" s="81" t="str">
        <f t="shared" si="13"/>
        <v/>
      </c>
      <c r="AP70" s="81" t="str">
        <f t="shared" si="14"/>
        <v/>
      </c>
      <c r="AQ70" s="81" t="str">
        <f t="shared" si="15"/>
        <v/>
      </c>
      <c r="BM70" s="29">
        <v>65</v>
      </c>
      <c r="BN70" s="242">
        <f t="shared" ref="BN70:BN133" si="17">BN69+1</f>
        <v>42677</v>
      </c>
      <c r="BO70" s="29">
        <f t="shared" si="16"/>
        <v>0</v>
      </c>
      <c r="BP70" s="29">
        <f t="shared" ref="BP70:BP133" si="18">IF(BO70=1,0,COUNTIF(tab_ferie,BN70))</f>
        <v>0</v>
      </c>
      <c r="BQ70" s="29">
        <f t="shared" si="3"/>
        <v>1</v>
      </c>
      <c r="BR70" s="29">
        <f t="shared" ref="BR70:BR133" si="19">BR69+1-BP70-BO70</f>
        <v>47</v>
      </c>
      <c r="BS70" s="243">
        <f t="shared" si="4"/>
        <v>6.9444333333333344E-2</v>
      </c>
      <c r="BT70">
        <f t="shared" si="5"/>
        <v>6.9444333333333344E-2</v>
      </c>
      <c r="BU70" t="str">
        <f t="shared" si="6"/>
        <v>ok</v>
      </c>
      <c r="BV70">
        <f t="shared" si="10"/>
        <v>0</v>
      </c>
      <c r="BW70">
        <f t="shared" si="7"/>
        <v>0</v>
      </c>
    </row>
    <row r="71" spans="39:75" x14ac:dyDescent="0.25">
      <c r="AM71" s="81" t="str">
        <f t="shared" si="11"/>
        <v/>
      </c>
      <c r="AN71" s="81" t="str">
        <f t="shared" si="12"/>
        <v/>
      </c>
      <c r="AO71" s="81" t="str">
        <f t="shared" si="13"/>
        <v/>
      </c>
      <c r="AP71" s="81" t="str">
        <f t="shared" si="14"/>
        <v/>
      </c>
      <c r="AQ71" s="81" t="str">
        <f t="shared" si="15"/>
        <v/>
      </c>
      <c r="BM71" s="29">
        <v>66</v>
      </c>
      <c r="BN71" s="242">
        <f t="shared" si="17"/>
        <v>42678</v>
      </c>
      <c r="BO71" s="29">
        <f t="shared" si="16"/>
        <v>0</v>
      </c>
      <c r="BP71" s="29">
        <f t="shared" si="18"/>
        <v>0</v>
      </c>
      <c r="BQ71" s="29">
        <f t="shared" ref="BQ71:BQ134" si="20">IF(AND(BN71&gt;=$AF$5,BN71&lt;=$AF$6),IF(BO71+BP71=0,1,0),0)</f>
        <v>1</v>
      </c>
      <c r="BR71" s="29">
        <f t="shared" si="19"/>
        <v>48</v>
      </c>
      <c r="BS71" s="243">
        <f t="shared" ref="BS71:BS134" si="21">2.08333/(EOMONTH(BN71,0)-(EOMONTH(BN71,-1)))</f>
        <v>6.9444333333333344E-2</v>
      </c>
      <c r="BT71">
        <f t="shared" ref="BT71:BT134" si="22">IF(AND(BN71&gt;=$AF$5,BN71&lt;=$AF$6),BS71,0)</f>
        <v>6.9444333333333344E-2</v>
      </c>
      <c r="BU71" t="str">
        <f t="shared" ref="BU71:BU134" si="23">IF(OR(MONTH(BN71)&gt;=10,MONTH(BN71)&lt;=5),"ok","non")</f>
        <v>ok</v>
      </c>
      <c r="BV71">
        <f t="shared" si="10"/>
        <v>0</v>
      </c>
      <c r="BW71">
        <f t="shared" ref="BW71:BW134" si="24">IF(AND(BN71&gt;=$AF$5,BN71&lt;=$AF$6),BV71,0)</f>
        <v>0</v>
      </c>
    </row>
    <row r="72" spans="39:75" x14ac:dyDescent="0.25">
      <c r="AM72" s="81" t="str">
        <f t="shared" si="11"/>
        <v/>
      </c>
      <c r="AN72" s="81" t="str">
        <f t="shared" si="12"/>
        <v/>
      </c>
      <c r="AO72" s="81" t="str">
        <f t="shared" si="13"/>
        <v/>
      </c>
      <c r="AP72" s="81" t="str">
        <f t="shared" si="14"/>
        <v/>
      </c>
      <c r="AQ72" s="81" t="str">
        <f t="shared" si="15"/>
        <v/>
      </c>
      <c r="BM72" s="29">
        <v>67</v>
      </c>
      <c r="BN72" s="242">
        <f t="shared" si="17"/>
        <v>42679</v>
      </c>
      <c r="BO72" s="29">
        <f t="shared" si="16"/>
        <v>0</v>
      </c>
      <c r="BP72" s="29">
        <f t="shared" si="18"/>
        <v>0</v>
      </c>
      <c r="BQ72" s="29">
        <f t="shared" si="20"/>
        <v>1</v>
      </c>
      <c r="BR72" s="29">
        <f t="shared" si="19"/>
        <v>49</v>
      </c>
      <c r="BS72" s="243">
        <f t="shared" si="21"/>
        <v>6.9444333333333344E-2</v>
      </c>
      <c r="BT72">
        <f t="shared" si="22"/>
        <v>6.9444333333333344E-2</v>
      </c>
      <c r="BU72" t="str">
        <f t="shared" si="23"/>
        <v>ok</v>
      </c>
      <c r="BV72">
        <f t="shared" si="10"/>
        <v>0</v>
      </c>
      <c r="BW72">
        <f t="shared" si="24"/>
        <v>0</v>
      </c>
    </row>
    <row r="73" spans="39:75" x14ac:dyDescent="0.25">
      <c r="AM73" s="81" t="str">
        <f t="shared" si="11"/>
        <v/>
      </c>
      <c r="AN73" s="81" t="str">
        <f t="shared" si="12"/>
        <v/>
      </c>
      <c r="AO73" s="81" t="str">
        <f t="shared" si="13"/>
        <v/>
      </c>
      <c r="AP73" s="81" t="str">
        <f t="shared" si="14"/>
        <v/>
      </c>
      <c r="AQ73" s="81" t="str">
        <f t="shared" si="15"/>
        <v/>
      </c>
      <c r="BM73" s="29">
        <v>68</v>
      </c>
      <c r="BN73" s="242">
        <f t="shared" si="17"/>
        <v>42680</v>
      </c>
      <c r="BO73" s="29">
        <f t="shared" si="16"/>
        <v>1</v>
      </c>
      <c r="BP73" s="29">
        <f t="shared" si="18"/>
        <v>0</v>
      </c>
      <c r="BQ73" s="29">
        <f t="shared" si="20"/>
        <v>0</v>
      </c>
      <c r="BR73" s="29">
        <f t="shared" si="19"/>
        <v>49</v>
      </c>
      <c r="BS73" s="243">
        <f t="shared" si="21"/>
        <v>6.9444333333333344E-2</v>
      </c>
      <c r="BT73">
        <f t="shared" si="22"/>
        <v>6.9444333333333344E-2</v>
      </c>
      <c r="BU73" t="str">
        <f t="shared" si="23"/>
        <v>ok</v>
      </c>
      <c r="BV73">
        <f t="shared" si="10"/>
        <v>0</v>
      </c>
      <c r="BW73">
        <f t="shared" si="24"/>
        <v>0</v>
      </c>
    </row>
    <row r="74" spans="39:75" x14ac:dyDescent="0.25">
      <c r="AM74" s="81" t="str">
        <f t="shared" si="11"/>
        <v/>
      </c>
      <c r="AN74" s="81" t="str">
        <f t="shared" si="12"/>
        <v/>
      </c>
      <c r="AO74" s="81" t="str">
        <f t="shared" si="13"/>
        <v/>
      </c>
      <c r="AP74" s="81" t="str">
        <f t="shared" si="14"/>
        <v/>
      </c>
      <c r="AQ74" s="81" t="str">
        <f t="shared" si="15"/>
        <v/>
      </c>
      <c r="BM74" s="29">
        <v>69</v>
      </c>
      <c r="BN74" s="242">
        <f t="shared" si="17"/>
        <v>42681</v>
      </c>
      <c r="BO74" s="29">
        <f t="shared" si="16"/>
        <v>1</v>
      </c>
      <c r="BP74" s="29">
        <f t="shared" si="18"/>
        <v>0</v>
      </c>
      <c r="BQ74" s="29">
        <f t="shared" si="20"/>
        <v>0</v>
      </c>
      <c r="BR74" s="29">
        <f t="shared" si="19"/>
        <v>49</v>
      </c>
      <c r="BS74" s="243">
        <f t="shared" si="21"/>
        <v>6.9444333333333344E-2</v>
      </c>
      <c r="BT74">
        <f t="shared" si="22"/>
        <v>6.9444333333333344E-2</v>
      </c>
      <c r="BU74" t="str">
        <f t="shared" si="23"/>
        <v>ok</v>
      </c>
      <c r="BV74">
        <f t="shared" si="10"/>
        <v>0</v>
      </c>
      <c r="BW74">
        <f t="shared" si="24"/>
        <v>0</v>
      </c>
    </row>
    <row r="75" spans="39:75" x14ac:dyDescent="0.25">
      <c r="AM75" s="81" t="str">
        <f t="shared" si="11"/>
        <v/>
      </c>
      <c r="AN75" s="81" t="str">
        <f t="shared" si="12"/>
        <v/>
      </c>
      <c r="AO75" s="81" t="str">
        <f t="shared" si="13"/>
        <v/>
      </c>
      <c r="AP75" s="81" t="str">
        <f t="shared" si="14"/>
        <v/>
      </c>
      <c r="AQ75" s="81" t="str">
        <f t="shared" si="15"/>
        <v/>
      </c>
      <c r="BM75" s="29">
        <v>70</v>
      </c>
      <c r="BN75" s="242">
        <f t="shared" si="17"/>
        <v>42682</v>
      </c>
      <c r="BO75" s="29">
        <f t="shared" si="16"/>
        <v>0</v>
      </c>
      <c r="BP75" s="29">
        <f t="shared" si="18"/>
        <v>0</v>
      </c>
      <c r="BQ75" s="29">
        <f t="shared" si="20"/>
        <v>1</v>
      </c>
      <c r="BR75" s="29">
        <f t="shared" si="19"/>
        <v>50</v>
      </c>
      <c r="BS75" s="243">
        <f t="shared" si="21"/>
        <v>6.9444333333333344E-2</v>
      </c>
      <c r="BT75">
        <f t="shared" si="22"/>
        <v>6.9444333333333344E-2</v>
      </c>
      <c r="BU75" t="str">
        <f t="shared" si="23"/>
        <v>ok</v>
      </c>
      <c r="BV75">
        <f t="shared" si="10"/>
        <v>0</v>
      </c>
      <c r="BW75">
        <f t="shared" si="24"/>
        <v>0</v>
      </c>
    </row>
    <row r="76" spans="39:75" x14ac:dyDescent="0.25">
      <c r="AM76" s="81" t="str">
        <f t="shared" si="11"/>
        <v/>
      </c>
      <c r="AN76" s="81" t="str">
        <f t="shared" si="12"/>
        <v/>
      </c>
      <c r="AO76" s="81" t="str">
        <f t="shared" si="13"/>
        <v/>
      </c>
      <c r="AP76" s="81" t="str">
        <f t="shared" si="14"/>
        <v/>
      </c>
      <c r="AQ76" s="81" t="str">
        <f t="shared" si="15"/>
        <v/>
      </c>
      <c r="BM76" s="29">
        <v>71</v>
      </c>
      <c r="BN76" s="242">
        <f t="shared" si="17"/>
        <v>42683</v>
      </c>
      <c r="BO76" s="29">
        <f t="shared" si="16"/>
        <v>0</v>
      </c>
      <c r="BP76" s="29">
        <f t="shared" si="18"/>
        <v>0</v>
      </c>
      <c r="BQ76" s="29">
        <f t="shared" si="20"/>
        <v>1</v>
      </c>
      <c r="BR76" s="29">
        <f t="shared" si="19"/>
        <v>51</v>
      </c>
      <c r="BS76" s="243">
        <f t="shared" si="21"/>
        <v>6.9444333333333344E-2</v>
      </c>
      <c r="BT76">
        <f t="shared" si="22"/>
        <v>6.9444333333333344E-2</v>
      </c>
      <c r="BU76" t="str">
        <f t="shared" si="23"/>
        <v>ok</v>
      </c>
      <c r="BV76">
        <f t="shared" si="10"/>
        <v>0</v>
      </c>
      <c r="BW76">
        <f t="shared" si="24"/>
        <v>0</v>
      </c>
    </row>
    <row r="77" spans="39:75" x14ac:dyDescent="0.25">
      <c r="AM77" s="81" t="str">
        <f t="shared" si="11"/>
        <v/>
      </c>
      <c r="AN77" s="81" t="str">
        <f t="shared" si="12"/>
        <v/>
      </c>
      <c r="AO77" s="81" t="str">
        <f t="shared" si="13"/>
        <v/>
      </c>
      <c r="AP77" s="81" t="str">
        <f t="shared" si="14"/>
        <v/>
      </c>
      <c r="AQ77" s="81" t="str">
        <f t="shared" si="15"/>
        <v/>
      </c>
      <c r="BM77" s="29">
        <v>72</v>
      </c>
      <c r="BN77" s="242">
        <f t="shared" si="17"/>
        <v>42684</v>
      </c>
      <c r="BO77" s="29">
        <f t="shared" si="16"/>
        <v>0</v>
      </c>
      <c r="BP77" s="29">
        <f t="shared" si="18"/>
        <v>1</v>
      </c>
      <c r="BQ77" s="29">
        <f t="shared" si="20"/>
        <v>0</v>
      </c>
      <c r="BR77" s="29">
        <f t="shared" si="19"/>
        <v>51</v>
      </c>
      <c r="BS77" s="243">
        <f t="shared" si="21"/>
        <v>6.9444333333333344E-2</v>
      </c>
      <c r="BT77">
        <f t="shared" si="22"/>
        <v>6.9444333333333344E-2</v>
      </c>
      <c r="BU77" t="str">
        <f t="shared" si="23"/>
        <v>ok</v>
      </c>
      <c r="BV77">
        <f t="shared" si="10"/>
        <v>0</v>
      </c>
      <c r="BW77">
        <f t="shared" si="24"/>
        <v>0</v>
      </c>
    </row>
    <row r="78" spans="39:75" x14ac:dyDescent="0.25">
      <c r="AQ78" s="63"/>
      <c r="BM78" s="29">
        <v>73</v>
      </c>
      <c r="BN78" s="242">
        <f t="shared" si="17"/>
        <v>42685</v>
      </c>
      <c r="BO78" s="29">
        <f t="shared" si="16"/>
        <v>0</v>
      </c>
      <c r="BP78" s="29">
        <f t="shared" si="18"/>
        <v>0</v>
      </c>
      <c r="BQ78" s="29">
        <f t="shared" si="20"/>
        <v>1</v>
      </c>
      <c r="BR78" s="29">
        <f t="shared" si="19"/>
        <v>52</v>
      </c>
      <c r="BS78" s="243">
        <f t="shared" si="21"/>
        <v>6.9444333333333344E-2</v>
      </c>
      <c r="BT78">
        <f t="shared" si="22"/>
        <v>6.9444333333333344E-2</v>
      </c>
      <c r="BU78" t="str">
        <f t="shared" si="23"/>
        <v>ok</v>
      </c>
      <c r="BV78">
        <f t="shared" si="10"/>
        <v>0</v>
      </c>
      <c r="BW78">
        <f t="shared" si="24"/>
        <v>0</v>
      </c>
    </row>
    <row r="79" spans="39:75" x14ac:dyDescent="0.25">
      <c r="AQ79" s="63"/>
      <c r="BM79" s="29">
        <v>74</v>
      </c>
      <c r="BN79" s="242">
        <f t="shared" si="17"/>
        <v>42686</v>
      </c>
      <c r="BO79" s="29">
        <f t="shared" si="16"/>
        <v>0</v>
      </c>
      <c r="BP79" s="29">
        <f t="shared" si="18"/>
        <v>0</v>
      </c>
      <c r="BQ79" s="29">
        <f t="shared" si="20"/>
        <v>1</v>
      </c>
      <c r="BR79" s="29">
        <f t="shared" si="19"/>
        <v>53</v>
      </c>
      <c r="BS79" s="243">
        <f t="shared" si="21"/>
        <v>6.9444333333333344E-2</v>
      </c>
      <c r="BT79">
        <f t="shared" si="22"/>
        <v>6.9444333333333344E-2</v>
      </c>
      <c r="BU79" t="str">
        <f t="shared" si="23"/>
        <v>ok</v>
      </c>
      <c r="BV79">
        <f t="shared" si="10"/>
        <v>0</v>
      </c>
      <c r="BW79">
        <f t="shared" si="24"/>
        <v>0</v>
      </c>
    </row>
    <row r="80" spans="39:75" x14ac:dyDescent="0.25">
      <c r="AQ80" s="63"/>
      <c r="BM80" s="29">
        <v>75</v>
      </c>
      <c r="BN80" s="242">
        <f t="shared" si="17"/>
        <v>42687</v>
      </c>
      <c r="BO80" s="29">
        <f t="shared" si="16"/>
        <v>1</v>
      </c>
      <c r="BP80" s="29">
        <f t="shared" si="18"/>
        <v>0</v>
      </c>
      <c r="BQ80" s="29">
        <f t="shared" si="20"/>
        <v>0</v>
      </c>
      <c r="BR80" s="29">
        <f t="shared" si="19"/>
        <v>53</v>
      </c>
      <c r="BS80" s="243">
        <f t="shared" si="21"/>
        <v>6.9444333333333344E-2</v>
      </c>
      <c r="BT80">
        <f t="shared" si="22"/>
        <v>6.9444333333333344E-2</v>
      </c>
      <c r="BU80" t="str">
        <f t="shared" si="23"/>
        <v>ok</v>
      </c>
      <c r="BV80">
        <f t="shared" si="10"/>
        <v>0</v>
      </c>
      <c r="BW80">
        <f t="shared" si="24"/>
        <v>0</v>
      </c>
    </row>
    <row r="81" spans="43:75" x14ac:dyDescent="0.25">
      <c r="AQ81" s="63"/>
      <c r="BM81" s="29">
        <v>76</v>
      </c>
      <c r="BN81" s="242">
        <f t="shared" si="17"/>
        <v>42688</v>
      </c>
      <c r="BO81" s="29">
        <f t="shared" si="16"/>
        <v>1</v>
      </c>
      <c r="BP81" s="29">
        <f t="shared" si="18"/>
        <v>0</v>
      </c>
      <c r="BQ81" s="29">
        <f t="shared" si="20"/>
        <v>0</v>
      </c>
      <c r="BR81" s="29">
        <f t="shared" si="19"/>
        <v>53</v>
      </c>
      <c r="BS81" s="243">
        <f t="shared" si="21"/>
        <v>6.9444333333333344E-2</v>
      </c>
      <c r="BT81">
        <f t="shared" si="22"/>
        <v>6.9444333333333344E-2</v>
      </c>
      <c r="BU81" t="str">
        <f t="shared" si="23"/>
        <v>ok</v>
      </c>
      <c r="BV81">
        <f t="shared" ref="BV81:BV144" si="25">IF(BU81="ok",$CC$29/(EOMONTH(BN81,0)-(EOMONTH(BN81,-1))),0)</f>
        <v>0</v>
      </c>
      <c r="BW81">
        <f t="shared" si="24"/>
        <v>0</v>
      </c>
    </row>
    <row r="82" spans="43:75" x14ac:dyDescent="0.25">
      <c r="AQ82" s="63"/>
      <c r="BM82" s="29">
        <v>77</v>
      </c>
      <c r="BN82" s="242">
        <f t="shared" si="17"/>
        <v>42689</v>
      </c>
      <c r="BO82" s="29">
        <f t="shared" si="16"/>
        <v>0</v>
      </c>
      <c r="BP82" s="29">
        <f t="shared" si="18"/>
        <v>0</v>
      </c>
      <c r="BQ82" s="29">
        <f t="shared" si="20"/>
        <v>1</v>
      </c>
      <c r="BR82" s="29">
        <f t="shared" si="19"/>
        <v>54</v>
      </c>
      <c r="BS82" s="243">
        <f t="shared" si="21"/>
        <v>6.9444333333333344E-2</v>
      </c>
      <c r="BT82">
        <f t="shared" si="22"/>
        <v>6.9444333333333344E-2</v>
      </c>
      <c r="BU82" t="str">
        <f t="shared" si="23"/>
        <v>ok</v>
      </c>
      <c r="BV82">
        <f t="shared" si="25"/>
        <v>0</v>
      </c>
      <c r="BW82">
        <f t="shared" si="24"/>
        <v>0</v>
      </c>
    </row>
    <row r="83" spans="43:75" x14ac:dyDescent="0.25">
      <c r="AQ83" s="63"/>
      <c r="BM83" s="29">
        <v>78</v>
      </c>
      <c r="BN83" s="242">
        <f t="shared" si="17"/>
        <v>42690</v>
      </c>
      <c r="BO83" s="29">
        <f t="shared" si="16"/>
        <v>0</v>
      </c>
      <c r="BP83" s="29">
        <f t="shared" si="18"/>
        <v>0</v>
      </c>
      <c r="BQ83" s="29">
        <f t="shared" si="20"/>
        <v>1</v>
      </c>
      <c r="BR83" s="29">
        <f t="shared" si="19"/>
        <v>55</v>
      </c>
      <c r="BS83" s="243">
        <f t="shared" si="21"/>
        <v>6.9444333333333344E-2</v>
      </c>
      <c r="BT83">
        <f t="shared" si="22"/>
        <v>6.9444333333333344E-2</v>
      </c>
      <c r="BU83" t="str">
        <f t="shared" si="23"/>
        <v>ok</v>
      </c>
      <c r="BV83">
        <f t="shared" si="25"/>
        <v>0</v>
      </c>
      <c r="BW83">
        <f t="shared" si="24"/>
        <v>0</v>
      </c>
    </row>
    <row r="84" spans="43:75" x14ac:dyDescent="0.25">
      <c r="AQ84" s="63"/>
      <c r="BM84" s="29">
        <v>79</v>
      </c>
      <c r="BN84" s="242">
        <f t="shared" si="17"/>
        <v>42691</v>
      </c>
      <c r="BO84" s="29">
        <f t="shared" si="16"/>
        <v>0</v>
      </c>
      <c r="BP84" s="29">
        <f t="shared" si="18"/>
        <v>0</v>
      </c>
      <c r="BQ84" s="29">
        <f t="shared" si="20"/>
        <v>1</v>
      </c>
      <c r="BR84" s="29">
        <f t="shared" si="19"/>
        <v>56</v>
      </c>
      <c r="BS84" s="243">
        <f t="shared" si="21"/>
        <v>6.9444333333333344E-2</v>
      </c>
      <c r="BT84">
        <f t="shared" si="22"/>
        <v>6.9444333333333344E-2</v>
      </c>
      <c r="BU84" t="str">
        <f t="shared" si="23"/>
        <v>ok</v>
      </c>
      <c r="BV84">
        <f t="shared" si="25"/>
        <v>0</v>
      </c>
      <c r="BW84">
        <f t="shared" si="24"/>
        <v>0</v>
      </c>
    </row>
    <row r="85" spans="43:75" x14ac:dyDescent="0.25">
      <c r="AQ85" s="63"/>
      <c r="BM85" s="29">
        <v>80</v>
      </c>
      <c r="BN85" s="242">
        <f t="shared" si="17"/>
        <v>42692</v>
      </c>
      <c r="BO85" s="29">
        <f t="shared" si="16"/>
        <v>0</v>
      </c>
      <c r="BP85" s="29">
        <f t="shared" si="18"/>
        <v>0</v>
      </c>
      <c r="BQ85" s="29">
        <f t="shared" si="20"/>
        <v>1</v>
      </c>
      <c r="BR85" s="29">
        <f t="shared" si="19"/>
        <v>57</v>
      </c>
      <c r="BS85" s="243">
        <f t="shared" si="21"/>
        <v>6.9444333333333344E-2</v>
      </c>
      <c r="BT85">
        <f t="shared" si="22"/>
        <v>6.9444333333333344E-2</v>
      </c>
      <c r="BU85" t="str">
        <f t="shared" si="23"/>
        <v>ok</v>
      </c>
      <c r="BV85">
        <f t="shared" si="25"/>
        <v>0</v>
      </c>
      <c r="BW85">
        <f t="shared" si="24"/>
        <v>0</v>
      </c>
    </row>
    <row r="86" spans="43:75" x14ac:dyDescent="0.25">
      <c r="AQ86" s="63"/>
      <c r="BM86" s="29">
        <v>81</v>
      </c>
      <c r="BN86" s="242">
        <f t="shared" si="17"/>
        <v>42693</v>
      </c>
      <c r="BO86" s="29">
        <f t="shared" si="16"/>
        <v>0</v>
      </c>
      <c r="BP86" s="29">
        <f t="shared" si="18"/>
        <v>0</v>
      </c>
      <c r="BQ86" s="29">
        <f t="shared" si="20"/>
        <v>1</v>
      </c>
      <c r="BR86" s="29">
        <f t="shared" si="19"/>
        <v>58</v>
      </c>
      <c r="BS86" s="243">
        <f t="shared" si="21"/>
        <v>6.9444333333333344E-2</v>
      </c>
      <c r="BT86">
        <f t="shared" si="22"/>
        <v>6.9444333333333344E-2</v>
      </c>
      <c r="BU86" t="str">
        <f t="shared" si="23"/>
        <v>ok</v>
      </c>
      <c r="BV86">
        <f t="shared" si="25"/>
        <v>0</v>
      </c>
      <c r="BW86">
        <f t="shared" si="24"/>
        <v>0</v>
      </c>
    </row>
    <row r="87" spans="43:75" x14ac:dyDescent="0.25">
      <c r="AQ87" s="63"/>
      <c r="BM87" s="29">
        <v>82</v>
      </c>
      <c r="BN87" s="242">
        <f t="shared" si="17"/>
        <v>42694</v>
      </c>
      <c r="BO87" s="29">
        <f t="shared" si="16"/>
        <v>1</v>
      </c>
      <c r="BP87" s="29">
        <f t="shared" si="18"/>
        <v>0</v>
      </c>
      <c r="BQ87" s="29">
        <f t="shared" si="20"/>
        <v>0</v>
      </c>
      <c r="BR87" s="29">
        <f t="shared" si="19"/>
        <v>58</v>
      </c>
      <c r="BS87" s="243">
        <f t="shared" si="21"/>
        <v>6.9444333333333344E-2</v>
      </c>
      <c r="BT87">
        <f t="shared" si="22"/>
        <v>6.9444333333333344E-2</v>
      </c>
      <c r="BU87" t="str">
        <f t="shared" si="23"/>
        <v>ok</v>
      </c>
      <c r="BV87">
        <f t="shared" si="25"/>
        <v>0</v>
      </c>
      <c r="BW87">
        <f t="shared" si="24"/>
        <v>0</v>
      </c>
    </row>
    <row r="88" spans="43:75" x14ac:dyDescent="0.25">
      <c r="AQ88" s="63"/>
      <c r="BM88" s="29">
        <v>83</v>
      </c>
      <c r="BN88" s="242">
        <f t="shared" si="17"/>
        <v>42695</v>
      </c>
      <c r="BO88" s="29">
        <f t="shared" si="16"/>
        <v>1</v>
      </c>
      <c r="BP88" s="29">
        <f t="shared" si="18"/>
        <v>0</v>
      </c>
      <c r="BQ88" s="29">
        <f t="shared" si="20"/>
        <v>0</v>
      </c>
      <c r="BR88" s="29">
        <f t="shared" si="19"/>
        <v>58</v>
      </c>
      <c r="BS88" s="243">
        <f t="shared" si="21"/>
        <v>6.9444333333333344E-2</v>
      </c>
      <c r="BT88">
        <f t="shared" si="22"/>
        <v>6.9444333333333344E-2</v>
      </c>
      <c r="BU88" t="str">
        <f t="shared" si="23"/>
        <v>ok</v>
      </c>
      <c r="BV88">
        <f t="shared" si="25"/>
        <v>0</v>
      </c>
      <c r="BW88">
        <f t="shared" si="24"/>
        <v>0</v>
      </c>
    </row>
    <row r="89" spans="43:75" x14ac:dyDescent="0.25">
      <c r="AQ89" s="63"/>
      <c r="BM89" s="29">
        <v>84</v>
      </c>
      <c r="BN89" s="242">
        <f t="shared" si="17"/>
        <v>42696</v>
      </c>
      <c r="BO89" s="29">
        <f t="shared" si="16"/>
        <v>0</v>
      </c>
      <c r="BP89" s="29">
        <f t="shared" si="18"/>
        <v>0</v>
      </c>
      <c r="BQ89" s="29">
        <f t="shared" si="20"/>
        <v>1</v>
      </c>
      <c r="BR89" s="29">
        <f t="shared" si="19"/>
        <v>59</v>
      </c>
      <c r="BS89" s="243">
        <f t="shared" si="21"/>
        <v>6.9444333333333344E-2</v>
      </c>
      <c r="BT89">
        <f t="shared" si="22"/>
        <v>6.9444333333333344E-2</v>
      </c>
      <c r="BU89" t="str">
        <f t="shared" si="23"/>
        <v>ok</v>
      </c>
      <c r="BV89">
        <f t="shared" si="25"/>
        <v>0</v>
      </c>
      <c r="BW89">
        <f t="shared" si="24"/>
        <v>0</v>
      </c>
    </row>
    <row r="90" spans="43:75" x14ac:dyDescent="0.25">
      <c r="AQ90" s="63"/>
      <c r="BM90" s="29">
        <v>85</v>
      </c>
      <c r="BN90" s="242">
        <f t="shared" si="17"/>
        <v>42697</v>
      </c>
      <c r="BO90" s="29">
        <f t="shared" si="16"/>
        <v>0</v>
      </c>
      <c r="BP90" s="29">
        <f t="shared" si="18"/>
        <v>0</v>
      </c>
      <c r="BQ90" s="29">
        <f t="shared" si="20"/>
        <v>1</v>
      </c>
      <c r="BR90" s="29">
        <f t="shared" si="19"/>
        <v>60</v>
      </c>
      <c r="BS90" s="243">
        <f t="shared" si="21"/>
        <v>6.9444333333333344E-2</v>
      </c>
      <c r="BT90">
        <f t="shared" si="22"/>
        <v>6.9444333333333344E-2</v>
      </c>
      <c r="BU90" t="str">
        <f t="shared" si="23"/>
        <v>ok</v>
      </c>
      <c r="BV90">
        <f t="shared" si="25"/>
        <v>0</v>
      </c>
      <c r="BW90">
        <f t="shared" si="24"/>
        <v>0</v>
      </c>
    </row>
    <row r="91" spans="43:75" x14ac:dyDescent="0.25">
      <c r="AQ91" s="63"/>
      <c r="BM91" s="29">
        <v>86</v>
      </c>
      <c r="BN91" s="242">
        <f t="shared" si="17"/>
        <v>42698</v>
      </c>
      <c r="BO91" s="29">
        <f t="shared" si="16"/>
        <v>0</v>
      </c>
      <c r="BP91" s="29">
        <f t="shared" si="18"/>
        <v>0</v>
      </c>
      <c r="BQ91" s="29">
        <f t="shared" si="20"/>
        <v>1</v>
      </c>
      <c r="BR91" s="29">
        <f t="shared" si="19"/>
        <v>61</v>
      </c>
      <c r="BS91" s="243">
        <f t="shared" si="21"/>
        <v>6.9444333333333344E-2</v>
      </c>
      <c r="BT91">
        <f t="shared" si="22"/>
        <v>6.9444333333333344E-2</v>
      </c>
      <c r="BU91" t="str">
        <f t="shared" si="23"/>
        <v>ok</v>
      </c>
      <c r="BV91">
        <f t="shared" si="25"/>
        <v>0</v>
      </c>
      <c r="BW91">
        <f t="shared" si="24"/>
        <v>0</v>
      </c>
    </row>
    <row r="92" spans="43:75" x14ac:dyDescent="0.25">
      <c r="AQ92" s="63"/>
      <c r="BM92" s="29">
        <v>87</v>
      </c>
      <c r="BN92" s="242">
        <f t="shared" si="17"/>
        <v>42699</v>
      </c>
      <c r="BO92" s="29">
        <f t="shared" si="16"/>
        <v>0</v>
      </c>
      <c r="BP92" s="29">
        <f t="shared" si="18"/>
        <v>0</v>
      </c>
      <c r="BQ92" s="29">
        <f t="shared" si="20"/>
        <v>1</v>
      </c>
      <c r="BR92" s="29">
        <f t="shared" si="19"/>
        <v>62</v>
      </c>
      <c r="BS92" s="243">
        <f t="shared" si="21"/>
        <v>6.9444333333333344E-2</v>
      </c>
      <c r="BT92">
        <f t="shared" si="22"/>
        <v>6.9444333333333344E-2</v>
      </c>
      <c r="BU92" t="str">
        <f t="shared" si="23"/>
        <v>ok</v>
      </c>
      <c r="BV92">
        <f t="shared" si="25"/>
        <v>0</v>
      </c>
      <c r="BW92">
        <f t="shared" si="24"/>
        <v>0</v>
      </c>
    </row>
    <row r="93" spans="43:75" x14ac:dyDescent="0.25">
      <c r="AQ93" s="63"/>
      <c r="BM93" s="29">
        <v>88</v>
      </c>
      <c r="BN93" s="242">
        <f t="shared" si="17"/>
        <v>42700</v>
      </c>
      <c r="BO93" s="29">
        <f t="shared" si="16"/>
        <v>0</v>
      </c>
      <c r="BP93" s="29">
        <f t="shared" si="18"/>
        <v>0</v>
      </c>
      <c r="BQ93" s="29">
        <f t="shared" si="20"/>
        <v>1</v>
      </c>
      <c r="BR93" s="29">
        <f t="shared" si="19"/>
        <v>63</v>
      </c>
      <c r="BS93" s="243">
        <f t="shared" si="21"/>
        <v>6.9444333333333344E-2</v>
      </c>
      <c r="BT93">
        <f t="shared" si="22"/>
        <v>6.9444333333333344E-2</v>
      </c>
      <c r="BU93" t="str">
        <f t="shared" si="23"/>
        <v>ok</v>
      </c>
      <c r="BV93">
        <f t="shared" si="25"/>
        <v>0</v>
      </c>
      <c r="BW93">
        <f t="shared" si="24"/>
        <v>0</v>
      </c>
    </row>
    <row r="94" spans="43:75" x14ac:dyDescent="0.25">
      <c r="AQ94" s="63"/>
      <c r="BM94" s="29">
        <v>89</v>
      </c>
      <c r="BN94" s="242">
        <f t="shared" si="17"/>
        <v>42701</v>
      </c>
      <c r="BO94" s="29">
        <f t="shared" si="16"/>
        <v>1</v>
      </c>
      <c r="BP94" s="29">
        <f t="shared" si="18"/>
        <v>0</v>
      </c>
      <c r="BQ94" s="29">
        <f t="shared" si="20"/>
        <v>0</v>
      </c>
      <c r="BR94" s="29">
        <f t="shared" si="19"/>
        <v>63</v>
      </c>
      <c r="BS94" s="243">
        <f t="shared" si="21"/>
        <v>6.9444333333333344E-2</v>
      </c>
      <c r="BT94">
        <f t="shared" si="22"/>
        <v>6.9444333333333344E-2</v>
      </c>
      <c r="BU94" t="str">
        <f t="shared" si="23"/>
        <v>ok</v>
      </c>
      <c r="BV94">
        <f t="shared" si="25"/>
        <v>0</v>
      </c>
      <c r="BW94">
        <f t="shared" si="24"/>
        <v>0</v>
      </c>
    </row>
    <row r="95" spans="43:75" x14ac:dyDescent="0.25">
      <c r="AQ95" s="63"/>
      <c r="BM95" s="29">
        <v>90</v>
      </c>
      <c r="BN95" s="242">
        <f t="shared" si="17"/>
        <v>42702</v>
      </c>
      <c r="BO95" s="29">
        <f t="shared" si="16"/>
        <v>1</v>
      </c>
      <c r="BP95" s="29">
        <f t="shared" si="18"/>
        <v>0</v>
      </c>
      <c r="BQ95" s="29">
        <f t="shared" si="20"/>
        <v>0</v>
      </c>
      <c r="BR95" s="29">
        <f t="shared" si="19"/>
        <v>63</v>
      </c>
      <c r="BS95" s="243">
        <f t="shared" si="21"/>
        <v>6.9444333333333344E-2</v>
      </c>
      <c r="BT95">
        <f t="shared" si="22"/>
        <v>6.9444333333333344E-2</v>
      </c>
      <c r="BU95" t="str">
        <f t="shared" si="23"/>
        <v>ok</v>
      </c>
      <c r="BV95">
        <f t="shared" si="25"/>
        <v>0</v>
      </c>
      <c r="BW95">
        <f t="shared" si="24"/>
        <v>0</v>
      </c>
    </row>
    <row r="96" spans="43:75" x14ac:dyDescent="0.25">
      <c r="AQ96" s="63"/>
      <c r="BM96" s="29">
        <v>91</v>
      </c>
      <c r="BN96" s="242">
        <f t="shared" si="17"/>
        <v>42703</v>
      </c>
      <c r="BO96" s="29">
        <f t="shared" si="16"/>
        <v>0</v>
      </c>
      <c r="BP96" s="29">
        <f t="shared" si="18"/>
        <v>0</v>
      </c>
      <c r="BQ96" s="29">
        <f t="shared" si="20"/>
        <v>1</v>
      </c>
      <c r="BR96" s="29">
        <f t="shared" si="19"/>
        <v>64</v>
      </c>
      <c r="BS96" s="243">
        <f t="shared" si="21"/>
        <v>6.9444333333333344E-2</v>
      </c>
      <c r="BT96">
        <f t="shared" si="22"/>
        <v>6.9444333333333344E-2</v>
      </c>
      <c r="BU96" t="str">
        <f t="shared" si="23"/>
        <v>ok</v>
      </c>
      <c r="BV96">
        <f t="shared" si="25"/>
        <v>0</v>
      </c>
      <c r="BW96">
        <f t="shared" si="24"/>
        <v>0</v>
      </c>
    </row>
    <row r="97" spans="43:75" x14ac:dyDescent="0.25">
      <c r="AQ97" s="63"/>
      <c r="BM97" s="29">
        <v>92</v>
      </c>
      <c r="BN97" s="242">
        <f t="shared" si="17"/>
        <v>42704</v>
      </c>
      <c r="BO97" s="29">
        <f t="shared" si="16"/>
        <v>0</v>
      </c>
      <c r="BP97" s="29">
        <f t="shared" si="18"/>
        <v>0</v>
      </c>
      <c r="BQ97" s="29">
        <f t="shared" si="20"/>
        <v>1</v>
      </c>
      <c r="BR97" s="29">
        <f t="shared" si="19"/>
        <v>65</v>
      </c>
      <c r="BS97" s="243">
        <f t="shared" si="21"/>
        <v>6.7204193548387095E-2</v>
      </c>
      <c r="BT97">
        <f t="shared" si="22"/>
        <v>6.7204193548387095E-2</v>
      </c>
      <c r="BU97" t="str">
        <f t="shared" si="23"/>
        <v>ok</v>
      </c>
      <c r="BV97">
        <f t="shared" si="25"/>
        <v>0</v>
      </c>
      <c r="BW97">
        <f t="shared" si="24"/>
        <v>0</v>
      </c>
    </row>
    <row r="98" spans="43:75" x14ac:dyDescent="0.25">
      <c r="AQ98" s="63"/>
      <c r="BM98" s="29">
        <v>93</v>
      </c>
      <c r="BN98" s="242">
        <f t="shared" si="17"/>
        <v>42705</v>
      </c>
      <c r="BO98" s="29">
        <f t="shared" si="16"/>
        <v>0</v>
      </c>
      <c r="BP98" s="29">
        <f t="shared" si="18"/>
        <v>0</v>
      </c>
      <c r="BQ98" s="29">
        <f t="shared" si="20"/>
        <v>1</v>
      </c>
      <c r="BR98" s="29">
        <f t="shared" si="19"/>
        <v>66</v>
      </c>
      <c r="BS98" s="243">
        <f t="shared" si="21"/>
        <v>6.7204193548387095E-2</v>
      </c>
      <c r="BT98">
        <f t="shared" si="22"/>
        <v>6.7204193548387095E-2</v>
      </c>
      <c r="BU98" t="str">
        <f t="shared" si="23"/>
        <v>ok</v>
      </c>
      <c r="BV98">
        <f t="shared" si="25"/>
        <v>0</v>
      </c>
      <c r="BW98">
        <f t="shared" si="24"/>
        <v>0</v>
      </c>
    </row>
    <row r="99" spans="43:75" x14ac:dyDescent="0.25">
      <c r="AQ99" s="63"/>
      <c r="BM99" s="29">
        <v>94</v>
      </c>
      <c r="BN99" s="242">
        <f t="shared" si="17"/>
        <v>42706</v>
      </c>
      <c r="BO99" s="29">
        <f t="shared" si="16"/>
        <v>0</v>
      </c>
      <c r="BP99" s="29">
        <f t="shared" si="18"/>
        <v>0</v>
      </c>
      <c r="BQ99" s="29">
        <f t="shared" si="20"/>
        <v>1</v>
      </c>
      <c r="BR99" s="29">
        <f t="shared" si="19"/>
        <v>67</v>
      </c>
      <c r="BS99" s="243">
        <f t="shared" si="21"/>
        <v>6.7204193548387095E-2</v>
      </c>
      <c r="BT99">
        <f t="shared" si="22"/>
        <v>6.7204193548387095E-2</v>
      </c>
      <c r="BU99" t="str">
        <f t="shared" si="23"/>
        <v>ok</v>
      </c>
      <c r="BV99">
        <f t="shared" si="25"/>
        <v>0</v>
      </c>
      <c r="BW99">
        <f t="shared" si="24"/>
        <v>0</v>
      </c>
    </row>
    <row r="100" spans="43:75" x14ac:dyDescent="0.25">
      <c r="AQ100" s="63"/>
      <c r="BM100" s="29">
        <v>95</v>
      </c>
      <c r="BN100" s="242">
        <f t="shared" si="17"/>
        <v>42707</v>
      </c>
      <c r="BO100" s="29">
        <f t="shared" si="16"/>
        <v>0</v>
      </c>
      <c r="BP100" s="29">
        <f t="shared" si="18"/>
        <v>0</v>
      </c>
      <c r="BQ100" s="29">
        <f t="shared" si="20"/>
        <v>1</v>
      </c>
      <c r="BR100" s="29">
        <f t="shared" si="19"/>
        <v>68</v>
      </c>
      <c r="BS100" s="243">
        <f t="shared" si="21"/>
        <v>6.7204193548387095E-2</v>
      </c>
      <c r="BT100">
        <f t="shared" si="22"/>
        <v>6.7204193548387095E-2</v>
      </c>
      <c r="BU100" t="str">
        <f t="shared" si="23"/>
        <v>ok</v>
      </c>
      <c r="BV100">
        <f t="shared" si="25"/>
        <v>0</v>
      </c>
      <c r="BW100">
        <f t="shared" si="24"/>
        <v>0</v>
      </c>
    </row>
    <row r="101" spans="43:75" x14ac:dyDescent="0.25">
      <c r="AQ101" s="63"/>
      <c r="BM101" s="29">
        <v>96</v>
      </c>
      <c r="BN101" s="242">
        <f t="shared" si="17"/>
        <v>42708</v>
      </c>
      <c r="BO101" s="29">
        <f t="shared" si="16"/>
        <v>1</v>
      </c>
      <c r="BP101" s="29">
        <f t="shared" si="18"/>
        <v>0</v>
      </c>
      <c r="BQ101" s="29">
        <f t="shared" si="20"/>
        <v>0</v>
      </c>
      <c r="BR101" s="29">
        <f t="shared" si="19"/>
        <v>68</v>
      </c>
      <c r="BS101" s="243">
        <f t="shared" si="21"/>
        <v>6.7204193548387095E-2</v>
      </c>
      <c r="BT101">
        <f t="shared" si="22"/>
        <v>6.7204193548387095E-2</v>
      </c>
      <c r="BU101" t="str">
        <f t="shared" si="23"/>
        <v>ok</v>
      </c>
      <c r="BV101">
        <f t="shared" si="25"/>
        <v>0</v>
      </c>
      <c r="BW101">
        <f t="shared" si="24"/>
        <v>0</v>
      </c>
    </row>
    <row r="102" spans="43:75" x14ac:dyDescent="0.25">
      <c r="AQ102" s="63"/>
      <c r="BM102" s="29">
        <v>97</v>
      </c>
      <c r="BN102" s="242">
        <f t="shared" si="17"/>
        <v>42709</v>
      </c>
      <c r="BO102" s="29">
        <f t="shared" si="16"/>
        <v>1</v>
      </c>
      <c r="BP102" s="29">
        <f t="shared" si="18"/>
        <v>0</v>
      </c>
      <c r="BQ102" s="29">
        <f t="shared" si="20"/>
        <v>0</v>
      </c>
      <c r="BR102" s="29">
        <f t="shared" si="19"/>
        <v>68</v>
      </c>
      <c r="BS102" s="243">
        <f t="shared" si="21"/>
        <v>6.7204193548387095E-2</v>
      </c>
      <c r="BT102">
        <f t="shared" si="22"/>
        <v>6.7204193548387095E-2</v>
      </c>
      <c r="BU102" t="str">
        <f t="shared" si="23"/>
        <v>ok</v>
      </c>
      <c r="BV102">
        <f t="shared" si="25"/>
        <v>0</v>
      </c>
      <c r="BW102">
        <f t="shared" si="24"/>
        <v>0</v>
      </c>
    </row>
    <row r="103" spans="43:75" x14ac:dyDescent="0.25">
      <c r="AQ103" s="63"/>
      <c r="BM103" s="29">
        <v>98</v>
      </c>
      <c r="BN103" s="242">
        <f t="shared" si="17"/>
        <v>42710</v>
      </c>
      <c r="BO103" s="29">
        <f t="shared" si="16"/>
        <v>0</v>
      </c>
      <c r="BP103" s="29">
        <f t="shared" si="18"/>
        <v>0</v>
      </c>
      <c r="BQ103" s="29">
        <f t="shared" si="20"/>
        <v>1</v>
      </c>
      <c r="BR103" s="29">
        <f t="shared" si="19"/>
        <v>69</v>
      </c>
      <c r="BS103" s="243">
        <f t="shared" si="21"/>
        <v>6.7204193548387095E-2</v>
      </c>
      <c r="BT103">
        <f t="shared" si="22"/>
        <v>6.7204193548387095E-2</v>
      </c>
      <c r="BU103" t="str">
        <f t="shared" si="23"/>
        <v>ok</v>
      </c>
      <c r="BV103">
        <f t="shared" si="25"/>
        <v>0</v>
      </c>
      <c r="BW103">
        <f t="shared" si="24"/>
        <v>0</v>
      </c>
    </row>
    <row r="104" spans="43:75" x14ac:dyDescent="0.25">
      <c r="AQ104" s="63"/>
      <c r="BM104" s="29">
        <v>99</v>
      </c>
      <c r="BN104" s="242">
        <f t="shared" si="17"/>
        <v>42711</v>
      </c>
      <c r="BO104" s="29">
        <f t="shared" si="16"/>
        <v>0</v>
      </c>
      <c r="BP104" s="29">
        <f t="shared" si="18"/>
        <v>0</v>
      </c>
      <c r="BQ104" s="29">
        <f t="shared" si="20"/>
        <v>1</v>
      </c>
      <c r="BR104" s="29">
        <f t="shared" si="19"/>
        <v>70</v>
      </c>
      <c r="BS104" s="243">
        <f t="shared" si="21"/>
        <v>6.7204193548387095E-2</v>
      </c>
      <c r="BT104">
        <f t="shared" si="22"/>
        <v>6.7204193548387095E-2</v>
      </c>
      <c r="BU104" t="str">
        <f t="shared" si="23"/>
        <v>ok</v>
      </c>
      <c r="BV104">
        <f t="shared" si="25"/>
        <v>0</v>
      </c>
      <c r="BW104">
        <f t="shared" si="24"/>
        <v>0</v>
      </c>
    </row>
    <row r="105" spans="43:75" x14ac:dyDescent="0.25">
      <c r="AQ105" s="63"/>
      <c r="BM105" s="29">
        <v>100</v>
      </c>
      <c r="BN105" s="242">
        <f t="shared" si="17"/>
        <v>42712</v>
      </c>
      <c r="BO105" s="29">
        <f t="shared" si="16"/>
        <v>0</v>
      </c>
      <c r="BP105" s="29">
        <f t="shared" si="18"/>
        <v>0</v>
      </c>
      <c r="BQ105" s="29">
        <f t="shared" si="20"/>
        <v>1</v>
      </c>
      <c r="BR105" s="29">
        <f t="shared" si="19"/>
        <v>71</v>
      </c>
      <c r="BS105" s="243">
        <f t="shared" si="21"/>
        <v>6.7204193548387095E-2</v>
      </c>
      <c r="BT105">
        <f t="shared" si="22"/>
        <v>6.7204193548387095E-2</v>
      </c>
      <c r="BU105" t="str">
        <f t="shared" si="23"/>
        <v>ok</v>
      </c>
      <c r="BV105">
        <f t="shared" si="25"/>
        <v>0</v>
      </c>
      <c r="BW105">
        <f t="shared" si="24"/>
        <v>0</v>
      </c>
    </row>
    <row r="106" spans="43:75" x14ac:dyDescent="0.25">
      <c r="AQ106" s="63"/>
      <c r="BM106" s="29">
        <v>101</v>
      </c>
      <c r="BN106" s="242">
        <f t="shared" si="17"/>
        <v>42713</v>
      </c>
      <c r="BO106" s="29">
        <f t="shared" si="16"/>
        <v>0</v>
      </c>
      <c r="BP106" s="29">
        <f t="shared" si="18"/>
        <v>0</v>
      </c>
      <c r="BQ106" s="29">
        <f t="shared" si="20"/>
        <v>1</v>
      </c>
      <c r="BR106" s="29">
        <f t="shared" si="19"/>
        <v>72</v>
      </c>
      <c r="BS106" s="243">
        <f t="shared" si="21"/>
        <v>6.7204193548387095E-2</v>
      </c>
      <c r="BT106">
        <f t="shared" si="22"/>
        <v>6.7204193548387095E-2</v>
      </c>
      <c r="BU106" t="str">
        <f t="shared" si="23"/>
        <v>ok</v>
      </c>
      <c r="BV106">
        <f t="shared" si="25"/>
        <v>0</v>
      </c>
      <c r="BW106">
        <f t="shared" si="24"/>
        <v>0</v>
      </c>
    </row>
    <row r="107" spans="43:75" x14ac:dyDescent="0.25">
      <c r="AQ107" s="63"/>
      <c r="BM107" s="29">
        <v>102</v>
      </c>
      <c r="BN107" s="242">
        <f t="shared" si="17"/>
        <v>42714</v>
      </c>
      <c r="BO107" s="29">
        <f t="shared" si="16"/>
        <v>0</v>
      </c>
      <c r="BP107" s="29">
        <f t="shared" si="18"/>
        <v>0</v>
      </c>
      <c r="BQ107" s="29">
        <f t="shared" si="20"/>
        <v>1</v>
      </c>
      <c r="BR107" s="29">
        <f t="shared" si="19"/>
        <v>73</v>
      </c>
      <c r="BS107" s="243">
        <f t="shared" si="21"/>
        <v>6.7204193548387095E-2</v>
      </c>
      <c r="BT107">
        <f t="shared" si="22"/>
        <v>6.7204193548387095E-2</v>
      </c>
      <c r="BU107" t="str">
        <f t="shared" si="23"/>
        <v>ok</v>
      </c>
      <c r="BV107">
        <f t="shared" si="25"/>
        <v>0</v>
      </c>
      <c r="BW107">
        <f t="shared" si="24"/>
        <v>0</v>
      </c>
    </row>
    <row r="108" spans="43:75" x14ac:dyDescent="0.25">
      <c r="AQ108" s="63"/>
      <c r="BM108" s="29">
        <v>103</v>
      </c>
      <c r="BN108" s="242">
        <f t="shared" si="17"/>
        <v>42715</v>
      </c>
      <c r="BO108" s="29">
        <f t="shared" si="16"/>
        <v>1</v>
      </c>
      <c r="BP108" s="29">
        <f t="shared" si="18"/>
        <v>0</v>
      </c>
      <c r="BQ108" s="29">
        <f t="shared" si="20"/>
        <v>0</v>
      </c>
      <c r="BR108" s="29">
        <f t="shared" si="19"/>
        <v>73</v>
      </c>
      <c r="BS108" s="243">
        <f t="shared" si="21"/>
        <v>6.7204193548387095E-2</v>
      </c>
      <c r="BT108">
        <f t="shared" si="22"/>
        <v>6.7204193548387095E-2</v>
      </c>
      <c r="BU108" t="str">
        <f t="shared" si="23"/>
        <v>ok</v>
      </c>
      <c r="BV108">
        <f t="shared" si="25"/>
        <v>0</v>
      </c>
      <c r="BW108">
        <f t="shared" si="24"/>
        <v>0</v>
      </c>
    </row>
    <row r="109" spans="43:75" x14ac:dyDescent="0.25">
      <c r="AQ109" s="63"/>
      <c r="BM109" s="29">
        <v>104</v>
      </c>
      <c r="BN109" s="242">
        <f t="shared" si="17"/>
        <v>42716</v>
      </c>
      <c r="BO109" s="29">
        <f t="shared" si="16"/>
        <v>1</v>
      </c>
      <c r="BP109" s="29">
        <f t="shared" si="18"/>
        <v>0</v>
      </c>
      <c r="BQ109" s="29">
        <f t="shared" si="20"/>
        <v>0</v>
      </c>
      <c r="BR109" s="29">
        <f t="shared" si="19"/>
        <v>73</v>
      </c>
      <c r="BS109" s="243">
        <f t="shared" si="21"/>
        <v>6.7204193548387095E-2</v>
      </c>
      <c r="BT109">
        <f t="shared" si="22"/>
        <v>6.7204193548387095E-2</v>
      </c>
      <c r="BU109" t="str">
        <f t="shared" si="23"/>
        <v>ok</v>
      </c>
      <c r="BV109">
        <f t="shared" si="25"/>
        <v>0</v>
      </c>
      <c r="BW109">
        <f t="shared" si="24"/>
        <v>0</v>
      </c>
    </row>
    <row r="110" spans="43:75" x14ac:dyDescent="0.25">
      <c r="AQ110" s="63"/>
      <c r="BM110" s="29">
        <v>105</v>
      </c>
      <c r="BN110" s="242">
        <f t="shared" si="17"/>
        <v>42717</v>
      </c>
      <c r="BO110" s="29">
        <f t="shared" si="16"/>
        <v>0</v>
      </c>
      <c r="BP110" s="29">
        <f t="shared" si="18"/>
        <v>0</v>
      </c>
      <c r="BQ110" s="29">
        <f t="shared" si="20"/>
        <v>1</v>
      </c>
      <c r="BR110" s="29">
        <f t="shared" si="19"/>
        <v>74</v>
      </c>
      <c r="BS110" s="243">
        <f t="shared" si="21"/>
        <v>6.7204193548387095E-2</v>
      </c>
      <c r="BT110">
        <f t="shared" si="22"/>
        <v>6.7204193548387095E-2</v>
      </c>
      <c r="BU110" t="str">
        <f t="shared" si="23"/>
        <v>ok</v>
      </c>
      <c r="BV110">
        <f t="shared" si="25"/>
        <v>0</v>
      </c>
      <c r="BW110">
        <f t="shared" si="24"/>
        <v>0</v>
      </c>
    </row>
    <row r="111" spans="43:75" x14ac:dyDescent="0.25">
      <c r="AQ111" s="63"/>
      <c r="BM111" s="29">
        <v>106</v>
      </c>
      <c r="BN111" s="242">
        <f t="shared" si="17"/>
        <v>42718</v>
      </c>
      <c r="BO111" s="29">
        <f t="shared" si="16"/>
        <v>0</v>
      </c>
      <c r="BP111" s="29">
        <f t="shared" si="18"/>
        <v>0</v>
      </c>
      <c r="BQ111" s="29">
        <f t="shared" si="20"/>
        <v>1</v>
      </c>
      <c r="BR111" s="29">
        <f t="shared" si="19"/>
        <v>75</v>
      </c>
      <c r="BS111" s="243">
        <f t="shared" si="21"/>
        <v>6.7204193548387095E-2</v>
      </c>
      <c r="BT111">
        <f t="shared" si="22"/>
        <v>6.7204193548387095E-2</v>
      </c>
      <c r="BU111" t="str">
        <f t="shared" si="23"/>
        <v>ok</v>
      </c>
      <c r="BV111">
        <f t="shared" si="25"/>
        <v>0</v>
      </c>
      <c r="BW111">
        <f t="shared" si="24"/>
        <v>0</v>
      </c>
    </row>
    <row r="112" spans="43:75" x14ac:dyDescent="0.25">
      <c r="AQ112" s="63"/>
      <c r="BM112" s="29">
        <v>107</v>
      </c>
      <c r="BN112" s="242">
        <f t="shared" si="17"/>
        <v>42719</v>
      </c>
      <c r="BO112" s="29">
        <f t="shared" si="16"/>
        <v>0</v>
      </c>
      <c r="BP112" s="29">
        <f t="shared" si="18"/>
        <v>0</v>
      </c>
      <c r="BQ112" s="29">
        <f t="shared" si="20"/>
        <v>1</v>
      </c>
      <c r="BR112" s="29">
        <f t="shared" si="19"/>
        <v>76</v>
      </c>
      <c r="BS112" s="243">
        <f t="shared" si="21"/>
        <v>6.7204193548387095E-2</v>
      </c>
      <c r="BT112">
        <f t="shared" si="22"/>
        <v>6.7204193548387095E-2</v>
      </c>
      <c r="BU112" t="str">
        <f t="shared" si="23"/>
        <v>ok</v>
      </c>
      <c r="BV112">
        <f t="shared" si="25"/>
        <v>0</v>
      </c>
      <c r="BW112">
        <f t="shared" si="24"/>
        <v>0</v>
      </c>
    </row>
    <row r="113" spans="43:75" x14ac:dyDescent="0.25">
      <c r="AQ113" s="63"/>
      <c r="BM113" s="29">
        <v>108</v>
      </c>
      <c r="BN113" s="242">
        <f t="shared" si="17"/>
        <v>42720</v>
      </c>
      <c r="BO113" s="29">
        <f t="shared" si="16"/>
        <v>0</v>
      </c>
      <c r="BP113" s="29">
        <f t="shared" si="18"/>
        <v>0</v>
      </c>
      <c r="BQ113" s="29">
        <f t="shared" si="20"/>
        <v>1</v>
      </c>
      <c r="BR113" s="29">
        <f t="shared" si="19"/>
        <v>77</v>
      </c>
      <c r="BS113" s="243">
        <f t="shared" si="21"/>
        <v>6.7204193548387095E-2</v>
      </c>
      <c r="BT113">
        <f t="shared" si="22"/>
        <v>6.7204193548387095E-2</v>
      </c>
      <c r="BU113" t="str">
        <f t="shared" si="23"/>
        <v>ok</v>
      </c>
      <c r="BV113">
        <f t="shared" si="25"/>
        <v>0</v>
      </c>
      <c r="BW113">
        <f t="shared" si="24"/>
        <v>0</v>
      </c>
    </row>
    <row r="114" spans="43:75" x14ac:dyDescent="0.25">
      <c r="AQ114" s="63"/>
      <c r="BM114" s="29">
        <v>109</v>
      </c>
      <c r="BN114" s="242">
        <f t="shared" si="17"/>
        <v>42721</v>
      </c>
      <c r="BO114" s="29">
        <f t="shared" si="16"/>
        <v>0</v>
      </c>
      <c r="BP114" s="29">
        <f t="shared" si="18"/>
        <v>0</v>
      </c>
      <c r="BQ114" s="29">
        <f t="shared" si="20"/>
        <v>1</v>
      </c>
      <c r="BR114" s="29">
        <f t="shared" si="19"/>
        <v>78</v>
      </c>
      <c r="BS114" s="243">
        <f t="shared" si="21"/>
        <v>6.7204193548387095E-2</v>
      </c>
      <c r="BT114">
        <f t="shared" si="22"/>
        <v>6.7204193548387095E-2</v>
      </c>
      <c r="BU114" t="str">
        <f t="shared" si="23"/>
        <v>ok</v>
      </c>
      <c r="BV114">
        <f t="shared" si="25"/>
        <v>0</v>
      </c>
      <c r="BW114">
        <f t="shared" si="24"/>
        <v>0</v>
      </c>
    </row>
    <row r="115" spans="43:75" x14ac:dyDescent="0.25">
      <c r="AQ115" s="63"/>
      <c r="BM115" s="29">
        <v>110</v>
      </c>
      <c r="BN115" s="242">
        <f t="shared" si="17"/>
        <v>42722</v>
      </c>
      <c r="BO115" s="29">
        <f t="shared" si="16"/>
        <v>1</v>
      </c>
      <c r="BP115" s="29">
        <f t="shared" si="18"/>
        <v>0</v>
      </c>
      <c r="BQ115" s="29">
        <f t="shared" si="20"/>
        <v>0</v>
      </c>
      <c r="BR115" s="29">
        <f t="shared" si="19"/>
        <v>78</v>
      </c>
      <c r="BS115" s="243">
        <f t="shared" si="21"/>
        <v>6.7204193548387095E-2</v>
      </c>
      <c r="BT115">
        <f t="shared" si="22"/>
        <v>6.7204193548387095E-2</v>
      </c>
      <c r="BU115" t="str">
        <f t="shared" si="23"/>
        <v>ok</v>
      </c>
      <c r="BV115">
        <f t="shared" si="25"/>
        <v>0</v>
      </c>
      <c r="BW115">
        <f t="shared" si="24"/>
        <v>0</v>
      </c>
    </row>
    <row r="116" spans="43:75" x14ac:dyDescent="0.25">
      <c r="AQ116" s="63"/>
      <c r="BM116" s="29">
        <v>111</v>
      </c>
      <c r="BN116" s="242">
        <f t="shared" si="17"/>
        <v>42723</v>
      </c>
      <c r="BO116" s="29">
        <f t="shared" si="16"/>
        <v>1</v>
      </c>
      <c r="BP116" s="29">
        <f t="shared" si="18"/>
        <v>0</v>
      </c>
      <c r="BQ116" s="29">
        <f t="shared" si="20"/>
        <v>0</v>
      </c>
      <c r="BR116" s="29">
        <f t="shared" si="19"/>
        <v>78</v>
      </c>
      <c r="BS116" s="243">
        <f t="shared" si="21"/>
        <v>6.7204193548387095E-2</v>
      </c>
      <c r="BT116">
        <f t="shared" si="22"/>
        <v>6.7204193548387095E-2</v>
      </c>
      <c r="BU116" t="str">
        <f t="shared" si="23"/>
        <v>ok</v>
      </c>
      <c r="BV116">
        <f t="shared" si="25"/>
        <v>0</v>
      </c>
      <c r="BW116">
        <f t="shared" si="24"/>
        <v>0</v>
      </c>
    </row>
    <row r="117" spans="43:75" x14ac:dyDescent="0.25">
      <c r="AQ117" s="63"/>
      <c r="BM117" s="29">
        <v>112</v>
      </c>
      <c r="BN117" s="242">
        <f t="shared" si="17"/>
        <v>42724</v>
      </c>
      <c r="BO117" s="29">
        <f t="shared" si="16"/>
        <v>0</v>
      </c>
      <c r="BP117" s="29">
        <f t="shared" si="18"/>
        <v>0</v>
      </c>
      <c r="BQ117" s="29">
        <f t="shared" si="20"/>
        <v>1</v>
      </c>
      <c r="BR117" s="29">
        <f t="shared" si="19"/>
        <v>79</v>
      </c>
      <c r="BS117" s="243">
        <f t="shared" si="21"/>
        <v>6.7204193548387095E-2</v>
      </c>
      <c r="BT117">
        <f t="shared" si="22"/>
        <v>6.7204193548387095E-2</v>
      </c>
      <c r="BU117" t="str">
        <f t="shared" si="23"/>
        <v>ok</v>
      </c>
      <c r="BV117">
        <f t="shared" si="25"/>
        <v>0</v>
      </c>
      <c r="BW117">
        <f t="shared" si="24"/>
        <v>0</v>
      </c>
    </row>
    <row r="118" spans="43:75" x14ac:dyDescent="0.25">
      <c r="AQ118" s="63"/>
      <c r="BM118" s="29">
        <v>113</v>
      </c>
      <c r="BN118" s="242">
        <f t="shared" si="17"/>
        <v>42725</v>
      </c>
      <c r="BO118" s="29">
        <f t="shared" si="16"/>
        <v>0</v>
      </c>
      <c r="BP118" s="29">
        <f t="shared" si="18"/>
        <v>0</v>
      </c>
      <c r="BQ118" s="29">
        <f t="shared" si="20"/>
        <v>1</v>
      </c>
      <c r="BR118" s="29">
        <f t="shared" si="19"/>
        <v>80</v>
      </c>
      <c r="BS118" s="243">
        <f t="shared" si="21"/>
        <v>6.7204193548387095E-2</v>
      </c>
      <c r="BT118">
        <f t="shared" si="22"/>
        <v>6.7204193548387095E-2</v>
      </c>
      <c r="BU118" t="str">
        <f t="shared" si="23"/>
        <v>ok</v>
      </c>
      <c r="BV118">
        <f t="shared" si="25"/>
        <v>0</v>
      </c>
      <c r="BW118">
        <f t="shared" si="24"/>
        <v>0</v>
      </c>
    </row>
    <row r="119" spans="43:75" x14ac:dyDescent="0.25">
      <c r="AQ119" s="63"/>
      <c r="BM119" s="29">
        <v>114</v>
      </c>
      <c r="BN119" s="242">
        <f t="shared" si="17"/>
        <v>42726</v>
      </c>
      <c r="BO119" s="29">
        <f t="shared" si="16"/>
        <v>0</v>
      </c>
      <c r="BP119" s="29">
        <f t="shared" si="18"/>
        <v>0</v>
      </c>
      <c r="BQ119" s="29">
        <f t="shared" si="20"/>
        <v>1</v>
      </c>
      <c r="BR119" s="29">
        <f t="shared" si="19"/>
        <v>81</v>
      </c>
      <c r="BS119" s="243">
        <f t="shared" si="21"/>
        <v>6.7204193548387095E-2</v>
      </c>
      <c r="BT119">
        <f t="shared" si="22"/>
        <v>6.7204193548387095E-2</v>
      </c>
      <c r="BU119" t="str">
        <f t="shared" si="23"/>
        <v>ok</v>
      </c>
      <c r="BV119">
        <f t="shared" si="25"/>
        <v>0</v>
      </c>
      <c r="BW119">
        <f t="shared" si="24"/>
        <v>0</v>
      </c>
    </row>
    <row r="120" spans="43:75" x14ac:dyDescent="0.25">
      <c r="AQ120" s="63"/>
      <c r="BM120" s="29">
        <v>115</v>
      </c>
      <c r="BN120" s="242">
        <f t="shared" si="17"/>
        <v>42727</v>
      </c>
      <c r="BO120" s="29">
        <f t="shared" si="16"/>
        <v>0</v>
      </c>
      <c r="BP120" s="29">
        <f t="shared" si="18"/>
        <v>0</v>
      </c>
      <c r="BQ120" s="29">
        <f t="shared" si="20"/>
        <v>1</v>
      </c>
      <c r="BR120" s="29">
        <f t="shared" si="19"/>
        <v>82</v>
      </c>
      <c r="BS120" s="243">
        <f t="shared" si="21"/>
        <v>6.7204193548387095E-2</v>
      </c>
      <c r="BT120">
        <f t="shared" si="22"/>
        <v>6.7204193548387095E-2</v>
      </c>
      <c r="BU120" t="str">
        <f t="shared" si="23"/>
        <v>ok</v>
      </c>
      <c r="BV120">
        <f t="shared" si="25"/>
        <v>0</v>
      </c>
      <c r="BW120">
        <f t="shared" si="24"/>
        <v>0</v>
      </c>
    </row>
    <row r="121" spans="43:75" x14ac:dyDescent="0.25">
      <c r="AQ121" s="63"/>
      <c r="BM121" s="29">
        <v>116</v>
      </c>
      <c r="BN121" s="242">
        <f t="shared" si="17"/>
        <v>42728</v>
      </c>
      <c r="BO121" s="29">
        <f t="shared" si="16"/>
        <v>0</v>
      </c>
      <c r="BP121" s="29">
        <f t="shared" si="18"/>
        <v>1</v>
      </c>
      <c r="BQ121" s="29">
        <f t="shared" si="20"/>
        <v>0</v>
      </c>
      <c r="BR121" s="29">
        <f t="shared" si="19"/>
        <v>82</v>
      </c>
      <c r="BS121" s="243">
        <f t="shared" si="21"/>
        <v>6.7204193548387095E-2</v>
      </c>
      <c r="BT121">
        <f t="shared" si="22"/>
        <v>6.7204193548387095E-2</v>
      </c>
      <c r="BU121" t="str">
        <f t="shared" si="23"/>
        <v>ok</v>
      </c>
      <c r="BV121">
        <f t="shared" si="25"/>
        <v>0</v>
      </c>
      <c r="BW121">
        <f t="shared" si="24"/>
        <v>0</v>
      </c>
    </row>
    <row r="122" spans="43:75" x14ac:dyDescent="0.25">
      <c r="AQ122" s="63"/>
      <c r="BM122" s="29">
        <v>117</v>
      </c>
      <c r="BN122" s="242">
        <f t="shared" si="17"/>
        <v>42729</v>
      </c>
      <c r="BO122" s="29">
        <f t="shared" si="16"/>
        <v>1</v>
      </c>
      <c r="BP122" s="29">
        <f t="shared" si="18"/>
        <v>0</v>
      </c>
      <c r="BQ122" s="29">
        <f t="shared" si="20"/>
        <v>0</v>
      </c>
      <c r="BR122" s="29">
        <f t="shared" si="19"/>
        <v>82</v>
      </c>
      <c r="BS122" s="243">
        <f t="shared" si="21"/>
        <v>6.7204193548387095E-2</v>
      </c>
      <c r="BT122">
        <f t="shared" si="22"/>
        <v>6.7204193548387095E-2</v>
      </c>
      <c r="BU122" t="str">
        <f t="shared" si="23"/>
        <v>ok</v>
      </c>
      <c r="BV122">
        <f t="shared" si="25"/>
        <v>0</v>
      </c>
      <c r="BW122">
        <f t="shared" si="24"/>
        <v>0</v>
      </c>
    </row>
    <row r="123" spans="43:75" x14ac:dyDescent="0.25">
      <c r="AQ123" s="63"/>
      <c r="BM123" s="29">
        <v>118</v>
      </c>
      <c r="BN123" s="242">
        <f t="shared" si="17"/>
        <v>42730</v>
      </c>
      <c r="BO123" s="29">
        <f t="shared" si="16"/>
        <v>1</v>
      </c>
      <c r="BP123" s="29">
        <f t="shared" si="18"/>
        <v>0</v>
      </c>
      <c r="BQ123" s="29">
        <f t="shared" si="20"/>
        <v>0</v>
      </c>
      <c r="BR123" s="29">
        <f t="shared" si="19"/>
        <v>82</v>
      </c>
      <c r="BS123" s="243">
        <f t="shared" si="21"/>
        <v>6.7204193548387095E-2</v>
      </c>
      <c r="BT123">
        <f t="shared" si="22"/>
        <v>6.7204193548387095E-2</v>
      </c>
      <c r="BU123" t="str">
        <f t="shared" si="23"/>
        <v>ok</v>
      </c>
      <c r="BV123">
        <f t="shared" si="25"/>
        <v>0</v>
      </c>
      <c r="BW123">
        <f t="shared" si="24"/>
        <v>0</v>
      </c>
    </row>
    <row r="124" spans="43:75" x14ac:dyDescent="0.25">
      <c r="AQ124" s="63"/>
      <c r="BM124" s="29">
        <v>119</v>
      </c>
      <c r="BN124" s="242">
        <f t="shared" si="17"/>
        <v>42731</v>
      </c>
      <c r="BO124" s="29">
        <f t="shared" si="16"/>
        <v>0</v>
      </c>
      <c r="BP124" s="29">
        <f t="shared" si="18"/>
        <v>0</v>
      </c>
      <c r="BQ124" s="29">
        <f t="shared" si="20"/>
        <v>1</v>
      </c>
      <c r="BR124" s="29">
        <f t="shared" si="19"/>
        <v>83</v>
      </c>
      <c r="BS124" s="243">
        <f t="shared" si="21"/>
        <v>6.7204193548387095E-2</v>
      </c>
      <c r="BT124">
        <f t="shared" si="22"/>
        <v>6.7204193548387095E-2</v>
      </c>
      <c r="BU124" t="str">
        <f t="shared" si="23"/>
        <v>ok</v>
      </c>
      <c r="BV124">
        <f t="shared" si="25"/>
        <v>0</v>
      </c>
      <c r="BW124">
        <f t="shared" si="24"/>
        <v>0</v>
      </c>
    </row>
    <row r="125" spans="43:75" x14ac:dyDescent="0.25">
      <c r="AQ125" s="63"/>
      <c r="BM125" s="29">
        <v>120</v>
      </c>
      <c r="BN125" s="242">
        <f t="shared" si="17"/>
        <v>42732</v>
      </c>
      <c r="BO125" s="29">
        <f t="shared" si="16"/>
        <v>0</v>
      </c>
      <c r="BP125" s="29">
        <f t="shared" si="18"/>
        <v>0</v>
      </c>
      <c r="BQ125" s="29">
        <f t="shared" si="20"/>
        <v>1</v>
      </c>
      <c r="BR125" s="29">
        <f t="shared" si="19"/>
        <v>84</v>
      </c>
      <c r="BS125" s="243">
        <f t="shared" si="21"/>
        <v>6.7204193548387095E-2</v>
      </c>
      <c r="BT125">
        <f t="shared" si="22"/>
        <v>6.7204193548387095E-2</v>
      </c>
      <c r="BU125" t="str">
        <f t="shared" si="23"/>
        <v>ok</v>
      </c>
      <c r="BV125">
        <f t="shared" si="25"/>
        <v>0</v>
      </c>
      <c r="BW125">
        <f t="shared" si="24"/>
        <v>0</v>
      </c>
    </row>
    <row r="126" spans="43:75" x14ac:dyDescent="0.25">
      <c r="AQ126" s="63"/>
      <c r="BM126" s="29">
        <v>121</v>
      </c>
      <c r="BN126" s="242">
        <f t="shared" si="17"/>
        <v>42733</v>
      </c>
      <c r="BO126" s="29">
        <f t="shared" si="16"/>
        <v>0</v>
      </c>
      <c r="BP126" s="29">
        <f t="shared" si="18"/>
        <v>0</v>
      </c>
      <c r="BQ126" s="29">
        <f t="shared" si="20"/>
        <v>1</v>
      </c>
      <c r="BR126" s="29">
        <f t="shared" si="19"/>
        <v>85</v>
      </c>
      <c r="BS126" s="243">
        <f t="shared" si="21"/>
        <v>6.7204193548387095E-2</v>
      </c>
      <c r="BT126">
        <f t="shared" si="22"/>
        <v>6.7204193548387095E-2</v>
      </c>
      <c r="BU126" t="str">
        <f t="shared" si="23"/>
        <v>ok</v>
      </c>
      <c r="BV126">
        <f t="shared" si="25"/>
        <v>0</v>
      </c>
      <c r="BW126">
        <f t="shared" si="24"/>
        <v>0</v>
      </c>
    </row>
    <row r="127" spans="43:75" x14ac:dyDescent="0.25">
      <c r="AQ127" s="63"/>
      <c r="BM127" s="29">
        <v>122</v>
      </c>
      <c r="BN127" s="242">
        <f t="shared" si="17"/>
        <v>42734</v>
      </c>
      <c r="BO127" s="29">
        <f t="shared" si="16"/>
        <v>0</v>
      </c>
      <c r="BP127" s="29">
        <f t="shared" si="18"/>
        <v>0</v>
      </c>
      <c r="BQ127" s="29">
        <f t="shared" si="20"/>
        <v>1</v>
      </c>
      <c r="BR127" s="29">
        <f t="shared" si="19"/>
        <v>86</v>
      </c>
      <c r="BS127" s="243">
        <f t="shared" si="21"/>
        <v>6.7204193548387095E-2</v>
      </c>
      <c r="BT127">
        <f t="shared" si="22"/>
        <v>6.7204193548387095E-2</v>
      </c>
      <c r="BU127" t="str">
        <f t="shared" si="23"/>
        <v>ok</v>
      </c>
      <c r="BV127">
        <f t="shared" si="25"/>
        <v>0</v>
      </c>
      <c r="BW127">
        <f t="shared" si="24"/>
        <v>0</v>
      </c>
    </row>
    <row r="128" spans="43:75" x14ac:dyDescent="0.25">
      <c r="AQ128" s="63"/>
      <c r="BM128" s="29">
        <v>123</v>
      </c>
      <c r="BN128" s="242">
        <f t="shared" si="17"/>
        <v>42735</v>
      </c>
      <c r="BO128" s="29">
        <f t="shared" si="16"/>
        <v>0</v>
      </c>
      <c r="BP128" s="29">
        <f t="shared" si="18"/>
        <v>1</v>
      </c>
      <c r="BQ128" s="29">
        <f t="shared" si="20"/>
        <v>0</v>
      </c>
      <c r="BR128" s="29">
        <f t="shared" si="19"/>
        <v>86</v>
      </c>
      <c r="BS128" s="243">
        <f t="shared" si="21"/>
        <v>6.7204193548387095E-2</v>
      </c>
      <c r="BT128">
        <f t="shared" si="22"/>
        <v>6.7204193548387095E-2</v>
      </c>
      <c r="BU128" t="str">
        <f t="shared" si="23"/>
        <v>ok</v>
      </c>
      <c r="BV128">
        <f t="shared" si="25"/>
        <v>0</v>
      </c>
      <c r="BW128">
        <f t="shared" si="24"/>
        <v>0</v>
      </c>
    </row>
    <row r="129" spans="43:75" x14ac:dyDescent="0.25">
      <c r="AQ129" s="63"/>
      <c r="BM129" s="29">
        <v>124</v>
      </c>
      <c r="BN129" s="242">
        <f t="shared" si="17"/>
        <v>42736</v>
      </c>
      <c r="BO129" s="29">
        <f t="shared" si="16"/>
        <v>1</v>
      </c>
      <c r="BP129" s="29">
        <f t="shared" si="18"/>
        <v>0</v>
      </c>
      <c r="BQ129" s="29">
        <f t="shared" si="20"/>
        <v>0</v>
      </c>
      <c r="BR129" s="29">
        <f t="shared" si="19"/>
        <v>86</v>
      </c>
      <c r="BS129" s="243">
        <f t="shared" si="21"/>
        <v>6.7204193548387095E-2</v>
      </c>
      <c r="BT129">
        <f t="shared" si="22"/>
        <v>6.7204193548387095E-2</v>
      </c>
      <c r="BU129" t="str">
        <f t="shared" si="23"/>
        <v>ok</v>
      </c>
      <c r="BV129">
        <f t="shared" si="25"/>
        <v>0</v>
      </c>
      <c r="BW129">
        <f t="shared" si="24"/>
        <v>0</v>
      </c>
    </row>
    <row r="130" spans="43:75" x14ac:dyDescent="0.25">
      <c r="AQ130" s="63"/>
      <c r="BM130" s="29">
        <v>125</v>
      </c>
      <c r="BN130" s="242">
        <f t="shared" si="17"/>
        <v>42737</v>
      </c>
      <c r="BO130" s="29">
        <f t="shared" si="16"/>
        <v>1</v>
      </c>
      <c r="BP130" s="29">
        <f t="shared" si="18"/>
        <v>0</v>
      </c>
      <c r="BQ130" s="29">
        <f t="shared" si="20"/>
        <v>0</v>
      </c>
      <c r="BR130" s="29">
        <f t="shared" si="19"/>
        <v>86</v>
      </c>
      <c r="BS130" s="243">
        <f t="shared" si="21"/>
        <v>6.7204193548387095E-2</v>
      </c>
      <c r="BT130">
        <f t="shared" si="22"/>
        <v>6.7204193548387095E-2</v>
      </c>
      <c r="BU130" t="str">
        <f t="shared" si="23"/>
        <v>ok</v>
      </c>
      <c r="BV130">
        <f t="shared" si="25"/>
        <v>0</v>
      </c>
      <c r="BW130">
        <f t="shared" si="24"/>
        <v>0</v>
      </c>
    </row>
    <row r="131" spans="43:75" x14ac:dyDescent="0.25">
      <c r="AQ131" s="63"/>
      <c r="BM131" s="29">
        <v>126</v>
      </c>
      <c r="BN131" s="242">
        <f t="shared" si="17"/>
        <v>42738</v>
      </c>
      <c r="BO131" s="29">
        <f t="shared" si="16"/>
        <v>0</v>
      </c>
      <c r="BP131" s="29">
        <f t="shared" si="18"/>
        <v>0</v>
      </c>
      <c r="BQ131" s="29">
        <f t="shared" si="20"/>
        <v>1</v>
      </c>
      <c r="BR131" s="29">
        <f t="shared" si="19"/>
        <v>87</v>
      </c>
      <c r="BS131" s="243">
        <f t="shared" si="21"/>
        <v>6.7204193548387095E-2</v>
      </c>
      <c r="BT131">
        <f t="shared" si="22"/>
        <v>6.7204193548387095E-2</v>
      </c>
      <c r="BU131" t="str">
        <f t="shared" si="23"/>
        <v>ok</v>
      </c>
      <c r="BV131">
        <f t="shared" si="25"/>
        <v>0</v>
      </c>
      <c r="BW131">
        <f t="shared" si="24"/>
        <v>0</v>
      </c>
    </row>
    <row r="132" spans="43:75" x14ac:dyDescent="0.25">
      <c r="AQ132" s="63"/>
      <c r="BM132" s="29">
        <v>127</v>
      </c>
      <c r="BN132" s="242">
        <f t="shared" si="17"/>
        <v>42739</v>
      </c>
      <c r="BO132" s="29">
        <f t="shared" si="16"/>
        <v>0</v>
      </c>
      <c r="BP132" s="29">
        <f t="shared" si="18"/>
        <v>0</v>
      </c>
      <c r="BQ132" s="29">
        <f t="shared" si="20"/>
        <v>1</v>
      </c>
      <c r="BR132" s="29">
        <f t="shared" si="19"/>
        <v>88</v>
      </c>
      <c r="BS132" s="243">
        <f t="shared" si="21"/>
        <v>6.7204193548387095E-2</v>
      </c>
      <c r="BT132">
        <f t="shared" si="22"/>
        <v>6.7204193548387095E-2</v>
      </c>
      <c r="BU132" t="str">
        <f t="shared" si="23"/>
        <v>ok</v>
      </c>
      <c r="BV132">
        <f t="shared" si="25"/>
        <v>0</v>
      </c>
      <c r="BW132">
        <f t="shared" si="24"/>
        <v>0</v>
      </c>
    </row>
    <row r="133" spans="43:75" x14ac:dyDescent="0.25">
      <c r="AQ133" s="63"/>
      <c r="BM133" s="29">
        <v>128</v>
      </c>
      <c r="BN133" s="242">
        <f t="shared" si="17"/>
        <v>42740</v>
      </c>
      <c r="BO133" s="29">
        <f t="shared" si="16"/>
        <v>0</v>
      </c>
      <c r="BP133" s="29">
        <f t="shared" si="18"/>
        <v>0</v>
      </c>
      <c r="BQ133" s="29">
        <f t="shared" si="20"/>
        <v>1</v>
      </c>
      <c r="BR133" s="29">
        <f t="shared" si="19"/>
        <v>89</v>
      </c>
      <c r="BS133" s="243">
        <f t="shared" si="21"/>
        <v>6.7204193548387095E-2</v>
      </c>
      <c r="BT133">
        <f t="shared" si="22"/>
        <v>6.7204193548387095E-2</v>
      </c>
      <c r="BU133" t="str">
        <f t="shared" si="23"/>
        <v>ok</v>
      </c>
      <c r="BV133">
        <f t="shared" si="25"/>
        <v>0</v>
      </c>
      <c r="BW133">
        <f t="shared" si="24"/>
        <v>0</v>
      </c>
    </row>
    <row r="134" spans="43:75" x14ac:dyDescent="0.25">
      <c r="AQ134" s="63"/>
      <c r="BM134" s="29">
        <v>129</v>
      </c>
      <c r="BN134" s="242">
        <f t="shared" ref="BN134:BN197" si="26">BN133+1</f>
        <v>42741</v>
      </c>
      <c r="BO134" s="29">
        <f t="shared" ref="BO134:BO197" si="27">IF(OR(WEEKDAY(BN134)=1,WEEKDAY(BN134)=7),1,0)</f>
        <v>0</v>
      </c>
      <c r="BP134" s="29">
        <f t="shared" ref="BP134:BP197" si="28">IF(BO134=1,0,COUNTIF(tab_ferie,BN134))</f>
        <v>0</v>
      </c>
      <c r="BQ134" s="29">
        <f t="shared" si="20"/>
        <v>1</v>
      </c>
      <c r="BR134" s="29">
        <f t="shared" ref="BR134:BR197" si="29">BR133+1-BP134-BO134</f>
        <v>90</v>
      </c>
      <c r="BS134" s="243">
        <f t="shared" si="21"/>
        <v>6.7204193548387095E-2</v>
      </c>
      <c r="BT134">
        <f t="shared" si="22"/>
        <v>6.7204193548387095E-2</v>
      </c>
      <c r="BU134" t="str">
        <f t="shared" si="23"/>
        <v>ok</v>
      </c>
      <c r="BV134">
        <f t="shared" si="25"/>
        <v>0</v>
      </c>
      <c r="BW134">
        <f t="shared" si="24"/>
        <v>0</v>
      </c>
    </row>
    <row r="135" spans="43:75" x14ac:dyDescent="0.25">
      <c r="AQ135" s="63"/>
      <c r="BM135" s="29">
        <v>130</v>
      </c>
      <c r="BN135" s="242">
        <f t="shared" si="26"/>
        <v>42742</v>
      </c>
      <c r="BO135" s="29">
        <f t="shared" si="27"/>
        <v>0</v>
      </c>
      <c r="BP135" s="29">
        <f t="shared" si="28"/>
        <v>0</v>
      </c>
      <c r="BQ135" s="29">
        <f t="shared" ref="BQ135:BQ198" si="30">IF(AND(BN135&gt;=$AF$5,BN135&lt;=$AF$6),IF(BO135+BP135=0,1,0),0)</f>
        <v>1</v>
      </c>
      <c r="BR135" s="29">
        <f t="shared" si="29"/>
        <v>91</v>
      </c>
      <c r="BS135" s="243">
        <f t="shared" ref="BS135:BS198" si="31">2.08333/(EOMONTH(BN135,0)-(EOMONTH(BN135,-1)))</f>
        <v>6.7204193548387095E-2</v>
      </c>
      <c r="BT135">
        <f t="shared" ref="BT135:BT198" si="32">IF(AND(BN135&gt;=$AF$5,BN135&lt;=$AF$6),BS135,0)</f>
        <v>6.7204193548387095E-2</v>
      </c>
      <c r="BU135" t="str">
        <f t="shared" ref="BU135:BU198" si="33">IF(OR(MONTH(BN135)&gt;=10,MONTH(BN135)&lt;=5),"ok","non")</f>
        <v>ok</v>
      </c>
      <c r="BV135">
        <f t="shared" si="25"/>
        <v>0</v>
      </c>
      <c r="BW135">
        <f t="shared" ref="BW135:BW198" si="34">IF(AND(BN135&gt;=$AF$5,BN135&lt;=$AF$6),BV135,0)</f>
        <v>0</v>
      </c>
    </row>
    <row r="136" spans="43:75" x14ac:dyDescent="0.25">
      <c r="AQ136" s="63"/>
      <c r="BM136" s="29">
        <v>131</v>
      </c>
      <c r="BN136" s="242">
        <f t="shared" si="26"/>
        <v>42743</v>
      </c>
      <c r="BO136" s="29">
        <f t="shared" si="27"/>
        <v>1</v>
      </c>
      <c r="BP136" s="29">
        <f t="shared" si="28"/>
        <v>0</v>
      </c>
      <c r="BQ136" s="29">
        <f t="shared" si="30"/>
        <v>0</v>
      </c>
      <c r="BR136" s="29">
        <f t="shared" si="29"/>
        <v>91</v>
      </c>
      <c r="BS136" s="243">
        <f t="shared" si="31"/>
        <v>6.7204193548387095E-2</v>
      </c>
      <c r="BT136">
        <f t="shared" si="32"/>
        <v>6.7204193548387095E-2</v>
      </c>
      <c r="BU136" t="str">
        <f t="shared" si="33"/>
        <v>ok</v>
      </c>
      <c r="BV136">
        <f t="shared" si="25"/>
        <v>0</v>
      </c>
      <c r="BW136">
        <f t="shared" si="34"/>
        <v>0</v>
      </c>
    </row>
    <row r="137" spans="43:75" x14ac:dyDescent="0.25">
      <c r="AQ137" s="63"/>
      <c r="BM137" s="29">
        <v>132</v>
      </c>
      <c r="BN137" s="242">
        <f t="shared" si="26"/>
        <v>42744</v>
      </c>
      <c r="BO137" s="29">
        <f t="shared" si="27"/>
        <v>1</v>
      </c>
      <c r="BP137" s="29">
        <f t="shared" si="28"/>
        <v>0</v>
      </c>
      <c r="BQ137" s="29">
        <f t="shared" si="30"/>
        <v>0</v>
      </c>
      <c r="BR137" s="29">
        <f t="shared" si="29"/>
        <v>91</v>
      </c>
      <c r="BS137" s="243">
        <f t="shared" si="31"/>
        <v>6.7204193548387095E-2</v>
      </c>
      <c r="BT137">
        <f t="shared" si="32"/>
        <v>6.7204193548387095E-2</v>
      </c>
      <c r="BU137" t="str">
        <f t="shared" si="33"/>
        <v>ok</v>
      </c>
      <c r="BV137">
        <f t="shared" si="25"/>
        <v>0</v>
      </c>
      <c r="BW137">
        <f t="shared" si="34"/>
        <v>0</v>
      </c>
    </row>
    <row r="138" spans="43:75" x14ac:dyDescent="0.25">
      <c r="AQ138" s="63"/>
      <c r="BM138" s="29">
        <v>133</v>
      </c>
      <c r="BN138" s="242">
        <f t="shared" si="26"/>
        <v>42745</v>
      </c>
      <c r="BO138" s="29">
        <f t="shared" si="27"/>
        <v>0</v>
      </c>
      <c r="BP138" s="29">
        <f t="shared" si="28"/>
        <v>0</v>
      </c>
      <c r="BQ138" s="29">
        <f t="shared" si="30"/>
        <v>1</v>
      </c>
      <c r="BR138" s="29">
        <f t="shared" si="29"/>
        <v>92</v>
      </c>
      <c r="BS138" s="243">
        <f t="shared" si="31"/>
        <v>6.7204193548387095E-2</v>
      </c>
      <c r="BT138">
        <f t="shared" si="32"/>
        <v>6.7204193548387095E-2</v>
      </c>
      <c r="BU138" t="str">
        <f t="shared" si="33"/>
        <v>ok</v>
      </c>
      <c r="BV138">
        <f t="shared" si="25"/>
        <v>0</v>
      </c>
      <c r="BW138">
        <f t="shared" si="34"/>
        <v>0</v>
      </c>
    </row>
    <row r="139" spans="43:75" x14ac:dyDescent="0.25">
      <c r="AQ139" s="63"/>
      <c r="BM139" s="29">
        <v>134</v>
      </c>
      <c r="BN139" s="242">
        <f t="shared" si="26"/>
        <v>42746</v>
      </c>
      <c r="BO139" s="29">
        <f t="shared" si="27"/>
        <v>0</v>
      </c>
      <c r="BP139" s="29">
        <f t="shared" si="28"/>
        <v>0</v>
      </c>
      <c r="BQ139" s="29">
        <f t="shared" si="30"/>
        <v>1</v>
      </c>
      <c r="BR139" s="29">
        <f t="shared" si="29"/>
        <v>93</v>
      </c>
      <c r="BS139" s="243">
        <f t="shared" si="31"/>
        <v>6.7204193548387095E-2</v>
      </c>
      <c r="BT139">
        <f t="shared" si="32"/>
        <v>6.7204193548387095E-2</v>
      </c>
      <c r="BU139" t="str">
        <f t="shared" si="33"/>
        <v>ok</v>
      </c>
      <c r="BV139">
        <f t="shared" si="25"/>
        <v>0</v>
      </c>
      <c r="BW139">
        <f t="shared" si="34"/>
        <v>0</v>
      </c>
    </row>
    <row r="140" spans="43:75" x14ac:dyDescent="0.25">
      <c r="AQ140" s="63"/>
      <c r="BM140" s="29">
        <v>135</v>
      </c>
      <c r="BN140" s="242">
        <f t="shared" si="26"/>
        <v>42747</v>
      </c>
      <c r="BO140" s="29">
        <f t="shared" si="27"/>
        <v>0</v>
      </c>
      <c r="BP140" s="29">
        <f t="shared" si="28"/>
        <v>0</v>
      </c>
      <c r="BQ140" s="29">
        <f t="shared" si="30"/>
        <v>1</v>
      </c>
      <c r="BR140" s="29">
        <f t="shared" si="29"/>
        <v>94</v>
      </c>
      <c r="BS140" s="243">
        <f t="shared" si="31"/>
        <v>6.7204193548387095E-2</v>
      </c>
      <c r="BT140">
        <f t="shared" si="32"/>
        <v>6.7204193548387095E-2</v>
      </c>
      <c r="BU140" t="str">
        <f t="shared" si="33"/>
        <v>ok</v>
      </c>
      <c r="BV140">
        <f t="shared" si="25"/>
        <v>0</v>
      </c>
      <c r="BW140">
        <f t="shared" si="34"/>
        <v>0</v>
      </c>
    </row>
    <row r="141" spans="43:75" x14ac:dyDescent="0.25">
      <c r="AQ141" s="63"/>
      <c r="BM141" s="29">
        <v>136</v>
      </c>
      <c r="BN141" s="242">
        <f t="shared" si="26"/>
        <v>42748</v>
      </c>
      <c r="BO141" s="29">
        <f t="shared" si="27"/>
        <v>0</v>
      </c>
      <c r="BP141" s="29">
        <f t="shared" si="28"/>
        <v>0</v>
      </c>
      <c r="BQ141" s="29">
        <f t="shared" si="30"/>
        <v>1</v>
      </c>
      <c r="BR141" s="29">
        <f t="shared" si="29"/>
        <v>95</v>
      </c>
      <c r="BS141" s="243">
        <f t="shared" si="31"/>
        <v>6.7204193548387095E-2</v>
      </c>
      <c r="BT141">
        <f t="shared" si="32"/>
        <v>6.7204193548387095E-2</v>
      </c>
      <c r="BU141" t="str">
        <f t="shared" si="33"/>
        <v>ok</v>
      </c>
      <c r="BV141">
        <f t="shared" si="25"/>
        <v>0</v>
      </c>
      <c r="BW141">
        <f t="shared" si="34"/>
        <v>0</v>
      </c>
    </row>
    <row r="142" spans="43:75" x14ac:dyDescent="0.25">
      <c r="AQ142" s="63"/>
      <c r="BM142" s="29">
        <v>137</v>
      </c>
      <c r="BN142" s="242">
        <f t="shared" si="26"/>
        <v>42749</v>
      </c>
      <c r="BO142" s="29">
        <f t="shared" si="27"/>
        <v>0</v>
      </c>
      <c r="BP142" s="29">
        <f t="shared" si="28"/>
        <v>0</v>
      </c>
      <c r="BQ142" s="29">
        <f t="shared" si="30"/>
        <v>1</v>
      </c>
      <c r="BR142" s="29">
        <f t="shared" si="29"/>
        <v>96</v>
      </c>
      <c r="BS142" s="243">
        <f t="shared" si="31"/>
        <v>6.7204193548387095E-2</v>
      </c>
      <c r="BT142">
        <f t="shared" si="32"/>
        <v>6.7204193548387095E-2</v>
      </c>
      <c r="BU142" t="str">
        <f t="shared" si="33"/>
        <v>ok</v>
      </c>
      <c r="BV142">
        <f t="shared" si="25"/>
        <v>0</v>
      </c>
      <c r="BW142">
        <f t="shared" si="34"/>
        <v>0</v>
      </c>
    </row>
    <row r="143" spans="43:75" x14ac:dyDescent="0.25">
      <c r="AQ143" s="63"/>
      <c r="BM143" s="29">
        <v>138</v>
      </c>
      <c r="BN143" s="242">
        <f t="shared" si="26"/>
        <v>42750</v>
      </c>
      <c r="BO143" s="29">
        <f t="shared" si="27"/>
        <v>1</v>
      </c>
      <c r="BP143" s="29">
        <f t="shared" si="28"/>
        <v>0</v>
      </c>
      <c r="BQ143" s="29">
        <f t="shared" si="30"/>
        <v>0</v>
      </c>
      <c r="BR143" s="29">
        <f t="shared" si="29"/>
        <v>96</v>
      </c>
      <c r="BS143" s="243">
        <f t="shared" si="31"/>
        <v>6.7204193548387095E-2</v>
      </c>
      <c r="BT143">
        <f t="shared" si="32"/>
        <v>6.7204193548387095E-2</v>
      </c>
      <c r="BU143" t="str">
        <f t="shared" si="33"/>
        <v>ok</v>
      </c>
      <c r="BV143">
        <f t="shared" si="25"/>
        <v>0</v>
      </c>
      <c r="BW143">
        <f t="shared" si="34"/>
        <v>0</v>
      </c>
    </row>
    <row r="144" spans="43:75" x14ac:dyDescent="0.25">
      <c r="AQ144" s="63"/>
      <c r="BM144" s="29">
        <v>139</v>
      </c>
      <c r="BN144" s="242">
        <f t="shared" si="26"/>
        <v>42751</v>
      </c>
      <c r="BO144" s="29">
        <f t="shared" si="27"/>
        <v>1</v>
      </c>
      <c r="BP144" s="29">
        <f t="shared" si="28"/>
        <v>0</v>
      </c>
      <c r="BQ144" s="29">
        <f t="shared" si="30"/>
        <v>0</v>
      </c>
      <c r="BR144" s="29">
        <f t="shared" si="29"/>
        <v>96</v>
      </c>
      <c r="BS144" s="243">
        <f t="shared" si="31"/>
        <v>6.7204193548387095E-2</v>
      </c>
      <c r="BT144">
        <f t="shared" si="32"/>
        <v>6.7204193548387095E-2</v>
      </c>
      <c r="BU144" t="str">
        <f t="shared" si="33"/>
        <v>ok</v>
      </c>
      <c r="BV144">
        <f t="shared" si="25"/>
        <v>0</v>
      </c>
      <c r="BW144">
        <f t="shared" si="34"/>
        <v>0</v>
      </c>
    </row>
    <row r="145" spans="43:75" x14ac:dyDescent="0.25">
      <c r="AQ145" s="63"/>
      <c r="BM145" s="29">
        <v>140</v>
      </c>
      <c r="BN145" s="242">
        <f t="shared" si="26"/>
        <v>42752</v>
      </c>
      <c r="BO145" s="29">
        <f t="shared" si="27"/>
        <v>0</v>
      </c>
      <c r="BP145" s="29">
        <f t="shared" si="28"/>
        <v>0</v>
      </c>
      <c r="BQ145" s="29">
        <f t="shared" si="30"/>
        <v>1</v>
      </c>
      <c r="BR145" s="29">
        <f t="shared" si="29"/>
        <v>97</v>
      </c>
      <c r="BS145" s="243">
        <f t="shared" si="31"/>
        <v>6.7204193548387095E-2</v>
      </c>
      <c r="BT145">
        <f t="shared" si="32"/>
        <v>6.7204193548387095E-2</v>
      </c>
      <c r="BU145" t="str">
        <f t="shared" si="33"/>
        <v>ok</v>
      </c>
      <c r="BV145">
        <f t="shared" ref="BV145:BV208" si="35">IF(BU145="ok",$CC$29/(EOMONTH(BN145,0)-(EOMONTH(BN145,-1))),0)</f>
        <v>0</v>
      </c>
      <c r="BW145">
        <f t="shared" si="34"/>
        <v>0</v>
      </c>
    </row>
    <row r="146" spans="43:75" x14ac:dyDescent="0.25">
      <c r="AQ146" s="63"/>
      <c r="BM146" s="29">
        <v>141</v>
      </c>
      <c r="BN146" s="242">
        <f t="shared" si="26"/>
        <v>42753</v>
      </c>
      <c r="BO146" s="29">
        <f t="shared" si="27"/>
        <v>0</v>
      </c>
      <c r="BP146" s="29">
        <f t="shared" si="28"/>
        <v>0</v>
      </c>
      <c r="BQ146" s="29">
        <f t="shared" si="30"/>
        <v>1</v>
      </c>
      <c r="BR146" s="29">
        <f t="shared" si="29"/>
        <v>98</v>
      </c>
      <c r="BS146" s="243">
        <f t="shared" si="31"/>
        <v>6.7204193548387095E-2</v>
      </c>
      <c r="BT146">
        <f t="shared" si="32"/>
        <v>6.7204193548387095E-2</v>
      </c>
      <c r="BU146" t="str">
        <f t="shared" si="33"/>
        <v>ok</v>
      </c>
      <c r="BV146">
        <f t="shared" si="35"/>
        <v>0</v>
      </c>
      <c r="BW146">
        <f t="shared" si="34"/>
        <v>0</v>
      </c>
    </row>
    <row r="147" spans="43:75" x14ac:dyDescent="0.25">
      <c r="AQ147" s="63"/>
      <c r="BM147" s="29">
        <v>142</v>
      </c>
      <c r="BN147" s="242">
        <f t="shared" si="26"/>
        <v>42754</v>
      </c>
      <c r="BO147" s="29">
        <f t="shared" si="27"/>
        <v>0</v>
      </c>
      <c r="BP147" s="29">
        <f t="shared" si="28"/>
        <v>0</v>
      </c>
      <c r="BQ147" s="29">
        <f t="shared" si="30"/>
        <v>1</v>
      </c>
      <c r="BR147" s="29">
        <f t="shared" si="29"/>
        <v>99</v>
      </c>
      <c r="BS147" s="243">
        <f t="shared" si="31"/>
        <v>6.7204193548387095E-2</v>
      </c>
      <c r="BT147">
        <f t="shared" si="32"/>
        <v>6.7204193548387095E-2</v>
      </c>
      <c r="BU147" t="str">
        <f t="shared" si="33"/>
        <v>ok</v>
      </c>
      <c r="BV147">
        <f t="shared" si="35"/>
        <v>0</v>
      </c>
      <c r="BW147">
        <f t="shared" si="34"/>
        <v>0</v>
      </c>
    </row>
    <row r="148" spans="43:75" x14ac:dyDescent="0.25">
      <c r="AQ148" s="63"/>
      <c r="BM148" s="29">
        <v>143</v>
      </c>
      <c r="BN148" s="242">
        <f t="shared" si="26"/>
        <v>42755</v>
      </c>
      <c r="BO148" s="29">
        <f t="shared" si="27"/>
        <v>0</v>
      </c>
      <c r="BP148" s="29">
        <f t="shared" si="28"/>
        <v>0</v>
      </c>
      <c r="BQ148" s="29">
        <f t="shared" si="30"/>
        <v>1</v>
      </c>
      <c r="BR148" s="29">
        <f t="shared" si="29"/>
        <v>100</v>
      </c>
      <c r="BS148" s="243">
        <f t="shared" si="31"/>
        <v>6.7204193548387095E-2</v>
      </c>
      <c r="BT148">
        <f t="shared" si="32"/>
        <v>6.7204193548387095E-2</v>
      </c>
      <c r="BU148" t="str">
        <f t="shared" si="33"/>
        <v>ok</v>
      </c>
      <c r="BV148">
        <f t="shared" si="35"/>
        <v>0</v>
      </c>
      <c r="BW148">
        <f t="shared" si="34"/>
        <v>0</v>
      </c>
    </row>
    <row r="149" spans="43:75" x14ac:dyDescent="0.25">
      <c r="AQ149" s="63"/>
      <c r="BM149" s="29">
        <v>144</v>
      </c>
      <c r="BN149" s="242">
        <f t="shared" si="26"/>
        <v>42756</v>
      </c>
      <c r="BO149" s="29">
        <f t="shared" si="27"/>
        <v>0</v>
      </c>
      <c r="BP149" s="29">
        <f t="shared" si="28"/>
        <v>0</v>
      </c>
      <c r="BQ149" s="29">
        <f t="shared" si="30"/>
        <v>1</v>
      </c>
      <c r="BR149" s="29">
        <f t="shared" si="29"/>
        <v>101</v>
      </c>
      <c r="BS149" s="243">
        <f t="shared" si="31"/>
        <v>6.7204193548387095E-2</v>
      </c>
      <c r="BT149">
        <f t="shared" si="32"/>
        <v>6.7204193548387095E-2</v>
      </c>
      <c r="BU149" t="str">
        <f t="shared" si="33"/>
        <v>ok</v>
      </c>
      <c r="BV149">
        <f t="shared" si="35"/>
        <v>0</v>
      </c>
      <c r="BW149">
        <f t="shared" si="34"/>
        <v>0</v>
      </c>
    </row>
    <row r="150" spans="43:75" x14ac:dyDescent="0.25">
      <c r="AQ150" s="63"/>
      <c r="BM150" s="29">
        <v>145</v>
      </c>
      <c r="BN150" s="242">
        <f t="shared" si="26"/>
        <v>42757</v>
      </c>
      <c r="BO150" s="29">
        <f t="shared" si="27"/>
        <v>1</v>
      </c>
      <c r="BP150" s="29">
        <f t="shared" si="28"/>
        <v>0</v>
      </c>
      <c r="BQ150" s="29">
        <f t="shared" si="30"/>
        <v>0</v>
      </c>
      <c r="BR150" s="29">
        <f t="shared" si="29"/>
        <v>101</v>
      </c>
      <c r="BS150" s="243">
        <f t="shared" si="31"/>
        <v>6.7204193548387095E-2</v>
      </c>
      <c r="BT150">
        <f t="shared" si="32"/>
        <v>6.7204193548387095E-2</v>
      </c>
      <c r="BU150" t="str">
        <f t="shared" si="33"/>
        <v>ok</v>
      </c>
      <c r="BV150">
        <f t="shared" si="35"/>
        <v>0</v>
      </c>
      <c r="BW150">
        <f t="shared" si="34"/>
        <v>0</v>
      </c>
    </row>
    <row r="151" spans="43:75" x14ac:dyDescent="0.25">
      <c r="AQ151" s="63"/>
      <c r="BM151" s="29">
        <v>146</v>
      </c>
      <c r="BN151" s="242">
        <f t="shared" si="26"/>
        <v>42758</v>
      </c>
      <c r="BO151" s="29">
        <f t="shared" si="27"/>
        <v>1</v>
      </c>
      <c r="BP151" s="29">
        <f t="shared" si="28"/>
        <v>0</v>
      </c>
      <c r="BQ151" s="29">
        <f t="shared" si="30"/>
        <v>0</v>
      </c>
      <c r="BR151" s="29">
        <f t="shared" si="29"/>
        <v>101</v>
      </c>
      <c r="BS151" s="243">
        <f t="shared" si="31"/>
        <v>6.7204193548387095E-2</v>
      </c>
      <c r="BT151">
        <f t="shared" si="32"/>
        <v>6.7204193548387095E-2</v>
      </c>
      <c r="BU151" t="str">
        <f t="shared" si="33"/>
        <v>ok</v>
      </c>
      <c r="BV151">
        <f t="shared" si="35"/>
        <v>0</v>
      </c>
      <c r="BW151">
        <f t="shared" si="34"/>
        <v>0</v>
      </c>
    </row>
    <row r="152" spans="43:75" x14ac:dyDescent="0.25">
      <c r="AQ152" s="63"/>
      <c r="BM152" s="29">
        <v>147</v>
      </c>
      <c r="BN152" s="242">
        <f t="shared" si="26"/>
        <v>42759</v>
      </c>
      <c r="BO152" s="29">
        <f t="shared" si="27"/>
        <v>0</v>
      </c>
      <c r="BP152" s="29">
        <f t="shared" si="28"/>
        <v>0</v>
      </c>
      <c r="BQ152" s="29">
        <f t="shared" si="30"/>
        <v>1</v>
      </c>
      <c r="BR152" s="29">
        <f t="shared" si="29"/>
        <v>102</v>
      </c>
      <c r="BS152" s="243">
        <f t="shared" si="31"/>
        <v>6.7204193548387095E-2</v>
      </c>
      <c r="BT152">
        <f t="shared" si="32"/>
        <v>6.7204193548387095E-2</v>
      </c>
      <c r="BU152" t="str">
        <f t="shared" si="33"/>
        <v>ok</v>
      </c>
      <c r="BV152">
        <f t="shared" si="35"/>
        <v>0</v>
      </c>
      <c r="BW152">
        <f t="shared" si="34"/>
        <v>0</v>
      </c>
    </row>
    <row r="153" spans="43:75" x14ac:dyDescent="0.25">
      <c r="AQ153" s="63"/>
      <c r="BM153" s="29">
        <v>148</v>
      </c>
      <c r="BN153" s="242">
        <f t="shared" si="26"/>
        <v>42760</v>
      </c>
      <c r="BO153" s="29">
        <f t="shared" si="27"/>
        <v>0</v>
      </c>
      <c r="BP153" s="29">
        <f t="shared" si="28"/>
        <v>0</v>
      </c>
      <c r="BQ153" s="29">
        <f t="shared" si="30"/>
        <v>1</v>
      </c>
      <c r="BR153" s="29">
        <f t="shared" si="29"/>
        <v>103</v>
      </c>
      <c r="BS153" s="243">
        <f t="shared" si="31"/>
        <v>6.7204193548387095E-2</v>
      </c>
      <c r="BT153">
        <f t="shared" si="32"/>
        <v>6.7204193548387095E-2</v>
      </c>
      <c r="BU153" t="str">
        <f t="shared" si="33"/>
        <v>ok</v>
      </c>
      <c r="BV153">
        <f t="shared" si="35"/>
        <v>0</v>
      </c>
      <c r="BW153">
        <f t="shared" si="34"/>
        <v>0</v>
      </c>
    </row>
    <row r="154" spans="43:75" x14ac:dyDescent="0.25">
      <c r="AQ154" s="63"/>
      <c r="BM154" s="29">
        <v>149</v>
      </c>
      <c r="BN154" s="242">
        <f t="shared" si="26"/>
        <v>42761</v>
      </c>
      <c r="BO154" s="29">
        <f t="shared" si="27"/>
        <v>0</v>
      </c>
      <c r="BP154" s="29">
        <f t="shared" si="28"/>
        <v>0</v>
      </c>
      <c r="BQ154" s="29">
        <f t="shared" si="30"/>
        <v>1</v>
      </c>
      <c r="BR154" s="29">
        <f t="shared" si="29"/>
        <v>104</v>
      </c>
      <c r="BS154" s="243">
        <f t="shared" si="31"/>
        <v>6.7204193548387095E-2</v>
      </c>
      <c r="BT154">
        <f t="shared" si="32"/>
        <v>6.7204193548387095E-2</v>
      </c>
      <c r="BU154" t="str">
        <f t="shared" si="33"/>
        <v>ok</v>
      </c>
      <c r="BV154">
        <f t="shared" si="35"/>
        <v>0</v>
      </c>
      <c r="BW154">
        <f t="shared" si="34"/>
        <v>0</v>
      </c>
    </row>
    <row r="155" spans="43:75" x14ac:dyDescent="0.25">
      <c r="AQ155" s="63"/>
      <c r="BM155" s="29">
        <v>150</v>
      </c>
      <c r="BN155" s="242">
        <f t="shared" si="26"/>
        <v>42762</v>
      </c>
      <c r="BO155" s="29">
        <f t="shared" si="27"/>
        <v>0</v>
      </c>
      <c r="BP155" s="29">
        <f t="shared" si="28"/>
        <v>0</v>
      </c>
      <c r="BQ155" s="29">
        <f t="shared" si="30"/>
        <v>1</v>
      </c>
      <c r="BR155" s="29">
        <f t="shared" si="29"/>
        <v>105</v>
      </c>
      <c r="BS155" s="243">
        <f t="shared" si="31"/>
        <v>6.7204193548387095E-2</v>
      </c>
      <c r="BT155">
        <f t="shared" si="32"/>
        <v>6.7204193548387095E-2</v>
      </c>
      <c r="BU155" t="str">
        <f t="shared" si="33"/>
        <v>ok</v>
      </c>
      <c r="BV155">
        <f t="shared" si="35"/>
        <v>0</v>
      </c>
      <c r="BW155">
        <f t="shared" si="34"/>
        <v>0</v>
      </c>
    </row>
    <row r="156" spans="43:75" x14ac:dyDescent="0.25">
      <c r="AQ156" s="63"/>
      <c r="BM156" s="29">
        <v>151</v>
      </c>
      <c r="BN156" s="242">
        <f t="shared" si="26"/>
        <v>42763</v>
      </c>
      <c r="BO156" s="29">
        <f t="shared" si="27"/>
        <v>0</v>
      </c>
      <c r="BP156" s="29">
        <f t="shared" si="28"/>
        <v>0</v>
      </c>
      <c r="BQ156" s="29">
        <f t="shared" si="30"/>
        <v>1</v>
      </c>
      <c r="BR156" s="29">
        <f t="shared" si="29"/>
        <v>106</v>
      </c>
      <c r="BS156" s="243">
        <f t="shared" si="31"/>
        <v>6.7204193548387095E-2</v>
      </c>
      <c r="BT156">
        <f t="shared" si="32"/>
        <v>6.7204193548387095E-2</v>
      </c>
      <c r="BU156" t="str">
        <f t="shared" si="33"/>
        <v>ok</v>
      </c>
      <c r="BV156">
        <f t="shared" si="35"/>
        <v>0</v>
      </c>
      <c r="BW156">
        <f t="shared" si="34"/>
        <v>0</v>
      </c>
    </row>
    <row r="157" spans="43:75" x14ac:dyDescent="0.25">
      <c r="AQ157" s="63"/>
      <c r="BM157" s="29">
        <v>152</v>
      </c>
      <c r="BN157" s="242">
        <f t="shared" si="26"/>
        <v>42764</v>
      </c>
      <c r="BO157" s="29">
        <f t="shared" si="27"/>
        <v>1</v>
      </c>
      <c r="BP157" s="29">
        <f t="shared" si="28"/>
        <v>0</v>
      </c>
      <c r="BQ157" s="29">
        <f t="shared" si="30"/>
        <v>0</v>
      </c>
      <c r="BR157" s="29">
        <f t="shared" si="29"/>
        <v>106</v>
      </c>
      <c r="BS157" s="243">
        <f t="shared" si="31"/>
        <v>6.7204193548387095E-2</v>
      </c>
      <c r="BT157">
        <f t="shared" si="32"/>
        <v>6.7204193548387095E-2</v>
      </c>
      <c r="BU157" t="str">
        <f t="shared" si="33"/>
        <v>ok</v>
      </c>
      <c r="BV157">
        <f t="shared" si="35"/>
        <v>0</v>
      </c>
      <c r="BW157">
        <f t="shared" si="34"/>
        <v>0</v>
      </c>
    </row>
    <row r="158" spans="43:75" x14ac:dyDescent="0.25">
      <c r="AQ158" s="63"/>
      <c r="BM158" s="29">
        <v>153</v>
      </c>
      <c r="BN158" s="242">
        <f t="shared" si="26"/>
        <v>42765</v>
      </c>
      <c r="BO158" s="29">
        <f t="shared" si="27"/>
        <v>1</v>
      </c>
      <c r="BP158" s="29">
        <f t="shared" si="28"/>
        <v>0</v>
      </c>
      <c r="BQ158" s="29">
        <f t="shared" si="30"/>
        <v>0</v>
      </c>
      <c r="BR158" s="29">
        <f t="shared" si="29"/>
        <v>106</v>
      </c>
      <c r="BS158" s="243">
        <f t="shared" si="31"/>
        <v>6.7204193548387095E-2</v>
      </c>
      <c r="BT158">
        <f t="shared" si="32"/>
        <v>6.7204193548387095E-2</v>
      </c>
      <c r="BU158" t="str">
        <f t="shared" si="33"/>
        <v>ok</v>
      </c>
      <c r="BV158">
        <f t="shared" si="35"/>
        <v>0</v>
      </c>
      <c r="BW158">
        <f t="shared" si="34"/>
        <v>0</v>
      </c>
    </row>
    <row r="159" spans="43:75" x14ac:dyDescent="0.25">
      <c r="AQ159" s="63"/>
      <c r="BM159" s="29">
        <v>154</v>
      </c>
      <c r="BN159" s="242">
        <f t="shared" si="26"/>
        <v>42766</v>
      </c>
      <c r="BO159" s="29">
        <f t="shared" si="27"/>
        <v>0</v>
      </c>
      <c r="BP159" s="29">
        <f t="shared" si="28"/>
        <v>0</v>
      </c>
      <c r="BQ159" s="29">
        <f t="shared" si="30"/>
        <v>1</v>
      </c>
      <c r="BR159" s="29">
        <f t="shared" si="29"/>
        <v>107</v>
      </c>
      <c r="BS159" s="243">
        <f t="shared" si="31"/>
        <v>7.4404642857142864E-2</v>
      </c>
      <c r="BT159">
        <f t="shared" si="32"/>
        <v>7.4404642857142864E-2</v>
      </c>
      <c r="BU159" t="str">
        <f t="shared" si="33"/>
        <v>ok</v>
      </c>
      <c r="BV159">
        <f t="shared" si="35"/>
        <v>0</v>
      </c>
      <c r="BW159">
        <f t="shared" si="34"/>
        <v>0</v>
      </c>
    </row>
    <row r="160" spans="43:75" x14ac:dyDescent="0.25">
      <c r="AQ160" s="63"/>
      <c r="BM160" s="29">
        <v>155</v>
      </c>
      <c r="BN160" s="242">
        <f t="shared" si="26"/>
        <v>42767</v>
      </c>
      <c r="BO160" s="29">
        <f t="shared" si="27"/>
        <v>0</v>
      </c>
      <c r="BP160" s="29">
        <f t="shared" si="28"/>
        <v>0</v>
      </c>
      <c r="BQ160" s="29">
        <f t="shared" si="30"/>
        <v>1</v>
      </c>
      <c r="BR160" s="29">
        <f t="shared" si="29"/>
        <v>108</v>
      </c>
      <c r="BS160" s="243">
        <f t="shared" si="31"/>
        <v>7.4404642857142864E-2</v>
      </c>
      <c r="BT160">
        <f t="shared" si="32"/>
        <v>7.4404642857142864E-2</v>
      </c>
      <c r="BU160" t="str">
        <f t="shared" si="33"/>
        <v>ok</v>
      </c>
      <c r="BV160">
        <f t="shared" si="35"/>
        <v>0</v>
      </c>
      <c r="BW160">
        <f t="shared" si="34"/>
        <v>0</v>
      </c>
    </row>
    <row r="161" spans="43:75" x14ac:dyDescent="0.25">
      <c r="AQ161" s="63"/>
      <c r="BM161" s="29">
        <v>156</v>
      </c>
      <c r="BN161" s="242">
        <f t="shared" si="26"/>
        <v>42768</v>
      </c>
      <c r="BO161" s="29">
        <f t="shared" si="27"/>
        <v>0</v>
      </c>
      <c r="BP161" s="29">
        <f t="shared" si="28"/>
        <v>0</v>
      </c>
      <c r="BQ161" s="29">
        <f t="shared" si="30"/>
        <v>1</v>
      </c>
      <c r="BR161" s="29">
        <f t="shared" si="29"/>
        <v>109</v>
      </c>
      <c r="BS161" s="243">
        <f t="shared" si="31"/>
        <v>7.4404642857142864E-2</v>
      </c>
      <c r="BT161">
        <f t="shared" si="32"/>
        <v>7.4404642857142864E-2</v>
      </c>
      <c r="BU161" t="str">
        <f t="shared" si="33"/>
        <v>ok</v>
      </c>
      <c r="BV161">
        <f t="shared" si="35"/>
        <v>0</v>
      </c>
      <c r="BW161">
        <f t="shared" si="34"/>
        <v>0</v>
      </c>
    </row>
    <row r="162" spans="43:75" x14ac:dyDescent="0.25">
      <c r="AQ162" s="63"/>
      <c r="BM162" s="29">
        <v>157</v>
      </c>
      <c r="BN162" s="242">
        <f t="shared" si="26"/>
        <v>42769</v>
      </c>
      <c r="BO162" s="29">
        <f t="shared" si="27"/>
        <v>0</v>
      </c>
      <c r="BP162" s="29">
        <f t="shared" si="28"/>
        <v>0</v>
      </c>
      <c r="BQ162" s="29">
        <f t="shared" si="30"/>
        <v>1</v>
      </c>
      <c r="BR162" s="29">
        <f t="shared" si="29"/>
        <v>110</v>
      </c>
      <c r="BS162" s="243">
        <f t="shared" si="31"/>
        <v>7.4404642857142864E-2</v>
      </c>
      <c r="BT162">
        <f t="shared" si="32"/>
        <v>7.4404642857142864E-2</v>
      </c>
      <c r="BU162" t="str">
        <f t="shared" si="33"/>
        <v>ok</v>
      </c>
      <c r="BV162">
        <f t="shared" si="35"/>
        <v>0</v>
      </c>
      <c r="BW162">
        <f t="shared" si="34"/>
        <v>0</v>
      </c>
    </row>
    <row r="163" spans="43:75" x14ac:dyDescent="0.25">
      <c r="AQ163" s="63"/>
      <c r="BM163" s="29">
        <v>158</v>
      </c>
      <c r="BN163" s="242">
        <f t="shared" si="26"/>
        <v>42770</v>
      </c>
      <c r="BO163" s="29">
        <f t="shared" si="27"/>
        <v>0</v>
      </c>
      <c r="BP163" s="29">
        <f t="shared" si="28"/>
        <v>0</v>
      </c>
      <c r="BQ163" s="29">
        <f t="shared" si="30"/>
        <v>1</v>
      </c>
      <c r="BR163" s="29">
        <f t="shared" si="29"/>
        <v>111</v>
      </c>
      <c r="BS163" s="243">
        <f t="shared" si="31"/>
        <v>7.4404642857142864E-2</v>
      </c>
      <c r="BT163">
        <f t="shared" si="32"/>
        <v>7.4404642857142864E-2</v>
      </c>
      <c r="BU163" t="str">
        <f t="shared" si="33"/>
        <v>ok</v>
      </c>
      <c r="BV163">
        <f t="shared" si="35"/>
        <v>0</v>
      </c>
      <c r="BW163">
        <f t="shared" si="34"/>
        <v>0</v>
      </c>
    </row>
    <row r="164" spans="43:75" x14ac:dyDescent="0.25">
      <c r="AQ164" s="63"/>
      <c r="BM164" s="29">
        <v>159</v>
      </c>
      <c r="BN164" s="242">
        <f t="shared" si="26"/>
        <v>42771</v>
      </c>
      <c r="BO164" s="29">
        <f t="shared" si="27"/>
        <v>1</v>
      </c>
      <c r="BP164" s="29">
        <f t="shared" si="28"/>
        <v>0</v>
      </c>
      <c r="BQ164" s="29">
        <f t="shared" si="30"/>
        <v>0</v>
      </c>
      <c r="BR164" s="29">
        <f t="shared" si="29"/>
        <v>111</v>
      </c>
      <c r="BS164" s="243">
        <f t="shared" si="31"/>
        <v>7.4404642857142864E-2</v>
      </c>
      <c r="BT164">
        <f t="shared" si="32"/>
        <v>7.4404642857142864E-2</v>
      </c>
      <c r="BU164" t="str">
        <f t="shared" si="33"/>
        <v>ok</v>
      </c>
      <c r="BV164">
        <f t="shared" si="35"/>
        <v>0</v>
      </c>
      <c r="BW164">
        <f t="shared" si="34"/>
        <v>0</v>
      </c>
    </row>
    <row r="165" spans="43:75" x14ac:dyDescent="0.25">
      <c r="AQ165" s="63"/>
      <c r="BM165" s="29">
        <v>160</v>
      </c>
      <c r="BN165" s="242">
        <f t="shared" si="26"/>
        <v>42772</v>
      </c>
      <c r="BO165" s="29">
        <f t="shared" si="27"/>
        <v>1</v>
      </c>
      <c r="BP165" s="29">
        <f t="shared" si="28"/>
        <v>0</v>
      </c>
      <c r="BQ165" s="29">
        <f t="shared" si="30"/>
        <v>0</v>
      </c>
      <c r="BR165" s="29">
        <f t="shared" si="29"/>
        <v>111</v>
      </c>
      <c r="BS165" s="243">
        <f t="shared" si="31"/>
        <v>7.4404642857142864E-2</v>
      </c>
      <c r="BT165">
        <f t="shared" si="32"/>
        <v>7.4404642857142864E-2</v>
      </c>
      <c r="BU165" t="str">
        <f t="shared" si="33"/>
        <v>ok</v>
      </c>
      <c r="BV165">
        <f t="shared" si="35"/>
        <v>0</v>
      </c>
      <c r="BW165">
        <f t="shared" si="34"/>
        <v>0</v>
      </c>
    </row>
    <row r="166" spans="43:75" x14ac:dyDescent="0.25">
      <c r="AQ166" s="63"/>
      <c r="BM166" s="29">
        <v>161</v>
      </c>
      <c r="BN166" s="242">
        <f t="shared" si="26"/>
        <v>42773</v>
      </c>
      <c r="BO166" s="29">
        <f t="shared" si="27"/>
        <v>0</v>
      </c>
      <c r="BP166" s="29">
        <f t="shared" si="28"/>
        <v>0</v>
      </c>
      <c r="BQ166" s="29">
        <f t="shared" si="30"/>
        <v>1</v>
      </c>
      <c r="BR166" s="29">
        <f t="shared" si="29"/>
        <v>112</v>
      </c>
      <c r="BS166" s="243">
        <f t="shared" si="31"/>
        <v>7.4404642857142864E-2</v>
      </c>
      <c r="BT166">
        <f t="shared" si="32"/>
        <v>7.4404642857142864E-2</v>
      </c>
      <c r="BU166" t="str">
        <f t="shared" si="33"/>
        <v>ok</v>
      </c>
      <c r="BV166">
        <f t="shared" si="35"/>
        <v>0</v>
      </c>
      <c r="BW166">
        <f t="shared" si="34"/>
        <v>0</v>
      </c>
    </row>
    <row r="167" spans="43:75" x14ac:dyDescent="0.25">
      <c r="AQ167" s="63"/>
      <c r="BM167" s="29">
        <v>162</v>
      </c>
      <c r="BN167" s="242">
        <f t="shared" si="26"/>
        <v>42774</v>
      </c>
      <c r="BO167" s="29">
        <f t="shared" si="27"/>
        <v>0</v>
      </c>
      <c r="BP167" s="29">
        <f t="shared" si="28"/>
        <v>0</v>
      </c>
      <c r="BQ167" s="29">
        <f t="shared" si="30"/>
        <v>1</v>
      </c>
      <c r="BR167" s="29">
        <f t="shared" si="29"/>
        <v>113</v>
      </c>
      <c r="BS167" s="243">
        <f t="shared" si="31"/>
        <v>7.4404642857142864E-2</v>
      </c>
      <c r="BT167">
        <f t="shared" si="32"/>
        <v>7.4404642857142864E-2</v>
      </c>
      <c r="BU167" t="str">
        <f t="shared" si="33"/>
        <v>ok</v>
      </c>
      <c r="BV167">
        <f t="shared" si="35"/>
        <v>0</v>
      </c>
      <c r="BW167">
        <f t="shared" si="34"/>
        <v>0</v>
      </c>
    </row>
    <row r="168" spans="43:75" x14ac:dyDescent="0.25">
      <c r="AQ168" s="63"/>
      <c r="BM168" s="29">
        <v>163</v>
      </c>
      <c r="BN168" s="242">
        <f t="shared" si="26"/>
        <v>42775</v>
      </c>
      <c r="BO168" s="29">
        <f t="shared" si="27"/>
        <v>0</v>
      </c>
      <c r="BP168" s="29">
        <f t="shared" si="28"/>
        <v>0</v>
      </c>
      <c r="BQ168" s="29">
        <f t="shared" si="30"/>
        <v>1</v>
      </c>
      <c r="BR168" s="29">
        <f t="shared" si="29"/>
        <v>114</v>
      </c>
      <c r="BS168" s="243">
        <f t="shared" si="31"/>
        <v>7.4404642857142864E-2</v>
      </c>
      <c r="BT168">
        <f t="shared" si="32"/>
        <v>7.4404642857142864E-2</v>
      </c>
      <c r="BU168" t="str">
        <f t="shared" si="33"/>
        <v>ok</v>
      </c>
      <c r="BV168">
        <f t="shared" si="35"/>
        <v>0</v>
      </c>
      <c r="BW168">
        <f t="shared" si="34"/>
        <v>0</v>
      </c>
    </row>
    <row r="169" spans="43:75" x14ac:dyDescent="0.25">
      <c r="AQ169" s="63"/>
      <c r="BM169" s="29">
        <v>164</v>
      </c>
      <c r="BN169" s="242">
        <f t="shared" si="26"/>
        <v>42776</v>
      </c>
      <c r="BO169" s="29">
        <f t="shared" si="27"/>
        <v>0</v>
      </c>
      <c r="BP169" s="29">
        <f t="shared" si="28"/>
        <v>0</v>
      </c>
      <c r="BQ169" s="29">
        <f t="shared" si="30"/>
        <v>1</v>
      </c>
      <c r="BR169" s="29">
        <f t="shared" si="29"/>
        <v>115</v>
      </c>
      <c r="BS169" s="243">
        <f t="shared" si="31"/>
        <v>7.4404642857142864E-2</v>
      </c>
      <c r="BT169">
        <f t="shared" si="32"/>
        <v>7.4404642857142864E-2</v>
      </c>
      <c r="BU169" t="str">
        <f t="shared" si="33"/>
        <v>ok</v>
      </c>
      <c r="BV169">
        <f t="shared" si="35"/>
        <v>0</v>
      </c>
      <c r="BW169">
        <f t="shared" si="34"/>
        <v>0</v>
      </c>
    </row>
    <row r="170" spans="43:75" x14ac:dyDescent="0.25">
      <c r="AQ170" s="63"/>
      <c r="BM170" s="29">
        <v>165</v>
      </c>
      <c r="BN170" s="242">
        <f t="shared" si="26"/>
        <v>42777</v>
      </c>
      <c r="BO170" s="29">
        <f t="shared" si="27"/>
        <v>0</v>
      </c>
      <c r="BP170" s="29">
        <f t="shared" si="28"/>
        <v>0</v>
      </c>
      <c r="BQ170" s="29">
        <f t="shared" si="30"/>
        <v>1</v>
      </c>
      <c r="BR170" s="29">
        <f t="shared" si="29"/>
        <v>116</v>
      </c>
      <c r="BS170" s="243">
        <f t="shared" si="31"/>
        <v>7.4404642857142864E-2</v>
      </c>
      <c r="BT170">
        <f t="shared" si="32"/>
        <v>7.4404642857142864E-2</v>
      </c>
      <c r="BU170" t="str">
        <f t="shared" si="33"/>
        <v>ok</v>
      </c>
      <c r="BV170">
        <f t="shared" si="35"/>
        <v>0</v>
      </c>
      <c r="BW170">
        <f t="shared" si="34"/>
        <v>0</v>
      </c>
    </row>
    <row r="171" spans="43:75" x14ac:dyDescent="0.25">
      <c r="AQ171" s="63"/>
      <c r="BM171" s="29">
        <v>166</v>
      </c>
      <c r="BN171" s="242">
        <f t="shared" si="26"/>
        <v>42778</v>
      </c>
      <c r="BO171" s="29">
        <f t="shared" si="27"/>
        <v>1</v>
      </c>
      <c r="BP171" s="29">
        <f t="shared" si="28"/>
        <v>0</v>
      </c>
      <c r="BQ171" s="29">
        <f t="shared" si="30"/>
        <v>0</v>
      </c>
      <c r="BR171" s="29">
        <f t="shared" si="29"/>
        <v>116</v>
      </c>
      <c r="BS171" s="243">
        <f t="shared" si="31"/>
        <v>7.4404642857142864E-2</v>
      </c>
      <c r="BT171">
        <f t="shared" si="32"/>
        <v>7.4404642857142864E-2</v>
      </c>
      <c r="BU171" t="str">
        <f t="shared" si="33"/>
        <v>ok</v>
      </c>
      <c r="BV171">
        <f t="shared" si="35"/>
        <v>0</v>
      </c>
      <c r="BW171">
        <f t="shared" si="34"/>
        <v>0</v>
      </c>
    </row>
    <row r="172" spans="43:75" x14ac:dyDescent="0.25">
      <c r="AQ172" s="63"/>
      <c r="BM172" s="29">
        <v>167</v>
      </c>
      <c r="BN172" s="242">
        <f t="shared" si="26"/>
        <v>42779</v>
      </c>
      <c r="BO172" s="29">
        <f t="shared" si="27"/>
        <v>1</v>
      </c>
      <c r="BP172" s="29">
        <f t="shared" si="28"/>
        <v>0</v>
      </c>
      <c r="BQ172" s="29">
        <f t="shared" si="30"/>
        <v>0</v>
      </c>
      <c r="BR172" s="29">
        <f t="shared" si="29"/>
        <v>116</v>
      </c>
      <c r="BS172" s="243">
        <f t="shared" si="31"/>
        <v>7.4404642857142864E-2</v>
      </c>
      <c r="BT172">
        <f t="shared" si="32"/>
        <v>7.4404642857142864E-2</v>
      </c>
      <c r="BU172" t="str">
        <f t="shared" si="33"/>
        <v>ok</v>
      </c>
      <c r="BV172">
        <f t="shared" si="35"/>
        <v>0</v>
      </c>
      <c r="BW172">
        <f t="shared" si="34"/>
        <v>0</v>
      </c>
    </row>
    <row r="173" spans="43:75" x14ac:dyDescent="0.25">
      <c r="AQ173" s="63"/>
      <c r="BM173" s="29">
        <v>168</v>
      </c>
      <c r="BN173" s="242">
        <f t="shared" si="26"/>
        <v>42780</v>
      </c>
      <c r="BO173" s="29">
        <f t="shared" si="27"/>
        <v>0</v>
      </c>
      <c r="BP173" s="29">
        <f t="shared" si="28"/>
        <v>0</v>
      </c>
      <c r="BQ173" s="29">
        <f t="shared" si="30"/>
        <v>1</v>
      </c>
      <c r="BR173" s="29">
        <f t="shared" si="29"/>
        <v>117</v>
      </c>
      <c r="BS173" s="243">
        <f t="shared" si="31"/>
        <v>7.4404642857142864E-2</v>
      </c>
      <c r="BT173">
        <f t="shared" si="32"/>
        <v>7.4404642857142864E-2</v>
      </c>
      <c r="BU173" t="str">
        <f t="shared" si="33"/>
        <v>ok</v>
      </c>
      <c r="BV173">
        <f t="shared" si="35"/>
        <v>0</v>
      </c>
      <c r="BW173">
        <f t="shared" si="34"/>
        <v>0</v>
      </c>
    </row>
    <row r="174" spans="43:75" x14ac:dyDescent="0.25">
      <c r="AQ174" s="63"/>
      <c r="BM174" s="29">
        <v>169</v>
      </c>
      <c r="BN174" s="242">
        <f t="shared" si="26"/>
        <v>42781</v>
      </c>
      <c r="BO174" s="29">
        <f t="shared" si="27"/>
        <v>0</v>
      </c>
      <c r="BP174" s="29">
        <f t="shared" si="28"/>
        <v>0</v>
      </c>
      <c r="BQ174" s="29">
        <f t="shared" si="30"/>
        <v>1</v>
      </c>
      <c r="BR174" s="29">
        <f t="shared" si="29"/>
        <v>118</v>
      </c>
      <c r="BS174" s="243">
        <f t="shared" si="31"/>
        <v>7.4404642857142864E-2</v>
      </c>
      <c r="BT174">
        <f t="shared" si="32"/>
        <v>7.4404642857142864E-2</v>
      </c>
      <c r="BU174" t="str">
        <f t="shared" si="33"/>
        <v>ok</v>
      </c>
      <c r="BV174">
        <f t="shared" si="35"/>
        <v>0</v>
      </c>
      <c r="BW174">
        <f t="shared" si="34"/>
        <v>0</v>
      </c>
    </row>
    <row r="175" spans="43:75" x14ac:dyDescent="0.25">
      <c r="AQ175" s="63"/>
      <c r="BM175" s="29">
        <v>170</v>
      </c>
      <c r="BN175" s="242">
        <f t="shared" si="26"/>
        <v>42782</v>
      </c>
      <c r="BO175" s="29">
        <f t="shared" si="27"/>
        <v>0</v>
      </c>
      <c r="BP175" s="29">
        <f t="shared" si="28"/>
        <v>0</v>
      </c>
      <c r="BQ175" s="29">
        <f t="shared" si="30"/>
        <v>1</v>
      </c>
      <c r="BR175" s="29">
        <f t="shared" si="29"/>
        <v>119</v>
      </c>
      <c r="BS175" s="243">
        <f t="shared" si="31"/>
        <v>7.4404642857142864E-2</v>
      </c>
      <c r="BT175">
        <f t="shared" si="32"/>
        <v>7.4404642857142864E-2</v>
      </c>
      <c r="BU175" t="str">
        <f t="shared" si="33"/>
        <v>ok</v>
      </c>
      <c r="BV175">
        <f t="shared" si="35"/>
        <v>0</v>
      </c>
      <c r="BW175">
        <f t="shared" si="34"/>
        <v>0</v>
      </c>
    </row>
    <row r="176" spans="43:75" x14ac:dyDescent="0.25">
      <c r="AQ176" s="63"/>
      <c r="BM176" s="29">
        <v>171</v>
      </c>
      <c r="BN176" s="242">
        <f t="shared" si="26"/>
        <v>42783</v>
      </c>
      <c r="BO176" s="29">
        <f t="shared" si="27"/>
        <v>0</v>
      </c>
      <c r="BP176" s="29">
        <f t="shared" si="28"/>
        <v>0</v>
      </c>
      <c r="BQ176" s="29">
        <f t="shared" si="30"/>
        <v>1</v>
      </c>
      <c r="BR176" s="29">
        <f t="shared" si="29"/>
        <v>120</v>
      </c>
      <c r="BS176" s="243">
        <f t="shared" si="31"/>
        <v>7.4404642857142864E-2</v>
      </c>
      <c r="BT176">
        <f t="shared" si="32"/>
        <v>7.4404642857142864E-2</v>
      </c>
      <c r="BU176" t="str">
        <f t="shared" si="33"/>
        <v>ok</v>
      </c>
      <c r="BV176">
        <f t="shared" si="35"/>
        <v>0</v>
      </c>
      <c r="BW176">
        <f t="shared" si="34"/>
        <v>0</v>
      </c>
    </row>
    <row r="177" spans="43:75" x14ac:dyDescent="0.25">
      <c r="AQ177" s="63"/>
      <c r="BM177" s="29">
        <v>172</v>
      </c>
      <c r="BN177" s="242">
        <f t="shared" si="26"/>
        <v>42784</v>
      </c>
      <c r="BO177" s="29">
        <f t="shared" si="27"/>
        <v>0</v>
      </c>
      <c r="BP177" s="29">
        <f t="shared" si="28"/>
        <v>0</v>
      </c>
      <c r="BQ177" s="29">
        <f t="shared" si="30"/>
        <v>1</v>
      </c>
      <c r="BR177" s="29">
        <f t="shared" si="29"/>
        <v>121</v>
      </c>
      <c r="BS177" s="243">
        <f t="shared" si="31"/>
        <v>7.4404642857142864E-2</v>
      </c>
      <c r="BT177">
        <f t="shared" si="32"/>
        <v>7.4404642857142864E-2</v>
      </c>
      <c r="BU177" t="str">
        <f t="shared" si="33"/>
        <v>ok</v>
      </c>
      <c r="BV177">
        <f t="shared" si="35"/>
        <v>0</v>
      </c>
      <c r="BW177">
        <f t="shared" si="34"/>
        <v>0</v>
      </c>
    </row>
    <row r="178" spans="43:75" x14ac:dyDescent="0.25">
      <c r="AQ178" s="63"/>
      <c r="BM178" s="29">
        <v>173</v>
      </c>
      <c r="BN178" s="242">
        <f t="shared" si="26"/>
        <v>42785</v>
      </c>
      <c r="BO178" s="29">
        <f t="shared" si="27"/>
        <v>1</v>
      </c>
      <c r="BP178" s="29">
        <f t="shared" si="28"/>
        <v>0</v>
      </c>
      <c r="BQ178" s="29">
        <f t="shared" si="30"/>
        <v>0</v>
      </c>
      <c r="BR178" s="29">
        <f t="shared" si="29"/>
        <v>121</v>
      </c>
      <c r="BS178" s="243">
        <f t="shared" si="31"/>
        <v>7.4404642857142864E-2</v>
      </c>
      <c r="BT178">
        <f t="shared" si="32"/>
        <v>7.4404642857142864E-2</v>
      </c>
      <c r="BU178" t="str">
        <f t="shared" si="33"/>
        <v>ok</v>
      </c>
      <c r="BV178">
        <f t="shared" si="35"/>
        <v>0</v>
      </c>
      <c r="BW178">
        <f t="shared" si="34"/>
        <v>0</v>
      </c>
    </row>
    <row r="179" spans="43:75" x14ac:dyDescent="0.25">
      <c r="AQ179" s="63"/>
      <c r="BM179" s="29">
        <v>174</v>
      </c>
      <c r="BN179" s="242">
        <f t="shared" si="26"/>
        <v>42786</v>
      </c>
      <c r="BO179" s="29">
        <f t="shared" si="27"/>
        <v>1</v>
      </c>
      <c r="BP179" s="29">
        <f t="shared" si="28"/>
        <v>0</v>
      </c>
      <c r="BQ179" s="29">
        <f t="shared" si="30"/>
        <v>0</v>
      </c>
      <c r="BR179" s="29">
        <f t="shared" si="29"/>
        <v>121</v>
      </c>
      <c r="BS179" s="243">
        <f t="shared" si="31"/>
        <v>7.4404642857142864E-2</v>
      </c>
      <c r="BT179">
        <f t="shared" si="32"/>
        <v>7.4404642857142864E-2</v>
      </c>
      <c r="BU179" t="str">
        <f t="shared" si="33"/>
        <v>ok</v>
      </c>
      <c r="BV179">
        <f t="shared" si="35"/>
        <v>0</v>
      </c>
      <c r="BW179">
        <f t="shared" si="34"/>
        <v>0</v>
      </c>
    </row>
    <row r="180" spans="43:75" x14ac:dyDescent="0.25">
      <c r="AQ180" s="63"/>
      <c r="BM180" s="29">
        <v>175</v>
      </c>
      <c r="BN180" s="242">
        <f t="shared" si="26"/>
        <v>42787</v>
      </c>
      <c r="BO180" s="29">
        <f t="shared" si="27"/>
        <v>0</v>
      </c>
      <c r="BP180" s="29">
        <f t="shared" si="28"/>
        <v>0</v>
      </c>
      <c r="BQ180" s="29">
        <f t="shared" si="30"/>
        <v>1</v>
      </c>
      <c r="BR180" s="29">
        <f t="shared" si="29"/>
        <v>122</v>
      </c>
      <c r="BS180" s="243">
        <f t="shared" si="31"/>
        <v>7.4404642857142864E-2</v>
      </c>
      <c r="BT180">
        <f t="shared" si="32"/>
        <v>7.4404642857142864E-2</v>
      </c>
      <c r="BU180" t="str">
        <f t="shared" si="33"/>
        <v>ok</v>
      </c>
      <c r="BV180">
        <f t="shared" si="35"/>
        <v>0</v>
      </c>
      <c r="BW180">
        <f t="shared" si="34"/>
        <v>0</v>
      </c>
    </row>
    <row r="181" spans="43:75" x14ac:dyDescent="0.25">
      <c r="AQ181" s="63"/>
      <c r="BM181" s="29">
        <v>176</v>
      </c>
      <c r="BN181" s="242">
        <f t="shared" si="26"/>
        <v>42788</v>
      </c>
      <c r="BO181" s="29">
        <f t="shared" si="27"/>
        <v>0</v>
      </c>
      <c r="BP181" s="29">
        <f t="shared" si="28"/>
        <v>0</v>
      </c>
      <c r="BQ181" s="29">
        <f t="shared" si="30"/>
        <v>1</v>
      </c>
      <c r="BR181" s="29">
        <f t="shared" si="29"/>
        <v>123</v>
      </c>
      <c r="BS181" s="243">
        <f t="shared" si="31"/>
        <v>7.4404642857142864E-2</v>
      </c>
      <c r="BT181">
        <f t="shared" si="32"/>
        <v>7.4404642857142864E-2</v>
      </c>
      <c r="BU181" t="str">
        <f t="shared" si="33"/>
        <v>ok</v>
      </c>
      <c r="BV181">
        <f t="shared" si="35"/>
        <v>0</v>
      </c>
      <c r="BW181">
        <f t="shared" si="34"/>
        <v>0</v>
      </c>
    </row>
    <row r="182" spans="43:75" x14ac:dyDescent="0.25">
      <c r="AQ182" s="63"/>
      <c r="BM182" s="29">
        <v>177</v>
      </c>
      <c r="BN182" s="242">
        <f t="shared" si="26"/>
        <v>42789</v>
      </c>
      <c r="BO182" s="29">
        <f t="shared" si="27"/>
        <v>0</v>
      </c>
      <c r="BP182" s="29">
        <f t="shared" si="28"/>
        <v>0</v>
      </c>
      <c r="BQ182" s="29">
        <f t="shared" si="30"/>
        <v>1</v>
      </c>
      <c r="BR182" s="29">
        <f t="shared" si="29"/>
        <v>124</v>
      </c>
      <c r="BS182" s="243">
        <f t="shared" si="31"/>
        <v>7.4404642857142864E-2</v>
      </c>
      <c r="BT182">
        <f t="shared" si="32"/>
        <v>7.4404642857142864E-2</v>
      </c>
      <c r="BU182" t="str">
        <f t="shared" si="33"/>
        <v>ok</v>
      </c>
      <c r="BV182">
        <f t="shared" si="35"/>
        <v>0</v>
      </c>
      <c r="BW182">
        <f t="shared" si="34"/>
        <v>0</v>
      </c>
    </row>
    <row r="183" spans="43:75" x14ac:dyDescent="0.25">
      <c r="AQ183" s="63"/>
      <c r="BM183" s="29">
        <v>178</v>
      </c>
      <c r="BN183" s="242">
        <f t="shared" si="26"/>
        <v>42790</v>
      </c>
      <c r="BO183" s="29">
        <f t="shared" si="27"/>
        <v>0</v>
      </c>
      <c r="BP183" s="29">
        <f t="shared" si="28"/>
        <v>0</v>
      </c>
      <c r="BQ183" s="29">
        <f t="shared" si="30"/>
        <v>1</v>
      </c>
      <c r="BR183" s="29">
        <f t="shared" si="29"/>
        <v>125</v>
      </c>
      <c r="BS183" s="243">
        <f t="shared" si="31"/>
        <v>7.4404642857142864E-2</v>
      </c>
      <c r="BT183">
        <f t="shared" si="32"/>
        <v>7.4404642857142864E-2</v>
      </c>
      <c r="BU183" t="str">
        <f t="shared" si="33"/>
        <v>ok</v>
      </c>
      <c r="BV183">
        <f t="shared" si="35"/>
        <v>0</v>
      </c>
      <c r="BW183">
        <f t="shared" si="34"/>
        <v>0</v>
      </c>
    </row>
    <row r="184" spans="43:75" x14ac:dyDescent="0.25">
      <c r="AQ184" s="63"/>
      <c r="BM184" s="29">
        <v>179</v>
      </c>
      <c r="BN184" s="242">
        <f t="shared" si="26"/>
        <v>42791</v>
      </c>
      <c r="BO184" s="29">
        <f t="shared" si="27"/>
        <v>0</v>
      </c>
      <c r="BP184" s="29">
        <f t="shared" si="28"/>
        <v>0</v>
      </c>
      <c r="BQ184" s="29">
        <f t="shared" si="30"/>
        <v>1</v>
      </c>
      <c r="BR184" s="29">
        <f t="shared" si="29"/>
        <v>126</v>
      </c>
      <c r="BS184" s="243">
        <f t="shared" si="31"/>
        <v>7.4404642857142864E-2</v>
      </c>
      <c r="BT184">
        <f t="shared" si="32"/>
        <v>7.4404642857142864E-2</v>
      </c>
      <c r="BU184" t="str">
        <f t="shared" si="33"/>
        <v>ok</v>
      </c>
      <c r="BV184">
        <f t="shared" si="35"/>
        <v>0</v>
      </c>
      <c r="BW184">
        <f t="shared" si="34"/>
        <v>0</v>
      </c>
    </row>
    <row r="185" spans="43:75" x14ac:dyDescent="0.25">
      <c r="AQ185" s="63"/>
      <c r="BM185" s="29">
        <v>180</v>
      </c>
      <c r="BN185" s="242">
        <f t="shared" si="26"/>
        <v>42792</v>
      </c>
      <c r="BO185" s="29">
        <f t="shared" si="27"/>
        <v>1</v>
      </c>
      <c r="BP185" s="29">
        <f t="shared" si="28"/>
        <v>0</v>
      </c>
      <c r="BQ185" s="29">
        <f t="shared" si="30"/>
        <v>0</v>
      </c>
      <c r="BR185" s="29">
        <f t="shared" si="29"/>
        <v>126</v>
      </c>
      <c r="BS185" s="243">
        <f t="shared" si="31"/>
        <v>7.4404642857142864E-2</v>
      </c>
      <c r="BT185">
        <f t="shared" si="32"/>
        <v>7.4404642857142864E-2</v>
      </c>
      <c r="BU185" t="str">
        <f t="shared" si="33"/>
        <v>ok</v>
      </c>
      <c r="BV185">
        <f t="shared" si="35"/>
        <v>0</v>
      </c>
      <c r="BW185">
        <f t="shared" si="34"/>
        <v>0</v>
      </c>
    </row>
    <row r="186" spans="43:75" x14ac:dyDescent="0.25">
      <c r="AQ186" s="63"/>
      <c r="BM186" s="29">
        <v>181</v>
      </c>
      <c r="BN186" s="242">
        <f t="shared" si="26"/>
        <v>42793</v>
      </c>
      <c r="BO186" s="29">
        <f t="shared" si="27"/>
        <v>1</v>
      </c>
      <c r="BP186" s="29">
        <f t="shared" si="28"/>
        <v>0</v>
      </c>
      <c r="BQ186" s="29">
        <f t="shared" si="30"/>
        <v>0</v>
      </c>
      <c r="BR186" s="29">
        <f t="shared" si="29"/>
        <v>126</v>
      </c>
      <c r="BS186" s="243">
        <f t="shared" si="31"/>
        <v>7.4404642857142864E-2</v>
      </c>
      <c r="BT186">
        <f t="shared" si="32"/>
        <v>7.4404642857142864E-2</v>
      </c>
      <c r="BU186" t="str">
        <f t="shared" si="33"/>
        <v>ok</v>
      </c>
      <c r="BV186">
        <f t="shared" si="35"/>
        <v>0</v>
      </c>
      <c r="BW186">
        <f t="shared" si="34"/>
        <v>0</v>
      </c>
    </row>
    <row r="187" spans="43:75" x14ac:dyDescent="0.25">
      <c r="AQ187" s="63"/>
      <c r="BM187" s="29">
        <v>182</v>
      </c>
      <c r="BN187" s="242">
        <f t="shared" si="26"/>
        <v>42794</v>
      </c>
      <c r="BO187" s="29">
        <f t="shared" si="27"/>
        <v>0</v>
      </c>
      <c r="BP187" s="29">
        <f t="shared" si="28"/>
        <v>0</v>
      </c>
      <c r="BQ187" s="29">
        <f t="shared" si="30"/>
        <v>1</v>
      </c>
      <c r="BR187" s="29">
        <f t="shared" si="29"/>
        <v>127</v>
      </c>
      <c r="BS187" s="243">
        <f t="shared" si="31"/>
        <v>6.7204193548387095E-2</v>
      </c>
      <c r="BT187">
        <f t="shared" si="32"/>
        <v>6.7204193548387095E-2</v>
      </c>
      <c r="BU187" t="str">
        <f t="shared" si="33"/>
        <v>ok</v>
      </c>
      <c r="BV187">
        <f t="shared" si="35"/>
        <v>0</v>
      </c>
      <c r="BW187">
        <f t="shared" si="34"/>
        <v>0</v>
      </c>
    </row>
    <row r="188" spans="43:75" x14ac:dyDescent="0.25">
      <c r="AQ188" s="63"/>
      <c r="BM188" s="29">
        <v>183</v>
      </c>
      <c r="BN188" s="242">
        <f t="shared" si="26"/>
        <v>42795</v>
      </c>
      <c r="BO188" s="29">
        <f t="shared" si="27"/>
        <v>0</v>
      </c>
      <c r="BP188" s="29">
        <f t="shared" si="28"/>
        <v>0</v>
      </c>
      <c r="BQ188" s="29">
        <f t="shared" si="30"/>
        <v>1</v>
      </c>
      <c r="BR188" s="29">
        <f t="shared" si="29"/>
        <v>128</v>
      </c>
      <c r="BS188" s="243">
        <f t="shared" si="31"/>
        <v>6.7204193548387095E-2</v>
      </c>
      <c r="BT188">
        <f t="shared" si="32"/>
        <v>6.7204193548387095E-2</v>
      </c>
      <c r="BU188" t="str">
        <f t="shared" si="33"/>
        <v>ok</v>
      </c>
      <c r="BV188">
        <f t="shared" si="35"/>
        <v>0</v>
      </c>
      <c r="BW188">
        <f t="shared" si="34"/>
        <v>0</v>
      </c>
    </row>
    <row r="189" spans="43:75" x14ac:dyDescent="0.25">
      <c r="AQ189" s="63"/>
      <c r="BM189" s="29">
        <v>184</v>
      </c>
      <c r="BN189" s="242">
        <f t="shared" si="26"/>
        <v>42796</v>
      </c>
      <c r="BO189" s="29">
        <f t="shared" si="27"/>
        <v>0</v>
      </c>
      <c r="BP189" s="29">
        <f t="shared" si="28"/>
        <v>0</v>
      </c>
      <c r="BQ189" s="29">
        <f t="shared" si="30"/>
        <v>1</v>
      </c>
      <c r="BR189" s="29">
        <f t="shared" si="29"/>
        <v>129</v>
      </c>
      <c r="BS189" s="243">
        <f t="shared" si="31"/>
        <v>6.7204193548387095E-2</v>
      </c>
      <c r="BT189">
        <f t="shared" si="32"/>
        <v>6.7204193548387095E-2</v>
      </c>
      <c r="BU189" t="str">
        <f t="shared" si="33"/>
        <v>ok</v>
      </c>
      <c r="BV189">
        <f t="shared" si="35"/>
        <v>0</v>
      </c>
      <c r="BW189">
        <f t="shared" si="34"/>
        <v>0</v>
      </c>
    </row>
    <row r="190" spans="43:75" x14ac:dyDescent="0.25">
      <c r="AQ190" s="63"/>
      <c r="BM190" s="29">
        <v>185</v>
      </c>
      <c r="BN190" s="242">
        <f t="shared" si="26"/>
        <v>42797</v>
      </c>
      <c r="BO190" s="29">
        <f t="shared" si="27"/>
        <v>0</v>
      </c>
      <c r="BP190" s="29">
        <f t="shared" si="28"/>
        <v>0</v>
      </c>
      <c r="BQ190" s="29">
        <f t="shared" si="30"/>
        <v>1</v>
      </c>
      <c r="BR190" s="29">
        <f t="shared" si="29"/>
        <v>130</v>
      </c>
      <c r="BS190" s="243">
        <f t="shared" si="31"/>
        <v>6.7204193548387095E-2</v>
      </c>
      <c r="BT190">
        <f t="shared" si="32"/>
        <v>6.7204193548387095E-2</v>
      </c>
      <c r="BU190" t="str">
        <f t="shared" si="33"/>
        <v>ok</v>
      </c>
      <c r="BV190">
        <f t="shared" si="35"/>
        <v>0</v>
      </c>
      <c r="BW190">
        <f t="shared" si="34"/>
        <v>0</v>
      </c>
    </row>
    <row r="191" spans="43:75" x14ac:dyDescent="0.25">
      <c r="AQ191" s="63"/>
      <c r="BM191" s="29">
        <v>186</v>
      </c>
      <c r="BN191" s="242">
        <f t="shared" si="26"/>
        <v>42798</v>
      </c>
      <c r="BO191" s="29">
        <f t="shared" si="27"/>
        <v>0</v>
      </c>
      <c r="BP191" s="29">
        <f t="shared" si="28"/>
        <v>0</v>
      </c>
      <c r="BQ191" s="29">
        <f t="shared" si="30"/>
        <v>1</v>
      </c>
      <c r="BR191" s="29">
        <f t="shared" si="29"/>
        <v>131</v>
      </c>
      <c r="BS191" s="243">
        <f t="shared" si="31"/>
        <v>6.7204193548387095E-2</v>
      </c>
      <c r="BT191">
        <f t="shared" si="32"/>
        <v>6.7204193548387095E-2</v>
      </c>
      <c r="BU191" t="str">
        <f t="shared" si="33"/>
        <v>ok</v>
      </c>
      <c r="BV191">
        <f t="shared" si="35"/>
        <v>0</v>
      </c>
      <c r="BW191">
        <f t="shared" si="34"/>
        <v>0</v>
      </c>
    </row>
    <row r="192" spans="43:75" x14ac:dyDescent="0.25">
      <c r="AQ192" s="63"/>
      <c r="BM192" s="29">
        <v>187</v>
      </c>
      <c r="BN192" s="242">
        <f t="shared" si="26"/>
        <v>42799</v>
      </c>
      <c r="BO192" s="29">
        <f t="shared" si="27"/>
        <v>1</v>
      </c>
      <c r="BP192" s="29">
        <f t="shared" si="28"/>
        <v>0</v>
      </c>
      <c r="BQ192" s="29">
        <f t="shared" si="30"/>
        <v>0</v>
      </c>
      <c r="BR192" s="29">
        <f t="shared" si="29"/>
        <v>131</v>
      </c>
      <c r="BS192" s="243">
        <f t="shared" si="31"/>
        <v>6.7204193548387095E-2</v>
      </c>
      <c r="BT192">
        <f t="shared" si="32"/>
        <v>6.7204193548387095E-2</v>
      </c>
      <c r="BU192" t="str">
        <f t="shared" si="33"/>
        <v>ok</v>
      </c>
      <c r="BV192">
        <f t="shared" si="35"/>
        <v>0</v>
      </c>
      <c r="BW192">
        <f t="shared" si="34"/>
        <v>0</v>
      </c>
    </row>
    <row r="193" spans="43:75" x14ac:dyDescent="0.25">
      <c r="AQ193" s="63"/>
      <c r="BM193" s="29">
        <v>188</v>
      </c>
      <c r="BN193" s="242">
        <f t="shared" si="26"/>
        <v>42800</v>
      </c>
      <c r="BO193" s="29">
        <f t="shared" si="27"/>
        <v>1</v>
      </c>
      <c r="BP193" s="29">
        <f t="shared" si="28"/>
        <v>0</v>
      </c>
      <c r="BQ193" s="29">
        <f t="shared" si="30"/>
        <v>0</v>
      </c>
      <c r="BR193" s="29">
        <f t="shared" si="29"/>
        <v>131</v>
      </c>
      <c r="BS193" s="243">
        <f t="shared" si="31"/>
        <v>6.7204193548387095E-2</v>
      </c>
      <c r="BT193">
        <f t="shared" si="32"/>
        <v>6.7204193548387095E-2</v>
      </c>
      <c r="BU193" t="str">
        <f t="shared" si="33"/>
        <v>ok</v>
      </c>
      <c r="BV193">
        <f t="shared" si="35"/>
        <v>0</v>
      </c>
      <c r="BW193">
        <f t="shared" si="34"/>
        <v>0</v>
      </c>
    </row>
    <row r="194" spans="43:75" x14ac:dyDescent="0.25">
      <c r="AQ194" s="63"/>
      <c r="BM194" s="29">
        <v>189</v>
      </c>
      <c r="BN194" s="242">
        <f t="shared" si="26"/>
        <v>42801</v>
      </c>
      <c r="BO194" s="29">
        <f t="shared" si="27"/>
        <v>0</v>
      </c>
      <c r="BP194" s="29">
        <f t="shared" si="28"/>
        <v>0</v>
      </c>
      <c r="BQ194" s="29">
        <f t="shared" si="30"/>
        <v>1</v>
      </c>
      <c r="BR194" s="29">
        <f t="shared" si="29"/>
        <v>132</v>
      </c>
      <c r="BS194" s="243">
        <f t="shared" si="31"/>
        <v>6.7204193548387095E-2</v>
      </c>
      <c r="BT194">
        <f t="shared" si="32"/>
        <v>6.7204193548387095E-2</v>
      </c>
      <c r="BU194" t="str">
        <f t="shared" si="33"/>
        <v>ok</v>
      </c>
      <c r="BV194">
        <f t="shared" si="35"/>
        <v>0</v>
      </c>
      <c r="BW194">
        <f t="shared" si="34"/>
        <v>0</v>
      </c>
    </row>
    <row r="195" spans="43:75" x14ac:dyDescent="0.25">
      <c r="AQ195" s="63"/>
      <c r="BM195" s="29">
        <v>190</v>
      </c>
      <c r="BN195" s="242">
        <f t="shared" si="26"/>
        <v>42802</v>
      </c>
      <c r="BO195" s="29">
        <f t="shared" si="27"/>
        <v>0</v>
      </c>
      <c r="BP195" s="29">
        <f t="shared" si="28"/>
        <v>0</v>
      </c>
      <c r="BQ195" s="29">
        <f t="shared" si="30"/>
        <v>1</v>
      </c>
      <c r="BR195" s="29">
        <f t="shared" si="29"/>
        <v>133</v>
      </c>
      <c r="BS195" s="243">
        <f t="shared" si="31"/>
        <v>6.7204193548387095E-2</v>
      </c>
      <c r="BT195">
        <f t="shared" si="32"/>
        <v>6.7204193548387095E-2</v>
      </c>
      <c r="BU195" t="str">
        <f t="shared" si="33"/>
        <v>ok</v>
      </c>
      <c r="BV195">
        <f t="shared" si="35"/>
        <v>0</v>
      </c>
      <c r="BW195">
        <f t="shared" si="34"/>
        <v>0</v>
      </c>
    </row>
    <row r="196" spans="43:75" x14ac:dyDescent="0.25">
      <c r="AQ196" s="63"/>
      <c r="BM196" s="29">
        <v>191</v>
      </c>
      <c r="BN196" s="242">
        <f t="shared" si="26"/>
        <v>42803</v>
      </c>
      <c r="BO196" s="29">
        <f t="shared" si="27"/>
        <v>0</v>
      </c>
      <c r="BP196" s="29">
        <f t="shared" si="28"/>
        <v>0</v>
      </c>
      <c r="BQ196" s="29">
        <f t="shared" si="30"/>
        <v>1</v>
      </c>
      <c r="BR196" s="29">
        <f t="shared" si="29"/>
        <v>134</v>
      </c>
      <c r="BS196" s="243">
        <f t="shared" si="31"/>
        <v>6.7204193548387095E-2</v>
      </c>
      <c r="BT196">
        <f t="shared" si="32"/>
        <v>6.7204193548387095E-2</v>
      </c>
      <c r="BU196" t="str">
        <f t="shared" si="33"/>
        <v>ok</v>
      </c>
      <c r="BV196">
        <f t="shared" si="35"/>
        <v>0</v>
      </c>
      <c r="BW196">
        <f t="shared" si="34"/>
        <v>0</v>
      </c>
    </row>
    <row r="197" spans="43:75" x14ac:dyDescent="0.25">
      <c r="AQ197" s="63"/>
      <c r="BM197" s="29">
        <v>192</v>
      </c>
      <c r="BN197" s="242">
        <f t="shared" si="26"/>
        <v>42804</v>
      </c>
      <c r="BO197" s="29">
        <f t="shared" si="27"/>
        <v>0</v>
      </c>
      <c r="BP197" s="29">
        <f t="shared" si="28"/>
        <v>0</v>
      </c>
      <c r="BQ197" s="29">
        <f t="shared" si="30"/>
        <v>1</v>
      </c>
      <c r="BR197" s="29">
        <f t="shared" si="29"/>
        <v>135</v>
      </c>
      <c r="BS197" s="243">
        <f t="shared" si="31"/>
        <v>6.7204193548387095E-2</v>
      </c>
      <c r="BT197">
        <f t="shared" si="32"/>
        <v>6.7204193548387095E-2</v>
      </c>
      <c r="BU197" t="str">
        <f t="shared" si="33"/>
        <v>ok</v>
      </c>
      <c r="BV197">
        <f t="shared" si="35"/>
        <v>0</v>
      </c>
      <c r="BW197">
        <f t="shared" si="34"/>
        <v>0</v>
      </c>
    </row>
    <row r="198" spans="43:75" x14ac:dyDescent="0.25">
      <c r="AQ198" s="63"/>
      <c r="BM198" s="29">
        <v>193</v>
      </c>
      <c r="BN198" s="242">
        <f t="shared" ref="BN198:BN261" si="36">BN197+1</f>
        <v>42805</v>
      </c>
      <c r="BO198" s="29">
        <f t="shared" ref="BO198:BO261" si="37">IF(OR(WEEKDAY(BN198)=1,WEEKDAY(BN198)=7),1,0)</f>
        <v>0</v>
      </c>
      <c r="BP198" s="29">
        <f t="shared" ref="BP198:BP261" si="38">IF(BO198=1,0,COUNTIF(tab_ferie,BN198))</f>
        <v>0</v>
      </c>
      <c r="BQ198" s="29">
        <f t="shared" si="30"/>
        <v>1</v>
      </c>
      <c r="BR198" s="29">
        <f t="shared" ref="BR198:BR261" si="39">BR197+1-BP198-BO198</f>
        <v>136</v>
      </c>
      <c r="BS198" s="243">
        <f t="shared" si="31"/>
        <v>6.7204193548387095E-2</v>
      </c>
      <c r="BT198">
        <f t="shared" si="32"/>
        <v>6.7204193548387095E-2</v>
      </c>
      <c r="BU198" t="str">
        <f t="shared" si="33"/>
        <v>ok</v>
      </c>
      <c r="BV198">
        <f t="shared" si="35"/>
        <v>0</v>
      </c>
      <c r="BW198">
        <f t="shared" si="34"/>
        <v>0</v>
      </c>
    </row>
    <row r="199" spans="43:75" x14ac:dyDescent="0.25">
      <c r="AQ199" s="63"/>
      <c r="BM199" s="29">
        <v>194</v>
      </c>
      <c r="BN199" s="242">
        <f t="shared" si="36"/>
        <v>42806</v>
      </c>
      <c r="BO199" s="29">
        <f t="shared" si="37"/>
        <v>1</v>
      </c>
      <c r="BP199" s="29">
        <f t="shared" si="38"/>
        <v>0</v>
      </c>
      <c r="BQ199" s="29">
        <f t="shared" ref="BQ199:BQ262" si="40">IF(AND(BN199&gt;=$AF$5,BN199&lt;=$AF$6),IF(BO199+BP199=0,1,0),0)</f>
        <v>0</v>
      </c>
      <c r="BR199" s="29">
        <f t="shared" si="39"/>
        <v>136</v>
      </c>
      <c r="BS199" s="243">
        <f t="shared" ref="BS199:BS262" si="41">2.08333/(EOMONTH(BN199,0)-(EOMONTH(BN199,-1)))</f>
        <v>6.7204193548387095E-2</v>
      </c>
      <c r="BT199">
        <f t="shared" ref="BT199:BT262" si="42">IF(AND(BN199&gt;=$AF$5,BN199&lt;=$AF$6),BS199,0)</f>
        <v>6.7204193548387095E-2</v>
      </c>
      <c r="BU199" t="str">
        <f t="shared" ref="BU199:BU262" si="43">IF(OR(MONTH(BN199)&gt;=10,MONTH(BN199)&lt;=5),"ok","non")</f>
        <v>ok</v>
      </c>
      <c r="BV199">
        <f t="shared" si="35"/>
        <v>0</v>
      </c>
      <c r="BW199">
        <f t="shared" ref="BW199:BW262" si="44">IF(AND(BN199&gt;=$AF$5,BN199&lt;=$AF$6),BV199,0)</f>
        <v>0</v>
      </c>
    </row>
    <row r="200" spans="43:75" x14ac:dyDescent="0.25">
      <c r="AQ200" s="63"/>
      <c r="BM200" s="29">
        <v>195</v>
      </c>
      <c r="BN200" s="242">
        <f t="shared" si="36"/>
        <v>42807</v>
      </c>
      <c r="BO200" s="29">
        <f t="shared" si="37"/>
        <v>1</v>
      </c>
      <c r="BP200" s="29">
        <f t="shared" si="38"/>
        <v>0</v>
      </c>
      <c r="BQ200" s="29">
        <f t="shared" si="40"/>
        <v>0</v>
      </c>
      <c r="BR200" s="29">
        <f t="shared" si="39"/>
        <v>136</v>
      </c>
      <c r="BS200" s="243">
        <f t="shared" si="41"/>
        <v>6.7204193548387095E-2</v>
      </c>
      <c r="BT200">
        <f t="shared" si="42"/>
        <v>6.7204193548387095E-2</v>
      </c>
      <c r="BU200" t="str">
        <f t="shared" si="43"/>
        <v>ok</v>
      </c>
      <c r="BV200">
        <f t="shared" si="35"/>
        <v>0</v>
      </c>
      <c r="BW200">
        <f t="shared" si="44"/>
        <v>0</v>
      </c>
    </row>
    <row r="201" spans="43:75" x14ac:dyDescent="0.25">
      <c r="AQ201" s="63"/>
      <c r="BM201" s="29">
        <v>196</v>
      </c>
      <c r="BN201" s="242">
        <f t="shared" si="36"/>
        <v>42808</v>
      </c>
      <c r="BO201" s="29">
        <f t="shared" si="37"/>
        <v>0</v>
      </c>
      <c r="BP201" s="29">
        <f t="shared" si="38"/>
        <v>0</v>
      </c>
      <c r="BQ201" s="29">
        <f t="shared" si="40"/>
        <v>1</v>
      </c>
      <c r="BR201" s="29">
        <f t="shared" si="39"/>
        <v>137</v>
      </c>
      <c r="BS201" s="243">
        <f t="shared" si="41"/>
        <v>6.7204193548387095E-2</v>
      </c>
      <c r="BT201">
        <f t="shared" si="42"/>
        <v>6.7204193548387095E-2</v>
      </c>
      <c r="BU201" t="str">
        <f t="shared" si="43"/>
        <v>ok</v>
      </c>
      <c r="BV201">
        <f t="shared" si="35"/>
        <v>0</v>
      </c>
      <c r="BW201">
        <f t="shared" si="44"/>
        <v>0</v>
      </c>
    </row>
    <row r="202" spans="43:75" x14ac:dyDescent="0.25">
      <c r="AQ202" s="63"/>
      <c r="BM202" s="29">
        <v>197</v>
      </c>
      <c r="BN202" s="242">
        <f t="shared" si="36"/>
        <v>42809</v>
      </c>
      <c r="BO202" s="29">
        <f t="shared" si="37"/>
        <v>0</v>
      </c>
      <c r="BP202" s="29">
        <f t="shared" si="38"/>
        <v>0</v>
      </c>
      <c r="BQ202" s="29">
        <f t="shared" si="40"/>
        <v>1</v>
      </c>
      <c r="BR202" s="29">
        <f t="shared" si="39"/>
        <v>138</v>
      </c>
      <c r="BS202" s="243">
        <f t="shared" si="41"/>
        <v>6.7204193548387095E-2</v>
      </c>
      <c r="BT202">
        <f t="shared" si="42"/>
        <v>6.7204193548387095E-2</v>
      </c>
      <c r="BU202" t="str">
        <f t="shared" si="43"/>
        <v>ok</v>
      </c>
      <c r="BV202">
        <f t="shared" si="35"/>
        <v>0</v>
      </c>
      <c r="BW202">
        <f t="shared" si="44"/>
        <v>0</v>
      </c>
    </row>
    <row r="203" spans="43:75" x14ac:dyDescent="0.25">
      <c r="AQ203" s="63"/>
      <c r="BM203" s="29">
        <v>198</v>
      </c>
      <c r="BN203" s="242">
        <f t="shared" si="36"/>
        <v>42810</v>
      </c>
      <c r="BO203" s="29">
        <f t="shared" si="37"/>
        <v>0</v>
      </c>
      <c r="BP203" s="29">
        <f t="shared" si="38"/>
        <v>0</v>
      </c>
      <c r="BQ203" s="29">
        <f t="shared" si="40"/>
        <v>1</v>
      </c>
      <c r="BR203" s="29">
        <f t="shared" si="39"/>
        <v>139</v>
      </c>
      <c r="BS203" s="243">
        <f t="shared" si="41"/>
        <v>6.7204193548387095E-2</v>
      </c>
      <c r="BT203">
        <f t="shared" si="42"/>
        <v>6.7204193548387095E-2</v>
      </c>
      <c r="BU203" t="str">
        <f t="shared" si="43"/>
        <v>ok</v>
      </c>
      <c r="BV203">
        <f t="shared" si="35"/>
        <v>0</v>
      </c>
      <c r="BW203">
        <f t="shared" si="44"/>
        <v>0</v>
      </c>
    </row>
    <row r="204" spans="43:75" x14ac:dyDescent="0.25">
      <c r="AQ204" s="63"/>
      <c r="BM204" s="29">
        <v>199</v>
      </c>
      <c r="BN204" s="242">
        <f t="shared" si="36"/>
        <v>42811</v>
      </c>
      <c r="BO204" s="29">
        <f t="shared" si="37"/>
        <v>0</v>
      </c>
      <c r="BP204" s="29">
        <f t="shared" si="38"/>
        <v>0</v>
      </c>
      <c r="BQ204" s="29">
        <f t="shared" si="40"/>
        <v>1</v>
      </c>
      <c r="BR204" s="29">
        <f t="shared" si="39"/>
        <v>140</v>
      </c>
      <c r="BS204" s="243">
        <f t="shared" si="41"/>
        <v>6.7204193548387095E-2</v>
      </c>
      <c r="BT204">
        <f t="shared" si="42"/>
        <v>6.7204193548387095E-2</v>
      </c>
      <c r="BU204" t="str">
        <f t="shared" si="43"/>
        <v>ok</v>
      </c>
      <c r="BV204">
        <f t="shared" si="35"/>
        <v>0</v>
      </c>
      <c r="BW204">
        <f t="shared" si="44"/>
        <v>0</v>
      </c>
    </row>
    <row r="205" spans="43:75" x14ac:dyDescent="0.25">
      <c r="AQ205" s="63"/>
      <c r="BM205" s="29">
        <v>200</v>
      </c>
      <c r="BN205" s="242">
        <f t="shared" si="36"/>
        <v>42812</v>
      </c>
      <c r="BO205" s="29">
        <f t="shared" si="37"/>
        <v>0</v>
      </c>
      <c r="BP205" s="29">
        <f t="shared" si="38"/>
        <v>0</v>
      </c>
      <c r="BQ205" s="29">
        <f t="shared" si="40"/>
        <v>1</v>
      </c>
      <c r="BR205" s="29">
        <f t="shared" si="39"/>
        <v>141</v>
      </c>
      <c r="BS205" s="243">
        <f t="shared" si="41"/>
        <v>6.7204193548387095E-2</v>
      </c>
      <c r="BT205">
        <f t="shared" si="42"/>
        <v>6.7204193548387095E-2</v>
      </c>
      <c r="BU205" t="str">
        <f t="shared" si="43"/>
        <v>ok</v>
      </c>
      <c r="BV205">
        <f t="shared" si="35"/>
        <v>0</v>
      </c>
      <c r="BW205">
        <f t="shared" si="44"/>
        <v>0</v>
      </c>
    </row>
    <row r="206" spans="43:75" x14ac:dyDescent="0.25">
      <c r="AQ206" s="63"/>
      <c r="BM206" s="29">
        <v>201</v>
      </c>
      <c r="BN206" s="242">
        <f t="shared" si="36"/>
        <v>42813</v>
      </c>
      <c r="BO206" s="29">
        <f t="shared" si="37"/>
        <v>1</v>
      </c>
      <c r="BP206" s="29">
        <f t="shared" si="38"/>
        <v>0</v>
      </c>
      <c r="BQ206" s="29">
        <f t="shared" si="40"/>
        <v>0</v>
      </c>
      <c r="BR206" s="29">
        <f t="shared" si="39"/>
        <v>141</v>
      </c>
      <c r="BS206" s="243">
        <f t="shared" si="41"/>
        <v>6.7204193548387095E-2</v>
      </c>
      <c r="BT206">
        <f t="shared" si="42"/>
        <v>6.7204193548387095E-2</v>
      </c>
      <c r="BU206" t="str">
        <f t="shared" si="43"/>
        <v>ok</v>
      </c>
      <c r="BV206">
        <f t="shared" si="35"/>
        <v>0</v>
      </c>
      <c r="BW206">
        <f t="shared" si="44"/>
        <v>0</v>
      </c>
    </row>
    <row r="207" spans="43:75" x14ac:dyDescent="0.25">
      <c r="AQ207" s="63"/>
      <c r="BM207" s="29">
        <v>202</v>
      </c>
      <c r="BN207" s="242">
        <f t="shared" si="36"/>
        <v>42814</v>
      </c>
      <c r="BO207" s="29">
        <f t="shared" si="37"/>
        <v>1</v>
      </c>
      <c r="BP207" s="29">
        <f t="shared" si="38"/>
        <v>0</v>
      </c>
      <c r="BQ207" s="29">
        <f t="shared" si="40"/>
        <v>0</v>
      </c>
      <c r="BR207" s="29">
        <f t="shared" si="39"/>
        <v>141</v>
      </c>
      <c r="BS207" s="243">
        <f t="shared" si="41"/>
        <v>6.7204193548387095E-2</v>
      </c>
      <c r="BT207">
        <f t="shared" si="42"/>
        <v>6.7204193548387095E-2</v>
      </c>
      <c r="BU207" t="str">
        <f t="shared" si="43"/>
        <v>ok</v>
      </c>
      <c r="BV207">
        <f t="shared" si="35"/>
        <v>0</v>
      </c>
      <c r="BW207">
        <f t="shared" si="44"/>
        <v>0</v>
      </c>
    </row>
    <row r="208" spans="43:75" x14ac:dyDescent="0.25">
      <c r="AQ208" s="63"/>
      <c r="BM208" s="29">
        <v>203</v>
      </c>
      <c r="BN208" s="242">
        <f t="shared" si="36"/>
        <v>42815</v>
      </c>
      <c r="BO208" s="29">
        <f t="shared" si="37"/>
        <v>0</v>
      </c>
      <c r="BP208" s="29">
        <f t="shared" si="38"/>
        <v>0</v>
      </c>
      <c r="BQ208" s="29">
        <f t="shared" si="40"/>
        <v>1</v>
      </c>
      <c r="BR208" s="29">
        <f t="shared" si="39"/>
        <v>142</v>
      </c>
      <c r="BS208" s="243">
        <f t="shared" si="41"/>
        <v>6.7204193548387095E-2</v>
      </c>
      <c r="BT208">
        <f t="shared" si="42"/>
        <v>6.7204193548387095E-2</v>
      </c>
      <c r="BU208" t="str">
        <f t="shared" si="43"/>
        <v>ok</v>
      </c>
      <c r="BV208">
        <f t="shared" si="35"/>
        <v>0</v>
      </c>
      <c r="BW208">
        <f t="shared" si="44"/>
        <v>0</v>
      </c>
    </row>
    <row r="209" spans="43:75" x14ac:dyDescent="0.25">
      <c r="AQ209" s="63"/>
      <c r="BM209" s="29">
        <v>204</v>
      </c>
      <c r="BN209" s="242">
        <f t="shared" si="36"/>
        <v>42816</v>
      </c>
      <c r="BO209" s="29">
        <f t="shared" si="37"/>
        <v>0</v>
      </c>
      <c r="BP209" s="29">
        <f t="shared" si="38"/>
        <v>0</v>
      </c>
      <c r="BQ209" s="29">
        <f t="shared" si="40"/>
        <v>1</v>
      </c>
      <c r="BR209" s="29">
        <f t="shared" si="39"/>
        <v>143</v>
      </c>
      <c r="BS209" s="243">
        <f t="shared" si="41"/>
        <v>6.7204193548387095E-2</v>
      </c>
      <c r="BT209">
        <f t="shared" si="42"/>
        <v>6.7204193548387095E-2</v>
      </c>
      <c r="BU209" t="str">
        <f t="shared" si="43"/>
        <v>ok</v>
      </c>
      <c r="BV209">
        <f t="shared" ref="BV209:BV272" si="45">IF(BU209="ok",$CC$29/(EOMONTH(BN209,0)-(EOMONTH(BN209,-1))),0)</f>
        <v>0</v>
      </c>
      <c r="BW209">
        <f t="shared" si="44"/>
        <v>0</v>
      </c>
    </row>
    <row r="210" spans="43:75" x14ac:dyDescent="0.25">
      <c r="AQ210" s="63"/>
      <c r="BM210" s="29">
        <v>205</v>
      </c>
      <c r="BN210" s="242">
        <f t="shared" si="36"/>
        <v>42817</v>
      </c>
      <c r="BO210" s="29">
        <f t="shared" si="37"/>
        <v>0</v>
      </c>
      <c r="BP210" s="29">
        <f t="shared" si="38"/>
        <v>0</v>
      </c>
      <c r="BQ210" s="29">
        <f t="shared" si="40"/>
        <v>1</v>
      </c>
      <c r="BR210" s="29">
        <f t="shared" si="39"/>
        <v>144</v>
      </c>
      <c r="BS210" s="243">
        <f t="shared" si="41"/>
        <v>6.7204193548387095E-2</v>
      </c>
      <c r="BT210">
        <f t="shared" si="42"/>
        <v>6.7204193548387095E-2</v>
      </c>
      <c r="BU210" t="str">
        <f t="shared" si="43"/>
        <v>ok</v>
      </c>
      <c r="BV210">
        <f t="shared" si="45"/>
        <v>0</v>
      </c>
      <c r="BW210">
        <f t="shared" si="44"/>
        <v>0</v>
      </c>
    </row>
    <row r="211" spans="43:75" x14ac:dyDescent="0.25">
      <c r="AQ211" s="63"/>
      <c r="BM211" s="29">
        <v>206</v>
      </c>
      <c r="BN211" s="242">
        <f t="shared" si="36"/>
        <v>42818</v>
      </c>
      <c r="BO211" s="29">
        <f t="shared" si="37"/>
        <v>0</v>
      </c>
      <c r="BP211" s="29">
        <f t="shared" si="38"/>
        <v>0</v>
      </c>
      <c r="BQ211" s="29">
        <f t="shared" si="40"/>
        <v>1</v>
      </c>
      <c r="BR211" s="29">
        <f t="shared" si="39"/>
        <v>145</v>
      </c>
      <c r="BS211" s="243">
        <f t="shared" si="41"/>
        <v>6.7204193548387095E-2</v>
      </c>
      <c r="BT211">
        <f t="shared" si="42"/>
        <v>6.7204193548387095E-2</v>
      </c>
      <c r="BU211" t="str">
        <f t="shared" si="43"/>
        <v>ok</v>
      </c>
      <c r="BV211">
        <f t="shared" si="45"/>
        <v>0</v>
      </c>
      <c r="BW211">
        <f t="shared" si="44"/>
        <v>0</v>
      </c>
    </row>
    <row r="212" spans="43:75" x14ac:dyDescent="0.25">
      <c r="AQ212" s="63"/>
      <c r="BM212" s="29">
        <v>207</v>
      </c>
      <c r="BN212" s="242">
        <f t="shared" si="36"/>
        <v>42819</v>
      </c>
      <c r="BO212" s="29">
        <f t="shared" si="37"/>
        <v>0</v>
      </c>
      <c r="BP212" s="29">
        <f t="shared" si="38"/>
        <v>0</v>
      </c>
      <c r="BQ212" s="29">
        <f t="shared" si="40"/>
        <v>1</v>
      </c>
      <c r="BR212" s="29">
        <f t="shared" si="39"/>
        <v>146</v>
      </c>
      <c r="BS212" s="243">
        <f t="shared" si="41"/>
        <v>6.7204193548387095E-2</v>
      </c>
      <c r="BT212">
        <f t="shared" si="42"/>
        <v>6.7204193548387095E-2</v>
      </c>
      <c r="BU212" t="str">
        <f t="shared" si="43"/>
        <v>ok</v>
      </c>
      <c r="BV212">
        <f t="shared" si="45"/>
        <v>0</v>
      </c>
      <c r="BW212">
        <f t="shared" si="44"/>
        <v>0</v>
      </c>
    </row>
    <row r="213" spans="43:75" x14ac:dyDescent="0.25">
      <c r="AQ213" s="63"/>
      <c r="BM213" s="29">
        <v>208</v>
      </c>
      <c r="BN213" s="242">
        <f t="shared" si="36"/>
        <v>42820</v>
      </c>
      <c r="BO213" s="29">
        <f t="shared" si="37"/>
        <v>1</v>
      </c>
      <c r="BP213" s="29">
        <f t="shared" si="38"/>
        <v>0</v>
      </c>
      <c r="BQ213" s="29">
        <f t="shared" si="40"/>
        <v>0</v>
      </c>
      <c r="BR213" s="29">
        <f t="shared" si="39"/>
        <v>146</v>
      </c>
      <c r="BS213" s="243">
        <f t="shared" si="41"/>
        <v>6.7204193548387095E-2</v>
      </c>
      <c r="BT213">
        <f t="shared" si="42"/>
        <v>6.7204193548387095E-2</v>
      </c>
      <c r="BU213" t="str">
        <f t="shared" si="43"/>
        <v>ok</v>
      </c>
      <c r="BV213">
        <f t="shared" si="45"/>
        <v>0</v>
      </c>
      <c r="BW213">
        <f t="shared" si="44"/>
        <v>0</v>
      </c>
    </row>
    <row r="214" spans="43:75" x14ac:dyDescent="0.25">
      <c r="AQ214" s="63"/>
      <c r="BM214" s="29">
        <v>209</v>
      </c>
      <c r="BN214" s="242">
        <f t="shared" si="36"/>
        <v>42821</v>
      </c>
      <c r="BO214" s="29">
        <f t="shared" si="37"/>
        <v>1</v>
      </c>
      <c r="BP214" s="29">
        <f t="shared" si="38"/>
        <v>0</v>
      </c>
      <c r="BQ214" s="29">
        <f t="shared" si="40"/>
        <v>0</v>
      </c>
      <c r="BR214" s="29">
        <f t="shared" si="39"/>
        <v>146</v>
      </c>
      <c r="BS214" s="243">
        <f t="shared" si="41"/>
        <v>6.7204193548387095E-2</v>
      </c>
      <c r="BT214">
        <f t="shared" si="42"/>
        <v>6.7204193548387095E-2</v>
      </c>
      <c r="BU214" t="str">
        <f t="shared" si="43"/>
        <v>ok</v>
      </c>
      <c r="BV214">
        <f t="shared" si="45"/>
        <v>0</v>
      </c>
      <c r="BW214">
        <f t="shared" si="44"/>
        <v>0</v>
      </c>
    </row>
    <row r="215" spans="43:75" x14ac:dyDescent="0.25">
      <c r="AQ215" s="63"/>
      <c r="BM215" s="29">
        <v>210</v>
      </c>
      <c r="BN215" s="242">
        <f t="shared" si="36"/>
        <v>42822</v>
      </c>
      <c r="BO215" s="29">
        <f t="shared" si="37"/>
        <v>0</v>
      </c>
      <c r="BP215" s="29">
        <f t="shared" si="38"/>
        <v>0</v>
      </c>
      <c r="BQ215" s="29">
        <f t="shared" si="40"/>
        <v>1</v>
      </c>
      <c r="BR215" s="29">
        <f t="shared" si="39"/>
        <v>147</v>
      </c>
      <c r="BS215" s="243">
        <f t="shared" si="41"/>
        <v>6.7204193548387095E-2</v>
      </c>
      <c r="BT215">
        <f t="shared" si="42"/>
        <v>6.7204193548387095E-2</v>
      </c>
      <c r="BU215" t="str">
        <f t="shared" si="43"/>
        <v>ok</v>
      </c>
      <c r="BV215">
        <f t="shared" si="45"/>
        <v>0</v>
      </c>
      <c r="BW215">
        <f t="shared" si="44"/>
        <v>0</v>
      </c>
    </row>
    <row r="216" spans="43:75" x14ac:dyDescent="0.25">
      <c r="AQ216" s="63"/>
      <c r="BM216" s="29">
        <v>211</v>
      </c>
      <c r="BN216" s="242">
        <f t="shared" si="36"/>
        <v>42823</v>
      </c>
      <c r="BO216" s="29">
        <f t="shared" si="37"/>
        <v>0</v>
      </c>
      <c r="BP216" s="29">
        <f t="shared" si="38"/>
        <v>0</v>
      </c>
      <c r="BQ216" s="29">
        <f t="shared" si="40"/>
        <v>1</v>
      </c>
      <c r="BR216" s="29">
        <f t="shared" si="39"/>
        <v>148</v>
      </c>
      <c r="BS216" s="243">
        <f t="shared" si="41"/>
        <v>6.7204193548387095E-2</v>
      </c>
      <c r="BT216">
        <f t="shared" si="42"/>
        <v>6.7204193548387095E-2</v>
      </c>
      <c r="BU216" t="str">
        <f t="shared" si="43"/>
        <v>ok</v>
      </c>
      <c r="BV216">
        <f t="shared" si="45"/>
        <v>0</v>
      </c>
      <c r="BW216">
        <f t="shared" si="44"/>
        <v>0</v>
      </c>
    </row>
    <row r="217" spans="43:75" x14ac:dyDescent="0.25">
      <c r="AQ217" s="63"/>
      <c r="BM217" s="29">
        <v>212</v>
      </c>
      <c r="BN217" s="242">
        <f t="shared" si="36"/>
        <v>42824</v>
      </c>
      <c r="BO217" s="29">
        <f t="shared" si="37"/>
        <v>0</v>
      </c>
      <c r="BP217" s="29">
        <f t="shared" si="38"/>
        <v>0</v>
      </c>
      <c r="BQ217" s="29">
        <f t="shared" si="40"/>
        <v>1</v>
      </c>
      <c r="BR217" s="29">
        <f t="shared" si="39"/>
        <v>149</v>
      </c>
      <c r="BS217" s="243">
        <f t="shared" si="41"/>
        <v>6.7204193548387095E-2</v>
      </c>
      <c r="BT217">
        <f t="shared" si="42"/>
        <v>6.7204193548387095E-2</v>
      </c>
      <c r="BU217" t="str">
        <f t="shared" si="43"/>
        <v>ok</v>
      </c>
      <c r="BV217">
        <f t="shared" si="45"/>
        <v>0</v>
      </c>
      <c r="BW217">
        <f t="shared" si="44"/>
        <v>0</v>
      </c>
    </row>
    <row r="218" spans="43:75" x14ac:dyDescent="0.25">
      <c r="AQ218" s="63"/>
      <c r="BM218" s="29">
        <v>213</v>
      </c>
      <c r="BN218" s="242">
        <f t="shared" si="36"/>
        <v>42825</v>
      </c>
      <c r="BO218" s="29">
        <f t="shared" si="37"/>
        <v>0</v>
      </c>
      <c r="BP218" s="29">
        <f t="shared" si="38"/>
        <v>0</v>
      </c>
      <c r="BQ218" s="29">
        <f t="shared" si="40"/>
        <v>1</v>
      </c>
      <c r="BR218" s="29">
        <f t="shared" si="39"/>
        <v>150</v>
      </c>
      <c r="BS218" s="243">
        <f t="shared" si="41"/>
        <v>6.9444333333333344E-2</v>
      </c>
      <c r="BT218">
        <f t="shared" si="42"/>
        <v>6.9444333333333344E-2</v>
      </c>
      <c r="BU218" t="str">
        <f t="shared" si="43"/>
        <v>ok</v>
      </c>
      <c r="BV218">
        <f t="shared" si="45"/>
        <v>0</v>
      </c>
      <c r="BW218">
        <f t="shared" si="44"/>
        <v>0</v>
      </c>
    </row>
    <row r="219" spans="43:75" x14ac:dyDescent="0.25">
      <c r="AQ219" s="63"/>
      <c r="BM219" s="29">
        <v>214</v>
      </c>
      <c r="BN219" s="242">
        <f t="shared" si="36"/>
        <v>42826</v>
      </c>
      <c r="BO219" s="29">
        <f t="shared" si="37"/>
        <v>0</v>
      </c>
      <c r="BP219" s="29">
        <f t="shared" si="38"/>
        <v>1</v>
      </c>
      <c r="BQ219" s="29">
        <f t="shared" si="40"/>
        <v>0</v>
      </c>
      <c r="BR219" s="29">
        <f t="shared" si="39"/>
        <v>150</v>
      </c>
      <c r="BS219" s="243">
        <f t="shared" si="41"/>
        <v>6.9444333333333344E-2</v>
      </c>
      <c r="BT219">
        <f t="shared" si="42"/>
        <v>6.9444333333333344E-2</v>
      </c>
      <c r="BU219" t="str">
        <f t="shared" si="43"/>
        <v>ok</v>
      </c>
      <c r="BV219">
        <f t="shared" si="45"/>
        <v>0</v>
      </c>
      <c r="BW219">
        <f t="shared" si="44"/>
        <v>0</v>
      </c>
    </row>
    <row r="220" spans="43:75" x14ac:dyDescent="0.25">
      <c r="AQ220" s="63"/>
      <c r="BM220" s="29">
        <v>215</v>
      </c>
      <c r="BN220" s="242">
        <f t="shared" si="36"/>
        <v>42827</v>
      </c>
      <c r="BO220" s="29">
        <f t="shared" si="37"/>
        <v>1</v>
      </c>
      <c r="BP220" s="29">
        <f t="shared" si="38"/>
        <v>0</v>
      </c>
      <c r="BQ220" s="29">
        <f t="shared" si="40"/>
        <v>0</v>
      </c>
      <c r="BR220" s="29">
        <f t="shared" si="39"/>
        <v>150</v>
      </c>
      <c r="BS220" s="243">
        <f t="shared" si="41"/>
        <v>6.9444333333333344E-2</v>
      </c>
      <c r="BT220">
        <f t="shared" si="42"/>
        <v>6.9444333333333344E-2</v>
      </c>
      <c r="BU220" t="str">
        <f t="shared" si="43"/>
        <v>ok</v>
      </c>
      <c r="BV220">
        <f t="shared" si="45"/>
        <v>0</v>
      </c>
      <c r="BW220">
        <f t="shared" si="44"/>
        <v>0</v>
      </c>
    </row>
    <row r="221" spans="43:75" x14ac:dyDescent="0.25">
      <c r="AQ221" s="63"/>
      <c r="BM221" s="29">
        <v>216</v>
      </c>
      <c r="BN221" s="242">
        <f t="shared" si="36"/>
        <v>42828</v>
      </c>
      <c r="BO221" s="29">
        <f t="shared" si="37"/>
        <v>1</v>
      </c>
      <c r="BP221" s="29">
        <f t="shared" si="38"/>
        <v>0</v>
      </c>
      <c r="BQ221" s="29">
        <f t="shared" si="40"/>
        <v>0</v>
      </c>
      <c r="BR221" s="29">
        <f t="shared" si="39"/>
        <v>150</v>
      </c>
      <c r="BS221" s="243">
        <f t="shared" si="41"/>
        <v>6.9444333333333344E-2</v>
      </c>
      <c r="BT221">
        <f t="shared" si="42"/>
        <v>6.9444333333333344E-2</v>
      </c>
      <c r="BU221" t="str">
        <f t="shared" si="43"/>
        <v>ok</v>
      </c>
      <c r="BV221">
        <f t="shared" si="45"/>
        <v>0</v>
      </c>
      <c r="BW221">
        <f t="shared" si="44"/>
        <v>0</v>
      </c>
    </row>
    <row r="222" spans="43:75" x14ac:dyDescent="0.25">
      <c r="AQ222" s="63"/>
      <c r="BM222" s="29">
        <v>217</v>
      </c>
      <c r="BN222" s="242">
        <f t="shared" si="36"/>
        <v>42829</v>
      </c>
      <c r="BO222" s="29">
        <f t="shared" si="37"/>
        <v>0</v>
      </c>
      <c r="BP222" s="29">
        <f t="shared" si="38"/>
        <v>1</v>
      </c>
      <c r="BQ222" s="29">
        <f t="shared" si="40"/>
        <v>0</v>
      </c>
      <c r="BR222" s="29">
        <f t="shared" si="39"/>
        <v>150</v>
      </c>
      <c r="BS222" s="243">
        <f t="shared" si="41"/>
        <v>6.9444333333333344E-2</v>
      </c>
      <c r="BT222">
        <f t="shared" si="42"/>
        <v>6.9444333333333344E-2</v>
      </c>
      <c r="BU222" t="str">
        <f t="shared" si="43"/>
        <v>ok</v>
      </c>
      <c r="BV222">
        <f t="shared" si="45"/>
        <v>0</v>
      </c>
      <c r="BW222">
        <f t="shared" si="44"/>
        <v>0</v>
      </c>
    </row>
    <row r="223" spans="43:75" x14ac:dyDescent="0.25">
      <c r="AQ223" s="63"/>
      <c r="BM223" s="29">
        <v>218</v>
      </c>
      <c r="BN223" s="242">
        <f t="shared" si="36"/>
        <v>42830</v>
      </c>
      <c r="BO223" s="29">
        <f t="shared" si="37"/>
        <v>0</v>
      </c>
      <c r="BP223" s="29">
        <f t="shared" si="38"/>
        <v>0</v>
      </c>
      <c r="BQ223" s="29">
        <f t="shared" si="40"/>
        <v>1</v>
      </c>
      <c r="BR223" s="29">
        <f t="shared" si="39"/>
        <v>151</v>
      </c>
      <c r="BS223" s="243">
        <f t="shared" si="41"/>
        <v>6.9444333333333344E-2</v>
      </c>
      <c r="BT223">
        <f t="shared" si="42"/>
        <v>6.9444333333333344E-2</v>
      </c>
      <c r="BU223" t="str">
        <f t="shared" si="43"/>
        <v>ok</v>
      </c>
      <c r="BV223">
        <f t="shared" si="45"/>
        <v>0</v>
      </c>
      <c r="BW223">
        <f t="shared" si="44"/>
        <v>0</v>
      </c>
    </row>
    <row r="224" spans="43:75" x14ac:dyDescent="0.25">
      <c r="AQ224" s="63"/>
      <c r="BM224" s="29">
        <v>219</v>
      </c>
      <c r="BN224" s="242">
        <f t="shared" si="36"/>
        <v>42831</v>
      </c>
      <c r="BO224" s="29">
        <f t="shared" si="37"/>
        <v>0</v>
      </c>
      <c r="BP224" s="29">
        <f t="shared" si="38"/>
        <v>0</v>
      </c>
      <c r="BQ224" s="29">
        <f t="shared" si="40"/>
        <v>1</v>
      </c>
      <c r="BR224" s="29">
        <f t="shared" si="39"/>
        <v>152</v>
      </c>
      <c r="BS224" s="243">
        <f t="shared" si="41"/>
        <v>6.9444333333333344E-2</v>
      </c>
      <c r="BT224">
        <f t="shared" si="42"/>
        <v>6.9444333333333344E-2</v>
      </c>
      <c r="BU224" t="str">
        <f t="shared" si="43"/>
        <v>ok</v>
      </c>
      <c r="BV224">
        <f t="shared" si="45"/>
        <v>0</v>
      </c>
      <c r="BW224">
        <f t="shared" si="44"/>
        <v>0</v>
      </c>
    </row>
    <row r="225" spans="43:75" x14ac:dyDescent="0.25">
      <c r="AQ225" s="63"/>
      <c r="BM225" s="29">
        <v>220</v>
      </c>
      <c r="BN225" s="242">
        <f t="shared" si="36"/>
        <v>42832</v>
      </c>
      <c r="BO225" s="29">
        <f t="shared" si="37"/>
        <v>0</v>
      </c>
      <c r="BP225" s="29">
        <f t="shared" si="38"/>
        <v>0</v>
      </c>
      <c r="BQ225" s="29">
        <f t="shared" si="40"/>
        <v>1</v>
      </c>
      <c r="BR225" s="29">
        <f t="shared" si="39"/>
        <v>153</v>
      </c>
      <c r="BS225" s="243">
        <f t="shared" si="41"/>
        <v>6.9444333333333344E-2</v>
      </c>
      <c r="BT225">
        <f t="shared" si="42"/>
        <v>6.9444333333333344E-2</v>
      </c>
      <c r="BU225" t="str">
        <f t="shared" si="43"/>
        <v>ok</v>
      </c>
      <c r="BV225">
        <f t="shared" si="45"/>
        <v>0</v>
      </c>
      <c r="BW225">
        <f t="shared" si="44"/>
        <v>0</v>
      </c>
    </row>
    <row r="226" spans="43:75" x14ac:dyDescent="0.25">
      <c r="AQ226" s="63"/>
      <c r="BM226" s="29">
        <v>221</v>
      </c>
      <c r="BN226" s="242">
        <f t="shared" si="36"/>
        <v>42833</v>
      </c>
      <c r="BO226" s="29">
        <f t="shared" si="37"/>
        <v>0</v>
      </c>
      <c r="BP226" s="29">
        <f t="shared" si="38"/>
        <v>0</v>
      </c>
      <c r="BQ226" s="29">
        <f t="shared" si="40"/>
        <v>1</v>
      </c>
      <c r="BR226" s="29">
        <f t="shared" si="39"/>
        <v>154</v>
      </c>
      <c r="BS226" s="243">
        <f t="shared" si="41"/>
        <v>6.9444333333333344E-2</v>
      </c>
      <c r="BT226">
        <f t="shared" si="42"/>
        <v>6.9444333333333344E-2</v>
      </c>
      <c r="BU226" t="str">
        <f t="shared" si="43"/>
        <v>ok</v>
      </c>
      <c r="BV226">
        <f t="shared" si="45"/>
        <v>0</v>
      </c>
      <c r="BW226">
        <f t="shared" si="44"/>
        <v>0</v>
      </c>
    </row>
    <row r="227" spans="43:75" x14ac:dyDescent="0.25">
      <c r="AQ227" s="63"/>
      <c r="BM227" s="29">
        <v>222</v>
      </c>
      <c r="BN227" s="242">
        <f t="shared" si="36"/>
        <v>42834</v>
      </c>
      <c r="BO227" s="29">
        <f t="shared" si="37"/>
        <v>1</v>
      </c>
      <c r="BP227" s="29">
        <f t="shared" si="38"/>
        <v>0</v>
      </c>
      <c r="BQ227" s="29">
        <f t="shared" si="40"/>
        <v>0</v>
      </c>
      <c r="BR227" s="29">
        <f t="shared" si="39"/>
        <v>154</v>
      </c>
      <c r="BS227" s="243">
        <f t="shared" si="41"/>
        <v>6.9444333333333344E-2</v>
      </c>
      <c r="BT227">
        <f t="shared" si="42"/>
        <v>6.9444333333333344E-2</v>
      </c>
      <c r="BU227" t="str">
        <f t="shared" si="43"/>
        <v>ok</v>
      </c>
      <c r="BV227">
        <f t="shared" si="45"/>
        <v>0</v>
      </c>
      <c r="BW227">
        <f t="shared" si="44"/>
        <v>0</v>
      </c>
    </row>
    <row r="228" spans="43:75" x14ac:dyDescent="0.25">
      <c r="AQ228" s="63"/>
      <c r="BM228" s="29">
        <v>223</v>
      </c>
      <c r="BN228" s="242">
        <f t="shared" si="36"/>
        <v>42835</v>
      </c>
      <c r="BO228" s="29">
        <f t="shared" si="37"/>
        <v>1</v>
      </c>
      <c r="BP228" s="29">
        <f t="shared" si="38"/>
        <v>0</v>
      </c>
      <c r="BQ228" s="29">
        <f t="shared" si="40"/>
        <v>0</v>
      </c>
      <c r="BR228" s="29">
        <f t="shared" si="39"/>
        <v>154</v>
      </c>
      <c r="BS228" s="243">
        <f t="shared" si="41"/>
        <v>6.9444333333333344E-2</v>
      </c>
      <c r="BT228">
        <f t="shared" si="42"/>
        <v>6.9444333333333344E-2</v>
      </c>
      <c r="BU228" t="str">
        <f t="shared" si="43"/>
        <v>ok</v>
      </c>
      <c r="BV228">
        <f t="shared" si="45"/>
        <v>0</v>
      </c>
      <c r="BW228">
        <f t="shared" si="44"/>
        <v>0</v>
      </c>
    </row>
    <row r="229" spans="43:75" x14ac:dyDescent="0.25">
      <c r="AQ229" s="63"/>
      <c r="BM229" s="29">
        <v>224</v>
      </c>
      <c r="BN229" s="242">
        <f t="shared" si="36"/>
        <v>42836</v>
      </c>
      <c r="BO229" s="29">
        <f t="shared" si="37"/>
        <v>0</v>
      </c>
      <c r="BP229" s="29">
        <f t="shared" si="38"/>
        <v>0</v>
      </c>
      <c r="BQ229" s="29">
        <f t="shared" si="40"/>
        <v>1</v>
      </c>
      <c r="BR229" s="29">
        <f t="shared" si="39"/>
        <v>155</v>
      </c>
      <c r="BS229" s="243">
        <f t="shared" si="41"/>
        <v>6.9444333333333344E-2</v>
      </c>
      <c r="BT229">
        <f t="shared" si="42"/>
        <v>6.9444333333333344E-2</v>
      </c>
      <c r="BU229" t="str">
        <f t="shared" si="43"/>
        <v>ok</v>
      </c>
      <c r="BV229">
        <f t="shared" si="45"/>
        <v>0</v>
      </c>
      <c r="BW229">
        <f t="shared" si="44"/>
        <v>0</v>
      </c>
    </row>
    <row r="230" spans="43:75" x14ac:dyDescent="0.25">
      <c r="AQ230" s="63"/>
      <c r="BM230" s="29">
        <v>225</v>
      </c>
      <c r="BN230" s="242">
        <f t="shared" si="36"/>
        <v>42837</v>
      </c>
      <c r="BO230" s="29">
        <f t="shared" si="37"/>
        <v>0</v>
      </c>
      <c r="BP230" s="29">
        <f t="shared" si="38"/>
        <v>0</v>
      </c>
      <c r="BQ230" s="29">
        <f t="shared" si="40"/>
        <v>1</v>
      </c>
      <c r="BR230" s="29">
        <f t="shared" si="39"/>
        <v>156</v>
      </c>
      <c r="BS230" s="243">
        <f t="shared" si="41"/>
        <v>6.9444333333333344E-2</v>
      </c>
      <c r="BT230">
        <f t="shared" si="42"/>
        <v>6.9444333333333344E-2</v>
      </c>
      <c r="BU230" t="str">
        <f t="shared" si="43"/>
        <v>ok</v>
      </c>
      <c r="BV230">
        <f t="shared" si="45"/>
        <v>0</v>
      </c>
      <c r="BW230">
        <f t="shared" si="44"/>
        <v>0</v>
      </c>
    </row>
    <row r="231" spans="43:75" x14ac:dyDescent="0.25">
      <c r="AQ231" s="63"/>
      <c r="BM231" s="29">
        <v>226</v>
      </c>
      <c r="BN231" s="242">
        <f t="shared" si="36"/>
        <v>42838</v>
      </c>
      <c r="BO231" s="29">
        <f t="shared" si="37"/>
        <v>0</v>
      </c>
      <c r="BP231" s="29">
        <f t="shared" si="38"/>
        <v>0</v>
      </c>
      <c r="BQ231" s="29">
        <f t="shared" si="40"/>
        <v>1</v>
      </c>
      <c r="BR231" s="29">
        <f t="shared" si="39"/>
        <v>157</v>
      </c>
      <c r="BS231" s="243">
        <f t="shared" si="41"/>
        <v>6.9444333333333344E-2</v>
      </c>
      <c r="BT231">
        <f t="shared" si="42"/>
        <v>6.9444333333333344E-2</v>
      </c>
      <c r="BU231" t="str">
        <f t="shared" si="43"/>
        <v>ok</v>
      </c>
      <c r="BV231">
        <f t="shared" si="45"/>
        <v>0</v>
      </c>
      <c r="BW231">
        <f t="shared" si="44"/>
        <v>0</v>
      </c>
    </row>
    <row r="232" spans="43:75" x14ac:dyDescent="0.25">
      <c r="AQ232" s="63"/>
      <c r="BM232" s="29">
        <v>227</v>
      </c>
      <c r="BN232" s="242">
        <f t="shared" si="36"/>
        <v>42839</v>
      </c>
      <c r="BO232" s="29">
        <f t="shared" si="37"/>
        <v>0</v>
      </c>
      <c r="BP232" s="29">
        <f t="shared" si="38"/>
        <v>0</v>
      </c>
      <c r="BQ232" s="29">
        <f t="shared" si="40"/>
        <v>1</v>
      </c>
      <c r="BR232" s="29">
        <f t="shared" si="39"/>
        <v>158</v>
      </c>
      <c r="BS232" s="243">
        <f t="shared" si="41"/>
        <v>6.9444333333333344E-2</v>
      </c>
      <c r="BT232">
        <f t="shared" si="42"/>
        <v>6.9444333333333344E-2</v>
      </c>
      <c r="BU232" t="str">
        <f t="shared" si="43"/>
        <v>ok</v>
      </c>
      <c r="BV232">
        <f t="shared" si="45"/>
        <v>0</v>
      </c>
      <c r="BW232">
        <f t="shared" si="44"/>
        <v>0</v>
      </c>
    </row>
    <row r="233" spans="43:75" x14ac:dyDescent="0.25">
      <c r="AQ233" s="63"/>
      <c r="BM233" s="29">
        <v>228</v>
      </c>
      <c r="BN233" s="242">
        <f t="shared" si="36"/>
        <v>42840</v>
      </c>
      <c r="BO233" s="29">
        <f t="shared" si="37"/>
        <v>0</v>
      </c>
      <c r="BP233" s="29">
        <f t="shared" si="38"/>
        <v>0</v>
      </c>
      <c r="BQ233" s="29">
        <f t="shared" si="40"/>
        <v>1</v>
      </c>
      <c r="BR233" s="29">
        <f t="shared" si="39"/>
        <v>159</v>
      </c>
      <c r="BS233" s="243">
        <f t="shared" si="41"/>
        <v>6.9444333333333344E-2</v>
      </c>
      <c r="BT233">
        <f t="shared" si="42"/>
        <v>6.9444333333333344E-2</v>
      </c>
      <c r="BU233" t="str">
        <f t="shared" si="43"/>
        <v>ok</v>
      </c>
      <c r="BV233">
        <f t="shared" si="45"/>
        <v>0</v>
      </c>
      <c r="BW233">
        <f t="shared" si="44"/>
        <v>0</v>
      </c>
    </row>
    <row r="234" spans="43:75" x14ac:dyDescent="0.25">
      <c r="AQ234" s="63"/>
      <c r="BM234" s="29">
        <v>229</v>
      </c>
      <c r="BN234" s="242">
        <f t="shared" si="36"/>
        <v>42841</v>
      </c>
      <c r="BO234" s="29">
        <f t="shared" si="37"/>
        <v>1</v>
      </c>
      <c r="BP234" s="29">
        <f t="shared" si="38"/>
        <v>0</v>
      </c>
      <c r="BQ234" s="29">
        <f t="shared" si="40"/>
        <v>0</v>
      </c>
      <c r="BR234" s="29">
        <f t="shared" si="39"/>
        <v>159</v>
      </c>
      <c r="BS234" s="243">
        <f t="shared" si="41"/>
        <v>6.9444333333333344E-2</v>
      </c>
      <c r="BT234">
        <f t="shared" si="42"/>
        <v>6.9444333333333344E-2</v>
      </c>
      <c r="BU234" t="str">
        <f t="shared" si="43"/>
        <v>ok</v>
      </c>
      <c r="BV234">
        <f t="shared" si="45"/>
        <v>0</v>
      </c>
      <c r="BW234">
        <f t="shared" si="44"/>
        <v>0</v>
      </c>
    </row>
    <row r="235" spans="43:75" x14ac:dyDescent="0.25">
      <c r="AQ235" s="63"/>
      <c r="BM235" s="29">
        <v>230</v>
      </c>
      <c r="BN235" s="242">
        <f t="shared" si="36"/>
        <v>42842</v>
      </c>
      <c r="BO235" s="29">
        <f t="shared" si="37"/>
        <v>1</v>
      </c>
      <c r="BP235" s="29">
        <f t="shared" si="38"/>
        <v>0</v>
      </c>
      <c r="BQ235" s="29">
        <f t="shared" si="40"/>
        <v>0</v>
      </c>
      <c r="BR235" s="29">
        <f t="shared" si="39"/>
        <v>159</v>
      </c>
      <c r="BS235" s="243">
        <f t="shared" si="41"/>
        <v>6.9444333333333344E-2</v>
      </c>
      <c r="BT235">
        <f t="shared" si="42"/>
        <v>6.9444333333333344E-2</v>
      </c>
      <c r="BU235" t="str">
        <f t="shared" si="43"/>
        <v>ok</v>
      </c>
      <c r="BV235">
        <f t="shared" si="45"/>
        <v>0</v>
      </c>
      <c r="BW235">
        <f t="shared" si="44"/>
        <v>0</v>
      </c>
    </row>
    <row r="236" spans="43:75" x14ac:dyDescent="0.25">
      <c r="AQ236" s="63"/>
      <c r="BM236" s="29">
        <v>231</v>
      </c>
      <c r="BN236" s="242">
        <f t="shared" si="36"/>
        <v>42843</v>
      </c>
      <c r="BO236" s="29">
        <f t="shared" si="37"/>
        <v>0</v>
      </c>
      <c r="BP236" s="29">
        <f t="shared" si="38"/>
        <v>0</v>
      </c>
      <c r="BQ236" s="29">
        <f t="shared" si="40"/>
        <v>1</v>
      </c>
      <c r="BR236" s="29">
        <f t="shared" si="39"/>
        <v>160</v>
      </c>
      <c r="BS236" s="243">
        <f t="shared" si="41"/>
        <v>6.9444333333333344E-2</v>
      </c>
      <c r="BT236">
        <f t="shared" si="42"/>
        <v>6.9444333333333344E-2</v>
      </c>
      <c r="BU236" t="str">
        <f t="shared" si="43"/>
        <v>ok</v>
      </c>
      <c r="BV236">
        <f t="shared" si="45"/>
        <v>0</v>
      </c>
      <c r="BW236">
        <f t="shared" si="44"/>
        <v>0</v>
      </c>
    </row>
    <row r="237" spans="43:75" x14ac:dyDescent="0.25">
      <c r="AQ237" s="63"/>
      <c r="BM237" s="29">
        <v>232</v>
      </c>
      <c r="BN237" s="242">
        <f t="shared" si="36"/>
        <v>42844</v>
      </c>
      <c r="BO237" s="29">
        <f t="shared" si="37"/>
        <v>0</v>
      </c>
      <c r="BP237" s="29">
        <f t="shared" si="38"/>
        <v>0</v>
      </c>
      <c r="BQ237" s="29">
        <f t="shared" si="40"/>
        <v>1</v>
      </c>
      <c r="BR237" s="29">
        <f t="shared" si="39"/>
        <v>161</v>
      </c>
      <c r="BS237" s="243">
        <f t="shared" si="41"/>
        <v>6.9444333333333344E-2</v>
      </c>
      <c r="BT237">
        <f t="shared" si="42"/>
        <v>6.9444333333333344E-2</v>
      </c>
      <c r="BU237" t="str">
        <f t="shared" si="43"/>
        <v>ok</v>
      </c>
      <c r="BV237">
        <f t="shared" si="45"/>
        <v>0</v>
      </c>
      <c r="BW237">
        <f t="shared" si="44"/>
        <v>0</v>
      </c>
    </row>
    <row r="238" spans="43:75" x14ac:dyDescent="0.25">
      <c r="AQ238" s="63"/>
      <c r="BM238" s="29">
        <v>233</v>
      </c>
      <c r="BN238" s="242">
        <f t="shared" si="36"/>
        <v>42845</v>
      </c>
      <c r="BO238" s="29">
        <f t="shared" si="37"/>
        <v>0</v>
      </c>
      <c r="BP238" s="29">
        <f t="shared" si="38"/>
        <v>0</v>
      </c>
      <c r="BQ238" s="29">
        <f t="shared" si="40"/>
        <v>1</v>
      </c>
      <c r="BR238" s="29">
        <f t="shared" si="39"/>
        <v>162</v>
      </c>
      <c r="BS238" s="243">
        <f t="shared" si="41"/>
        <v>6.9444333333333344E-2</v>
      </c>
      <c r="BT238">
        <f t="shared" si="42"/>
        <v>6.9444333333333344E-2</v>
      </c>
      <c r="BU238" t="str">
        <f t="shared" si="43"/>
        <v>ok</v>
      </c>
      <c r="BV238">
        <f t="shared" si="45"/>
        <v>0</v>
      </c>
      <c r="BW238">
        <f t="shared" si="44"/>
        <v>0</v>
      </c>
    </row>
    <row r="239" spans="43:75" x14ac:dyDescent="0.25">
      <c r="AQ239" s="63"/>
      <c r="BM239" s="29">
        <v>234</v>
      </c>
      <c r="BN239" s="242">
        <f t="shared" si="36"/>
        <v>42846</v>
      </c>
      <c r="BO239" s="29">
        <f t="shared" si="37"/>
        <v>0</v>
      </c>
      <c r="BP239" s="29">
        <f t="shared" si="38"/>
        <v>0</v>
      </c>
      <c r="BQ239" s="29">
        <f t="shared" si="40"/>
        <v>1</v>
      </c>
      <c r="BR239" s="29">
        <f t="shared" si="39"/>
        <v>163</v>
      </c>
      <c r="BS239" s="243">
        <f t="shared" si="41"/>
        <v>6.9444333333333344E-2</v>
      </c>
      <c r="BT239">
        <f t="shared" si="42"/>
        <v>6.9444333333333344E-2</v>
      </c>
      <c r="BU239" t="str">
        <f t="shared" si="43"/>
        <v>ok</v>
      </c>
      <c r="BV239">
        <f t="shared" si="45"/>
        <v>0</v>
      </c>
      <c r="BW239">
        <f t="shared" si="44"/>
        <v>0</v>
      </c>
    </row>
    <row r="240" spans="43:75" x14ac:dyDescent="0.25">
      <c r="AQ240" s="63"/>
      <c r="BM240" s="29">
        <v>235</v>
      </c>
      <c r="BN240" s="242">
        <f t="shared" si="36"/>
        <v>42847</v>
      </c>
      <c r="BO240" s="29">
        <f t="shared" si="37"/>
        <v>0</v>
      </c>
      <c r="BP240" s="29">
        <f t="shared" si="38"/>
        <v>0</v>
      </c>
      <c r="BQ240" s="29">
        <f t="shared" si="40"/>
        <v>1</v>
      </c>
      <c r="BR240" s="29">
        <f t="shared" si="39"/>
        <v>164</v>
      </c>
      <c r="BS240" s="243">
        <f t="shared" si="41"/>
        <v>6.9444333333333344E-2</v>
      </c>
      <c r="BT240">
        <f t="shared" si="42"/>
        <v>6.9444333333333344E-2</v>
      </c>
      <c r="BU240" t="str">
        <f t="shared" si="43"/>
        <v>ok</v>
      </c>
      <c r="BV240">
        <f t="shared" si="45"/>
        <v>0</v>
      </c>
      <c r="BW240">
        <f t="shared" si="44"/>
        <v>0</v>
      </c>
    </row>
    <row r="241" spans="43:75" x14ac:dyDescent="0.25">
      <c r="AQ241" s="63"/>
      <c r="BM241" s="29">
        <v>236</v>
      </c>
      <c r="BN241" s="242">
        <f t="shared" si="36"/>
        <v>42848</v>
      </c>
      <c r="BO241" s="29">
        <f t="shared" si="37"/>
        <v>1</v>
      </c>
      <c r="BP241" s="29">
        <f t="shared" si="38"/>
        <v>0</v>
      </c>
      <c r="BQ241" s="29">
        <f t="shared" si="40"/>
        <v>0</v>
      </c>
      <c r="BR241" s="29">
        <f t="shared" si="39"/>
        <v>164</v>
      </c>
      <c r="BS241" s="243">
        <f t="shared" si="41"/>
        <v>6.9444333333333344E-2</v>
      </c>
      <c r="BT241">
        <f t="shared" si="42"/>
        <v>6.9444333333333344E-2</v>
      </c>
      <c r="BU241" t="str">
        <f t="shared" si="43"/>
        <v>ok</v>
      </c>
      <c r="BV241">
        <f t="shared" si="45"/>
        <v>0</v>
      </c>
      <c r="BW241">
        <f t="shared" si="44"/>
        <v>0</v>
      </c>
    </row>
    <row r="242" spans="43:75" x14ac:dyDescent="0.25">
      <c r="AQ242" s="63"/>
      <c r="BM242" s="29">
        <v>237</v>
      </c>
      <c r="BN242" s="242">
        <f t="shared" si="36"/>
        <v>42849</v>
      </c>
      <c r="BO242" s="29">
        <f t="shared" si="37"/>
        <v>1</v>
      </c>
      <c r="BP242" s="29">
        <f t="shared" si="38"/>
        <v>0</v>
      </c>
      <c r="BQ242" s="29">
        <f t="shared" si="40"/>
        <v>0</v>
      </c>
      <c r="BR242" s="29">
        <f t="shared" si="39"/>
        <v>164</v>
      </c>
      <c r="BS242" s="243">
        <f t="shared" si="41"/>
        <v>6.9444333333333344E-2</v>
      </c>
      <c r="BT242">
        <f t="shared" si="42"/>
        <v>6.9444333333333344E-2</v>
      </c>
      <c r="BU242" t="str">
        <f t="shared" si="43"/>
        <v>ok</v>
      </c>
      <c r="BV242">
        <f t="shared" si="45"/>
        <v>0</v>
      </c>
      <c r="BW242">
        <f t="shared" si="44"/>
        <v>0</v>
      </c>
    </row>
    <row r="243" spans="43:75" x14ac:dyDescent="0.25">
      <c r="AQ243" s="63"/>
      <c r="BM243" s="29">
        <v>238</v>
      </c>
      <c r="BN243" s="242">
        <f t="shared" si="36"/>
        <v>42850</v>
      </c>
      <c r="BO243" s="29">
        <f t="shared" si="37"/>
        <v>0</v>
      </c>
      <c r="BP243" s="29">
        <f t="shared" si="38"/>
        <v>0</v>
      </c>
      <c r="BQ243" s="29">
        <f t="shared" si="40"/>
        <v>1</v>
      </c>
      <c r="BR243" s="29">
        <f t="shared" si="39"/>
        <v>165</v>
      </c>
      <c r="BS243" s="243">
        <f t="shared" si="41"/>
        <v>6.9444333333333344E-2</v>
      </c>
      <c r="BT243">
        <f t="shared" si="42"/>
        <v>6.9444333333333344E-2</v>
      </c>
      <c r="BU243" t="str">
        <f t="shared" si="43"/>
        <v>ok</v>
      </c>
      <c r="BV243">
        <f t="shared" si="45"/>
        <v>0</v>
      </c>
      <c r="BW243">
        <f t="shared" si="44"/>
        <v>0</v>
      </c>
    </row>
    <row r="244" spans="43:75" x14ac:dyDescent="0.25">
      <c r="AQ244" s="63"/>
      <c r="BM244" s="29">
        <v>239</v>
      </c>
      <c r="BN244" s="242">
        <f t="shared" si="36"/>
        <v>42851</v>
      </c>
      <c r="BO244" s="29">
        <f t="shared" si="37"/>
        <v>0</v>
      </c>
      <c r="BP244" s="29">
        <f t="shared" si="38"/>
        <v>0</v>
      </c>
      <c r="BQ244" s="29">
        <f t="shared" si="40"/>
        <v>1</v>
      </c>
      <c r="BR244" s="29">
        <f t="shared" si="39"/>
        <v>166</v>
      </c>
      <c r="BS244" s="243">
        <f t="shared" si="41"/>
        <v>6.9444333333333344E-2</v>
      </c>
      <c r="BT244">
        <f t="shared" si="42"/>
        <v>6.9444333333333344E-2</v>
      </c>
      <c r="BU244" t="str">
        <f t="shared" si="43"/>
        <v>ok</v>
      </c>
      <c r="BV244">
        <f t="shared" si="45"/>
        <v>0</v>
      </c>
      <c r="BW244">
        <f t="shared" si="44"/>
        <v>0</v>
      </c>
    </row>
    <row r="245" spans="43:75" x14ac:dyDescent="0.25">
      <c r="AQ245" s="63"/>
      <c r="BM245" s="29">
        <v>240</v>
      </c>
      <c r="BN245" s="242">
        <f t="shared" si="36"/>
        <v>42852</v>
      </c>
      <c r="BO245" s="29">
        <f t="shared" si="37"/>
        <v>0</v>
      </c>
      <c r="BP245" s="29">
        <f t="shared" si="38"/>
        <v>0</v>
      </c>
      <c r="BQ245" s="29">
        <f t="shared" si="40"/>
        <v>1</v>
      </c>
      <c r="BR245" s="29">
        <f t="shared" si="39"/>
        <v>167</v>
      </c>
      <c r="BS245" s="243">
        <f t="shared" si="41"/>
        <v>6.9444333333333344E-2</v>
      </c>
      <c r="BT245">
        <f t="shared" si="42"/>
        <v>6.9444333333333344E-2</v>
      </c>
      <c r="BU245" t="str">
        <f t="shared" si="43"/>
        <v>ok</v>
      </c>
      <c r="BV245">
        <f t="shared" si="45"/>
        <v>0</v>
      </c>
      <c r="BW245">
        <f t="shared" si="44"/>
        <v>0</v>
      </c>
    </row>
    <row r="246" spans="43:75" x14ac:dyDescent="0.25">
      <c r="AQ246" s="63"/>
      <c r="BM246" s="29">
        <v>241</v>
      </c>
      <c r="BN246" s="242">
        <f t="shared" si="36"/>
        <v>42853</v>
      </c>
      <c r="BO246" s="29">
        <f t="shared" si="37"/>
        <v>0</v>
      </c>
      <c r="BP246" s="29">
        <f t="shared" si="38"/>
        <v>0</v>
      </c>
      <c r="BQ246" s="29">
        <f t="shared" si="40"/>
        <v>1</v>
      </c>
      <c r="BR246" s="29">
        <f t="shared" si="39"/>
        <v>168</v>
      </c>
      <c r="BS246" s="243">
        <f t="shared" si="41"/>
        <v>6.9444333333333344E-2</v>
      </c>
      <c r="BT246">
        <f t="shared" si="42"/>
        <v>6.9444333333333344E-2</v>
      </c>
      <c r="BU246" t="str">
        <f t="shared" si="43"/>
        <v>ok</v>
      </c>
      <c r="BV246">
        <f t="shared" si="45"/>
        <v>0</v>
      </c>
      <c r="BW246">
        <f t="shared" si="44"/>
        <v>0</v>
      </c>
    </row>
    <row r="247" spans="43:75" x14ac:dyDescent="0.25">
      <c r="AQ247" s="63"/>
      <c r="BM247" s="29">
        <v>242</v>
      </c>
      <c r="BN247" s="242">
        <f t="shared" si="36"/>
        <v>42854</v>
      </c>
      <c r="BO247" s="29">
        <f t="shared" si="37"/>
        <v>0</v>
      </c>
      <c r="BP247" s="29">
        <f t="shared" si="38"/>
        <v>0</v>
      </c>
      <c r="BQ247" s="29">
        <f t="shared" si="40"/>
        <v>1</v>
      </c>
      <c r="BR247" s="29">
        <f t="shared" si="39"/>
        <v>169</v>
      </c>
      <c r="BS247" s="243">
        <f t="shared" si="41"/>
        <v>6.9444333333333344E-2</v>
      </c>
      <c r="BT247">
        <f t="shared" si="42"/>
        <v>6.9444333333333344E-2</v>
      </c>
      <c r="BU247" t="str">
        <f t="shared" si="43"/>
        <v>ok</v>
      </c>
      <c r="BV247">
        <f t="shared" si="45"/>
        <v>0</v>
      </c>
      <c r="BW247">
        <f t="shared" si="44"/>
        <v>0</v>
      </c>
    </row>
    <row r="248" spans="43:75" x14ac:dyDescent="0.25">
      <c r="AQ248" s="63"/>
      <c r="BM248" s="29">
        <v>243</v>
      </c>
      <c r="BN248" s="242">
        <f t="shared" si="36"/>
        <v>42855</v>
      </c>
      <c r="BO248" s="29">
        <f t="shared" si="37"/>
        <v>1</v>
      </c>
      <c r="BP248" s="29">
        <f t="shared" si="38"/>
        <v>0</v>
      </c>
      <c r="BQ248" s="29">
        <f t="shared" si="40"/>
        <v>0</v>
      </c>
      <c r="BR248" s="29">
        <f t="shared" si="39"/>
        <v>169</v>
      </c>
      <c r="BS248" s="243">
        <f t="shared" si="41"/>
        <v>6.7204193548387095E-2</v>
      </c>
      <c r="BT248">
        <f t="shared" si="42"/>
        <v>6.7204193548387095E-2</v>
      </c>
      <c r="BU248" t="str">
        <f t="shared" si="43"/>
        <v>ok</v>
      </c>
      <c r="BV248">
        <f t="shared" si="45"/>
        <v>0</v>
      </c>
      <c r="BW248">
        <f t="shared" si="44"/>
        <v>0</v>
      </c>
    </row>
    <row r="249" spans="43:75" x14ac:dyDescent="0.25">
      <c r="AQ249" s="63"/>
      <c r="BM249" s="29">
        <v>244</v>
      </c>
      <c r="BN249" s="242">
        <f t="shared" si="36"/>
        <v>42856</v>
      </c>
      <c r="BO249" s="29">
        <f t="shared" si="37"/>
        <v>1</v>
      </c>
      <c r="BP249" s="29">
        <f t="shared" si="38"/>
        <v>0</v>
      </c>
      <c r="BQ249" s="29">
        <f t="shared" si="40"/>
        <v>0</v>
      </c>
      <c r="BR249" s="29">
        <f t="shared" si="39"/>
        <v>169</v>
      </c>
      <c r="BS249" s="243">
        <f t="shared" si="41"/>
        <v>6.7204193548387095E-2</v>
      </c>
      <c r="BT249">
        <f t="shared" si="42"/>
        <v>6.7204193548387095E-2</v>
      </c>
      <c r="BU249" t="str">
        <f t="shared" si="43"/>
        <v>ok</v>
      </c>
      <c r="BV249">
        <f t="shared" si="45"/>
        <v>0</v>
      </c>
      <c r="BW249">
        <f t="shared" si="44"/>
        <v>0</v>
      </c>
    </row>
    <row r="250" spans="43:75" x14ac:dyDescent="0.25">
      <c r="AQ250" s="63"/>
      <c r="BM250" s="29">
        <v>245</v>
      </c>
      <c r="BN250" s="242">
        <f t="shared" si="36"/>
        <v>42857</v>
      </c>
      <c r="BO250" s="29">
        <f t="shared" si="37"/>
        <v>0</v>
      </c>
      <c r="BP250" s="29">
        <f t="shared" si="38"/>
        <v>0</v>
      </c>
      <c r="BQ250" s="29">
        <f t="shared" si="40"/>
        <v>1</v>
      </c>
      <c r="BR250" s="29">
        <f t="shared" si="39"/>
        <v>170</v>
      </c>
      <c r="BS250" s="243">
        <f t="shared" si="41"/>
        <v>6.7204193548387095E-2</v>
      </c>
      <c r="BT250">
        <f t="shared" si="42"/>
        <v>6.7204193548387095E-2</v>
      </c>
      <c r="BU250" t="str">
        <f t="shared" si="43"/>
        <v>ok</v>
      </c>
      <c r="BV250">
        <f t="shared" si="45"/>
        <v>0</v>
      </c>
      <c r="BW250">
        <f t="shared" si="44"/>
        <v>0</v>
      </c>
    </row>
    <row r="251" spans="43:75" x14ac:dyDescent="0.25">
      <c r="AQ251" s="63"/>
      <c r="BM251" s="29">
        <v>246</v>
      </c>
      <c r="BN251" s="242">
        <f t="shared" si="36"/>
        <v>42858</v>
      </c>
      <c r="BO251" s="29">
        <f t="shared" si="37"/>
        <v>0</v>
      </c>
      <c r="BP251" s="29">
        <f t="shared" si="38"/>
        <v>0</v>
      </c>
      <c r="BQ251" s="29">
        <f t="shared" si="40"/>
        <v>1</v>
      </c>
      <c r="BR251" s="29">
        <f t="shared" si="39"/>
        <v>171</v>
      </c>
      <c r="BS251" s="243">
        <f t="shared" si="41"/>
        <v>6.7204193548387095E-2</v>
      </c>
      <c r="BT251">
        <f t="shared" si="42"/>
        <v>6.7204193548387095E-2</v>
      </c>
      <c r="BU251" t="str">
        <f t="shared" si="43"/>
        <v>ok</v>
      </c>
      <c r="BV251">
        <f t="shared" si="45"/>
        <v>0</v>
      </c>
      <c r="BW251">
        <f t="shared" si="44"/>
        <v>0</v>
      </c>
    </row>
    <row r="252" spans="43:75" x14ac:dyDescent="0.25">
      <c r="AQ252" s="63"/>
      <c r="BM252" s="29">
        <v>247</v>
      </c>
      <c r="BN252" s="242">
        <f t="shared" si="36"/>
        <v>42859</v>
      </c>
      <c r="BO252" s="29">
        <f t="shared" si="37"/>
        <v>0</v>
      </c>
      <c r="BP252" s="29">
        <f t="shared" si="38"/>
        <v>0</v>
      </c>
      <c r="BQ252" s="29">
        <f t="shared" si="40"/>
        <v>1</v>
      </c>
      <c r="BR252" s="29">
        <f t="shared" si="39"/>
        <v>172</v>
      </c>
      <c r="BS252" s="243">
        <f t="shared" si="41"/>
        <v>6.7204193548387095E-2</v>
      </c>
      <c r="BT252">
        <f t="shared" si="42"/>
        <v>6.7204193548387095E-2</v>
      </c>
      <c r="BU252" t="str">
        <f t="shared" si="43"/>
        <v>ok</v>
      </c>
      <c r="BV252">
        <f t="shared" si="45"/>
        <v>0</v>
      </c>
      <c r="BW252">
        <f t="shared" si="44"/>
        <v>0</v>
      </c>
    </row>
    <row r="253" spans="43:75" x14ac:dyDescent="0.25">
      <c r="AQ253" s="63"/>
      <c r="BM253" s="29">
        <v>248</v>
      </c>
      <c r="BN253" s="242">
        <f t="shared" si="36"/>
        <v>42860</v>
      </c>
      <c r="BO253" s="29">
        <f t="shared" si="37"/>
        <v>0</v>
      </c>
      <c r="BP253" s="29">
        <f t="shared" si="38"/>
        <v>0</v>
      </c>
      <c r="BQ253" s="29">
        <f t="shared" si="40"/>
        <v>1</v>
      </c>
      <c r="BR253" s="29">
        <f t="shared" si="39"/>
        <v>173</v>
      </c>
      <c r="BS253" s="243">
        <f t="shared" si="41"/>
        <v>6.7204193548387095E-2</v>
      </c>
      <c r="BT253">
        <f t="shared" si="42"/>
        <v>6.7204193548387095E-2</v>
      </c>
      <c r="BU253" t="str">
        <f t="shared" si="43"/>
        <v>ok</v>
      </c>
      <c r="BV253">
        <f t="shared" si="45"/>
        <v>0</v>
      </c>
      <c r="BW253">
        <f t="shared" si="44"/>
        <v>0</v>
      </c>
    </row>
    <row r="254" spans="43:75" x14ac:dyDescent="0.25">
      <c r="AQ254" s="63"/>
      <c r="BM254" s="29">
        <v>249</v>
      </c>
      <c r="BN254" s="242">
        <f t="shared" si="36"/>
        <v>42861</v>
      </c>
      <c r="BO254" s="29">
        <f t="shared" si="37"/>
        <v>0</v>
      </c>
      <c r="BP254" s="29">
        <f t="shared" si="38"/>
        <v>0</v>
      </c>
      <c r="BQ254" s="29">
        <f t="shared" si="40"/>
        <v>1</v>
      </c>
      <c r="BR254" s="29">
        <f t="shared" si="39"/>
        <v>174</v>
      </c>
      <c r="BS254" s="243">
        <f t="shared" si="41"/>
        <v>6.7204193548387095E-2</v>
      </c>
      <c r="BT254">
        <f t="shared" si="42"/>
        <v>6.7204193548387095E-2</v>
      </c>
      <c r="BU254" t="str">
        <f t="shared" si="43"/>
        <v>ok</v>
      </c>
      <c r="BV254">
        <f t="shared" si="45"/>
        <v>0</v>
      </c>
      <c r="BW254">
        <f t="shared" si="44"/>
        <v>0</v>
      </c>
    </row>
    <row r="255" spans="43:75" x14ac:dyDescent="0.25">
      <c r="AQ255" s="63"/>
      <c r="BM255" s="29">
        <v>250</v>
      </c>
      <c r="BN255" s="242">
        <f t="shared" si="36"/>
        <v>42862</v>
      </c>
      <c r="BO255" s="29">
        <f t="shared" si="37"/>
        <v>1</v>
      </c>
      <c r="BP255" s="29">
        <f t="shared" si="38"/>
        <v>0</v>
      </c>
      <c r="BQ255" s="29">
        <f t="shared" si="40"/>
        <v>0</v>
      </c>
      <c r="BR255" s="29">
        <f t="shared" si="39"/>
        <v>174</v>
      </c>
      <c r="BS255" s="243">
        <f t="shared" si="41"/>
        <v>6.7204193548387095E-2</v>
      </c>
      <c r="BT255">
        <f t="shared" si="42"/>
        <v>6.7204193548387095E-2</v>
      </c>
      <c r="BU255" t="str">
        <f t="shared" si="43"/>
        <v>ok</v>
      </c>
      <c r="BV255">
        <f t="shared" si="45"/>
        <v>0</v>
      </c>
      <c r="BW255">
        <f t="shared" si="44"/>
        <v>0</v>
      </c>
    </row>
    <row r="256" spans="43:75" x14ac:dyDescent="0.25">
      <c r="AQ256" s="63"/>
      <c r="BM256" s="29">
        <v>251</v>
      </c>
      <c r="BN256" s="242">
        <f t="shared" si="36"/>
        <v>42863</v>
      </c>
      <c r="BO256" s="29">
        <f t="shared" si="37"/>
        <v>1</v>
      </c>
      <c r="BP256" s="29">
        <f t="shared" si="38"/>
        <v>0</v>
      </c>
      <c r="BQ256" s="29">
        <f t="shared" si="40"/>
        <v>0</v>
      </c>
      <c r="BR256" s="29">
        <f t="shared" si="39"/>
        <v>174</v>
      </c>
      <c r="BS256" s="243">
        <f t="shared" si="41"/>
        <v>6.7204193548387095E-2</v>
      </c>
      <c r="BT256">
        <f t="shared" si="42"/>
        <v>6.7204193548387095E-2</v>
      </c>
      <c r="BU256" t="str">
        <f t="shared" si="43"/>
        <v>ok</v>
      </c>
      <c r="BV256">
        <f t="shared" si="45"/>
        <v>0</v>
      </c>
      <c r="BW256">
        <f t="shared" si="44"/>
        <v>0</v>
      </c>
    </row>
    <row r="257" spans="43:75" x14ac:dyDescent="0.25">
      <c r="AQ257" s="63"/>
      <c r="BM257" s="29">
        <v>252</v>
      </c>
      <c r="BN257" s="242">
        <f t="shared" si="36"/>
        <v>42864</v>
      </c>
      <c r="BO257" s="29">
        <f t="shared" si="37"/>
        <v>0</v>
      </c>
      <c r="BP257" s="29">
        <f t="shared" si="38"/>
        <v>0</v>
      </c>
      <c r="BQ257" s="29">
        <f t="shared" si="40"/>
        <v>1</v>
      </c>
      <c r="BR257" s="29">
        <f t="shared" si="39"/>
        <v>175</v>
      </c>
      <c r="BS257" s="243">
        <f t="shared" si="41"/>
        <v>6.7204193548387095E-2</v>
      </c>
      <c r="BT257">
        <f t="shared" si="42"/>
        <v>6.7204193548387095E-2</v>
      </c>
      <c r="BU257" t="str">
        <f t="shared" si="43"/>
        <v>ok</v>
      </c>
      <c r="BV257">
        <f t="shared" si="45"/>
        <v>0</v>
      </c>
      <c r="BW257">
        <f t="shared" si="44"/>
        <v>0</v>
      </c>
    </row>
    <row r="258" spans="43:75" x14ac:dyDescent="0.25">
      <c r="AQ258" s="63"/>
      <c r="BM258" s="29">
        <v>253</v>
      </c>
      <c r="BN258" s="242">
        <f t="shared" si="36"/>
        <v>42865</v>
      </c>
      <c r="BO258" s="29">
        <f t="shared" si="37"/>
        <v>0</v>
      </c>
      <c r="BP258" s="29">
        <f t="shared" si="38"/>
        <v>0</v>
      </c>
      <c r="BQ258" s="29">
        <f t="shared" si="40"/>
        <v>1</v>
      </c>
      <c r="BR258" s="29">
        <f t="shared" si="39"/>
        <v>176</v>
      </c>
      <c r="BS258" s="243">
        <f t="shared" si="41"/>
        <v>6.7204193548387095E-2</v>
      </c>
      <c r="BT258">
        <f t="shared" si="42"/>
        <v>6.7204193548387095E-2</v>
      </c>
      <c r="BU258" t="str">
        <f t="shared" si="43"/>
        <v>ok</v>
      </c>
      <c r="BV258">
        <f t="shared" si="45"/>
        <v>0</v>
      </c>
      <c r="BW258">
        <f t="shared" si="44"/>
        <v>0</v>
      </c>
    </row>
    <row r="259" spans="43:75" x14ac:dyDescent="0.25">
      <c r="AQ259" s="63"/>
      <c r="BM259" s="29">
        <v>254</v>
      </c>
      <c r="BN259" s="242">
        <f t="shared" si="36"/>
        <v>42866</v>
      </c>
      <c r="BO259" s="29">
        <f t="shared" si="37"/>
        <v>0</v>
      </c>
      <c r="BP259" s="29">
        <f t="shared" si="38"/>
        <v>0</v>
      </c>
      <c r="BQ259" s="29">
        <f t="shared" si="40"/>
        <v>1</v>
      </c>
      <c r="BR259" s="29">
        <f t="shared" si="39"/>
        <v>177</v>
      </c>
      <c r="BS259" s="243">
        <f t="shared" si="41"/>
        <v>6.7204193548387095E-2</v>
      </c>
      <c r="BT259">
        <f t="shared" si="42"/>
        <v>6.7204193548387095E-2</v>
      </c>
      <c r="BU259" t="str">
        <f t="shared" si="43"/>
        <v>ok</v>
      </c>
      <c r="BV259">
        <f t="shared" si="45"/>
        <v>0</v>
      </c>
      <c r="BW259">
        <f t="shared" si="44"/>
        <v>0</v>
      </c>
    </row>
    <row r="260" spans="43:75" x14ac:dyDescent="0.25">
      <c r="AQ260" s="63"/>
      <c r="BM260" s="29">
        <v>255</v>
      </c>
      <c r="BN260" s="242">
        <f t="shared" si="36"/>
        <v>42867</v>
      </c>
      <c r="BO260" s="29">
        <f t="shared" si="37"/>
        <v>0</v>
      </c>
      <c r="BP260" s="29">
        <f t="shared" si="38"/>
        <v>1</v>
      </c>
      <c r="BQ260" s="29">
        <f t="shared" si="40"/>
        <v>0</v>
      </c>
      <c r="BR260" s="29">
        <f t="shared" si="39"/>
        <v>177</v>
      </c>
      <c r="BS260" s="243">
        <f t="shared" si="41"/>
        <v>6.7204193548387095E-2</v>
      </c>
      <c r="BT260">
        <f t="shared" si="42"/>
        <v>6.7204193548387095E-2</v>
      </c>
      <c r="BU260" t="str">
        <f t="shared" si="43"/>
        <v>ok</v>
      </c>
      <c r="BV260">
        <f t="shared" si="45"/>
        <v>0</v>
      </c>
      <c r="BW260">
        <f t="shared" si="44"/>
        <v>0</v>
      </c>
    </row>
    <row r="261" spans="43:75" x14ac:dyDescent="0.25">
      <c r="AQ261" s="63"/>
      <c r="BM261" s="29">
        <v>256</v>
      </c>
      <c r="BN261" s="242">
        <f t="shared" si="36"/>
        <v>42868</v>
      </c>
      <c r="BO261" s="29">
        <f t="shared" si="37"/>
        <v>0</v>
      </c>
      <c r="BP261" s="29">
        <f t="shared" si="38"/>
        <v>0</v>
      </c>
      <c r="BQ261" s="29">
        <f t="shared" si="40"/>
        <v>1</v>
      </c>
      <c r="BR261" s="29">
        <f t="shared" si="39"/>
        <v>178</v>
      </c>
      <c r="BS261" s="243">
        <f t="shared" si="41"/>
        <v>6.7204193548387095E-2</v>
      </c>
      <c r="BT261">
        <f t="shared" si="42"/>
        <v>6.7204193548387095E-2</v>
      </c>
      <c r="BU261" t="str">
        <f t="shared" si="43"/>
        <v>ok</v>
      </c>
      <c r="BV261">
        <f t="shared" si="45"/>
        <v>0</v>
      </c>
      <c r="BW261">
        <f t="shared" si="44"/>
        <v>0</v>
      </c>
    </row>
    <row r="262" spans="43:75" x14ac:dyDescent="0.25">
      <c r="AQ262" s="63"/>
      <c r="BM262" s="29">
        <v>257</v>
      </c>
      <c r="BN262" s="242">
        <f t="shared" ref="BN262:BN325" si="46">BN261+1</f>
        <v>42869</v>
      </c>
      <c r="BO262" s="29">
        <f t="shared" ref="BO262:BO325" si="47">IF(OR(WEEKDAY(BN262)=1,WEEKDAY(BN262)=7),1,0)</f>
        <v>1</v>
      </c>
      <c r="BP262" s="29">
        <f t="shared" ref="BP262:BP325" si="48">IF(BO262=1,0,COUNTIF(tab_ferie,BN262))</f>
        <v>0</v>
      </c>
      <c r="BQ262" s="29">
        <f t="shared" si="40"/>
        <v>0</v>
      </c>
      <c r="BR262" s="29">
        <f t="shared" ref="BR262:BR325" si="49">BR261+1-BP262-BO262</f>
        <v>178</v>
      </c>
      <c r="BS262" s="243">
        <f t="shared" si="41"/>
        <v>6.7204193548387095E-2</v>
      </c>
      <c r="BT262">
        <f t="shared" si="42"/>
        <v>6.7204193548387095E-2</v>
      </c>
      <c r="BU262" t="str">
        <f t="shared" si="43"/>
        <v>ok</v>
      </c>
      <c r="BV262">
        <f t="shared" si="45"/>
        <v>0</v>
      </c>
      <c r="BW262">
        <f t="shared" si="44"/>
        <v>0</v>
      </c>
    </row>
    <row r="263" spans="43:75" x14ac:dyDescent="0.25">
      <c r="AQ263" s="63"/>
      <c r="BM263" s="29">
        <v>258</v>
      </c>
      <c r="BN263" s="242">
        <f t="shared" si="46"/>
        <v>42870</v>
      </c>
      <c r="BO263" s="29">
        <f t="shared" si="47"/>
        <v>1</v>
      </c>
      <c r="BP263" s="29">
        <f t="shared" si="48"/>
        <v>0</v>
      </c>
      <c r="BQ263" s="29">
        <f t="shared" ref="BQ263:BQ326" si="50">IF(AND(BN263&gt;=$AF$5,BN263&lt;=$AF$6),IF(BO263+BP263=0,1,0),0)</f>
        <v>0</v>
      </c>
      <c r="BR263" s="29">
        <f t="shared" si="49"/>
        <v>178</v>
      </c>
      <c r="BS263" s="243">
        <f t="shared" ref="BS263:BS326" si="51">2.08333/(EOMONTH(BN263,0)-(EOMONTH(BN263,-1)))</f>
        <v>6.7204193548387095E-2</v>
      </c>
      <c r="BT263">
        <f t="shared" ref="BT263:BT326" si="52">IF(AND(BN263&gt;=$AF$5,BN263&lt;=$AF$6),BS263,0)</f>
        <v>6.7204193548387095E-2</v>
      </c>
      <c r="BU263" t="str">
        <f t="shared" ref="BU263:BU326" si="53">IF(OR(MONTH(BN263)&gt;=10,MONTH(BN263)&lt;=5),"ok","non")</f>
        <v>ok</v>
      </c>
      <c r="BV263">
        <f t="shared" si="45"/>
        <v>0</v>
      </c>
      <c r="BW263">
        <f t="shared" ref="BW263:BW326" si="54">IF(AND(BN263&gt;=$AF$5,BN263&lt;=$AF$6),BV263,0)</f>
        <v>0</v>
      </c>
    </row>
    <row r="264" spans="43:75" x14ac:dyDescent="0.25">
      <c r="AQ264" s="63"/>
      <c r="BM264" s="29">
        <v>259</v>
      </c>
      <c r="BN264" s="242">
        <f t="shared" si="46"/>
        <v>42871</v>
      </c>
      <c r="BO264" s="29">
        <f t="shared" si="47"/>
        <v>0</v>
      </c>
      <c r="BP264" s="29">
        <f t="shared" si="48"/>
        <v>0</v>
      </c>
      <c r="BQ264" s="29">
        <f t="shared" si="50"/>
        <v>1</v>
      </c>
      <c r="BR264" s="29">
        <f t="shared" si="49"/>
        <v>179</v>
      </c>
      <c r="BS264" s="243">
        <f t="shared" si="51"/>
        <v>6.7204193548387095E-2</v>
      </c>
      <c r="BT264">
        <f t="shared" si="52"/>
        <v>6.7204193548387095E-2</v>
      </c>
      <c r="BU264" t="str">
        <f t="shared" si="53"/>
        <v>ok</v>
      </c>
      <c r="BV264">
        <f t="shared" si="45"/>
        <v>0</v>
      </c>
      <c r="BW264">
        <f t="shared" si="54"/>
        <v>0</v>
      </c>
    </row>
    <row r="265" spans="43:75" x14ac:dyDescent="0.25">
      <c r="AQ265" s="63"/>
      <c r="BM265" s="29">
        <v>260</v>
      </c>
      <c r="BN265" s="242">
        <f t="shared" si="46"/>
        <v>42872</v>
      </c>
      <c r="BO265" s="29">
        <f t="shared" si="47"/>
        <v>0</v>
      </c>
      <c r="BP265" s="29">
        <f t="shared" si="48"/>
        <v>0</v>
      </c>
      <c r="BQ265" s="29">
        <f t="shared" si="50"/>
        <v>1</v>
      </c>
      <c r="BR265" s="29">
        <f t="shared" si="49"/>
        <v>180</v>
      </c>
      <c r="BS265" s="243">
        <f t="shared" si="51"/>
        <v>6.7204193548387095E-2</v>
      </c>
      <c r="BT265">
        <f t="shared" si="52"/>
        <v>6.7204193548387095E-2</v>
      </c>
      <c r="BU265" t="str">
        <f t="shared" si="53"/>
        <v>ok</v>
      </c>
      <c r="BV265">
        <f t="shared" si="45"/>
        <v>0</v>
      </c>
      <c r="BW265">
        <f t="shared" si="54"/>
        <v>0</v>
      </c>
    </row>
    <row r="266" spans="43:75" x14ac:dyDescent="0.25">
      <c r="AQ266" s="63"/>
      <c r="BM266" s="29">
        <v>261</v>
      </c>
      <c r="BN266" s="242">
        <f t="shared" si="46"/>
        <v>42873</v>
      </c>
      <c r="BO266" s="29">
        <f t="shared" si="47"/>
        <v>0</v>
      </c>
      <c r="BP266" s="29">
        <f t="shared" si="48"/>
        <v>0</v>
      </c>
      <c r="BQ266" s="29">
        <f t="shared" si="50"/>
        <v>1</v>
      </c>
      <c r="BR266" s="29">
        <f t="shared" si="49"/>
        <v>181</v>
      </c>
      <c r="BS266" s="243">
        <f t="shared" si="51"/>
        <v>6.7204193548387095E-2</v>
      </c>
      <c r="BT266">
        <f t="shared" si="52"/>
        <v>6.7204193548387095E-2</v>
      </c>
      <c r="BU266" t="str">
        <f t="shared" si="53"/>
        <v>ok</v>
      </c>
      <c r="BV266">
        <f t="shared" si="45"/>
        <v>0</v>
      </c>
      <c r="BW266">
        <f t="shared" si="54"/>
        <v>0</v>
      </c>
    </row>
    <row r="267" spans="43:75" x14ac:dyDescent="0.25">
      <c r="AQ267" s="63"/>
      <c r="BM267" s="29">
        <v>262</v>
      </c>
      <c r="BN267" s="242">
        <f t="shared" si="46"/>
        <v>42874</v>
      </c>
      <c r="BO267" s="29">
        <f t="shared" si="47"/>
        <v>0</v>
      </c>
      <c r="BP267" s="29">
        <f t="shared" si="48"/>
        <v>0</v>
      </c>
      <c r="BQ267" s="29">
        <f t="shared" si="50"/>
        <v>1</v>
      </c>
      <c r="BR267" s="29">
        <f t="shared" si="49"/>
        <v>182</v>
      </c>
      <c r="BS267" s="243">
        <f t="shared" si="51"/>
        <v>6.7204193548387095E-2</v>
      </c>
      <c r="BT267">
        <f t="shared" si="52"/>
        <v>6.7204193548387095E-2</v>
      </c>
      <c r="BU267" t="str">
        <f t="shared" si="53"/>
        <v>ok</v>
      </c>
      <c r="BV267">
        <f t="shared" si="45"/>
        <v>0</v>
      </c>
      <c r="BW267">
        <f t="shared" si="54"/>
        <v>0</v>
      </c>
    </row>
    <row r="268" spans="43:75" x14ac:dyDescent="0.25">
      <c r="AQ268" s="63"/>
      <c r="BM268" s="29">
        <v>263</v>
      </c>
      <c r="BN268" s="242">
        <f t="shared" si="46"/>
        <v>42875</v>
      </c>
      <c r="BO268" s="29">
        <f t="shared" si="47"/>
        <v>0</v>
      </c>
      <c r="BP268" s="29">
        <f t="shared" si="48"/>
        <v>0</v>
      </c>
      <c r="BQ268" s="29">
        <f t="shared" si="50"/>
        <v>1</v>
      </c>
      <c r="BR268" s="29">
        <f t="shared" si="49"/>
        <v>183</v>
      </c>
      <c r="BS268" s="243">
        <f t="shared" si="51"/>
        <v>6.7204193548387095E-2</v>
      </c>
      <c r="BT268">
        <f t="shared" si="52"/>
        <v>6.7204193548387095E-2</v>
      </c>
      <c r="BU268" t="str">
        <f t="shared" si="53"/>
        <v>ok</v>
      </c>
      <c r="BV268">
        <f t="shared" si="45"/>
        <v>0</v>
      </c>
      <c r="BW268">
        <f t="shared" si="54"/>
        <v>0</v>
      </c>
    </row>
    <row r="269" spans="43:75" x14ac:dyDescent="0.25">
      <c r="AQ269" s="63"/>
      <c r="BM269" s="29">
        <v>264</v>
      </c>
      <c r="BN269" s="242">
        <f t="shared" si="46"/>
        <v>42876</v>
      </c>
      <c r="BO269" s="29">
        <f t="shared" si="47"/>
        <v>1</v>
      </c>
      <c r="BP269" s="29">
        <f t="shared" si="48"/>
        <v>0</v>
      </c>
      <c r="BQ269" s="29">
        <f t="shared" si="50"/>
        <v>0</v>
      </c>
      <c r="BR269" s="29">
        <f t="shared" si="49"/>
        <v>183</v>
      </c>
      <c r="BS269" s="243">
        <f t="shared" si="51"/>
        <v>6.7204193548387095E-2</v>
      </c>
      <c r="BT269">
        <f t="shared" si="52"/>
        <v>6.7204193548387095E-2</v>
      </c>
      <c r="BU269" t="str">
        <f t="shared" si="53"/>
        <v>ok</v>
      </c>
      <c r="BV269">
        <f t="shared" si="45"/>
        <v>0</v>
      </c>
      <c r="BW269">
        <f t="shared" si="54"/>
        <v>0</v>
      </c>
    </row>
    <row r="270" spans="43:75" x14ac:dyDescent="0.25">
      <c r="AQ270" s="63"/>
      <c r="BM270" s="29">
        <v>265</v>
      </c>
      <c r="BN270" s="242">
        <f t="shared" si="46"/>
        <v>42877</v>
      </c>
      <c r="BO270" s="29">
        <f t="shared" si="47"/>
        <v>1</v>
      </c>
      <c r="BP270" s="29">
        <f t="shared" si="48"/>
        <v>0</v>
      </c>
      <c r="BQ270" s="29">
        <f t="shared" si="50"/>
        <v>0</v>
      </c>
      <c r="BR270" s="29">
        <f t="shared" si="49"/>
        <v>183</v>
      </c>
      <c r="BS270" s="243">
        <f t="shared" si="51"/>
        <v>6.7204193548387095E-2</v>
      </c>
      <c r="BT270">
        <f t="shared" si="52"/>
        <v>6.7204193548387095E-2</v>
      </c>
      <c r="BU270" t="str">
        <f t="shared" si="53"/>
        <v>ok</v>
      </c>
      <c r="BV270">
        <f t="shared" si="45"/>
        <v>0</v>
      </c>
      <c r="BW270">
        <f t="shared" si="54"/>
        <v>0</v>
      </c>
    </row>
    <row r="271" spans="43:75" x14ac:dyDescent="0.25">
      <c r="AQ271" s="63"/>
      <c r="BM271" s="29">
        <v>266</v>
      </c>
      <c r="BN271" s="242">
        <f t="shared" si="46"/>
        <v>42878</v>
      </c>
      <c r="BO271" s="29">
        <f t="shared" si="47"/>
        <v>0</v>
      </c>
      <c r="BP271" s="29">
        <f t="shared" si="48"/>
        <v>0</v>
      </c>
      <c r="BQ271" s="29">
        <f t="shared" si="50"/>
        <v>1</v>
      </c>
      <c r="BR271" s="29">
        <f t="shared" si="49"/>
        <v>184</v>
      </c>
      <c r="BS271" s="243">
        <f t="shared" si="51"/>
        <v>6.7204193548387095E-2</v>
      </c>
      <c r="BT271">
        <f t="shared" si="52"/>
        <v>6.7204193548387095E-2</v>
      </c>
      <c r="BU271" t="str">
        <f t="shared" si="53"/>
        <v>ok</v>
      </c>
      <c r="BV271">
        <f t="shared" si="45"/>
        <v>0</v>
      </c>
      <c r="BW271">
        <f t="shared" si="54"/>
        <v>0</v>
      </c>
    </row>
    <row r="272" spans="43:75" x14ac:dyDescent="0.25">
      <c r="AQ272" s="63"/>
      <c r="BM272" s="29">
        <v>267</v>
      </c>
      <c r="BN272" s="242">
        <f t="shared" si="46"/>
        <v>42879</v>
      </c>
      <c r="BO272" s="29">
        <f t="shared" si="47"/>
        <v>0</v>
      </c>
      <c r="BP272" s="29">
        <f t="shared" si="48"/>
        <v>0</v>
      </c>
      <c r="BQ272" s="29">
        <f t="shared" si="50"/>
        <v>1</v>
      </c>
      <c r="BR272" s="29">
        <f t="shared" si="49"/>
        <v>185</v>
      </c>
      <c r="BS272" s="243">
        <f t="shared" si="51"/>
        <v>6.7204193548387095E-2</v>
      </c>
      <c r="BT272">
        <f t="shared" si="52"/>
        <v>6.7204193548387095E-2</v>
      </c>
      <c r="BU272" t="str">
        <f t="shared" si="53"/>
        <v>ok</v>
      </c>
      <c r="BV272">
        <f t="shared" si="45"/>
        <v>0</v>
      </c>
      <c r="BW272">
        <f t="shared" si="54"/>
        <v>0</v>
      </c>
    </row>
    <row r="273" spans="43:75" x14ac:dyDescent="0.25">
      <c r="AQ273" s="63"/>
      <c r="BM273" s="29">
        <v>268</v>
      </c>
      <c r="BN273" s="242">
        <f t="shared" si="46"/>
        <v>42880</v>
      </c>
      <c r="BO273" s="29">
        <f t="shared" si="47"/>
        <v>0</v>
      </c>
      <c r="BP273" s="29">
        <f t="shared" si="48"/>
        <v>0</v>
      </c>
      <c r="BQ273" s="29">
        <f t="shared" si="50"/>
        <v>1</v>
      </c>
      <c r="BR273" s="29">
        <f t="shared" si="49"/>
        <v>186</v>
      </c>
      <c r="BS273" s="243">
        <f t="shared" si="51"/>
        <v>6.7204193548387095E-2</v>
      </c>
      <c r="BT273">
        <f t="shared" si="52"/>
        <v>6.7204193548387095E-2</v>
      </c>
      <c r="BU273" t="str">
        <f t="shared" si="53"/>
        <v>ok</v>
      </c>
      <c r="BV273">
        <f t="shared" ref="BV273:BV336" si="55">IF(BU273="ok",$CC$29/(EOMONTH(BN273,0)-(EOMONTH(BN273,-1))),0)</f>
        <v>0</v>
      </c>
      <c r="BW273">
        <f t="shared" si="54"/>
        <v>0</v>
      </c>
    </row>
    <row r="274" spans="43:75" x14ac:dyDescent="0.25">
      <c r="AQ274" s="63"/>
      <c r="BM274" s="29">
        <v>269</v>
      </c>
      <c r="BN274" s="242">
        <f t="shared" si="46"/>
        <v>42881</v>
      </c>
      <c r="BO274" s="29">
        <f t="shared" si="47"/>
        <v>0</v>
      </c>
      <c r="BP274" s="29">
        <f t="shared" si="48"/>
        <v>0</v>
      </c>
      <c r="BQ274" s="29">
        <f t="shared" si="50"/>
        <v>1</v>
      </c>
      <c r="BR274" s="29">
        <f t="shared" si="49"/>
        <v>187</v>
      </c>
      <c r="BS274" s="243">
        <f t="shared" si="51"/>
        <v>6.7204193548387095E-2</v>
      </c>
      <c r="BT274">
        <f t="shared" si="52"/>
        <v>6.7204193548387095E-2</v>
      </c>
      <c r="BU274" t="str">
        <f t="shared" si="53"/>
        <v>ok</v>
      </c>
      <c r="BV274">
        <f t="shared" si="55"/>
        <v>0</v>
      </c>
      <c r="BW274">
        <f t="shared" si="54"/>
        <v>0</v>
      </c>
    </row>
    <row r="275" spans="43:75" x14ac:dyDescent="0.25">
      <c r="AQ275" s="63"/>
      <c r="BM275" s="29">
        <v>270</v>
      </c>
      <c r="BN275" s="242">
        <f t="shared" si="46"/>
        <v>42882</v>
      </c>
      <c r="BO275" s="29">
        <f t="shared" si="47"/>
        <v>0</v>
      </c>
      <c r="BP275" s="29">
        <f t="shared" si="48"/>
        <v>0</v>
      </c>
      <c r="BQ275" s="29">
        <f t="shared" si="50"/>
        <v>1</v>
      </c>
      <c r="BR275" s="29">
        <f t="shared" si="49"/>
        <v>188</v>
      </c>
      <c r="BS275" s="243">
        <f t="shared" si="51"/>
        <v>6.7204193548387095E-2</v>
      </c>
      <c r="BT275">
        <f t="shared" si="52"/>
        <v>6.7204193548387095E-2</v>
      </c>
      <c r="BU275" t="str">
        <f t="shared" si="53"/>
        <v>ok</v>
      </c>
      <c r="BV275">
        <f t="shared" si="55"/>
        <v>0</v>
      </c>
      <c r="BW275">
        <f t="shared" si="54"/>
        <v>0</v>
      </c>
    </row>
    <row r="276" spans="43:75" x14ac:dyDescent="0.25">
      <c r="AQ276" s="63"/>
      <c r="BM276" s="29">
        <v>271</v>
      </c>
      <c r="BN276" s="242">
        <f t="shared" si="46"/>
        <v>42883</v>
      </c>
      <c r="BO276" s="29">
        <f t="shared" si="47"/>
        <v>1</v>
      </c>
      <c r="BP276" s="29">
        <f t="shared" si="48"/>
        <v>0</v>
      </c>
      <c r="BQ276" s="29">
        <f t="shared" si="50"/>
        <v>0</v>
      </c>
      <c r="BR276" s="29">
        <f t="shared" si="49"/>
        <v>188</v>
      </c>
      <c r="BS276" s="243">
        <f t="shared" si="51"/>
        <v>6.7204193548387095E-2</v>
      </c>
      <c r="BT276">
        <f t="shared" si="52"/>
        <v>6.7204193548387095E-2</v>
      </c>
      <c r="BU276" t="str">
        <f t="shared" si="53"/>
        <v>ok</v>
      </c>
      <c r="BV276">
        <f t="shared" si="55"/>
        <v>0</v>
      </c>
      <c r="BW276">
        <f t="shared" si="54"/>
        <v>0</v>
      </c>
    </row>
    <row r="277" spans="43:75" x14ac:dyDescent="0.25">
      <c r="AQ277" s="63"/>
      <c r="BM277" s="29">
        <v>272</v>
      </c>
      <c r="BN277" s="242">
        <f t="shared" si="46"/>
        <v>42884</v>
      </c>
      <c r="BO277" s="29">
        <f t="shared" si="47"/>
        <v>1</v>
      </c>
      <c r="BP277" s="29">
        <f t="shared" si="48"/>
        <v>0</v>
      </c>
      <c r="BQ277" s="29">
        <f t="shared" si="50"/>
        <v>0</v>
      </c>
      <c r="BR277" s="29">
        <f t="shared" si="49"/>
        <v>188</v>
      </c>
      <c r="BS277" s="243">
        <f t="shared" si="51"/>
        <v>6.7204193548387095E-2</v>
      </c>
      <c r="BT277">
        <f t="shared" si="52"/>
        <v>6.7204193548387095E-2</v>
      </c>
      <c r="BU277" t="str">
        <f t="shared" si="53"/>
        <v>ok</v>
      </c>
      <c r="BV277">
        <f t="shared" si="55"/>
        <v>0</v>
      </c>
      <c r="BW277">
        <f t="shared" si="54"/>
        <v>0</v>
      </c>
    </row>
    <row r="278" spans="43:75" x14ac:dyDescent="0.25">
      <c r="AQ278" s="63"/>
      <c r="BM278" s="29">
        <v>273</v>
      </c>
      <c r="BN278" s="242">
        <f t="shared" si="46"/>
        <v>42885</v>
      </c>
      <c r="BO278" s="29">
        <f t="shared" si="47"/>
        <v>0</v>
      </c>
      <c r="BP278" s="29">
        <f t="shared" si="48"/>
        <v>0</v>
      </c>
      <c r="BQ278" s="29">
        <f t="shared" si="50"/>
        <v>1</v>
      </c>
      <c r="BR278" s="29">
        <f t="shared" si="49"/>
        <v>189</v>
      </c>
      <c r="BS278" s="243">
        <f t="shared" si="51"/>
        <v>6.7204193548387095E-2</v>
      </c>
      <c r="BT278">
        <f t="shared" si="52"/>
        <v>6.7204193548387095E-2</v>
      </c>
      <c r="BU278" t="str">
        <f t="shared" si="53"/>
        <v>ok</v>
      </c>
      <c r="BV278">
        <f t="shared" si="55"/>
        <v>0</v>
      </c>
      <c r="BW278">
        <f t="shared" si="54"/>
        <v>0</v>
      </c>
    </row>
    <row r="279" spans="43:75" x14ac:dyDescent="0.25">
      <c r="AQ279" s="63"/>
      <c r="BM279" s="29">
        <v>274</v>
      </c>
      <c r="BN279" s="242">
        <f t="shared" si="46"/>
        <v>42886</v>
      </c>
      <c r="BO279" s="29">
        <f t="shared" si="47"/>
        <v>0</v>
      </c>
      <c r="BP279" s="29">
        <f t="shared" si="48"/>
        <v>0</v>
      </c>
      <c r="BQ279" s="29">
        <f t="shared" si="50"/>
        <v>1</v>
      </c>
      <c r="BR279" s="29">
        <f t="shared" si="49"/>
        <v>190</v>
      </c>
      <c r="BS279" s="243">
        <f t="shared" si="51"/>
        <v>6.9444333333333344E-2</v>
      </c>
      <c r="BT279">
        <f t="shared" si="52"/>
        <v>6.9444333333333344E-2</v>
      </c>
      <c r="BU279" t="str">
        <f t="shared" si="53"/>
        <v>non</v>
      </c>
      <c r="BV279">
        <f t="shared" si="55"/>
        <v>0</v>
      </c>
      <c r="BW279">
        <f t="shared" si="54"/>
        <v>0</v>
      </c>
    </row>
    <row r="280" spans="43:75" x14ac:dyDescent="0.25">
      <c r="AQ280" s="63"/>
      <c r="BM280" s="29">
        <v>275</v>
      </c>
      <c r="BN280" s="242">
        <f t="shared" si="46"/>
        <v>42887</v>
      </c>
      <c r="BO280" s="29">
        <f t="shared" si="47"/>
        <v>0</v>
      </c>
      <c r="BP280" s="29">
        <f t="shared" si="48"/>
        <v>0</v>
      </c>
      <c r="BQ280" s="29">
        <f t="shared" si="50"/>
        <v>1</v>
      </c>
      <c r="BR280" s="29">
        <f t="shared" si="49"/>
        <v>191</v>
      </c>
      <c r="BS280" s="243">
        <f t="shared" si="51"/>
        <v>6.9444333333333344E-2</v>
      </c>
      <c r="BT280">
        <f t="shared" si="52"/>
        <v>6.9444333333333344E-2</v>
      </c>
      <c r="BU280" t="str">
        <f t="shared" si="53"/>
        <v>non</v>
      </c>
      <c r="BV280">
        <f t="shared" si="55"/>
        <v>0</v>
      </c>
      <c r="BW280">
        <f t="shared" si="54"/>
        <v>0</v>
      </c>
    </row>
    <row r="281" spans="43:75" x14ac:dyDescent="0.25">
      <c r="AQ281" s="63"/>
      <c r="BM281" s="29">
        <v>276</v>
      </c>
      <c r="BN281" s="242">
        <f t="shared" si="46"/>
        <v>42888</v>
      </c>
      <c r="BO281" s="29">
        <f t="shared" si="47"/>
        <v>0</v>
      </c>
      <c r="BP281" s="29">
        <f t="shared" si="48"/>
        <v>0</v>
      </c>
      <c r="BQ281" s="29">
        <f t="shared" si="50"/>
        <v>1</v>
      </c>
      <c r="BR281" s="29">
        <f t="shared" si="49"/>
        <v>192</v>
      </c>
      <c r="BS281" s="243">
        <f t="shared" si="51"/>
        <v>6.9444333333333344E-2</v>
      </c>
      <c r="BT281">
        <f t="shared" si="52"/>
        <v>6.9444333333333344E-2</v>
      </c>
      <c r="BU281" t="str">
        <f t="shared" si="53"/>
        <v>non</v>
      </c>
      <c r="BV281">
        <f t="shared" si="55"/>
        <v>0</v>
      </c>
      <c r="BW281">
        <f t="shared" si="54"/>
        <v>0</v>
      </c>
    </row>
    <row r="282" spans="43:75" x14ac:dyDescent="0.25">
      <c r="AQ282" s="63"/>
      <c r="BM282" s="29">
        <v>277</v>
      </c>
      <c r="BN282" s="242">
        <f t="shared" si="46"/>
        <v>42889</v>
      </c>
      <c r="BO282" s="29">
        <f t="shared" si="47"/>
        <v>0</v>
      </c>
      <c r="BP282" s="29">
        <f t="shared" si="48"/>
        <v>0</v>
      </c>
      <c r="BQ282" s="29">
        <f t="shared" si="50"/>
        <v>1</v>
      </c>
      <c r="BR282" s="29">
        <f t="shared" si="49"/>
        <v>193</v>
      </c>
      <c r="BS282" s="243">
        <f t="shared" si="51"/>
        <v>6.9444333333333344E-2</v>
      </c>
      <c r="BT282">
        <f t="shared" si="52"/>
        <v>6.9444333333333344E-2</v>
      </c>
      <c r="BU282" t="str">
        <f t="shared" si="53"/>
        <v>non</v>
      </c>
      <c r="BV282">
        <f t="shared" si="55"/>
        <v>0</v>
      </c>
      <c r="BW282">
        <f t="shared" si="54"/>
        <v>0</v>
      </c>
    </row>
    <row r="283" spans="43:75" x14ac:dyDescent="0.25">
      <c r="AQ283" s="63"/>
      <c r="BM283" s="29">
        <v>278</v>
      </c>
      <c r="BN283" s="242">
        <f t="shared" si="46"/>
        <v>42890</v>
      </c>
      <c r="BO283" s="29">
        <f t="shared" si="47"/>
        <v>1</v>
      </c>
      <c r="BP283" s="29">
        <f t="shared" si="48"/>
        <v>0</v>
      </c>
      <c r="BQ283" s="29">
        <f t="shared" si="50"/>
        <v>0</v>
      </c>
      <c r="BR283" s="29">
        <f t="shared" si="49"/>
        <v>193</v>
      </c>
      <c r="BS283" s="243">
        <f t="shared" si="51"/>
        <v>6.9444333333333344E-2</v>
      </c>
      <c r="BT283">
        <f t="shared" si="52"/>
        <v>6.9444333333333344E-2</v>
      </c>
      <c r="BU283" t="str">
        <f t="shared" si="53"/>
        <v>non</v>
      </c>
      <c r="BV283">
        <f t="shared" si="55"/>
        <v>0</v>
      </c>
      <c r="BW283">
        <f t="shared" si="54"/>
        <v>0</v>
      </c>
    </row>
    <row r="284" spans="43:75" x14ac:dyDescent="0.25">
      <c r="AQ284" s="63"/>
      <c r="BM284" s="29">
        <v>279</v>
      </c>
      <c r="BN284" s="242">
        <f t="shared" si="46"/>
        <v>42891</v>
      </c>
      <c r="BO284" s="29">
        <f t="shared" si="47"/>
        <v>1</v>
      </c>
      <c r="BP284" s="29">
        <f t="shared" si="48"/>
        <v>0</v>
      </c>
      <c r="BQ284" s="29">
        <f t="shared" si="50"/>
        <v>0</v>
      </c>
      <c r="BR284" s="29">
        <f t="shared" si="49"/>
        <v>193</v>
      </c>
      <c r="BS284" s="243">
        <f t="shared" si="51"/>
        <v>6.9444333333333344E-2</v>
      </c>
      <c r="BT284">
        <f t="shared" si="52"/>
        <v>6.9444333333333344E-2</v>
      </c>
      <c r="BU284" t="str">
        <f t="shared" si="53"/>
        <v>non</v>
      </c>
      <c r="BV284">
        <f t="shared" si="55"/>
        <v>0</v>
      </c>
      <c r="BW284">
        <f t="shared" si="54"/>
        <v>0</v>
      </c>
    </row>
    <row r="285" spans="43:75" x14ac:dyDescent="0.25">
      <c r="AQ285" s="63"/>
      <c r="BM285" s="29">
        <v>280</v>
      </c>
      <c r="BN285" s="242">
        <f t="shared" si="46"/>
        <v>42892</v>
      </c>
      <c r="BO285" s="29">
        <f t="shared" si="47"/>
        <v>0</v>
      </c>
      <c r="BP285" s="29">
        <f t="shared" si="48"/>
        <v>0</v>
      </c>
      <c r="BQ285" s="29">
        <f t="shared" si="50"/>
        <v>1</v>
      </c>
      <c r="BR285" s="29">
        <f t="shared" si="49"/>
        <v>194</v>
      </c>
      <c r="BS285" s="243">
        <f t="shared" si="51"/>
        <v>6.9444333333333344E-2</v>
      </c>
      <c r="BT285">
        <f t="shared" si="52"/>
        <v>6.9444333333333344E-2</v>
      </c>
      <c r="BU285" t="str">
        <f t="shared" si="53"/>
        <v>non</v>
      </c>
      <c r="BV285">
        <f t="shared" si="55"/>
        <v>0</v>
      </c>
      <c r="BW285">
        <f t="shared" si="54"/>
        <v>0</v>
      </c>
    </row>
    <row r="286" spans="43:75" x14ac:dyDescent="0.25">
      <c r="AQ286" s="63"/>
      <c r="BM286" s="29">
        <v>281</v>
      </c>
      <c r="BN286" s="242">
        <f t="shared" si="46"/>
        <v>42893</v>
      </c>
      <c r="BO286" s="29">
        <f t="shared" si="47"/>
        <v>0</v>
      </c>
      <c r="BP286" s="29">
        <f t="shared" si="48"/>
        <v>0</v>
      </c>
      <c r="BQ286" s="29">
        <f t="shared" si="50"/>
        <v>1</v>
      </c>
      <c r="BR286" s="29">
        <f t="shared" si="49"/>
        <v>195</v>
      </c>
      <c r="BS286" s="243">
        <f t="shared" si="51"/>
        <v>6.9444333333333344E-2</v>
      </c>
      <c r="BT286">
        <f t="shared" si="52"/>
        <v>6.9444333333333344E-2</v>
      </c>
      <c r="BU286" t="str">
        <f t="shared" si="53"/>
        <v>non</v>
      </c>
      <c r="BV286">
        <f t="shared" si="55"/>
        <v>0</v>
      </c>
      <c r="BW286">
        <f t="shared" si="54"/>
        <v>0</v>
      </c>
    </row>
    <row r="287" spans="43:75" x14ac:dyDescent="0.25">
      <c r="AQ287" s="63"/>
      <c r="BM287" s="29">
        <v>282</v>
      </c>
      <c r="BN287" s="242">
        <f t="shared" si="46"/>
        <v>42894</v>
      </c>
      <c r="BO287" s="29">
        <f t="shared" si="47"/>
        <v>0</v>
      </c>
      <c r="BP287" s="29">
        <f t="shared" si="48"/>
        <v>0</v>
      </c>
      <c r="BQ287" s="29">
        <f t="shared" si="50"/>
        <v>1</v>
      </c>
      <c r="BR287" s="29">
        <f t="shared" si="49"/>
        <v>196</v>
      </c>
      <c r="BS287" s="243">
        <f t="shared" si="51"/>
        <v>6.9444333333333344E-2</v>
      </c>
      <c r="BT287">
        <f t="shared" si="52"/>
        <v>6.9444333333333344E-2</v>
      </c>
      <c r="BU287" t="str">
        <f t="shared" si="53"/>
        <v>non</v>
      </c>
      <c r="BV287">
        <f t="shared" si="55"/>
        <v>0</v>
      </c>
      <c r="BW287">
        <f t="shared" si="54"/>
        <v>0</v>
      </c>
    </row>
    <row r="288" spans="43:75" x14ac:dyDescent="0.25">
      <c r="AQ288" s="63"/>
      <c r="BM288" s="29">
        <v>283</v>
      </c>
      <c r="BN288" s="242">
        <f t="shared" si="46"/>
        <v>42895</v>
      </c>
      <c r="BO288" s="29">
        <f t="shared" si="47"/>
        <v>0</v>
      </c>
      <c r="BP288" s="29">
        <f t="shared" si="48"/>
        <v>0</v>
      </c>
      <c r="BQ288" s="29">
        <f t="shared" si="50"/>
        <v>1</v>
      </c>
      <c r="BR288" s="29">
        <f t="shared" si="49"/>
        <v>197</v>
      </c>
      <c r="BS288" s="243">
        <f t="shared" si="51"/>
        <v>6.9444333333333344E-2</v>
      </c>
      <c r="BT288">
        <f t="shared" si="52"/>
        <v>6.9444333333333344E-2</v>
      </c>
      <c r="BU288" t="str">
        <f t="shared" si="53"/>
        <v>non</v>
      </c>
      <c r="BV288">
        <f t="shared" si="55"/>
        <v>0</v>
      </c>
      <c r="BW288">
        <f t="shared" si="54"/>
        <v>0</v>
      </c>
    </row>
    <row r="289" spans="43:75" x14ac:dyDescent="0.25">
      <c r="AQ289" s="63"/>
      <c r="BM289" s="29">
        <v>284</v>
      </c>
      <c r="BN289" s="242">
        <f t="shared" si="46"/>
        <v>42896</v>
      </c>
      <c r="BO289" s="29">
        <f t="shared" si="47"/>
        <v>0</v>
      </c>
      <c r="BP289" s="29">
        <f t="shared" si="48"/>
        <v>0</v>
      </c>
      <c r="BQ289" s="29">
        <f t="shared" si="50"/>
        <v>1</v>
      </c>
      <c r="BR289" s="29">
        <f t="shared" si="49"/>
        <v>198</v>
      </c>
      <c r="BS289" s="243">
        <f t="shared" si="51"/>
        <v>6.9444333333333344E-2</v>
      </c>
      <c r="BT289">
        <f t="shared" si="52"/>
        <v>6.9444333333333344E-2</v>
      </c>
      <c r="BU289" t="str">
        <f t="shared" si="53"/>
        <v>non</v>
      </c>
      <c r="BV289">
        <f t="shared" si="55"/>
        <v>0</v>
      </c>
      <c r="BW289">
        <f t="shared" si="54"/>
        <v>0</v>
      </c>
    </row>
    <row r="290" spans="43:75" x14ac:dyDescent="0.25">
      <c r="AQ290" s="63"/>
      <c r="BM290" s="29">
        <v>285</v>
      </c>
      <c r="BN290" s="242">
        <f t="shared" si="46"/>
        <v>42897</v>
      </c>
      <c r="BO290" s="29">
        <f t="shared" si="47"/>
        <v>1</v>
      </c>
      <c r="BP290" s="29">
        <f t="shared" si="48"/>
        <v>0</v>
      </c>
      <c r="BQ290" s="29">
        <f t="shared" si="50"/>
        <v>0</v>
      </c>
      <c r="BR290" s="29">
        <f t="shared" si="49"/>
        <v>198</v>
      </c>
      <c r="BS290" s="243">
        <f t="shared" si="51"/>
        <v>6.9444333333333344E-2</v>
      </c>
      <c r="BT290">
        <f t="shared" si="52"/>
        <v>6.9444333333333344E-2</v>
      </c>
      <c r="BU290" t="str">
        <f t="shared" si="53"/>
        <v>non</v>
      </c>
      <c r="BV290">
        <f t="shared" si="55"/>
        <v>0</v>
      </c>
      <c r="BW290">
        <f t="shared" si="54"/>
        <v>0</v>
      </c>
    </row>
    <row r="291" spans="43:75" x14ac:dyDescent="0.25">
      <c r="AQ291" s="63"/>
      <c r="BM291" s="29">
        <v>286</v>
      </c>
      <c r="BN291" s="242">
        <f t="shared" si="46"/>
        <v>42898</v>
      </c>
      <c r="BO291" s="29">
        <f t="shared" si="47"/>
        <v>1</v>
      </c>
      <c r="BP291" s="29">
        <f t="shared" si="48"/>
        <v>0</v>
      </c>
      <c r="BQ291" s="29">
        <f t="shared" si="50"/>
        <v>0</v>
      </c>
      <c r="BR291" s="29">
        <f t="shared" si="49"/>
        <v>198</v>
      </c>
      <c r="BS291" s="243">
        <f t="shared" si="51"/>
        <v>6.9444333333333344E-2</v>
      </c>
      <c r="BT291">
        <f t="shared" si="52"/>
        <v>6.9444333333333344E-2</v>
      </c>
      <c r="BU291" t="str">
        <f t="shared" si="53"/>
        <v>non</v>
      </c>
      <c r="BV291">
        <f t="shared" si="55"/>
        <v>0</v>
      </c>
      <c r="BW291">
        <f t="shared" si="54"/>
        <v>0</v>
      </c>
    </row>
    <row r="292" spans="43:75" x14ac:dyDescent="0.25">
      <c r="AQ292" s="63"/>
      <c r="BM292" s="29">
        <v>287</v>
      </c>
      <c r="BN292" s="242">
        <f t="shared" si="46"/>
        <v>42899</v>
      </c>
      <c r="BO292" s="29">
        <f t="shared" si="47"/>
        <v>0</v>
      </c>
      <c r="BP292" s="29">
        <f t="shared" si="48"/>
        <v>0</v>
      </c>
      <c r="BQ292" s="29">
        <f t="shared" si="50"/>
        <v>1</v>
      </c>
      <c r="BR292" s="29">
        <f t="shared" si="49"/>
        <v>199</v>
      </c>
      <c r="BS292" s="243">
        <f t="shared" si="51"/>
        <v>6.9444333333333344E-2</v>
      </c>
      <c r="BT292">
        <f t="shared" si="52"/>
        <v>6.9444333333333344E-2</v>
      </c>
      <c r="BU292" t="str">
        <f t="shared" si="53"/>
        <v>non</v>
      </c>
      <c r="BV292">
        <f t="shared" si="55"/>
        <v>0</v>
      </c>
      <c r="BW292">
        <f t="shared" si="54"/>
        <v>0</v>
      </c>
    </row>
    <row r="293" spans="43:75" x14ac:dyDescent="0.25">
      <c r="AQ293" s="63"/>
      <c r="BM293" s="29">
        <v>288</v>
      </c>
      <c r="BN293" s="242">
        <f t="shared" si="46"/>
        <v>42900</v>
      </c>
      <c r="BO293" s="29">
        <f t="shared" si="47"/>
        <v>0</v>
      </c>
      <c r="BP293" s="29">
        <f t="shared" si="48"/>
        <v>0</v>
      </c>
      <c r="BQ293" s="29">
        <f t="shared" si="50"/>
        <v>1</v>
      </c>
      <c r="BR293" s="29">
        <f t="shared" si="49"/>
        <v>200</v>
      </c>
      <c r="BS293" s="243">
        <f t="shared" si="51"/>
        <v>6.9444333333333344E-2</v>
      </c>
      <c r="BT293">
        <f t="shared" si="52"/>
        <v>6.9444333333333344E-2</v>
      </c>
      <c r="BU293" t="str">
        <f t="shared" si="53"/>
        <v>non</v>
      </c>
      <c r="BV293">
        <f t="shared" si="55"/>
        <v>0</v>
      </c>
      <c r="BW293">
        <f t="shared" si="54"/>
        <v>0</v>
      </c>
    </row>
    <row r="294" spans="43:75" x14ac:dyDescent="0.25">
      <c r="AQ294" s="63"/>
      <c r="BM294" s="29">
        <v>289</v>
      </c>
      <c r="BN294" s="242">
        <f t="shared" si="46"/>
        <v>42901</v>
      </c>
      <c r="BO294" s="29">
        <f t="shared" si="47"/>
        <v>0</v>
      </c>
      <c r="BP294" s="29">
        <f t="shared" si="48"/>
        <v>0</v>
      </c>
      <c r="BQ294" s="29">
        <f t="shared" si="50"/>
        <v>1</v>
      </c>
      <c r="BR294" s="29">
        <f t="shared" si="49"/>
        <v>201</v>
      </c>
      <c r="BS294" s="243">
        <f t="shared" si="51"/>
        <v>6.9444333333333344E-2</v>
      </c>
      <c r="BT294">
        <f t="shared" si="52"/>
        <v>6.9444333333333344E-2</v>
      </c>
      <c r="BU294" t="str">
        <f t="shared" si="53"/>
        <v>non</v>
      </c>
      <c r="BV294">
        <f t="shared" si="55"/>
        <v>0</v>
      </c>
      <c r="BW294">
        <f t="shared" si="54"/>
        <v>0</v>
      </c>
    </row>
    <row r="295" spans="43:75" x14ac:dyDescent="0.25">
      <c r="AQ295" s="63"/>
      <c r="BM295" s="29">
        <v>290</v>
      </c>
      <c r="BN295" s="242">
        <f t="shared" si="46"/>
        <v>42902</v>
      </c>
      <c r="BO295" s="29">
        <f t="shared" si="47"/>
        <v>0</v>
      </c>
      <c r="BP295" s="29">
        <f t="shared" si="48"/>
        <v>0</v>
      </c>
      <c r="BQ295" s="29">
        <f t="shared" si="50"/>
        <v>1</v>
      </c>
      <c r="BR295" s="29">
        <f t="shared" si="49"/>
        <v>202</v>
      </c>
      <c r="BS295" s="243">
        <f t="shared" si="51"/>
        <v>6.9444333333333344E-2</v>
      </c>
      <c r="BT295">
        <f t="shared" si="52"/>
        <v>6.9444333333333344E-2</v>
      </c>
      <c r="BU295" t="str">
        <f t="shared" si="53"/>
        <v>non</v>
      </c>
      <c r="BV295">
        <f t="shared" si="55"/>
        <v>0</v>
      </c>
      <c r="BW295">
        <f t="shared" si="54"/>
        <v>0</v>
      </c>
    </row>
    <row r="296" spans="43:75" x14ac:dyDescent="0.25">
      <c r="AQ296" s="63"/>
      <c r="BM296" s="29">
        <v>291</v>
      </c>
      <c r="BN296" s="242">
        <f t="shared" si="46"/>
        <v>42903</v>
      </c>
      <c r="BO296" s="29">
        <f t="shared" si="47"/>
        <v>0</v>
      </c>
      <c r="BP296" s="29">
        <f t="shared" si="48"/>
        <v>0</v>
      </c>
      <c r="BQ296" s="29">
        <f t="shared" si="50"/>
        <v>1</v>
      </c>
      <c r="BR296" s="29">
        <f t="shared" si="49"/>
        <v>203</v>
      </c>
      <c r="BS296" s="243">
        <f t="shared" si="51"/>
        <v>6.9444333333333344E-2</v>
      </c>
      <c r="BT296">
        <f t="shared" si="52"/>
        <v>6.9444333333333344E-2</v>
      </c>
      <c r="BU296" t="str">
        <f t="shared" si="53"/>
        <v>non</v>
      </c>
      <c r="BV296">
        <f t="shared" si="55"/>
        <v>0</v>
      </c>
      <c r="BW296">
        <f t="shared" si="54"/>
        <v>0</v>
      </c>
    </row>
    <row r="297" spans="43:75" x14ac:dyDescent="0.25">
      <c r="AQ297" s="63"/>
      <c r="BM297" s="29">
        <v>292</v>
      </c>
      <c r="BN297" s="242">
        <f t="shared" si="46"/>
        <v>42904</v>
      </c>
      <c r="BO297" s="29">
        <f t="shared" si="47"/>
        <v>1</v>
      </c>
      <c r="BP297" s="29">
        <f t="shared" si="48"/>
        <v>0</v>
      </c>
      <c r="BQ297" s="29">
        <f t="shared" si="50"/>
        <v>0</v>
      </c>
      <c r="BR297" s="29">
        <f t="shared" si="49"/>
        <v>203</v>
      </c>
      <c r="BS297" s="243">
        <f t="shared" si="51"/>
        <v>6.9444333333333344E-2</v>
      </c>
      <c r="BT297">
        <f t="shared" si="52"/>
        <v>6.9444333333333344E-2</v>
      </c>
      <c r="BU297" t="str">
        <f t="shared" si="53"/>
        <v>non</v>
      </c>
      <c r="BV297">
        <f t="shared" si="55"/>
        <v>0</v>
      </c>
      <c r="BW297">
        <f t="shared" si="54"/>
        <v>0</v>
      </c>
    </row>
    <row r="298" spans="43:75" x14ac:dyDescent="0.25">
      <c r="AQ298" s="63"/>
      <c r="BM298" s="29">
        <v>293</v>
      </c>
      <c r="BN298" s="242">
        <f t="shared" si="46"/>
        <v>42905</v>
      </c>
      <c r="BO298" s="29">
        <f t="shared" si="47"/>
        <v>1</v>
      </c>
      <c r="BP298" s="29">
        <f t="shared" si="48"/>
        <v>0</v>
      </c>
      <c r="BQ298" s="29">
        <f t="shared" si="50"/>
        <v>0</v>
      </c>
      <c r="BR298" s="29">
        <f t="shared" si="49"/>
        <v>203</v>
      </c>
      <c r="BS298" s="243">
        <f t="shared" si="51"/>
        <v>6.9444333333333344E-2</v>
      </c>
      <c r="BT298">
        <f t="shared" si="52"/>
        <v>6.9444333333333344E-2</v>
      </c>
      <c r="BU298" t="str">
        <f t="shared" si="53"/>
        <v>non</v>
      </c>
      <c r="BV298">
        <f t="shared" si="55"/>
        <v>0</v>
      </c>
      <c r="BW298">
        <f t="shared" si="54"/>
        <v>0</v>
      </c>
    </row>
    <row r="299" spans="43:75" x14ac:dyDescent="0.25">
      <c r="AQ299" s="63"/>
      <c r="BM299" s="29">
        <v>294</v>
      </c>
      <c r="BN299" s="242">
        <f t="shared" si="46"/>
        <v>42906</v>
      </c>
      <c r="BO299" s="29">
        <f t="shared" si="47"/>
        <v>0</v>
      </c>
      <c r="BP299" s="29">
        <f t="shared" si="48"/>
        <v>0</v>
      </c>
      <c r="BQ299" s="29">
        <f t="shared" si="50"/>
        <v>1</v>
      </c>
      <c r="BR299" s="29">
        <f t="shared" si="49"/>
        <v>204</v>
      </c>
      <c r="BS299" s="243">
        <f t="shared" si="51"/>
        <v>6.9444333333333344E-2</v>
      </c>
      <c r="BT299">
        <f t="shared" si="52"/>
        <v>6.9444333333333344E-2</v>
      </c>
      <c r="BU299" t="str">
        <f t="shared" si="53"/>
        <v>non</v>
      </c>
      <c r="BV299">
        <f t="shared" si="55"/>
        <v>0</v>
      </c>
      <c r="BW299">
        <f t="shared" si="54"/>
        <v>0</v>
      </c>
    </row>
    <row r="300" spans="43:75" x14ac:dyDescent="0.25">
      <c r="AQ300" s="63"/>
      <c r="BM300" s="29">
        <v>295</v>
      </c>
      <c r="BN300" s="242">
        <f t="shared" si="46"/>
        <v>42907</v>
      </c>
      <c r="BO300" s="29">
        <f t="shared" si="47"/>
        <v>0</v>
      </c>
      <c r="BP300" s="29">
        <f t="shared" si="48"/>
        <v>0</v>
      </c>
      <c r="BQ300" s="29">
        <f t="shared" si="50"/>
        <v>1</v>
      </c>
      <c r="BR300" s="29">
        <f t="shared" si="49"/>
        <v>205</v>
      </c>
      <c r="BS300" s="243">
        <f t="shared" si="51"/>
        <v>6.9444333333333344E-2</v>
      </c>
      <c r="BT300">
        <f t="shared" si="52"/>
        <v>6.9444333333333344E-2</v>
      </c>
      <c r="BU300" t="str">
        <f t="shared" si="53"/>
        <v>non</v>
      </c>
      <c r="BV300">
        <f t="shared" si="55"/>
        <v>0</v>
      </c>
      <c r="BW300">
        <f t="shared" si="54"/>
        <v>0</v>
      </c>
    </row>
    <row r="301" spans="43:75" x14ac:dyDescent="0.25">
      <c r="AQ301" s="63"/>
      <c r="BM301" s="29">
        <v>296</v>
      </c>
      <c r="BN301" s="242">
        <f t="shared" si="46"/>
        <v>42908</v>
      </c>
      <c r="BO301" s="29">
        <f t="shared" si="47"/>
        <v>0</v>
      </c>
      <c r="BP301" s="29">
        <f t="shared" si="48"/>
        <v>0</v>
      </c>
      <c r="BQ301" s="29">
        <f t="shared" si="50"/>
        <v>1</v>
      </c>
      <c r="BR301" s="29">
        <f t="shared" si="49"/>
        <v>206</v>
      </c>
      <c r="BS301" s="243">
        <f t="shared" si="51"/>
        <v>6.9444333333333344E-2</v>
      </c>
      <c r="BT301">
        <f t="shared" si="52"/>
        <v>6.9444333333333344E-2</v>
      </c>
      <c r="BU301" t="str">
        <f t="shared" si="53"/>
        <v>non</v>
      </c>
      <c r="BV301">
        <f t="shared" si="55"/>
        <v>0</v>
      </c>
      <c r="BW301">
        <f t="shared" si="54"/>
        <v>0</v>
      </c>
    </row>
    <row r="302" spans="43:75" x14ac:dyDescent="0.25">
      <c r="AQ302" s="63"/>
      <c r="BM302" s="29">
        <v>297</v>
      </c>
      <c r="BN302" s="242">
        <f t="shared" si="46"/>
        <v>42909</v>
      </c>
      <c r="BO302" s="29">
        <f t="shared" si="47"/>
        <v>0</v>
      </c>
      <c r="BP302" s="29">
        <f t="shared" si="48"/>
        <v>0</v>
      </c>
      <c r="BQ302" s="29">
        <f t="shared" si="50"/>
        <v>1</v>
      </c>
      <c r="BR302" s="29">
        <f t="shared" si="49"/>
        <v>207</v>
      </c>
      <c r="BS302" s="243">
        <f t="shared" si="51"/>
        <v>6.9444333333333344E-2</v>
      </c>
      <c r="BT302">
        <f t="shared" si="52"/>
        <v>6.9444333333333344E-2</v>
      </c>
      <c r="BU302" t="str">
        <f t="shared" si="53"/>
        <v>non</v>
      </c>
      <c r="BV302">
        <f t="shared" si="55"/>
        <v>0</v>
      </c>
      <c r="BW302">
        <f t="shared" si="54"/>
        <v>0</v>
      </c>
    </row>
    <row r="303" spans="43:75" x14ac:dyDescent="0.25">
      <c r="BM303" s="29">
        <v>298</v>
      </c>
      <c r="BN303" s="242">
        <f t="shared" si="46"/>
        <v>42910</v>
      </c>
      <c r="BO303" s="29">
        <f t="shared" si="47"/>
        <v>0</v>
      </c>
      <c r="BP303" s="29">
        <f t="shared" si="48"/>
        <v>0</v>
      </c>
      <c r="BQ303" s="29">
        <f t="shared" si="50"/>
        <v>1</v>
      </c>
      <c r="BR303" s="29">
        <f t="shared" si="49"/>
        <v>208</v>
      </c>
      <c r="BS303" s="243">
        <f t="shared" si="51"/>
        <v>6.9444333333333344E-2</v>
      </c>
      <c r="BT303">
        <f t="shared" si="52"/>
        <v>6.9444333333333344E-2</v>
      </c>
      <c r="BU303" t="str">
        <f t="shared" si="53"/>
        <v>non</v>
      </c>
      <c r="BV303">
        <f t="shared" si="55"/>
        <v>0</v>
      </c>
      <c r="BW303">
        <f t="shared" si="54"/>
        <v>0</v>
      </c>
    </row>
    <row r="304" spans="43:75" x14ac:dyDescent="0.25">
      <c r="BM304" s="29">
        <v>299</v>
      </c>
      <c r="BN304" s="242">
        <f t="shared" si="46"/>
        <v>42911</v>
      </c>
      <c r="BO304" s="29">
        <f t="shared" si="47"/>
        <v>1</v>
      </c>
      <c r="BP304" s="29">
        <f t="shared" si="48"/>
        <v>0</v>
      </c>
      <c r="BQ304" s="29">
        <f t="shared" si="50"/>
        <v>0</v>
      </c>
      <c r="BR304" s="29">
        <f t="shared" si="49"/>
        <v>208</v>
      </c>
      <c r="BS304" s="243">
        <f t="shared" si="51"/>
        <v>6.9444333333333344E-2</v>
      </c>
      <c r="BT304">
        <f t="shared" si="52"/>
        <v>6.9444333333333344E-2</v>
      </c>
      <c r="BU304" t="str">
        <f t="shared" si="53"/>
        <v>non</v>
      </c>
      <c r="BV304">
        <f t="shared" si="55"/>
        <v>0</v>
      </c>
      <c r="BW304">
        <f t="shared" si="54"/>
        <v>0</v>
      </c>
    </row>
    <row r="305" spans="65:75" x14ac:dyDescent="0.25">
      <c r="BM305" s="29">
        <v>300</v>
      </c>
      <c r="BN305" s="242">
        <f t="shared" si="46"/>
        <v>42912</v>
      </c>
      <c r="BO305" s="29">
        <f t="shared" si="47"/>
        <v>1</v>
      </c>
      <c r="BP305" s="29">
        <f t="shared" si="48"/>
        <v>0</v>
      </c>
      <c r="BQ305" s="29">
        <f t="shared" si="50"/>
        <v>0</v>
      </c>
      <c r="BR305" s="29">
        <f t="shared" si="49"/>
        <v>208</v>
      </c>
      <c r="BS305" s="243">
        <f t="shared" si="51"/>
        <v>6.9444333333333344E-2</v>
      </c>
      <c r="BT305">
        <f t="shared" si="52"/>
        <v>6.9444333333333344E-2</v>
      </c>
      <c r="BU305" t="str">
        <f t="shared" si="53"/>
        <v>non</v>
      </c>
      <c r="BV305">
        <f t="shared" si="55"/>
        <v>0</v>
      </c>
      <c r="BW305">
        <f t="shared" si="54"/>
        <v>0</v>
      </c>
    </row>
    <row r="306" spans="65:75" x14ac:dyDescent="0.25">
      <c r="BM306" s="29">
        <v>301</v>
      </c>
      <c r="BN306" s="242">
        <f t="shared" si="46"/>
        <v>42913</v>
      </c>
      <c r="BO306" s="29">
        <f t="shared" si="47"/>
        <v>0</v>
      </c>
      <c r="BP306" s="29">
        <f t="shared" si="48"/>
        <v>0</v>
      </c>
      <c r="BQ306" s="29">
        <f t="shared" si="50"/>
        <v>1</v>
      </c>
      <c r="BR306" s="29">
        <f t="shared" si="49"/>
        <v>209</v>
      </c>
      <c r="BS306" s="243">
        <f t="shared" si="51"/>
        <v>6.9444333333333344E-2</v>
      </c>
      <c r="BT306">
        <f t="shared" si="52"/>
        <v>6.9444333333333344E-2</v>
      </c>
      <c r="BU306" t="str">
        <f t="shared" si="53"/>
        <v>non</v>
      </c>
      <c r="BV306">
        <f t="shared" si="55"/>
        <v>0</v>
      </c>
      <c r="BW306">
        <f t="shared" si="54"/>
        <v>0</v>
      </c>
    </row>
    <row r="307" spans="65:75" x14ac:dyDescent="0.25">
      <c r="BM307" s="29">
        <v>302</v>
      </c>
      <c r="BN307" s="242">
        <f t="shared" si="46"/>
        <v>42914</v>
      </c>
      <c r="BO307" s="29">
        <f t="shared" si="47"/>
        <v>0</v>
      </c>
      <c r="BP307" s="29">
        <f t="shared" si="48"/>
        <v>0</v>
      </c>
      <c r="BQ307" s="29">
        <f t="shared" si="50"/>
        <v>1</v>
      </c>
      <c r="BR307" s="29">
        <f t="shared" si="49"/>
        <v>210</v>
      </c>
      <c r="BS307" s="243">
        <f t="shared" si="51"/>
        <v>6.9444333333333344E-2</v>
      </c>
      <c r="BT307">
        <f t="shared" si="52"/>
        <v>6.9444333333333344E-2</v>
      </c>
      <c r="BU307" t="str">
        <f t="shared" si="53"/>
        <v>non</v>
      </c>
      <c r="BV307">
        <f t="shared" si="55"/>
        <v>0</v>
      </c>
      <c r="BW307">
        <f t="shared" si="54"/>
        <v>0</v>
      </c>
    </row>
    <row r="308" spans="65:75" x14ac:dyDescent="0.25">
      <c r="BM308" s="29">
        <v>303</v>
      </c>
      <c r="BN308" s="242">
        <f t="shared" si="46"/>
        <v>42915</v>
      </c>
      <c r="BO308" s="29">
        <f t="shared" si="47"/>
        <v>0</v>
      </c>
      <c r="BP308" s="29">
        <f t="shared" si="48"/>
        <v>0</v>
      </c>
      <c r="BQ308" s="29">
        <f t="shared" si="50"/>
        <v>1</v>
      </c>
      <c r="BR308" s="29">
        <f t="shared" si="49"/>
        <v>211</v>
      </c>
      <c r="BS308" s="243">
        <f t="shared" si="51"/>
        <v>6.9444333333333344E-2</v>
      </c>
      <c r="BT308">
        <f t="shared" si="52"/>
        <v>6.9444333333333344E-2</v>
      </c>
      <c r="BU308" t="str">
        <f t="shared" si="53"/>
        <v>non</v>
      </c>
      <c r="BV308">
        <f t="shared" si="55"/>
        <v>0</v>
      </c>
      <c r="BW308">
        <f t="shared" si="54"/>
        <v>0</v>
      </c>
    </row>
    <row r="309" spans="65:75" x14ac:dyDescent="0.25">
      <c r="BM309" s="29">
        <v>304</v>
      </c>
      <c r="BN309" s="242">
        <f t="shared" si="46"/>
        <v>42916</v>
      </c>
      <c r="BO309" s="29">
        <f t="shared" si="47"/>
        <v>0</v>
      </c>
      <c r="BP309" s="29">
        <f t="shared" si="48"/>
        <v>0</v>
      </c>
      <c r="BQ309" s="29">
        <f t="shared" si="50"/>
        <v>1</v>
      </c>
      <c r="BR309" s="29">
        <f t="shared" si="49"/>
        <v>212</v>
      </c>
      <c r="BS309" s="243">
        <f t="shared" si="51"/>
        <v>6.7204193548387095E-2</v>
      </c>
      <c r="BT309">
        <f t="shared" si="52"/>
        <v>6.7204193548387095E-2</v>
      </c>
      <c r="BU309" t="str">
        <f t="shared" si="53"/>
        <v>non</v>
      </c>
      <c r="BV309">
        <f t="shared" si="55"/>
        <v>0</v>
      </c>
      <c r="BW309">
        <f t="shared" si="54"/>
        <v>0</v>
      </c>
    </row>
    <row r="310" spans="65:75" x14ac:dyDescent="0.25">
      <c r="BM310" s="29">
        <v>305</v>
      </c>
      <c r="BN310" s="242">
        <f t="shared" si="46"/>
        <v>42917</v>
      </c>
      <c r="BO310" s="29">
        <f t="shared" si="47"/>
        <v>0</v>
      </c>
      <c r="BP310" s="29">
        <f t="shared" si="48"/>
        <v>0</v>
      </c>
      <c r="BQ310" s="29">
        <f t="shared" si="50"/>
        <v>1</v>
      </c>
      <c r="BR310" s="29">
        <f t="shared" si="49"/>
        <v>213</v>
      </c>
      <c r="BS310" s="243">
        <f t="shared" si="51"/>
        <v>6.7204193548387095E-2</v>
      </c>
      <c r="BT310">
        <f t="shared" si="52"/>
        <v>6.7204193548387095E-2</v>
      </c>
      <c r="BU310" t="str">
        <f t="shared" si="53"/>
        <v>non</v>
      </c>
      <c r="BV310">
        <f t="shared" si="55"/>
        <v>0</v>
      </c>
      <c r="BW310">
        <f t="shared" si="54"/>
        <v>0</v>
      </c>
    </row>
    <row r="311" spans="65:75" x14ac:dyDescent="0.25">
      <c r="BM311" s="29">
        <v>306</v>
      </c>
      <c r="BN311" s="242">
        <f t="shared" si="46"/>
        <v>42918</v>
      </c>
      <c r="BO311" s="29">
        <f t="shared" si="47"/>
        <v>1</v>
      </c>
      <c r="BP311" s="29">
        <f t="shared" si="48"/>
        <v>0</v>
      </c>
      <c r="BQ311" s="29">
        <f t="shared" si="50"/>
        <v>0</v>
      </c>
      <c r="BR311" s="29">
        <f t="shared" si="49"/>
        <v>213</v>
      </c>
      <c r="BS311" s="243">
        <f t="shared" si="51"/>
        <v>6.7204193548387095E-2</v>
      </c>
      <c r="BT311">
        <f t="shared" si="52"/>
        <v>6.7204193548387095E-2</v>
      </c>
      <c r="BU311" t="str">
        <f t="shared" si="53"/>
        <v>non</v>
      </c>
      <c r="BV311">
        <f t="shared" si="55"/>
        <v>0</v>
      </c>
      <c r="BW311">
        <f t="shared" si="54"/>
        <v>0</v>
      </c>
    </row>
    <row r="312" spans="65:75" x14ac:dyDescent="0.25">
      <c r="BM312" s="29">
        <v>307</v>
      </c>
      <c r="BN312" s="242">
        <f t="shared" si="46"/>
        <v>42919</v>
      </c>
      <c r="BO312" s="29">
        <f t="shared" si="47"/>
        <v>1</v>
      </c>
      <c r="BP312" s="29">
        <f t="shared" si="48"/>
        <v>0</v>
      </c>
      <c r="BQ312" s="29">
        <f t="shared" si="50"/>
        <v>0</v>
      </c>
      <c r="BR312" s="29">
        <f t="shared" si="49"/>
        <v>213</v>
      </c>
      <c r="BS312" s="243">
        <f t="shared" si="51"/>
        <v>6.7204193548387095E-2</v>
      </c>
      <c r="BT312">
        <f t="shared" si="52"/>
        <v>6.7204193548387095E-2</v>
      </c>
      <c r="BU312" t="str">
        <f t="shared" si="53"/>
        <v>non</v>
      </c>
      <c r="BV312">
        <f t="shared" si="55"/>
        <v>0</v>
      </c>
      <c r="BW312">
        <f t="shared" si="54"/>
        <v>0</v>
      </c>
    </row>
    <row r="313" spans="65:75" x14ac:dyDescent="0.25">
      <c r="BM313" s="29">
        <v>308</v>
      </c>
      <c r="BN313" s="242">
        <f t="shared" si="46"/>
        <v>42920</v>
      </c>
      <c r="BO313" s="29">
        <f t="shared" si="47"/>
        <v>0</v>
      </c>
      <c r="BP313" s="29">
        <f t="shared" si="48"/>
        <v>0</v>
      </c>
      <c r="BQ313" s="29">
        <f t="shared" si="50"/>
        <v>1</v>
      </c>
      <c r="BR313" s="29">
        <f t="shared" si="49"/>
        <v>214</v>
      </c>
      <c r="BS313" s="243">
        <f t="shared" si="51"/>
        <v>6.7204193548387095E-2</v>
      </c>
      <c r="BT313">
        <f t="shared" si="52"/>
        <v>6.7204193548387095E-2</v>
      </c>
      <c r="BU313" t="str">
        <f t="shared" si="53"/>
        <v>non</v>
      </c>
      <c r="BV313">
        <f t="shared" si="55"/>
        <v>0</v>
      </c>
      <c r="BW313">
        <f t="shared" si="54"/>
        <v>0</v>
      </c>
    </row>
    <row r="314" spans="65:75" x14ac:dyDescent="0.25">
      <c r="BM314" s="29">
        <v>309</v>
      </c>
      <c r="BN314" s="242">
        <f t="shared" si="46"/>
        <v>42921</v>
      </c>
      <c r="BO314" s="29">
        <f t="shared" si="47"/>
        <v>0</v>
      </c>
      <c r="BP314" s="29">
        <f t="shared" si="48"/>
        <v>0</v>
      </c>
      <c r="BQ314" s="29">
        <f t="shared" si="50"/>
        <v>1</v>
      </c>
      <c r="BR314" s="29">
        <f t="shared" si="49"/>
        <v>215</v>
      </c>
      <c r="BS314" s="243">
        <f t="shared" si="51"/>
        <v>6.7204193548387095E-2</v>
      </c>
      <c r="BT314">
        <f t="shared" si="52"/>
        <v>6.7204193548387095E-2</v>
      </c>
      <c r="BU314" t="str">
        <f t="shared" si="53"/>
        <v>non</v>
      </c>
      <c r="BV314">
        <f t="shared" si="55"/>
        <v>0</v>
      </c>
      <c r="BW314">
        <f t="shared" si="54"/>
        <v>0</v>
      </c>
    </row>
    <row r="315" spans="65:75" x14ac:dyDescent="0.25">
      <c r="BM315" s="29">
        <v>310</v>
      </c>
      <c r="BN315" s="242">
        <f t="shared" si="46"/>
        <v>42922</v>
      </c>
      <c r="BO315" s="29">
        <f t="shared" si="47"/>
        <v>0</v>
      </c>
      <c r="BP315" s="29">
        <f t="shared" si="48"/>
        <v>0</v>
      </c>
      <c r="BQ315" s="29">
        <f t="shared" si="50"/>
        <v>1</v>
      </c>
      <c r="BR315" s="29">
        <f t="shared" si="49"/>
        <v>216</v>
      </c>
      <c r="BS315" s="243">
        <f t="shared" si="51"/>
        <v>6.7204193548387095E-2</v>
      </c>
      <c r="BT315">
        <f t="shared" si="52"/>
        <v>6.7204193548387095E-2</v>
      </c>
      <c r="BU315" t="str">
        <f t="shared" si="53"/>
        <v>non</v>
      </c>
      <c r="BV315">
        <f t="shared" si="55"/>
        <v>0</v>
      </c>
      <c r="BW315">
        <f t="shared" si="54"/>
        <v>0</v>
      </c>
    </row>
    <row r="316" spans="65:75" x14ac:dyDescent="0.25">
      <c r="BM316" s="29">
        <v>311</v>
      </c>
      <c r="BN316" s="242">
        <f t="shared" si="46"/>
        <v>42923</v>
      </c>
      <c r="BO316" s="29">
        <f t="shared" si="47"/>
        <v>0</v>
      </c>
      <c r="BP316" s="29">
        <f t="shared" si="48"/>
        <v>0</v>
      </c>
      <c r="BQ316" s="29">
        <f t="shared" si="50"/>
        <v>1</v>
      </c>
      <c r="BR316" s="29">
        <f t="shared" si="49"/>
        <v>217</v>
      </c>
      <c r="BS316" s="243">
        <f t="shared" si="51"/>
        <v>6.7204193548387095E-2</v>
      </c>
      <c r="BT316">
        <f t="shared" si="52"/>
        <v>6.7204193548387095E-2</v>
      </c>
      <c r="BU316" t="str">
        <f t="shared" si="53"/>
        <v>non</v>
      </c>
      <c r="BV316">
        <f t="shared" si="55"/>
        <v>0</v>
      </c>
      <c r="BW316">
        <f t="shared" si="54"/>
        <v>0</v>
      </c>
    </row>
    <row r="317" spans="65:75" x14ac:dyDescent="0.25">
      <c r="BM317" s="29">
        <v>312</v>
      </c>
      <c r="BN317" s="242">
        <f t="shared" si="46"/>
        <v>42924</v>
      </c>
      <c r="BO317" s="29">
        <f t="shared" si="47"/>
        <v>0</v>
      </c>
      <c r="BP317" s="29">
        <f t="shared" si="48"/>
        <v>0</v>
      </c>
      <c r="BQ317" s="29">
        <f t="shared" si="50"/>
        <v>1</v>
      </c>
      <c r="BR317" s="29">
        <f t="shared" si="49"/>
        <v>218</v>
      </c>
      <c r="BS317" s="243">
        <f t="shared" si="51"/>
        <v>6.7204193548387095E-2</v>
      </c>
      <c r="BT317">
        <f t="shared" si="52"/>
        <v>6.7204193548387095E-2</v>
      </c>
      <c r="BU317" t="str">
        <f t="shared" si="53"/>
        <v>non</v>
      </c>
      <c r="BV317">
        <f t="shared" si="55"/>
        <v>0</v>
      </c>
      <c r="BW317">
        <f t="shared" si="54"/>
        <v>0</v>
      </c>
    </row>
    <row r="318" spans="65:75" x14ac:dyDescent="0.25">
      <c r="BM318" s="29">
        <v>313</v>
      </c>
      <c r="BN318" s="242">
        <f t="shared" si="46"/>
        <v>42925</v>
      </c>
      <c r="BO318" s="29">
        <f t="shared" si="47"/>
        <v>1</v>
      </c>
      <c r="BP318" s="29">
        <f t="shared" si="48"/>
        <v>0</v>
      </c>
      <c r="BQ318" s="29">
        <f t="shared" si="50"/>
        <v>0</v>
      </c>
      <c r="BR318" s="29">
        <f t="shared" si="49"/>
        <v>218</v>
      </c>
      <c r="BS318" s="243">
        <f t="shared" si="51"/>
        <v>6.7204193548387095E-2</v>
      </c>
      <c r="BT318">
        <f t="shared" si="52"/>
        <v>6.7204193548387095E-2</v>
      </c>
      <c r="BU318" t="str">
        <f t="shared" si="53"/>
        <v>non</v>
      </c>
      <c r="BV318">
        <f t="shared" si="55"/>
        <v>0</v>
      </c>
      <c r="BW318">
        <f t="shared" si="54"/>
        <v>0</v>
      </c>
    </row>
    <row r="319" spans="65:75" x14ac:dyDescent="0.25">
      <c r="BM319" s="29">
        <v>314</v>
      </c>
      <c r="BN319" s="242">
        <f t="shared" si="46"/>
        <v>42926</v>
      </c>
      <c r="BO319" s="29">
        <f t="shared" si="47"/>
        <v>1</v>
      </c>
      <c r="BP319" s="29">
        <f t="shared" si="48"/>
        <v>0</v>
      </c>
      <c r="BQ319" s="29">
        <f t="shared" si="50"/>
        <v>0</v>
      </c>
      <c r="BR319" s="29">
        <f t="shared" si="49"/>
        <v>218</v>
      </c>
      <c r="BS319" s="243">
        <f t="shared" si="51"/>
        <v>6.7204193548387095E-2</v>
      </c>
      <c r="BT319">
        <f t="shared" si="52"/>
        <v>6.7204193548387095E-2</v>
      </c>
      <c r="BU319" t="str">
        <f t="shared" si="53"/>
        <v>non</v>
      </c>
      <c r="BV319">
        <f t="shared" si="55"/>
        <v>0</v>
      </c>
      <c r="BW319">
        <f t="shared" si="54"/>
        <v>0</v>
      </c>
    </row>
    <row r="320" spans="65:75" x14ac:dyDescent="0.25">
      <c r="BM320" s="29">
        <v>315</v>
      </c>
      <c r="BN320" s="242">
        <f t="shared" si="46"/>
        <v>42927</v>
      </c>
      <c r="BO320" s="29">
        <f t="shared" si="47"/>
        <v>0</v>
      </c>
      <c r="BP320" s="29">
        <f t="shared" si="48"/>
        <v>0</v>
      </c>
      <c r="BQ320" s="29">
        <f t="shared" si="50"/>
        <v>1</v>
      </c>
      <c r="BR320" s="29">
        <f t="shared" si="49"/>
        <v>219</v>
      </c>
      <c r="BS320" s="243">
        <f t="shared" si="51"/>
        <v>6.7204193548387095E-2</v>
      </c>
      <c r="BT320">
        <f t="shared" si="52"/>
        <v>6.7204193548387095E-2</v>
      </c>
      <c r="BU320" t="str">
        <f t="shared" si="53"/>
        <v>non</v>
      </c>
      <c r="BV320">
        <f t="shared" si="55"/>
        <v>0</v>
      </c>
      <c r="BW320">
        <f t="shared" si="54"/>
        <v>0</v>
      </c>
    </row>
    <row r="321" spans="65:75" x14ac:dyDescent="0.25">
      <c r="BM321" s="29">
        <v>316</v>
      </c>
      <c r="BN321" s="242">
        <f t="shared" si="46"/>
        <v>42928</v>
      </c>
      <c r="BO321" s="29">
        <f t="shared" si="47"/>
        <v>0</v>
      </c>
      <c r="BP321" s="29">
        <f t="shared" si="48"/>
        <v>0</v>
      </c>
      <c r="BQ321" s="29">
        <f t="shared" si="50"/>
        <v>1</v>
      </c>
      <c r="BR321" s="29">
        <f t="shared" si="49"/>
        <v>220</v>
      </c>
      <c r="BS321" s="243">
        <f t="shared" si="51"/>
        <v>6.7204193548387095E-2</v>
      </c>
      <c r="BT321">
        <f t="shared" si="52"/>
        <v>6.7204193548387095E-2</v>
      </c>
      <c r="BU321" t="str">
        <f t="shared" si="53"/>
        <v>non</v>
      </c>
      <c r="BV321">
        <f t="shared" si="55"/>
        <v>0</v>
      </c>
      <c r="BW321">
        <f t="shared" si="54"/>
        <v>0</v>
      </c>
    </row>
    <row r="322" spans="65:75" x14ac:dyDescent="0.25">
      <c r="BM322" s="29">
        <v>317</v>
      </c>
      <c r="BN322" s="242">
        <f t="shared" si="46"/>
        <v>42929</v>
      </c>
      <c r="BO322" s="29">
        <f t="shared" si="47"/>
        <v>0</v>
      </c>
      <c r="BP322" s="29">
        <f t="shared" si="48"/>
        <v>1</v>
      </c>
      <c r="BQ322" s="29">
        <f t="shared" si="50"/>
        <v>0</v>
      </c>
      <c r="BR322" s="29">
        <f t="shared" si="49"/>
        <v>220</v>
      </c>
      <c r="BS322" s="243">
        <f t="shared" si="51"/>
        <v>6.7204193548387095E-2</v>
      </c>
      <c r="BT322">
        <f t="shared" si="52"/>
        <v>6.7204193548387095E-2</v>
      </c>
      <c r="BU322" t="str">
        <f t="shared" si="53"/>
        <v>non</v>
      </c>
      <c r="BV322">
        <f t="shared" si="55"/>
        <v>0</v>
      </c>
      <c r="BW322">
        <f t="shared" si="54"/>
        <v>0</v>
      </c>
    </row>
    <row r="323" spans="65:75" x14ac:dyDescent="0.25">
      <c r="BM323" s="29">
        <v>318</v>
      </c>
      <c r="BN323" s="242">
        <f t="shared" si="46"/>
        <v>42930</v>
      </c>
      <c r="BO323" s="29">
        <f t="shared" si="47"/>
        <v>0</v>
      </c>
      <c r="BP323" s="29">
        <f t="shared" si="48"/>
        <v>0</v>
      </c>
      <c r="BQ323" s="29">
        <f t="shared" si="50"/>
        <v>1</v>
      </c>
      <c r="BR323" s="29">
        <f t="shared" si="49"/>
        <v>221</v>
      </c>
      <c r="BS323" s="243">
        <f t="shared" si="51"/>
        <v>6.7204193548387095E-2</v>
      </c>
      <c r="BT323">
        <f t="shared" si="52"/>
        <v>6.7204193548387095E-2</v>
      </c>
      <c r="BU323" t="str">
        <f t="shared" si="53"/>
        <v>non</v>
      </c>
      <c r="BV323">
        <f t="shared" si="55"/>
        <v>0</v>
      </c>
      <c r="BW323">
        <f t="shared" si="54"/>
        <v>0</v>
      </c>
    </row>
    <row r="324" spans="65:75" x14ac:dyDescent="0.25">
      <c r="BM324" s="29">
        <v>319</v>
      </c>
      <c r="BN324" s="242">
        <f t="shared" si="46"/>
        <v>42931</v>
      </c>
      <c r="BO324" s="29">
        <f t="shared" si="47"/>
        <v>0</v>
      </c>
      <c r="BP324" s="29">
        <f t="shared" si="48"/>
        <v>0</v>
      </c>
      <c r="BQ324" s="29">
        <f t="shared" si="50"/>
        <v>1</v>
      </c>
      <c r="BR324" s="29">
        <f t="shared" si="49"/>
        <v>222</v>
      </c>
      <c r="BS324" s="243">
        <f t="shared" si="51"/>
        <v>6.7204193548387095E-2</v>
      </c>
      <c r="BT324">
        <f t="shared" si="52"/>
        <v>6.7204193548387095E-2</v>
      </c>
      <c r="BU324" t="str">
        <f t="shared" si="53"/>
        <v>non</v>
      </c>
      <c r="BV324">
        <f t="shared" si="55"/>
        <v>0</v>
      </c>
      <c r="BW324">
        <f t="shared" si="54"/>
        <v>0</v>
      </c>
    </row>
    <row r="325" spans="65:75" x14ac:dyDescent="0.25">
      <c r="BM325" s="29">
        <v>320</v>
      </c>
      <c r="BN325" s="242">
        <f t="shared" si="46"/>
        <v>42932</v>
      </c>
      <c r="BO325" s="29">
        <f t="shared" si="47"/>
        <v>1</v>
      </c>
      <c r="BP325" s="29">
        <f t="shared" si="48"/>
        <v>0</v>
      </c>
      <c r="BQ325" s="29">
        <f t="shared" si="50"/>
        <v>0</v>
      </c>
      <c r="BR325" s="29">
        <f t="shared" si="49"/>
        <v>222</v>
      </c>
      <c r="BS325" s="243">
        <f t="shared" si="51"/>
        <v>6.7204193548387095E-2</v>
      </c>
      <c r="BT325">
        <f t="shared" si="52"/>
        <v>6.7204193548387095E-2</v>
      </c>
      <c r="BU325" t="str">
        <f t="shared" si="53"/>
        <v>non</v>
      </c>
      <c r="BV325">
        <f t="shared" si="55"/>
        <v>0</v>
      </c>
      <c r="BW325">
        <f t="shared" si="54"/>
        <v>0</v>
      </c>
    </row>
    <row r="326" spans="65:75" x14ac:dyDescent="0.25">
      <c r="BM326" s="29">
        <v>321</v>
      </c>
      <c r="BN326" s="242">
        <f t="shared" ref="BN326:BN371" si="56">BN325+1</f>
        <v>42933</v>
      </c>
      <c r="BO326" s="29">
        <f t="shared" ref="BO326:BO371" si="57">IF(OR(WEEKDAY(BN326)=1,WEEKDAY(BN326)=7),1,0)</f>
        <v>1</v>
      </c>
      <c r="BP326" s="29">
        <f t="shared" ref="BP326:BP371" si="58">IF(BO326=1,0,COUNTIF(tab_ferie,BN326))</f>
        <v>0</v>
      </c>
      <c r="BQ326" s="29">
        <f t="shared" si="50"/>
        <v>0</v>
      </c>
      <c r="BR326" s="29">
        <f t="shared" ref="BR326:BR371" si="59">BR325+1-BP326-BO326</f>
        <v>222</v>
      </c>
      <c r="BS326" s="243">
        <f t="shared" si="51"/>
        <v>6.7204193548387095E-2</v>
      </c>
      <c r="BT326">
        <f t="shared" si="52"/>
        <v>6.7204193548387095E-2</v>
      </c>
      <c r="BU326" t="str">
        <f t="shared" si="53"/>
        <v>non</v>
      </c>
      <c r="BV326">
        <f t="shared" si="55"/>
        <v>0</v>
      </c>
      <c r="BW326">
        <f t="shared" si="54"/>
        <v>0</v>
      </c>
    </row>
    <row r="327" spans="65:75" x14ac:dyDescent="0.25">
      <c r="BM327" s="29">
        <v>322</v>
      </c>
      <c r="BN327" s="242">
        <f t="shared" si="56"/>
        <v>42934</v>
      </c>
      <c r="BO327" s="29">
        <f t="shared" si="57"/>
        <v>0</v>
      </c>
      <c r="BP327" s="29">
        <f t="shared" si="58"/>
        <v>0</v>
      </c>
      <c r="BQ327" s="29">
        <f t="shared" ref="BQ327:BQ371" si="60">IF(AND(BN327&gt;=$AF$5,BN327&lt;=$AF$6),IF(BO327+BP327=0,1,0),0)</f>
        <v>1</v>
      </c>
      <c r="BR327" s="29">
        <f t="shared" si="59"/>
        <v>223</v>
      </c>
      <c r="BS327" s="243">
        <f t="shared" ref="BS327:BS371" si="61">2.08333/(EOMONTH(BN327,0)-(EOMONTH(BN327,-1)))</f>
        <v>6.7204193548387095E-2</v>
      </c>
      <c r="BT327">
        <f t="shared" ref="BT327:BT371" si="62">IF(AND(BN327&gt;=$AF$5,BN327&lt;=$AF$6),BS327,0)</f>
        <v>6.7204193548387095E-2</v>
      </c>
      <c r="BU327" t="str">
        <f t="shared" ref="BU327:BU371" si="63">IF(OR(MONTH(BN327)&gt;=10,MONTH(BN327)&lt;=5),"ok","non")</f>
        <v>non</v>
      </c>
      <c r="BV327">
        <f t="shared" si="55"/>
        <v>0</v>
      </c>
      <c r="BW327">
        <f t="shared" ref="BW327:BW371" si="64">IF(AND(BN327&gt;=$AF$5,BN327&lt;=$AF$6),BV327,0)</f>
        <v>0</v>
      </c>
    </row>
    <row r="328" spans="65:75" x14ac:dyDescent="0.25">
      <c r="BM328" s="29">
        <v>323</v>
      </c>
      <c r="BN328" s="242">
        <f t="shared" si="56"/>
        <v>42935</v>
      </c>
      <c r="BO328" s="29">
        <f t="shared" si="57"/>
        <v>0</v>
      </c>
      <c r="BP328" s="29">
        <f t="shared" si="58"/>
        <v>0</v>
      </c>
      <c r="BQ328" s="29">
        <f t="shared" si="60"/>
        <v>1</v>
      </c>
      <c r="BR328" s="29">
        <f t="shared" si="59"/>
        <v>224</v>
      </c>
      <c r="BS328" s="243">
        <f t="shared" si="61"/>
        <v>6.7204193548387095E-2</v>
      </c>
      <c r="BT328">
        <f t="shared" si="62"/>
        <v>6.7204193548387095E-2</v>
      </c>
      <c r="BU328" t="str">
        <f t="shared" si="63"/>
        <v>non</v>
      </c>
      <c r="BV328">
        <f t="shared" si="55"/>
        <v>0</v>
      </c>
      <c r="BW328">
        <f t="shared" si="64"/>
        <v>0</v>
      </c>
    </row>
    <row r="329" spans="65:75" x14ac:dyDescent="0.25">
      <c r="BM329" s="29">
        <v>324</v>
      </c>
      <c r="BN329" s="242">
        <f t="shared" si="56"/>
        <v>42936</v>
      </c>
      <c r="BO329" s="29">
        <f t="shared" si="57"/>
        <v>0</v>
      </c>
      <c r="BP329" s="29">
        <f t="shared" si="58"/>
        <v>0</v>
      </c>
      <c r="BQ329" s="29">
        <f t="shared" si="60"/>
        <v>1</v>
      </c>
      <c r="BR329" s="29">
        <f t="shared" si="59"/>
        <v>225</v>
      </c>
      <c r="BS329" s="243">
        <f t="shared" si="61"/>
        <v>6.7204193548387095E-2</v>
      </c>
      <c r="BT329">
        <f t="shared" si="62"/>
        <v>6.7204193548387095E-2</v>
      </c>
      <c r="BU329" t="str">
        <f t="shared" si="63"/>
        <v>non</v>
      </c>
      <c r="BV329">
        <f t="shared" si="55"/>
        <v>0</v>
      </c>
      <c r="BW329">
        <f t="shared" si="64"/>
        <v>0</v>
      </c>
    </row>
    <row r="330" spans="65:75" x14ac:dyDescent="0.25">
      <c r="BM330" s="29">
        <v>325</v>
      </c>
      <c r="BN330" s="242">
        <f t="shared" si="56"/>
        <v>42937</v>
      </c>
      <c r="BO330" s="29">
        <f t="shared" si="57"/>
        <v>0</v>
      </c>
      <c r="BP330" s="29">
        <f t="shared" si="58"/>
        <v>0</v>
      </c>
      <c r="BQ330" s="29">
        <f t="shared" si="60"/>
        <v>1</v>
      </c>
      <c r="BR330" s="29">
        <f t="shared" si="59"/>
        <v>226</v>
      </c>
      <c r="BS330" s="243">
        <f t="shared" si="61"/>
        <v>6.7204193548387095E-2</v>
      </c>
      <c r="BT330">
        <f t="shared" si="62"/>
        <v>6.7204193548387095E-2</v>
      </c>
      <c r="BU330" t="str">
        <f t="shared" si="63"/>
        <v>non</v>
      </c>
      <c r="BV330">
        <f t="shared" si="55"/>
        <v>0</v>
      </c>
      <c r="BW330">
        <f t="shared" si="64"/>
        <v>0</v>
      </c>
    </row>
    <row r="331" spans="65:75" x14ac:dyDescent="0.25">
      <c r="BM331" s="29">
        <v>326</v>
      </c>
      <c r="BN331" s="242">
        <f t="shared" si="56"/>
        <v>42938</v>
      </c>
      <c r="BO331" s="29">
        <f t="shared" si="57"/>
        <v>0</v>
      </c>
      <c r="BP331" s="29">
        <f t="shared" si="58"/>
        <v>0</v>
      </c>
      <c r="BQ331" s="29">
        <f t="shared" si="60"/>
        <v>1</v>
      </c>
      <c r="BR331" s="29">
        <f t="shared" si="59"/>
        <v>227</v>
      </c>
      <c r="BS331" s="243">
        <f t="shared" si="61"/>
        <v>6.7204193548387095E-2</v>
      </c>
      <c r="BT331">
        <f t="shared" si="62"/>
        <v>6.7204193548387095E-2</v>
      </c>
      <c r="BU331" t="str">
        <f t="shared" si="63"/>
        <v>non</v>
      </c>
      <c r="BV331">
        <f t="shared" si="55"/>
        <v>0</v>
      </c>
      <c r="BW331">
        <f t="shared" si="64"/>
        <v>0</v>
      </c>
    </row>
    <row r="332" spans="65:75" x14ac:dyDescent="0.25">
      <c r="BM332" s="29">
        <v>327</v>
      </c>
      <c r="BN332" s="242">
        <f t="shared" si="56"/>
        <v>42939</v>
      </c>
      <c r="BO332" s="29">
        <f t="shared" si="57"/>
        <v>1</v>
      </c>
      <c r="BP332" s="29">
        <f t="shared" si="58"/>
        <v>0</v>
      </c>
      <c r="BQ332" s="29">
        <f t="shared" si="60"/>
        <v>0</v>
      </c>
      <c r="BR332" s="29">
        <f t="shared" si="59"/>
        <v>227</v>
      </c>
      <c r="BS332" s="243">
        <f t="shared" si="61"/>
        <v>6.7204193548387095E-2</v>
      </c>
      <c r="BT332">
        <f t="shared" si="62"/>
        <v>6.7204193548387095E-2</v>
      </c>
      <c r="BU332" t="str">
        <f t="shared" si="63"/>
        <v>non</v>
      </c>
      <c r="BV332">
        <f t="shared" si="55"/>
        <v>0</v>
      </c>
      <c r="BW332">
        <f t="shared" si="64"/>
        <v>0</v>
      </c>
    </row>
    <row r="333" spans="65:75" x14ac:dyDescent="0.25">
      <c r="BM333" s="29">
        <v>328</v>
      </c>
      <c r="BN333" s="242">
        <f t="shared" si="56"/>
        <v>42940</v>
      </c>
      <c r="BO333" s="29">
        <f t="shared" si="57"/>
        <v>1</v>
      </c>
      <c r="BP333" s="29">
        <f t="shared" si="58"/>
        <v>0</v>
      </c>
      <c r="BQ333" s="29">
        <f t="shared" si="60"/>
        <v>0</v>
      </c>
      <c r="BR333" s="29">
        <f t="shared" si="59"/>
        <v>227</v>
      </c>
      <c r="BS333" s="243">
        <f t="shared" si="61"/>
        <v>6.7204193548387095E-2</v>
      </c>
      <c r="BT333">
        <f t="shared" si="62"/>
        <v>6.7204193548387095E-2</v>
      </c>
      <c r="BU333" t="str">
        <f t="shared" si="63"/>
        <v>non</v>
      </c>
      <c r="BV333">
        <f t="shared" si="55"/>
        <v>0</v>
      </c>
      <c r="BW333">
        <f t="shared" si="64"/>
        <v>0</v>
      </c>
    </row>
    <row r="334" spans="65:75" x14ac:dyDescent="0.25">
      <c r="BM334" s="29">
        <v>329</v>
      </c>
      <c r="BN334" s="242">
        <f t="shared" si="56"/>
        <v>42941</v>
      </c>
      <c r="BO334" s="29">
        <f t="shared" si="57"/>
        <v>0</v>
      </c>
      <c r="BP334" s="29">
        <f t="shared" si="58"/>
        <v>0</v>
      </c>
      <c r="BQ334" s="29">
        <f t="shared" si="60"/>
        <v>1</v>
      </c>
      <c r="BR334" s="29">
        <f t="shared" si="59"/>
        <v>228</v>
      </c>
      <c r="BS334" s="243">
        <f t="shared" si="61"/>
        <v>6.7204193548387095E-2</v>
      </c>
      <c r="BT334">
        <f t="shared" si="62"/>
        <v>6.7204193548387095E-2</v>
      </c>
      <c r="BU334" t="str">
        <f t="shared" si="63"/>
        <v>non</v>
      </c>
      <c r="BV334">
        <f t="shared" si="55"/>
        <v>0</v>
      </c>
      <c r="BW334">
        <f t="shared" si="64"/>
        <v>0</v>
      </c>
    </row>
    <row r="335" spans="65:75" x14ac:dyDescent="0.25">
      <c r="BM335" s="29">
        <v>330</v>
      </c>
      <c r="BN335" s="242">
        <f t="shared" si="56"/>
        <v>42942</v>
      </c>
      <c r="BO335" s="29">
        <f t="shared" si="57"/>
        <v>0</v>
      </c>
      <c r="BP335" s="29">
        <f t="shared" si="58"/>
        <v>0</v>
      </c>
      <c r="BQ335" s="29">
        <f t="shared" si="60"/>
        <v>1</v>
      </c>
      <c r="BR335" s="29">
        <f t="shared" si="59"/>
        <v>229</v>
      </c>
      <c r="BS335" s="243">
        <f t="shared" si="61"/>
        <v>6.7204193548387095E-2</v>
      </c>
      <c r="BT335">
        <f t="shared" si="62"/>
        <v>6.7204193548387095E-2</v>
      </c>
      <c r="BU335" t="str">
        <f t="shared" si="63"/>
        <v>non</v>
      </c>
      <c r="BV335">
        <f t="shared" si="55"/>
        <v>0</v>
      </c>
      <c r="BW335">
        <f t="shared" si="64"/>
        <v>0</v>
      </c>
    </row>
    <row r="336" spans="65:75" x14ac:dyDescent="0.25">
      <c r="BM336" s="29">
        <v>331</v>
      </c>
      <c r="BN336" s="242">
        <f t="shared" si="56"/>
        <v>42943</v>
      </c>
      <c r="BO336" s="29">
        <f t="shared" si="57"/>
        <v>0</v>
      </c>
      <c r="BP336" s="29">
        <f t="shared" si="58"/>
        <v>0</v>
      </c>
      <c r="BQ336" s="29">
        <f t="shared" si="60"/>
        <v>1</v>
      </c>
      <c r="BR336" s="29">
        <f t="shared" si="59"/>
        <v>230</v>
      </c>
      <c r="BS336" s="243">
        <f t="shared" si="61"/>
        <v>6.7204193548387095E-2</v>
      </c>
      <c r="BT336">
        <f t="shared" si="62"/>
        <v>6.7204193548387095E-2</v>
      </c>
      <c r="BU336" t="str">
        <f t="shared" si="63"/>
        <v>non</v>
      </c>
      <c r="BV336">
        <f t="shared" si="55"/>
        <v>0</v>
      </c>
      <c r="BW336">
        <f t="shared" si="64"/>
        <v>0</v>
      </c>
    </row>
    <row r="337" spans="65:75" x14ac:dyDescent="0.25">
      <c r="BM337" s="29">
        <v>332</v>
      </c>
      <c r="BN337" s="242">
        <f t="shared" si="56"/>
        <v>42944</v>
      </c>
      <c r="BO337" s="29">
        <f t="shared" si="57"/>
        <v>0</v>
      </c>
      <c r="BP337" s="29">
        <f t="shared" si="58"/>
        <v>0</v>
      </c>
      <c r="BQ337" s="29">
        <f t="shared" si="60"/>
        <v>1</v>
      </c>
      <c r="BR337" s="29">
        <f t="shared" si="59"/>
        <v>231</v>
      </c>
      <c r="BS337" s="243">
        <f t="shared" si="61"/>
        <v>6.7204193548387095E-2</v>
      </c>
      <c r="BT337">
        <f t="shared" si="62"/>
        <v>6.7204193548387095E-2</v>
      </c>
      <c r="BU337" t="str">
        <f t="shared" si="63"/>
        <v>non</v>
      </c>
      <c r="BV337">
        <f t="shared" ref="BV337:BV370" si="65">IF(BU337="ok",$CC$29/(EOMONTH(BN337,0)-(EOMONTH(BN337,-1))),0)</f>
        <v>0</v>
      </c>
      <c r="BW337">
        <f t="shared" si="64"/>
        <v>0</v>
      </c>
    </row>
    <row r="338" spans="65:75" x14ac:dyDescent="0.25">
      <c r="BM338" s="29">
        <v>333</v>
      </c>
      <c r="BN338" s="242">
        <f t="shared" si="56"/>
        <v>42945</v>
      </c>
      <c r="BO338" s="29">
        <f t="shared" si="57"/>
        <v>0</v>
      </c>
      <c r="BP338" s="29">
        <f t="shared" si="58"/>
        <v>0</v>
      </c>
      <c r="BQ338" s="29">
        <f t="shared" si="60"/>
        <v>1</v>
      </c>
      <c r="BR338" s="29">
        <f t="shared" si="59"/>
        <v>232</v>
      </c>
      <c r="BS338" s="243">
        <f t="shared" si="61"/>
        <v>6.7204193548387095E-2</v>
      </c>
      <c r="BT338">
        <f t="shared" si="62"/>
        <v>6.7204193548387095E-2</v>
      </c>
      <c r="BU338" t="str">
        <f t="shared" si="63"/>
        <v>non</v>
      </c>
      <c r="BV338">
        <f t="shared" si="65"/>
        <v>0</v>
      </c>
      <c r="BW338">
        <f t="shared" si="64"/>
        <v>0</v>
      </c>
    </row>
    <row r="339" spans="65:75" x14ac:dyDescent="0.25">
      <c r="BM339" s="29">
        <v>334</v>
      </c>
      <c r="BN339" s="242">
        <f t="shared" si="56"/>
        <v>42946</v>
      </c>
      <c r="BO339" s="29">
        <f t="shared" si="57"/>
        <v>1</v>
      </c>
      <c r="BP339" s="29">
        <f t="shared" si="58"/>
        <v>0</v>
      </c>
      <c r="BQ339" s="29">
        <f t="shared" si="60"/>
        <v>0</v>
      </c>
      <c r="BR339" s="29">
        <f t="shared" si="59"/>
        <v>232</v>
      </c>
      <c r="BS339" s="243">
        <f t="shared" si="61"/>
        <v>6.7204193548387095E-2</v>
      </c>
      <c r="BT339">
        <f t="shared" si="62"/>
        <v>6.7204193548387095E-2</v>
      </c>
      <c r="BU339" t="str">
        <f t="shared" si="63"/>
        <v>non</v>
      </c>
      <c r="BV339">
        <f t="shared" si="65"/>
        <v>0</v>
      </c>
      <c r="BW339">
        <f t="shared" si="64"/>
        <v>0</v>
      </c>
    </row>
    <row r="340" spans="65:75" x14ac:dyDescent="0.25">
      <c r="BM340" s="29">
        <v>335</v>
      </c>
      <c r="BN340" s="242">
        <f t="shared" si="56"/>
        <v>42947</v>
      </c>
      <c r="BO340" s="29">
        <f t="shared" si="57"/>
        <v>1</v>
      </c>
      <c r="BP340" s="29">
        <f t="shared" si="58"/>
        <v>0</v>
      </c>
      <c r="BQ340" s="29">
        <f t="shared" si="60"/>
        <v>0</v>
      </c>
      <c r="BR340" s="29">
        <f t="shared" si="59"/>
        <v>232</v>
      </c>
      <c r="BS340" s="243">
        <f t="shared" si="61"/>
        <v>6.7204193548387095E-2</v>
      </c>
      <c r="BT340">
        <f t="shared" si="62"/>
        <v>6.7204193548387095E-2</v>
      </c>
      <c r="BU340" t="str">
        <f t="shared" si="63"/>
        <v>non</v>
      </c>
      <c r="BV340">
        <f t="shared" si="65"/>
        <v>0</v>
      </c>
      <c r="BW340">
        <f t="shared" si="64"/>
        <v>0</v>
      </c>
    </row>
    <row r="341" spans="65:75" x14ac:dyDescent="0.25">
      <c r="BM341" s="29">
        <v>336</v>
      </c>
      <c r="BN341" s="242">
        <f t="shared" si="56"/>
        <v>42948</v>
      </c>
      <c r="BO341" s="29">
        <f t="shared" si="57"/>
        <v>0</v>
      </c>
      <c r="BP341" s="29">
        <f t="shared" si="58"/>
        <v>0</v>
      </c>
      <c r="BQ341" s="29">
        <f t="shared" si="60"/>
        <v>1</v>
      </c>
      <c r="BR341" s="29">
        <f t="shared" si="59"/>
        <v>233</v>
      </c>
      <c r="BS341" s="243">
        <f t="shared" si="61"/>
        <v>6.7204193548387095E-2</v>
      </c>
      <c r="BT341">
        <f t="shared" si="62"/>
        <v>6.7204193548387095E-2</v>
      </c>
      <c r="BU341" t="str">
        <f t="shared" si="63"/>
        <v>non</v>
      </c>
      <c r="BV341">
        <f t="shared" si="65"/>
        <v>0</v>
      </c>
      <c r="BW341">
        <f t="shared" si="64"/>
        <v>0</v>
      </c>
    </row>
    <row r="342" spans="65:75" x14ac:dyDescent="0.25">
      <c r="BM342" s="29">
        <v>337</v>
      </c>
      <c r="BN342" s="242">
        <f t="shared" si="56"/>
        <v>42949</v>
      </c>
      <c r="BO342" s="29">
        <f t="shared" si="57"/>
        <v>0</v>
      </c>
      <c r="BP342" s="29">
        <f t="shared" si="58"/>
        <v>0</v>
      </c>
      <c r="BQ342" s="29">
        <f t="shared" si="60"/>
        <v>1</v>
      </c>
      <c r="BR342" s="29">
        <f t="shared" si="59"/>
        <v>234</v>
      </c>
      <c r="BS342" s="243">
        <f t="shared" si="61"/>
        <v>6.7204193548387095E-2</v>
      </c>
      <c r="BT342">
        <f t="shared" si="62"/>
        <v>6.7204193548387095E-2</v>
      </c>
      <c r="BU342" t="str">
        <f t="shared" si="63"/>
        <v>non</v>
      </c>
      <c r="BV342">
        <f t="shared" si="65"/>
        <v>0</v>
      </c>
      <c r="BW342">
        <f t="shared" si="64"/>
        <v>0</v>
      </c>
    </row>
    <row r="343" spans="65:75" x14ac:dyDescent="0.25">
      <c r="BM343" s="29">
        <v>338</v>
      </c>
      <c r="BN343" s="242">
        <f t="shared" si="56"/>
        <v>42950</v>
      </c>
      <c r="BO343" s="29">
        <f t="shared" si="57"/>
        <v>0</v>
      </c>
      <c r="BP343" s="29">
        <f t="shared" si="58"/>
        <v>0</v>
      </c>
      <c r="BQ343" s="29">
        <f t="shared" si="60"/>
        <v>1</v>
      </c>
      <c r="BR343" s="29">
        <f t="shared" si="59"/>
        <v>235</v>
      </c>
      <c r="BS343" s="243">
        <f t="shared" si="61"/>
        <v>6.7204193548387095E-2</v>
      </c>
      <c r="BT343">
        <f t="shared" si="62"/>
        <v>6.7204193548387095E-2</v>
      </c>
      <c r="BU343" t="str">
        <f t="shared" si="63"/>
        <v>non</v>
      </c>
      <c r="BV343">
        <f t="shared" si="65"/>
        <v>0</v>
      </c>
      <c r="BW343">
        <f t="shared" si="64"/>
        <v>0</v>
      </c>
    </row>
    <row r="344" spans="65:75" x14ac:dyDescent="0.25">
      <c r="BM344" s="29">
        <v>339</v>
      </c>
      <c r="BN344" s="242">
        <f t="shared" si="56"/>
        <v>42951</v>
      </c>
      <c r="BO344" s="29">
        <f t="shared" si="57"/>
        <v>0</v>
      </c>
      <c r="BP344" s="29">
        <f t="shared" si="58"/>
        <v>0</v>
      </c>
      <c r="BQ344" s="29">
        <f t="shared" si="60"/>
        <v>1</v>
      </c>
      <c r="BR344" s="29">
        <f t="shared" si="59"/>
        <v>236</v>
      </c>
      <c r="BS344" s="243">
        <f t="shared" si="61"/>
        <v>6.7204193548387095E-2</v>
      </c>
      <c r="BT344">
        <f t="shared" si="62"/>
        <v>6.7204193548387095E-2</v>
      </c>
      <c r="BU344" t="str">
        <f t="shared" si="63"/>
        <v>non</v>
      </c>
      <c r="BV344">
        <f t="shared" si="65"/>
        <v>0</v>
      </c>
      <c r="BW344">
        <f t="shared" si="64"/>
        <v>0</v>
      </c>
    </row>
    <row r="345" spans="65:75" x14ac:dyDescent="0.25">
      <c r="BM345" s="29">
        <v>340</v>
      </c>
      <c r="BN345" s="242">
        <f t="shared" si="56"/>
        <v>42952</v>
      </c>
      <c r="BO345" s="29">
        <f t="shared" si="57"/>
        <v>0</v>
      </c>
      <c r="BP345" s="29">
        <f t="shared" si="58"/>
        <v>0</v>
      </c>
      <c r="BQ345" s="29">
        <f t="shared" si="60"/>
        <v>1</v>
      </c>
      <c r="BR345" s="29">
        <f t="shared" si="59"/>
        <v>237</v>
      </c>
      <c r="BS345" s="243">
        <f t="shared" si="61"/>
        <v>6.7204193548387095E-2</v>
      </c>
      <c r="BT345">
        <f t="shared" si="62"/>
        <v>6.7204193548387095E-2</v>
      </c>
      <c r="BU345" t="str">
        <f t="shared" si="63"/>
        <v>non</v>
      </c>
      <c r="BV345">
        <f t="shared" si="65"/>
        <v>0</v>
      </c>
      <c r="BW345">
        <f t="shared" si="64"/>
        <v>0</v>
      </c>
    </row>
    <row r="346" spans="65:75" x14ac:dyDescent="0.25">
      <c r="BM346" s="29">
        <v>341</v>
      </c>
      <c r="BN346" s="242">
        <f t="shared" si="56"/>
        <v>42953</v>
      </c>
      <c r="BO346" s="29">
        <f t="shared" si="57"/>
        <v>1</v>
      </c>
      <c r="BP346" s="29">
        <f t="shared" si="58"/>
        <v>0</v>
      </c>
      <c r="BQ346" s="29">
        <f t="shared" si="60"/>
        <v>0</v>
      </c>
      <c r="BR346" s="29">
        <f t="shared" si="59"/>
        <v>237</v>
      </c>
      <c r="BS346" s="243">
        <f t="shared" si="61"/>
        <v>6.7204193548387095E-2</v>
      </c>
      <c r="BT346">
        <f t="shared" si="62"/>
        <v>6.7204193548387095E-2</v>
      </c>
      <c r="BU346" t="str">
        <f t="shared" si="63"/>
        <v>non</v>
      </c>
      <c r="BV346">
        <f t="shared" si="65"/>
        <v>0</v>
      </c>
      <c r="BW346">
        <f t="shared" si="64"/>
        <v>0</v>
      </c>
    </row>
    <row r="347" spans="65:75" x14ac:dyDescent="0.25">
      <c r="BM347" s="29">
        <v>342</v>
      </c>
      <c r="BN347" s="242">
        <f t="shared" si="56"/>
        <v>42954</v>
      </c>
      <c r="BO347" s="29">
        <f t="shared" si="57"/>
        <v>1</v>
      </c>
      <c r="BP347" s="29">
        <f t="shared" si="58"/>
        <v>0</v>
      </c>
      <c r="BQ347" s="29">
        <f t="shared" si="60"/>
        <v>0</v>
      </c>
      <c r="BR347" s="29">
        <f t="shared" si="59"/>
        <v>237</v>
      </c>
      <c r="BS347" s="243">
        <f t="shared" si="61"/>
        <v>6.7204193548387095E-2</v>
      </c>
      <c r="BT347">
        <f t="shared" si="62"/>
        <v>6.7204193548387095E-2</v>
      </c>
      <c r="BU347" t="str">
        <f t="shared" si="63"/>
        <v>non</v>
      </c>
      <c r="BV347">
        <f t="shared" si="65"/>
        <v>0</v>
      </c>
      <c r="BW347">
        <f t="shared" si="64"/>
        <v>0</v>
      </c>
    </row>
    <row r="348" spans="65:75" x14ac:dyDescent="0.25">
      <c r="BM348" s="29">
        <v>343</v>
      </c>
      <c r="BN348" s="242">
        <f t="shared" si="56"/>
        <v>42955</v>
      </c>
      <c r="BO348" s="29">
        <f t="shared" si="57"/>
        <v>0</v>
      </c>
      <c r="BP348" s="29">
        <f t="shared" si="58"/>
        <v>0</v>
      </c>
      <c r="BQ348" s="29">
        <f t="shared" si="60"/>
        <v>1</v>
      </c>
      <c r="BR348" s="29">
        <f t="shared" si="59"/>
        <v>238</v>
      </c>
      <c r="BS348" s="243">
        <f t="shared" si="61"/>
        <v>6.7204193548387095E-2</v>
      </c>
      <c r="BT348">
        <f t="shared" si="62"/>
        <v>6.7204193548387095E-2</v>
      </c>
      <c r="BU348" t="str">
        <f t="shared" si="63"/>
        <v>non</v>
      </c>
      <c r="BV348">
        <f t="shared" si="65"/>
        <v>0</v>
      </c>
      <c r="BW348">
        <f t="shared" si="64"/>
        <v>0</v>
      </c>
    </row>
    <row r="349" spans="65:75" x14ac:dyDescent="0.25">
      <c r="BM349" s="29">
        <v>344</v>
      </c>
      <c r="BN349" s="242">
        <f t="shared" si="56"/>
        <v>42956</v>
      </c>
      <c r="BO349" s="29">
        <f t="shared" si="57"/>
        <v>0</v>
      </c>
      <c r="BP349" s="29">
        <f t="shared" si="58"/>
        <v>0</v>
      </c>
      <c r="BQ349" s="29">
        <f t="shared" si="60"/>
        <v>1</v>
      </c>
      <c r="BR349" s="29">
        <f t="shared" si="59"/>
        <v>239</v>
      </c>
      <c r="BS349" s="243">
        <f t="shared" si="61"/>
        <v>6.7204193548387095E-2</v>
      </c>
      <c r="BT349">
        <f t="shared" si="62"/>
        <v>6.7204193548387095E-2</v>
      </c>
      <c r="BU349" t="str">
        <f t="shared" si="63"/>
        <v>non</v>
      </c>
      <c r="BV349">
        <f t="shared" si="65"/>
        <v>0</v>
      </c>
      <c r="BW349">
        <f t="shared" si="64"/>
        <v>0</v>
      </c>
    </row>
    <row r="350" spans="65:75" x14ac:dyDescent="0.25">
      <c r="BM350" s="29">
        <v>345</v>
      </c>
      <c r="BN350" s="242">
        <f t="shared" si="56"/>
        <v>42957</v>
      </c>
      <c r="BO350" s="29">
        <f t="shared" si="57"/>
        <v>0</v>
      </c>
      <c r="BP350" s="29">
        <f t="shared" si="58"/>
        <v>0</v>
      </c>
      <c r="BQ350" s="29">
        <f t="shared" si="60"/>
        <v>1</v>
      </c>
      <c r="BR350" s="29">
        <f t="shared" si="59"/>
        <v>240</v>
      </c>
      <c r="BS350" s="243">
        <f t="shared" si="61"/>
        <v>6.7204193548387095E-2</v>
      </c>
      <c r="BT350">
        <f t="shared" si="62"/>
        <v>6.7204193548387095E-2</v>
      </c>
      <c r="BU350" t="str">
        <f t="shared" si="63"/>
        <v>non</v>
      </c>
      <c r="BV350">
        <f t="shared" si="65"/>
        <v>0</v>
      </c>
      <c r="BW350">
        <f t="shared" si="64"/>
        <v>0</v>
      </c>
    </row>
    <row r="351" spans="65:75" x14ac:dyDescent="0.25">
      <c r="BM351" s="29">
        <v>346</v>
      </c>
      <c r="BN351" s="242">
        <f t="shared" si="56"/>
        <v>42958</v>
      </c>
      <c r="BO351" s="29">
        <f t="shared" si="57"/>
        <v>0</v>
      </c>
      <c r="BP351" s="29">
        <f t="shared" si="58"/>
        <v>0</v>
      </c>
      <c r="BQ351" s="29">
        <f t="shared" si="60"/>
        <v>1</v>
      </c>
      <c r="BR351" s="29">
        <f t="shared" si="59"/>
        <v>241</v>
      </c>
      <c r="BS351" s="243">
        <f t="shared" si="61"/>
        <v>6.7204193548387095E-2</v>
      </c>
      <c r="BT351">
        <f t="shared" si="62"/>
        <v>6.7204193548387095E-2</v>
      </c>
      <c r="BU351" t="str">
        <f t="shared" si="63"/>
        <v>non</v>
      </c>
      <c r="BV351">
        <f t="shared" si="65"/>
        <v>0</v>
      </c>
      <c r="BW351">
        <f t="shared" si="64"/>
        <v>0</v>
      </c>
    </row>
    <row r="352" spans="65:75" x14ac:dyDescent="0.25">
      <c r="BM352" s="29">
        <v>347</v>
      </c>
      <c r="BN352" s="242">
        <f t="shared" si="56"/>
        <v>42959</v>
      </c>
      <c r="BO352" s="29">
        <f t="shared" si="57"/>
        <v>0</v>
      </c>
      <c r="BP352" s="29">
        <f t="shared" si="58"/>
        <v>0</v>
      </c>
      <c r="BQ352" s="29">
        <f t="shared" si="60"/>
        <v>1</v>
      </c>
      <c r="BR352" s="29">
        <f t="shared" si="59"/>
        <v>242</v>
      </c>
      <c r="BS352" s="243">
        <f t="shared" si="61"/>
        <v>6.7204193548387095E-2</v>
      </c>
      <c r="BT352">
        <f t="shared" si="62"/>
        <v>6.7204193548387095E-2</v>
      </c>
      <c r="BU352" t="str">
        <f t="shared" si="63"/>
        <v>non</v>
      </c>
      <c r="BV352">
        <f t="shared" si="65"/>
        <v>0</v>
      </c>
      <c r="BW352">
        <f t="shared" si="64"/>
        <v>0</v>
      </c>
    </row>
    <row r="353" spans="65:75" x14ac:dyDescent="0.25">
      <c r="BM353" s="29">
        <v>348</v>
      </c>
      <c r="BN353" s="242">
        <f t="shared" si="56"/>
        <v>42960</v>
      </c>
      <c r="BO353" s="29">
        <f t="shared" si="57"/>
        <v>1</v>
      </c>
      <c r="BP353" s="29">
        <f t="shared" si="58"/>
        <v>0</v>
      </c>
      <c r="BQ353" s="29">
        <f t="shared" si="60"/>
        <v>0</v>
      </c>
      <c r="BR353" s="29">
        <f t="shared" si="59"/>
        <v>242</v>
      </c>
      <c r="BS353" s="243">
        <f t="shared" si="61"/>
        <v>6.7204193548387095E-2</v>
      </c>
      <c r="BT353">
        <f t="shared" si="62"/>
        <v>6.7204193548387095E-2</v>
      </c>
      <c r="BU353" t="str">
        <f t="shared" si="63"/>
        <v>non</v>
      </c>
      <c r="BV353">
        <f t="shared" si="65"/>
        <v>0</v>
      </c>
      <c r="BW353">
        <f t="shared" si="64"/>
        <v>0</v>
      </c>
    </row>
    <row r="354" spans="65:75" x14ac:dyDescent="0.25">
      <c r="BM354" s="29">
        <v>349</v>
      </c>
      <c r="BN354" s="242">
        <f t="shared" si="56"/>
        <v>42961</v>
      </c>
      <c r="BO354" s="29">
        <f t="shared" si="57"/>
        <v>1</v>
      </c>
      <c r="BP354" s="29">
        <f t="shared" si="58"/>
        <v>0</v>
      </c>
      <c r="BQ354" s="29">
        <f t="shared" si="60"/>
        <v>0</v>
      </c>
      <c r="BR354" s="29">
        <f t="shared" si="59"/>
        <v>242</v>
      </c>
      <c r="BS354" s="243">
        <f t="shared" si="61"/>
        <v>6.7204193548387095E-2</v>
      </c>
      <c r="BT354">
        <f t="shared" si="62"/>
        <v>6.7204193548387095E-2</v>
      </c>
      <c r="BU354" t="str">
        <f t="shared" si="63"/>
        <v>non</v>
      </c>
      <c r="BV354">
        <f t="shared" si="65"/>
        <v>0</v>
      </c>
      <c r="BW354">
        <f t="shared" si="64"/>
        <v>0</v>
      </c>
    </row>
    <row r="355" spans="65:75" x14ac:dyDescent="0.25">
      <c r="BM355" s="29">
        <v>350</v>
      </c>
      <c r="BN355" s="242">
        <f t="shared" si="56"/>
        <v>42962</v>
      </c>
      <c r="BO355" s="29">
        <f t="shared" si="57"/>
        <v>0</v>
      </c>
      <c r="BP355" s="29">
        <f t="shared" si="58"/>
        <v>0</v>
      </c>
      <c r="BQ355" s="29">
        <f t="shared" si="60"/>
        <v>1</v>
      </c>
      <c r="BR355" s="29">
        <f t="shared" si="59"/>
        <v>243</v>
      </c>
      <c r="BS355" s="243">
        <f t="shared" si="61"/>
        <v>6.7204193548387095E-2</v>
      </c>
      <c r="BT355">
        <f t="shared" si="62"/>
        <v>6.7204193548387095E-2</v>
      </c>
      <c r="BU355" t="str">
        <f t="shared" si="63"/>
        <v>non</v>
      </c>
      <c r="BV355">
        <f t="shared" si="65"/>
        <v>0</v>
      </c>
      <c r="BW355">
        <f t="shared" si="64"/>
        <v>0</v>
      </c>
    </row>
    <row r="356" spans="65:75" x14ac:dyDescent="0.25">
      <c r="BM356" s="29">
        <v>351</v>
      </c>
      <c r="BN356" s="242">
        <f t="shared" si="56"/>
        <v>42963</v>
      </c>
      <c r="BO356" s="29">
        <f t="shared" si="57"/>
        <v>0</v>
      </c>
      <c r="BP356" s="29">
        <f t="shared" si="58"/>
        <v>0</v>
      </c>
      <c r="BQ356" s="29">
        <f t="shared" si="60"/>
        <v>1</v>
      </c>
      <c r="BR356" s="29">
        <f t="shared" si="59"/>
        <v>244</v>
      </c>
      <c r="BS356" s="243">
        <f t="shared" si="61"/>
        <v>6.7204193548387095E-2</v>
      </c>
      <c r="BT356">
        <f t="shared" si="62"/>
        <v>6.7204193548387095E-2</v>
      </c>
      <c r="BU356" t="str">
        <f t="shared" si="63"/>
        <v>non</v>
      </c>
      <c r="BV356">
        <f t="shared" si="65"/>
        <v>0</v>
      </c>
      <c r="BW356">
        <f t="shared" si="64"/>
        <v>0</v>
      </c>
    </row>
    <row r="357" spans="65:75" x14ac:dyDescent="0.25">
      <c r="BM357" s="29">
        <v>352</v>
      </c>
      <c r="BN357" s="242">
        <f t="shared" si="56"/>
        <v>42964</v>
      </c>
      <c r="BO357" s="29">
        <f t="shared" si="57"/>
        <v>0</v>
      </c>
      <c r="BP357" s="29">
        <f t="shared" si="58"/>
        <v>0</v>
      </c>
      <c r="BQ357" s="29">
        <f t="shared" si="60"/>
        <v>1</v>
      </c>
      <c r="BR357" s="29">
        <f t="shared" si="59"/>
        <v>245</v>
      </c>
      <c r="BS357" s="243">
        <f t="shared" si="61"/>
        <v>6.7204193548387095E-2</v>
      </c>
      <c r="BT357">
        <f t="shared" si="62"/>
        <v>6.7204193548387095E-2</v>
      </c>
      <c r="BU357" t="str">
        <f t="shared" si="63"/>
        <v>non</v>
      </c>
      <c r="BV357">
        <f t="shared" si="65"/>
        <v>0</v>
      </c>
      <c r="BW357">
        <f t="shared" si="64"/>
        <v>0</v>
      </c>
    </row>
    <row r="358" spans="65:75" x14ac:dyDescent="0.25">
      <c r="BM358" s="29">
        <v>353</v>
      </c>
      <c r="BN358" s="242">
        <f t="shared" si="56"/>
        <v>42965</v>
      </c>
      <c r="BO358" s="29">
        <f t="shared" si="57"/>
        <v>0</v>
      </c>
      <c r="BP358" s="29">
        <f t="shared" si="58"/>
        <v>0</v>
      </c>
      <c r="BQ358" s="29">
        <f t="shared" si="60"/>
        <v>1</v>
      </c>
      <c r="BR358" s="29">
        <f t="shared" si="59"/>
        <v>246</v>
      </c>
      <c r="BS358" s="243">
        <f t="shared" si="61"/>
        <v>6.7204193548387095E-2</v>
      </c>
      <c r="BT358">
        <f t="shared" si="62"/>
        <v>6.7204193548387095E-2</v>
      </c>
      <c r="BU358" t="str">
        <f t="shared" si="63"/>
        <v>non</v>
      </c>
      <c r="BV358">
        <f t="shared" si="65"/>
        <v>0</v>
      </c>
      <c r="BW358">
        <f t="shared" si="64"/>
        <v>0</v>
      </c>
    </row>
    <row r="359" spans="65:75" x14ac:dyDescent="0.25">
      <c r="BM359" s="29">
        <v>354</v>
      </c>
      <c r="BN359" s="242">
        <f t="shared" si="56"/>
        <v>42966</v>
      </c>
      <c r="BO359" s="29">
        <f t="shared" si="57"/>
        <v>0</v>
      </c>
      <c r="BP359" s="29">
        <f t="shared" si="58"/>
        <v>0</v>
      </c>
      <c r="BQ359" s="29">
        <f t="shared" si="60"/>
        <v>1</v>
      </c>
      <c r="BR359" s="29">
        <f t="shared" si="59"/>
        <v>247</v>
      </c>
      <c r="BS359" s="243">
        <f t="shared" si="61"/>
        <v>6.7204193548387095E-2</v>
      </c>
      <c r="BT359">
        <f t="shared" si="62"/>
        <v>6.7204193548387095E-2</v>
      </c>
      <c r="BU359" t="str">
        <f t="shared" si="63"/>
        <v>non</v>
      </c>
      <c r="BV359">
        <f t="shared" si="65"/>
        <v>0</v>
      </c>
      <c r="BW359">
        <f t="shared" si="64"/>
        <v>0</v>
      </c>
    </row>
    <row r="360" spans="65:75" x14ac:dyDescent="0.25">
      <c r="BM360" s="29">
        <v>355</v>
      </c>
      <c r="BN360" s="242">
        <f t="shared" si="56"/>
        <v>42967</v>
      </c>
      <c r="BO360" s="29">
        <f t="shared" si="57"/>
        <v>1</v>
      </c>
      <c r="BP360" s="29">
        <f t="shared" si="58"/>
        <v>0</v>
      </c>
      <c r="BQ360" s="29">
        <f t="shared" si="60"/>
        <v>0</v>
      </c>
      <c r="BR360" s="29">
        <f t="shared" si="59"/>
        <v>247</v>
      </c>
      <c r="BS360" s="243">
        <f t="shared" si="61"/>
        <v>6.7204193548387095E-2</v>
      </c>
      <c r="BT360">
        <f t="shared" si="62"/>
        <v>6.7204193548387095E-2</v>
      </c>
      <c r="BU360" t="str">
        <f t="shared" si="63"/>
        <v>non</v>
      </c>
      <c r="BV360">
        <f t="shared" si="65"/>
        <v>0</v>
      </c>
      <c r="BW360">
        <f t="shared" si="64"/>
        <v>0</v>
      </c>
    </row>
    <row r="361" spans="65:75" x14ac:dyDescent="0.25">
      <c r="BM361" s="29">
        <v>356</v>
      </c>
      <c r="BN361" s="242">
        <f t="shared" si="56"/>
        <v>42968</v>
      </c>
      <c r="BO361" s="29">
        <f t="shared" si="57"/>
        <v>1</v>
      </c>
      <c r="BP361" s="29">
        <f t="shared" si="58"/>
        <v>0</v>
      </c>
      <c r="BQ361" s="29">
        <f t="shared" si="60"/>
        <v>0</v>
      </c>
      <c r="BR361" s="29">
        <f t="shared" si="59"/>
        <v>247</v>
      </c>
      <c r="BS361" s="243">
        <f t="shared" si="61"/>
        <v>6.7204193548387095E-2</v>
      </c>
      <c r="BT361">
        <f t="shared" si="62"/>
        <v>6.7204193548387095E-2</v>
      </c>
      <c r="BU361" t="str">
        <f t="shared" si="63"/>
        <v>non</v>
      </c>
      <c r="BV361">
        <f t="shared" si="65"/>
        <v>0</v>
      </c>
      <c r="BW361">
        <f t="shared" si="64"/>
        <v>0</v>
      </c>
    </row>
    <row r="362" spans="65:75" x14ac:dyDescent="0.25">
      <c r="BM362" s="29">
        <v>357</v>
      </c>
      <c r="BN362" s="242">
        <f t="shared" si="56"/>
        <v>42969</v>
      </c>
      <c r="BO362" s="29">
        <f t="shared" si="57"/>
        <v>0</v>
      </c>
      <c r="BP362" s="29">
        <f t="shared" si="58"/>
        <v>0</v>
      </c>
      <c r="BQ362" s="29">
        <f t="shared" si="60"/>
        <v>1</v>
      </c>
      <c r="BR362" s="29">
        <f t="shared" si="59"/>
        <v>248</v>
      </c>
      <c r="BS362" s="243">
        <f t="shared" si="61"/>
        <v>6.7204193548387095E-2</v>
      </c>
      <c r="BT362">
        <f t="shared" si="62"/>
        <v>6.7204193548387095E-2</v>
      </c>
      <c r="BU362" t="str">
        <f t="shared" si="63"/>
        <v>non</v>
      </c>
      <c r="BV362">
        <f t="shared" si="65"/>
        <v>0</v>
      </c>
      <c r="BW362">
        <f t="shared" si="64"/>
        <v>0</v>
      </c>
    </row>
    <row r="363" spans="65:75" x14ac:dyDescent="0.25">
      <c r="BM363" s="29">
        <v>358</v>
      </c>
      <c r="BN363" s="242">
        <f t="shared" si="56"/>
        <v>42970</v>
      </c>
      <c r="BO363" s="29">
        <f t="shared" si="57"/>
        <v>0</v>
      </c>
      <c r="BP363" s="29">
        <f t="shared" si="58"/>
        <v>0</v>
      </c>
      <c r="BQ363" s="29">
        <f t="shared" si="60"/>
        <v>1</v>
      </c>
      <c r="BR363" s="29">
        <f t="shared" si="59"/>
        <v>249</v>
      </c>
      <c r="BS363" s="243">
        <f t="shared" si="61"/>
        <v>6.7204193548387095E-2</v>
      </c>
      <c r="BT363">
        <f t="shared" si="62"/>
        <v>6.7204193548387095E-2</v>
      </c>
      <c r="BU363" t="str">
        <f t="shared" si="63"/>
        <v>non</v>
      </c>
      <c r="BV363">
        <f t="shared" si="65"/>
        <v>0</v>
      </c>
      <c r="BW363">
        <f t="shared" si="64"/>
        <v>0</v>
      </c>
    </row>
    <row r="364" spans="65:75" x14ac:dyDescent="0.25">
      <c r="BM364" s="29">
        <v>359</v>
      </c>
      <c r="BN364" s="242">
        <f t="shared" si="56"/>
        <v>42971</v>
      </c>
      <c r="BO364" s="29">
        <f t="shared" si="57"/>
        <v>0</v>
      </c>
      <c r="BP364" s="29">
        <f t="shared" si="58"/>
        <v>0</v>
      </c>
      <c r="BQ364" s="29">
        <f t="shared" si="60"/>
        <v>1</v>
      </c>
      <c r="BR364" s="29">
        <f t="shared" si="59"/>
        <v>250</v>
      </c>
      <c r="BS364" s="243">
        <f t="shared" si="61"/>
        <v>6.7204193548387095E-2</v>
      </c>
      <c r="BT364">
        <f t="shared" si="62"/>
        <v>6.7204193548387095E-2</v>
      </c>
      <c r="BU364" t="str">
        <f t="shared" si="63"/>
        <v>non</v>
      </c>
      <c r="BV364">
        <f t="shared" si="65"/>
        <v>0</v>
      </c>
      <c r="BW364">
        <f t="shared" si="64"/>
        <v>0</v>
      </c>
    </row>
    <row r="365" spans="65:75" x14ac:dyDescent="0.25">
      <c r="BM365" s="29">
        <v>360</v>
      </c>
      <c r="BN365" s="242">
        <f t="shared" si="56"/>
        <v>42972</v>
      </c>
      <c r="BO365" s="29">
        <f t="shared" si="57"/>
        <v>0</v>
      </c>
      <c r="BP365" s="29">
        <f t="shared" si="58"/>
        <v>0</v>
      </c>
      <c r="BQ365" s="29">
        <f t="shared" si="60"/>
        <v>1</v>
      </c>
      <c r="BR365" s="29">
        <f t="shared" si="59"/>
        <v>251</v>
      </c>
      <c r="BS365" s="243">
        <f t="shared" si="61"/>
        <v>6.7204193548387095E-2</v>
      </c>
      <c r="BT365">
        <f t="shared" si="62"/>
        <v>6.7204193548387095E-2</v>
      </c>
      <c r="BU365" t="str">
        <f t="shared" si="63"/>
        <v>non</v>
      </c>
      <c r="BV365">
        <f t="shared" si="65"/>
        <v>0</v>
      </c>
      <c r="BW365">
        <f t="shared" si="64"/>
        <v>0</v>
      </c>
    </row>
    <row r="366" spans="65:75" x14ac:dyDescent="0.25">
      <c r="BM366" s="29">
        <v>361</v>
      </c>
      <c r="BN366" s="242">
        <f t="shared" si="56"/>
        <v>42973</v>
      </c>
      <c r="BO366" s="29">
        <f t="shared" si="57"/>
        <v>0</v>
      </c>
      <c r="BP366" s="29">
        <f t="shared" si="58"/>
        <v>0</v>
      </c>
      <c r="BQ366" s="29">
        <f t="shared" si="60"/>
        <v>1</v>
      </c>
      <c r="BR366" s="29">
        <f t="shared" si="59"/>
        <v>252</v>
      </c>
      <c r="BS366" s="243">
        <f t="shared" si="61"/>
        <v>6.7204193548387095E-2</v>
      </c>
      <c r="BT366">
        <f t="shared" si="62"/>
        <v>6.7204193548387095E-2</v>
      </c>
      <c r="BU366" t="str">
        <f t="shared" si="63"/>
        <v>non</v>
      </c>
      <c r="BV366">
        <f t="shared" si="65"/>
        <v>0</v>
      </c>
      <c r="BW366">
        <f t="shared" si="64"/>
        <v>0</v>
      </c>
    </row>
    <row r="367" spans="65:75" x14ac:dyDescent="0.25">
      <c r="BM367" s="29">
        <v>362</v>
      </c>
      <c r="BN367" s="242">
        <f t="shared" si="56"/>
        <v>42974</v>
      </c>
      <c r="BO367" s="29">
        <f t="shared" si="57"/>
        <v>1</v>
      </c>
      <c r="BP367" s="29">
        <f t="shared" si="58"/>
        <v>0</v>
      </c>
      <c r="BQ367" s="29">
        <f t="shared" si="60"/>
        <v>0</v>
      </c>
      <c r="BR367" s="29">
        <f t="shared" si="59"/>
        <v>252</v>
      </c>
      <c r="BS367" s="243">
        <f t="shared" si="61"/>
        <v>6.7204193548387095E-2</v>
      </c>
      <c r="BT367">
        <f t="shared" si="62"/>
        <v>6.7204193548387095E-2</v>
      </c>
      <c r="BU367" t="str">
        <f t="shared" si="63"/>
        <v>non</v>
      </c>
      <c r="BV367">
        <f t="shared" si="65"/>
        <v>0</v>
      </c>
      <c r="BW367">
        <f t="shared" si="64"/>
        <v>0</v>
      </c>
    </row>
    <row r="368" spans="65:75" x14ac:dyDescent="0.25">
      <c r="BM368" s="29">
        <v>363</v>
      </c>
      <c r="BN368" s="242">
        <f t="shared" si="56"/>
        <v>42975</v>
      </c>
      <c r="BO368" s="29">
        <f t="shared" si="57"/>
        <v>1</v>
      </c>
      <c r="BP368" s="29">
        <f t="shared" si="58"/>
        <v>0</v>
      </c>
      <c r="BQ368" s="29">
        <f t="shared" si="60"/>
        <v>0</v>
      </c>
      <c r="BR368" s="29">
        <f t="shared" si="59"/>
        <v>252</v>
      </c>
      <c r="BS368" s="243">
        <f t="shared" si="61"/>
        <v>6.7204193548387095E-2</v>
      </c>
      <c r="BT368">
        <f t="shared" si="62"/>
        <v>6.7204193548387095E-2</v>
      </c>
      <c r="BU368" t="str">
        <f t="shared" si="63"/>
        <v>non</v>
      </c>
      <c r="BV368">
        <f t="shared" si="65"/>
        <v>0</v>
      </c>
      <c r="BW368">
        <f t="shared" si="64"/>
        <v>0</v>
      </c>
    </row>
    <row r="369" spans="65:75" x14ac:dyDescent="0.25">
      <c r="BM369" s="29">
        <v>364</v>
      </c>
      <c r="BN369" s="242">
        <f t="shared" si="56"/>
        <v>42976</v>
      </c>
      <c r="BO369" s="29">
        <f t="shared" si="57"/>
        <v>0</v>
      </c>
      <c r="BP369" s="29">
        <f t="shared" si="58"/>
        <v>0</v>
      </c>
      <c r="BQ369" s="29">
        <f t="shared" si="60"/>
        <v>1</v>
      </c>
      <c r="BR369" s="29">
        <f t="shared" si="59"/>
        <v>253</v>
      </c>
      <c r="BS369" s="243">
        <f t="shared" si="61"/>
        <v>6.7204193548387095E-2</v>
      </c>
      <c r="BT369">
        <f t="shared" si="62"/>
        <v>6.7204193548387095E-2</v>
      </c>
      <c r="BU369" t="str">
        <f t="shared" si="63"/>
        <v>non</v>
      </c>
      <c r="BV369">
        <f t="shared" si="65"/>
        <v>0</v>
      </c>
      <c r="BW369">
        <f t="shared" si="64"/>
        <v>0</v>
      </c>
    </row>
    <row r="370" spans="65:75" x14ac:dyDescent="0.25">
      <c r="BM370" s="29">
        <v>365</v>
      </c>
      <c r="BN370" s="242">
        <f t="shared" si="56"/>
        <v>42977</v>
      </c>
      <c r="BO370" s="29">
        <f t="shared" si="57"/>
        <v>0</v>
      </c>
      <c r="BP370" s="29">
        <f t="shared" si="58"/>
        <v>0</v>
      </c>
      <c r="BQ370" s="29">
        <f t="shared" si="60"/>
        <v>1</v>
      </c>
      <c r="BR370" s="29">
        <f t="shared" si="59"/>
        <v>254</v>
      </c>
      <c r="BS370" s="243">
        <f t="shared" si="61"/>
        <v>6.7204193548387095E-2</v>
      </c>
      <c r="BT370">
        <f t="shared" si="62"/>
        <v>6.7204193548387095E-2</v>
      </c>
      <c r="BU370" t="str">
        <f t="shared" si="63"/>
        <v>non</v>
      </c>
      <c r="BV370">
        <f t="shared" si="65"/>
        <v>0</v>
      </c>
      <c r="BW370">
        <f t="shared" si="64"/>
        <v>0</v>
      </c>
    </row>
    <row r="371" spans="65:75" x14ac:dyDescent="0.25">
      <c r="BM371" s="355">
        <v>366</v>
      </c>
      <c r="BN371" s="362">
        <f t="shared" si="56"/>
        <v>42978</v>
      </c>
      <c r="BO371" s="355">
        <f t="shared" si="57"/>
        <v>0</v>
      </c>
      <c r="BP371" s="355">
        <f t="shared" si="58"/>
        <v>0</v>
      </c>
      <c r="BQ371" s="355">
        <f t="shared" si="60"/>
        <v>0</v>
      </c>
      <c r="BR371" s="355">
        <f t="shared" si="59"/>
        <v>255</v>
      </c>
      <c r="BS371" s="243">
        <f t="shared" si="61"/>
        <v>6.9444333333333344E-2</v>
      </c>
      <c r="BT371">
        <f t="shared" si="62"/>
        <v>0</v>
      </c>
      <c r="BU371" t="str">
        <f t="shared" si="63"/>
        <v>non</v>
      </c>
      <c r="BV371">
        <f t="shared" ref="BV371" si="66">IF(BU371="ok",$CC$30/(EOMONTH(BN371,0)-(EOMONTH(BN371,-1))),0)</f>
        <v>0</v>
      </c>
      <c r="BW371">
        <f t="shared" si="64"/>
        <v>0</v>
      </c>
    </row>
    <row r="372" spans="65:75" x14ac:dyDescent="0.25">
      <c r="BN372" s="242"/>
    </row>
    <row r="373" spans="65:75" x14ac:dyDescent="0.25">
      <c r="BN373" s="242"/>
    </row>
    <row r="374" spans="65:75" x14ac:dyDescent="0.25">
      <c r="BN374" s="242"/>
    </row>
    <row r="375" spans="65:75" x14ac:dyDescent="0.25">
      <c r="BN375" s="242"/>
    </row>
    <row r="376" spans="65:75" x14ac:dyDescent="0.25">
      <c r="BN376" s="242"/>
    </row>
    <row r="377" spans="65:75" x14ac:dyDescent="0.25">
      <c r="BN377" s="242"/>
    </row>
    <row r="378" spans="65:75" x14ac:dyDescent="0.25">
      <c r="BN378" s="242"/>
    </row>
    <row r="379" spans="65:75" x14ac:dyDescent="0.25">
      <c r="BN379" s="242"/>
    </row>
    <row r="380" spans="65:75" x14ac:dyDescent="0.25">
      <c r="BN380" s="242"/>
    </row>
    <row r="381" spans="65:75" x14ac:dyDescent="0.25">
      <c r="BN381" s="242"/>
    </row>
    <row r="382" spans="65:75" x14ac:dyDescent="0.25">
      <c r="BN382" s="242"/>
    </row>
    <row r="383" spans="65:75" x14ac:dyDescent="0.25">
      <c r="BN383" s="242"/>
    </row>
    <row r="384" spans="65:75" x14ac:dyDescent="0.25">
      <c r="BN384" s="242"/>
    </row>
    <row r="385" spans="66:66" x14ac:dyDescent="0.25">
      <c r="BN385" s="242"/>
    </row>
    <row r="386" spans="66:66" x14ac:dyDescent="0.25">
      <c r="BN386" s="242"/>
    </row>
    <row r="387" spans="66:66" x14ac:dyDescent="0.25">
      <c r="BN387" s="242"/>
    </row>
    <row r="388" spans="66:66" x14ac:dyDescent="0.25">
      <c r="BN388" s="242"/>
    </row>
    <row r="389" spans="66:66" x14ac:dyDescent="0.25">
      <c r="BN389" s="242"/>
    </row>
    <row r="390" spans="66:66" x14ac:dyDescent="0.25">
      <c r="BN390" s="242"/>
    </row>
    <row r="391" spans="66:66" x14ac:dyDescent="0.25">
      <c r="BN391" s="242"/>
    </row>
    <row r="392" spans="66:66" x14ac:dyDescent="0.25">
      <c r="BN392" s="242"/>
    </row>
    <row r="393" spans="66:66" x14ac:dyDescent="0.25">
      <c r="BN393" s="242"/>
    </row>
    <row r="394" spans="66:66" x14ac:dyDescent="0.25">
      <c r="BN394" s="242"/>
    </row>
    <row r="395" spans="66:66" x14ac:dyDescent="0.25">
      <c r="BN395" s="242"/>
    </row>
    <row r="396" spans="66:66" x14ac:dyDescent="0.25">
      <c r="BN396" s="242"/>
    </row>
    <row r="397" spans="66:66" x14ac:dyDescent="0.25">
      <c r="BN397" s="242"/>
    </row>
    <row r="398" spans="66:66" x14ac:dyDescent="0.25">
      <c r="BN398" s="242"/>
    </row>
    <row r="399" spans="66:66" x14ac:dyDescent="0.25">
      <c r="BN399" s="242"/>
    </row>
    <row r="400" spans="66:66" x14ac:dyDescent="0.25">
      <c r="BN400" s="242"/>
    </row>
    <row r="401" spans="66:66" x14ac:dyDescent="0.25">
      <c r="BN401" s="242"/>
    </row>
    <row r="402" spans="66:66" x14ac:dyDescent="0.25">
      <c r="BN402" s="242"/>
    </row>
    <row r="403" spans="66:66" x14ac:dyDescent="0.25">
      <c r="BN403" s="242"/>
    </row>
    <row r="404" spans="66:66" x14ac:dyDescent="0.25">
      <c r="BN404" s="242"/>
    </row>
    <row r="405" spans="66:66" x14ac:dyDescent="0.25">
      <c r="BN405" s="242"/>
    </row>
    <row r="406" spans="66:66" x14ac:dyDescent="0.25">
      <c r="BN406" s="242"/>
    </row>
    <row r="407" spans="66:66" x14ac:dyDescent="0.25">
      <c r="BN407" s="242"/>
    </row>
    <row r="408" spans="66:66" x14ac:dyDescent="0.25">
      <c r="BN408" s="242"/>
    </row>
    <row r="409" spans="66:66" x14ac:dyDescent="0.25">
      <c r="BN409" s="242"/>
    </row>
    <row r="410" spans="66:66" x14ac:dyDescent="0.25">
      <c r="BN410" s="242"/>
    </row>
    <row r="411" spans="66:66" x14ac:dyDescent="0.25">
      <c r="BN411" s="242"/>
    </row>
    <row r="412" spans="66:66" x14ac:dyDescent="0.25">
      <c r="BN412" s="242"/>
    </row>
    <row r="413" spans="66:66" x14ac:dyDescent="0.25">
      <c r="BN413" s="242"/>
    </row>
    <row r="414" spans="66:66" x14ac:dyDescent="0.25">
      <c r="BN414" s="242"/>
    </row>
    <row r="415" spans="66:66" x14ac:dyDescent="0.25">
      <c r="BN415" s="242"/>
    </row>
    <row r="416" spans="66:66" x14ac:dyDescent="0.25">
      <c r="BN416" s="242"/>
    </row>
    <row r="417" spans="66:66" x14ac:dyDescent="0.25">
      <c r="BN417" s="242"/>
    </row>
    <row r="418" spans="66:66" x14ac:dyDescent="0.25">
      <c r="BN418" s="242"/>
    </row>
    <row r="419" spans="66:66" x14ac:dyDescent="0.25">
      <c r="BN419" s="242"/>
    </row>
    <row r="420" spans="66:66" x14ac:dyDescent="0.25">
      <c r="BN420" s="242"/>
    </row>
    <row r="421" spans="66:66" x14ac:dyDescent="0.25">
      <c r="BN421" s="242"/>
    </row>
    <row r="422" spans="66:66" x14ac:dyDescent="0.25">
      <c r="BN422" s="242"/>
    </row>
    <row r="423" spans="66:66" x14ac:dyDescent="0.25">
      <c r="BN423" s="242"/>
    </row>
    <row r="424" spans="66:66" x14ac:dyDescent="0.25">
      <c r="BN424" s="242"/>
    </row>
    <row r="425" spans="66:66" x14ac:dyDescent="0.25">
      <c r="BN425" s="242"/>
    </row>
    <row r="426" spans="66:66" x14ac:dyDescent="0.25">
      <c r="BN426" s="242"/>
    </row>
    <row r="427" spans="66:66" x14ac:dyDescent="0.25">
      <c r="BN427" s="242"/>
    </row>
    <row r="428" spans="66:66" x14ac:dyDescent="0.25">
      <c r="BN428" s="242"/>
    </row>
    <row r="429" spans="66:66" x14ac:dyDescent="0.25">
      <c r="BN429" s="242"/>
    </row>
    <row r="430" spans="66:66" x14ac:dyDescent="0.25">
      <c r="BN430" s="242"/>
    </row>
    <row r="431" spans="66:66" x14ac:dyDescent="0.25">
      <c r="BN431" s="242"/>
    </row>
    <row r="432" spans="66:66" x14ac:dyDescent="0.25">
      <c r="BN432" s="242"/>
    </row>
    <row r="433" spans="66:66" x14ac:dyDescent="0.25">
      <c r="BN433" s="242"/>
    </row>
    <row r="434" spans="66:66" x14ac:dyDescent="0.25">
      <c r="BN434" s="242"/>
    </row>
    <row r="435" spans="66:66" x14ac:dyDescent="0.25">
      <c r="BN435" s="242"/>
    </row>
    <row r="436" spans="66:66" x14ac:dyDescent="0.25">
      <c r="BN436" s="242"/>
    </row>
    <row r="437" spans="66:66" x14ac:dyDescent="0.25">
      <c r="BN437" s="242"/>
    </row>
    <row r="438" spans="66:66" x14ac:dyDescent="0.25">
      <c r="BN438" s="242"/>
    </row>
    <row r="439" spans="66:66" x14ac:dyDescent="0.25">
      <c r="BN439" s="242"/>
    </row>
    <row r="440" spans="66:66" x14ac:dyDescent="0.25">
      <c r="BN440" s="242"/>
    </row>
    <row r="441" spans="66:66" x14ac:dyDescent="0.25">
      <c r="BN441" s="242"/>
    </row>
    <row r="442" spans="66:66" x14ac:dyDescent="0.25">
      <c r="BN442" s="242"/>
    </row>
    <row r="443" spans="66:66" x14ac:dyDescent="0.25">
      <c r="BN443" s="242"/>
    </row>
    <row r="444" spans="66:66" x14ac:dyDescent="0.25">
      <c r="BN444" s="242"/>
    </row>
    <row r="445" spans="66:66" x14ac:dyDescent="0.25">
      <c r="BN445" s="242"/>
    </row>
    <row r="446" spans="66:66" x14ac:dyDescent="0.25">
      <c r="BN446" s="242"/>
    </row>
    <row r="447" spans="66:66" x14ac:dyDescent="0.25">
      <c r="BN447" s="242"/>
    </row>
    <row r="448" spans="66:66" x14ac:dyDescent="0.25">
      <c r="BN448" s="242"/>
    </row>
    <row r="449" spans="66:66" x14ac:dyDescent="0.25">
      <c r="BN449" s="242"/>
    </row>
    <row r="450" spans="66:66" x14ac:dyDescent="0.25">
      <c r="BN450" s="242"/>
    </row>
    <row r="451" spans="66:66" x14ac:dyDescent="0.25">
      <c r="BN451" s="242"/>
    </row>
    <row r="452" spans="66:66" x14ac:dyDescent="0.25">
      <c r="BN452" s="242"/>
    </row>
    <row r="453" spans="66:66" x14ac:dyDescent="0.25">
      <c r="BN453" s="242"/>
    </row>
    <row r="454" spans="66:66" x14ac:dyDescent="0.25">
      <c r="BN454" s="242"/>
    </row>
    <row r="455" spans="66:66" x14ac:dyDescent="0.25">
      <c r="BN455" s="242"/>
    </row>
    <row r="456" spans="66:66" x14ac:dyDescent="0.25">
      <c r="BN456" s="242"/>
    </row>
    <row r="457" spans="66:66" x14ac:dyDescent="0.25">
      <c r="BN457" s="242"/>
    </row>
    <row r="458" spans="66:66" x14ac:dyDescent="0.25">
      <c r="BN458" s="242"/>
    </row>
    <row r="459" spans="66:66" x14ac:dyDescent="0.25">
      <c r="BN459" s="242"/>
    </row>
    <row r="460" spans="66:66" x14ac:dyDescent="0.25">
      <c r="BN460" s="242"/>
    </row>
    <row r="461" spans="66:66" x14ac:dyDescent="0.25">
      <c r="BN461" s="242"/>
    </row>
    <row r="462" spans="66:66" x14ac:dyDescent="0.25">
      <c r="BN462" s="242"/>
    </row>
    <row r="463" spans="66:66" x14ac:dyDescent="0.25">
      <c r="BN463" s="242"/>
    </row>
    <row r="464" spans="66:66" x14ac:dyDescent="0.25">
      <c r="BN464" s="242"/>
    </row>
    <row r="465" spans="66:66" x14ac:dyDescent="0.25">
      <c r="BN465" s="242"/>
    </row>
    <row r="466" spans="66:66" x14ac:dyDescent="0.25">
      <c r="BN466" s="242"/>
    </row>
    <row r="467" spans="66:66" x14ac:dyDescent="0.25">
      <c r="BN467" s="242"/>
    </row>
    <row r="468" spans="66:66" x14ac:dyDescent="0.25">
      <c r="BN468" s="242"/>
    </row>
    <row r="469" spans="66:66" x14ac:dyDescent="0.25">
      <c r="BN469" s="242"/>
    </row>
    <row r="470" spans="66:66" x14ac:dyDescent="0.25">
      <c r="BN470" s="242"/>
    </row>
    <row r="471" spans="66:66" x14ac:dyDescent="0.25">
      <c r="BN471" s="242"/>
    </row>
    <row r="472" spans="66:66" x14ac:dyDescent="0.25">
      <c r="BN472" s="242"/>
    </row>
    <row r="473" spans="66:66" x14ac:dyDescent="0.25">
      <c r="BN473" s="242"/>
    </row>
    <row r="474" spans="66:66" x14ac:dyDescent="0.25">
      <c r="BN474" s="242"/>
    </row>
    <row r="475" spans="66:66" x14ac:dyDescent="0.25">
      <c r="BN475" s="242"/>
    </row>
    <row r="476" spans="66:66" x14ac:dyDescent="0.25">
      <c r="BN476" s="242"/>
    </row>
    <row r="477" spans="66:66" x14ac:dyDescent="0.25">
      <c r="BN477" s="242"/>
    </row>
    <row r="478" spans="66:66" x14ac:dyDescent="0.25">
      <c r="BN478" s="242"/>
    </row>
    <row r="479" spans="66:66" x14ac:dyDescent="0.25">
      <c r="BN479" s="242"/>
    </row>
    <row r="480" spans="66:66" x14ac:dyDescent="0.25">
      <c r="BN480" s="242"/>
    </row>
    <row r="481" spans="66:66" x14ac:dyDescent="0.25">
      <c r="BN481" s="242"/>
    </row>
    <row r="482" spans="66:66" x14ac:dyDescent="0.25">
      <c r="BN482" s="242"/>
    </row>
    <row r="483" spans="66:66" x14ac:dyDescent="0.25">
      <c r="BN483" s="242"/>
    </row>
    <row r="484" spans="66:66" x14ac:dyDescent="0.25">
      <c r="BN484" s="242"/>
    </row>
    <row r="485" spans="66:66" x14ac:dyDescent="0.25">
      <c r="BN485" s="242"/>
    </row>
    <row r="486" spans="66:66" x14ac:dyDescent="0.25">
      <c r="BN486" s="242"/>
    </row>
    <row r="487" spans="66:66" x14ac:dyDescent="0.25">
      <c r="BN487" s="242"/>
    </row>
    <row r="488" spans="66:66" x14ac:dyDescent="0.25">
      <c r="BN488" s="242"/>
    </row>
    <row r="489" spans="66:66" x14ac:dyDescent="0.25">
      <c r="BN489" s="242"/>
    </row>
    <row r="490" spans="66:66" x14ac:dyDescent="0.25">
      <c r="BN490" s="242"/>
    </row>
    <row r="491" spans="66:66" x14ac:dyDescent="0.25">
      <c r="BN491" s="242"/>
    </row>
    <row r="492" spans="66:66" x14ac:dyDescent="0.25">
      <c r="BN492" s="242"/>
    </row>
    <row r="493" spans="66:66" x14ac:dyDescent="0.25">
      <c r="BN493" s="242"/>
    </row>
    <row r="494" spans="66:66" x14ac:dyDescent="0.25">
      <c r="BN494" s="242"/>
    </row>
    <row r="495" spans="66:66" x14ac:dyDescent="0.25">
      <c r="BN495" s="242"/>
    </row>
    <row r="496" spans="66:66" x14ac:dyDescent="0.25">
      <c r="BN496" s="242"/>
    </row>
    <row r="497" spans="66:66" x14ac:dyDescent="0.25">
      <c r="BN497" s="242"/>
    </row>
    <row r="498" spans="66:66" x14ac:dyDescent="0.25">
      <c r="BN498" s="242"/>
    </row>
    <row r="499" spans="66:66" x14ac:dyDescent="0.25">
      <c r="BN499" s="242"/>
    </row>
    <row r="500" spans="66:66" x14ac:dyDescent="0.25">
      <c r="BN500" s="242"/>
    </row>
    <row r="501" spans="66:66" x14ac:dyDescent="0.25">
      <c r="BN501" s="242"/>
    </row>
    <row r="502" spans="66:66" x14ac:dyDescent="0.25">
      <c r="BN502" s="242"/>
    </row>
    <row r="503" spans="66:66" x14ac:dyDescent="0.25">
      <c r="BN503" s="242"/>
    </row>
    <row r="504" spans="66:66" x14ac:dyDescent="0.25">
      <c r="BN504" s="242"/>
    </row>
    <row r="505" spans="66:66" x14ac:dyDescent="0.25">
      <c r="BN505" s="242"/>
    </row>
    <row r="506" spans="66:66" x14ac:dyDescent="0.25">
      <c r="BN506" s="242"/>
    </row>
    <row r="507" spans="66:66" x14ac:dyDescent="0.25">
      <c r="BN507" s="242"/>
    </row>
    <row r="508" spans="66:66" x14ac:dyDescent="0.25">
      <c r="BN508" s="242"/>
    </row>
    <row r="509" spans="66:66" x14ac:dyDescent="0.25">
      <c r="BN509" s="242"/>
    </row>
    <row r="510" spans="66:66" x14ac:dyDescent="0.25">
      <c r="BN510" s="242"/>
    </row>
    <row r="511" spans="66:66" x14ac:dyDescent="0.25">
      <c r="BN511" s="242"/>
    </row>
    <row r="512" spans="66:66" x14ac:dyDescent="0.25">
      <c r="BN512" s="242"/>
    </row>
  </sheetData>
  <sheetProtection password="CE45" sheet="1" objects="1" scenarios="1"/>
  <mergeCells count="153">
    <mergeCell ref="R58:V58"/>
    <mergeCell ref="M55:N55"/>
    <mergeCell ref="O55:P55"/>
    <mergeCell ref="R55:S55"/>
    <mergeCell ref="U55:V55"/>
    <mergeCell ref="M56:N56"/>
    <mergeCell ref="O56:P56"/>
    <mergeCell ref="R56:S56"/>
    <mergeCell ref="U56:V56"/>
    <mergeCell ref="M53:N53"/>
    <mergeCell ref="O53:P53"/>
    <mergeCell ref="R53:S53"/>
    <mergeCell ref="U53:V53"/>
    <mergeCell ref="AH53:AJ53"/>
    <mergeCell ref="M54:N54"/>
    <mergeCell ref="O54:P54"/>
    <mergeCell ref="R54:S54"/>
    <mergeCell ref="U54:V54"/>
    <mergeCell ref="M51:N51"/>
    <mergeCell ref="O51:P51"/>
    <mergeCell ref="R51:S51"/>
    <mergeCell ref="U51:V51"/>
    <mergeCell ref="M52:N52"/>
    <mergeCell ref="O52:P52"/>
    <mergeCell ref="R52:S52"/>
    <mergeCell ref="U52:V52"/>
    <mergeCell ref="M47:W47"/>
    <mergeCell ref="O49:P49"/>
    <mergeCell ref="R49:S49"/>
    <mergeCell ref="U49:V49"/>
    <mergeCell ref="M50:N50"/>
    <mergeCell ref="O50:P50"/>
    <mergeCell ref="R50:S50"/>
    <mergeCell ref="U50:V50"/>
    <mergeCell ref="L32:N32"/>
    <mergeCell ref="Q33:AF33"/>
    <mergeCell ref="AD35:AF35"/>
    <mergeCell ref="AD37:AF37"/>
    <mergeCell ref="AD40:AF40"/>
    <mergeCell ref="AD42:AF42"/>
    <mergeCell ref="AB25:AI25"/>
    <mergeCell ref="S26:Z26"/>
    <mergeCell ref="AB30:AI30"/>
    <mergeCell ref="C22:E22"/>
    <mergeCell ref="F22:H22"/>
    <mergeCell ref="I22:K22"/>
    <mergeCell ref="S22:U22"/>
    <mergeCell ref="V22:W22"/>
    <mergeCell ref="X22:AB22"/>
    <mergeCell ref="AD22:AI22"/>
    <mergeCell ref="C21:E21"/>
    <mergeCell ref="F21:H21"/>
    <mergeCell ref="I21:K21"/>
    <mergeCell ref="S21:U21"/>
    <mergeCell ref="V21:W21"/>
    <mergeCell ref="X21:AB21"/>
    <mergeCell ref="S20:U20"/>
    <mergeCell ref="V20:W20"/>
    <mergeCell ref="X20:AB20"/>
    <mergeCell ref="AD20:AI20"/>
    <mergeCell ref="AR20:AS20"/>
    <mergeCell ref="BG30:BK30"/>
    <mergeCell ref="L31:N31"/>
    <mergeCell ref="AB31:AI31"/>
    <mergeCell ref="BG31:BK31"/>
    <mergeCell ref="AD21:AI21"/>
    <mergeCell ref="BG15:BH15"/>
    <mergeCell ref="P17:R22"/>
    <mergeCell ref="S17:U17"/>
    <mergeCell ref="V17:AI17"/>
    <mergeCell ref="A18:B22"/>
    <mergeCell ref="C18:E18"/>
    <mergeCell ref="F18:H18"/>
    <mergeCell ref="I18:K18"/>
    <mergeCell ref="S18:U18"/>
    <mergeCell ref="V18:W18"/>
    <mergeCell ref="X18:AB18"/>
    <mergeCell ref="AD18:AI18"/>
    <mergeCell ref="AR18:AS18"/>
    <mergeCell ref="C19:E19"/>
    <mergeCell ref="F19:H19"/>
    <mergeCell ref="I19:K19"/>
    <mergeCell ref="S19:U19"/>
    <mergeCell ref="V19:W19"/>
    <mergeCell ref="X19:AB19"/>
    <mergeCell ref="AD19:AI19"/>
    <mergeCell ref="AR19:AS19"/>
    <mergeCell ref="C20:E20"/>
    <mergeCell ref="F20:H20"/>
    <mergeCell ref="I20:K20"/>
    <mergeCell ref="A14:E14"/>
    <mergeCell ref="F14:H14"/>
    <mergeCell ref="I14:K14"/>
    <mergeCell ref="X14:AC14"/>
    <mergeCell ref="AD14:AE14"/>
    <mergeCell ref="X15:AC15"/>
    <mergeCell ref="AD15:AE15"/>
    <mergeCell ref="AH12:AI12"/>
    <mergeCell ref="BB12:BF12"/>
    <mergeCell ref="BB15:BF15"/>
    <mergeCell ref="BG12:BH12"/>
    <mergeCell ref="A13:E13"/>
    <mergeCell ref="F13:H13"/>
    <mergeCell ref="I13:K13"/>
    <mergeCell ref="AF13:AG13"/>
    <mergeCell ref="AH13:AI13"/>
    <mergeCell ref="AH11:AI11"/>
    <mergeCell ref="BB11:BF11"/>
    <mergeCell ref="BG11:BH11"/>
    <mergeCell ref="A12:E12"/>
    <mergeCell ref="F12:H12"/>
    <mergeCell ref="I12:K12"/>
    <mergeCell ref="S12:U12"/>
    <mergeCell ref="X12:AC12"/>
    <mergeCell ref="AD12:AE12"/>
    <mergeCell ref="AF12:AG12"/>
    <mergeCell ref="A10:E10"/>
    <mergeCell ref="F10:H10"/>
    <mergeCell ref="I10:K10"/>
    <mergeCell ref="S10:U10"/>
    <mergeCell ref="X10:AC10"/>
    <mergeCell ref="AD10:AE10"/>
    <mergeCell ref="AF10:AG10"/>
    <mergeCell ref="AH10:AI10"/>
    <mergeCell ref="A11:E11"/>
    <mergeCell ref="F11:H11"/>
    <mergeCell ref="I11:K11"/>
    <mergeCell ref="S11:U11"/>
    <mergeCell ref="X11:AC11"/>
    <mergeCell ref="AD11:AE11"/>
    <mergeCell ref="AF11:AG11"/>
    <mergeCell ref="AF6:AJ6"/>
    <mergeCell ref="G7:H7"/>
    <mergeCell ref="M7:N7"/>
    <mergeCell ref="S7:W7"/>
    <mergeCell ref="X8:AE9"/>
    <mergeCell ref="AF8:AG9"/>
    <mergeCell ref="AH8:AI9"/>
    <mergeCell ref="A1:AJ1"/>
    <mergeCell ref="BY1:BZ1"/>
    <mergeCell ref="AH2:AJ2"/>
    <mergeCell ref="BS2:BT2"/>
    <mergeCell ref="C5:G5"/>
    <mergeCell ref="K5:O5"/>
    <mergeCell ref="S5:W5"/>
    <mergeCell ref="AF5:AJ5"/>
    <mergeCell ref="BC5:BE5"/>
    <mergeCell ref="BG5:BI5"/>
    <mergeCell ref="AK8:AK9"/>
    <mergeCell ref="AL8:AL9"/>
    <mergeCell ref="A9:E9"/>
    <mergeCell ref="F9:H9"/>
    <mergeCell ref="I9:K9"/>
  </mergeCells>
  <conditionalFormatting sqref="BN4:BN44">
    <cfRule type="expression" dxfId="1925" priority="16">
      <formula>AND($L4=0,$M4=0)</formula>
    </cfRule>
  </conditionalFormatting>
  <conditionalFormatting sqref="BO4:BQ4">
    <cfRule type="cellIs" dxfId="1924" priority="15" operator="equal">
      <formula>1</formula>
    </cfRule>
  </conditionalFormatting>
  <conditionalFormatting sqref="BO5:BO370 BQ5:BQ370">
    <cfRule type="cellIs" dxfId="1923" priority="14" operator="equal">
      <formula>1</formula>
    </cfRule>
  </conditionalFormatting>
  <conditionalFormatting sqref="BP5:BP370">
    <cfRule type="cellIs" dxfId="1922" priority="13" operator="equal">
      <formula>1</formula>
    </cfRule>
  </conditionalFormatting>
  <conditionalFormatting sqref="I10:K10">
    <cfRule type="cellIs" dxfId="1921" priority="12" operator="equal">
      <formula>"CP payés ?"</formula>
    </cfRule>
  </conditionalFormatting>
  <conditionalFormatting sqref="X10:AC11">
    <cfRule type="cellIs" dxfId="1920" priority="11" operator="equal">
      <formula>"ERREUR"</formula>
    </cfRule>
  </conditionalFormatting>
  <conditionalFormatting sqref="AF8:AI9 AH10:AI12">
    <cfRule type="expression" dxfId="1919" priority="10">
      <formula>IF($AF$6=$BN$370,TRUE,FALSE)</formula>
    </cfRule>
  </conditionalFormatting>
  <conditionalFormatting sqref="AF10:AG12">
    <cfRule type="expression" dxfId="1918" priority="9">
      <formula>IF($AF$6=$BN$370,TRUE,FALSE)</formula>
    </cfRule>
  </conditionalFormatting>
  <conditionalFormatting sqref="I11:K11">
    <cfRule type="expression" dxfId="1917" priority="8">
      <formula>IF(OR($AD$35="",$AD$37=""),TRUE,FALSE)</formula>
    </cfRule>
  </conditionalFormatting>
  <conditionalFormatting sqref="BN74:BN370 BN62:BN63">
    <cfRule type="expression" dxfId="1916" priority="17">
      <formula>AND($L45=0,$M45=0)</formula>
    </cfRule>
  </conditionalFormatting>
  <conditionalFormatting sqref="BN45:BN60">
    <cfRule type="expression" dxfId="1915" priority="18">
      <formula>AND(#REF!=0,#REF!=0)</formula>
    </cfRule>
  </conditionalFormatting>
  <conditionalFormatting sqref="BN64:BN73">
    <cfRule type="expression" dxfId="1914" priority="19">
      <formula>AND($L47=0,#REF!=0)</formula>
    </cfRule>
  </conditionalFormatting>
  <conditionalFormatting sqref="BN61">
    <cfRule type="expression" dxfId="1913" priority="20">
      <formula>AND(#REF!=0,#REF!=0)</formula>
    </cfRule>
  </conditionalFormatting>
  <conditionalFormatting sqref="AI28:AI29">
    <cfRule type="cellIs" dxfId="1912" priority="7" operator="greaterThan">
      <formula>25</formula>
    </cfRule>
  </conditionalFormatting>
  <conditionalFormatting sqref="AB30:AI30">
    <cfRule type="expression" dxfId="1911" priority="6">
      <formula>IF(AI28&gt;0,TRUE,FALSE)</formula>
    </cfRule>
  </conditionalFormatting>
  <conditionalFormatting sqref="AB31:AI31">
    <cfRule type="expression" dxfId="1910" priority="5">
      <formula>IF($AI$29&gt;0,TRUE,FALSE)</formula>
    </cfRule>
  </conditionalFormatting>
  <conditionalFormatting sqref="BP371">
    <cfRule type="cellIs" dxfId="1909" priority="1" operator="equal">
      <formula>1</formula>
    </cfRule>
  </conditionalFormatting>
  <conditionalFormatting sqref="BO371 BQ371">
    <cfRule type="cellIs" dxfId="1908" priority="4" operator="equal">
      <formula>1</formula>
    </cfRule>
  </conditionalFormatting>
  <conditionalFormatting sqref="BO371 BQ371">
    <cfRule type="cellIs" dxfId="1907" priority="2" operator="equal">
      <formula>1</formula>
    </cfRule>
  </conditionalFormatting>
  <conditionalFormatting sqref="BN371">
    <cfRule type="expression" dxfId="1906" priority="3">
      <formula>AND($L354=0,$M354=0)</formula>
    </cfRule>
  </conditionalFormatting>
  <hyperlinks>
    <hyperlink ref="BG30:BK30" r:id="rId1" display="Pour 228 jours : décret n°2000-815" xr:uid="{E837D082-7ECB-4A57-952C-66014DE7115D}"/>
  </hyperlinks>
  <pageMargins left="0.7" right="0.7" top="0.75" bottom="0.75" header="0.3" footer="0.3"/>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pageSetUpPr fitToPage="1"/>
  </sheetPr>
  <dimension ref="A1:AE106"/>
  <sheetViews>
    <sheetView showGridLines="0" topLeftCell="A38" zoomScale="85" zoomScaleNormal="85" workbookViewId="0">
      <selection activeCell="B87" sqref="B87:B88"/>
    </sheetView>
  </sheetViews>
  <sheetFormatPr baseColWidth="10" defaultColWidth="11.5703125" defaultRowHeight="15" x14ac:dyDescent="0.25"/>
  <cols>
    <col min="1" max="1" width="24.85546875" customWidth="1"/>
    <col min="2" max="7" width="8.7109375" customWidth="1"/>
    <col min="8" max="8" width="9" customWidth="1"/>
    <col min="9" max="50" width="8.7109375" customWidth="1"/>
  </cols>
  <sheetData>
    <row r="1" spans="1:27" s="32" customFormat="1" ht="18.75" x14ac:dyDescent="0.3">
      <c r="A1" s="64" t="s">
        <v>107</v>
      </c>
      <c r="B1" s="812" t="str">
        <f>IF(Paramétrage!C5="","",Paramétrage!C5)</f>
        <v/>
      </c>
      <c r="C1" s="812"/>
      <c r="D1" s="812"/>
      <c r="E1" s="31"/>
      <c r="F1" s="64" t="s">
        <v>83</v>
      </c>
      <c r="G1" s="812" t="str">
        <f>IF(Paramétrage!S5="","",Paramétrage!S5)</f>
        <v/>
      </c>
      <c r="H1" s="812"/>
      <c r="I1" s="812"/>
      <c r="M1" s="64" t="s">
        <v>112</v>
      </c>
      <c r="N1" s="35" t="str">
        <f>ROUND(151.67/(35/24)*Paramétrage!G7,2)&amp;" heures"</f>
        <v>0 heures</v>
      </c>
      <c r="W1" s="33"/>
      <c r="X1" s="65" t="s">
        <v>111</v>
      </c>
      <c r="Y1" s="34"/>
      <c r="AA1" s="266" t="str">
        <f>Paramétrage!AG2</f>
        <v>version 5.0</v>
      </c>
    </row>
    <row r="2" spans="1:27" s="32" customFormat="1" ht="18.75" x14ac:dyDescent="0.3">
      <c r="A2" s="64" t="s">
        <v>109</v>
      </c>
      <c r="B2" s="812" t="str">
        <f>IF(Paramétrage!K5="","",Paramétrage!K5)</f>
        <v/>
      </c>
      <c r="C2" s="812"/>
      <c r="D2" s="812"/>
      <c r="E2" s="31"/>
      <c r="F2" s="64" t="s">
        <v>88</v>
      </c>
      <c r="G2" s="812" t="str">
        <f>IF(Paramétrage!S7="","",Paramétrage!S7)</f>
        <v/>
      </c>
      <c r="H2" s="812"/>
      <c r="I2" s="812"/>
      <c r="M2" s="64" t="s">
        <v>113</v>
      </c>
      <c r="N2" s="818">
        <f>Paramétrage!I15</f>
        <v>0</v>
      </c>
      <c r="O2" s="818"/>
      <c r="P2" s="35"/>
      <c r="V2" s="66"/>
      <c r="W2" s="96">
        <f>Paramétrage!BC5</f>
        <v>2020</v>
      </c>
      <c r="X2" s="67" t="s">
        <v>77</v>
      </c>
      <c r="Y2" s="97">
        <f>W2+1</f>
        <v>2021</v>
      </c>
    </row>
    <row r="3" spans="1:27" x14ac:dyDescent="0.25">
      <c r="D3" s="19"/>
    </row>
    <row r="4" spans="1:27" x14ac:dyDescent="0.25">
      <c r="D4" s="20"/>
    </row>
    <row r="5" spans="1:27" ht="28.5" customHeight="1" x14ac:dyDescent="0.35">
      <c r="A5" s="811" t="s">
        <v>72</v>
      </c>
      <c r="B5" s="811"/>
      <c r="C5" s="811"/>
      <c r="D5" s="811"/>
      <c r="E5" s="811"/>
      <c r="F5" s="811"/>
      <c r="G5" s="811"/>
      <c r="H5" s="811"/>
      <c r="I5" s="811"/>
      <c r="J5" s="811"/>
      <c r="K5" s="811"/>
      <c r="L5" s="811"/>
      <c r="M5" s="811"/>
      <c r="N5" s="811"/>
      <c r="O5" s="811"/>
      <c r="P5" s="811"/>
      <c r="Q5" s="811"/>
      <c r="R5" s="811"/>
      <c r="S5" s="811"/>
      <c r="T5" s="811"/>
      <c r="U5" s="811"/>
      <c r="V5" s="811"/>
      <c r="W5" s="811"/>
      <c r="X5" s="811"/>
      <c r="Y5" s="811"/>
      <c r="Z5" s="811"/>
      <c r="AA5" s="811"/>
    </row>
    <row r="6" spans="1:27" ht="15" customHeight="1" thickBot="1" x14ac:dyDescent="0.3">
      <c r="AA6" s="1"/>
    </row>
    <row r="7" spans="1:27" ht="15" customHeight="1" x14ac:dyDescent="0.25">
      <c r="A7" s="39"/>
      <c r="B7" s="36" t="s">
        <v>9</v>
      </c>
      <c r="C7" s="2" t="s">
        <v>10</v>
      </c>
      <c r="D7" s="3" t="s">
        <v>9</v>
      </c>
      <c r="E7" s="2" t="s">
        <v>10</v>
      </c>
      <c r="F7" s="3" t="s">
        <v>9</v>
      </c>
      <c r="G7" s="2" t="s">
        <v>10</v>
      </c>
      <c r="H7" s="3" t="s">
        <v>9</v>
      </c>
      <c r="I7" s="2" t="s">
        <v>10</v>
      </c>
      <c r="J7" s="3" t="s">
        <v>9</v>
      </c>
      <c r="K7" s="2" t="s">
        <v>10</v>
      </c>
      <c r="L7" s="3" t="s">
        <v>9</v>
      </c>
      <c r="M7" s="2" t="s">
        <v>10</v>
      </c>
      <c r="N7" s="3" t="s">
        <v>9</v>
      </c>
      <c r="O7" s="2" t="s">
        <v>10</v>
      </c>
      <c r="P7" s="3" t="s">
        <v>9</v>
      </c>
      <c r="Q7" s="2" t="s">
        <v>10</v>
      </c>
      <c r="R7" s="3" t="s">
        <v>9</v>
      </c>
      <c r="S7" s="2" t="s">
        <v>10</v>
      </c>
      <c r="T7" s="3" t="s">
        <v>9</v>
      </c>
      <c r="U7" s="2" t="s">
        <v>10</v>
      </c>
      <c r="V7" s="3" t="s">
        <v>9</v>
      </c>
      <c r="W7" s="2" t="s">
        <v>10</v>
      </c>
      <c r="X7" s="3" t="s">
        <v>9</v>
      </c>
      <c r="Y7" s="2" t="s">
        <v>10</v>
      </c>
      <c r="Z7" s="3" t="s">
        <v>9</v>
      </c>
      <c r="AA7" s="2" t="s">
        <v>10</v>
      </c>
    </row>
    <row r="8" spans="1:27" ht="15" customHeight="1" x14ac:dyDescent="0.25">
      <c r="A8" s="40"/>
      <c r="B8" s="37">
        <f>DATE(W2,9,1)</f>
        <v>42613</v>
      </c>
      <c r="C8" s="4">
        <f>B8+7-WEEKDAY(B8)+1</f>
        <v>42618</v>
      </c>
      <c r="D8" s="5">
        <f>+C8+1</f>
        <v>42619</v>
      </c>
      <c r="E8" s="4">
        <f>6+D8</f>
        <v>42625</v>
      </c>
      <c r="F8" s="5">
        <f>+E8+1</f>
        <v>42626</v>
      </c>
      <c r="G8" s="4">
        <f>6+F8</f>
        <v>42632</v>
      </c>
      <c r="H8" s="5">
        <f>+G8+1</f>
        <v>42633</v>
      </c>
      <c r="I8" s="4">
        <f>6+H8</f>
        <v>42639</v>
      </c>
      <c r="J8" s="5">
        <f>+I8+1</f>
        <v>42640</v>
      </c>
      <c r="K8" s="4">
        <f>6+J8</f>
        <v>42646</v>
      </c>
      <c r="L8" s="5">
        <f>+K8+1</f>
        <v>42647</v>
      </c>
      <c r="M8" s="4">
        <f>6+L8</f>
        <v>42653</v>
      </c>
      <c r="N8" s="5">
        <f>+M8+1</f>
        <v>42654</v>
      </c>
      <c r="O8" s="4">
        <f>6+N8</f>
        <v>42660</v>
      </c>
      <c r="P8" s="5">
        <f>+O8+1</f>
        <v>42661</v>
      </c>
      <c r="Q8" s="4">
        <f>6+P8</f>
        <v>42667</v>
      </c>
      <c r="R8" s="5">
        <f>+Q8+1</f>
        <v>42668</v>
      </c>
      <c r="S8" s="4">
        <f>6+R8</f>
        <v>42674</v>
      </c>
      <c r="T8" s="5">
        <f>+S8+1</f>
        <v>42675</v>
      </c>
      <c r="U8" s="4">
        <f>6+T8</f>
        <v>42681</v>
      </c>
      <c r="V8" s="5">
        <f>+U8+1</f>
        <v>42682</v>
      </c>
      <c r="W8" s="4">
        <f>6+V8</f>
        <v>42688</v>
      </c>
      <c r="X8" s="5">
        <f>+W8+1</f>
        <v>42689</v>
      </c>
      <c r="Y8" s="4">
        <f>6+X8</f>
        <v>42695</v>
      </c>
      <c r="Z8" s="5">
        <f>+Y8+1</f>
        <v>42696</v>
      </c>
      <c r="AA8" s="4">
        <f>+Z8+6</f>
        <v>42702</v>
      </c>
    </row>
    <row r="9" spans="1:27" ht="15" customHeight="1" x14ac:dyDescent="0.25">
      <c r="A9" s="39"/>
      <c r="B9" s="809" t="str">
        <f>"Semaine "&amp;_xlfn.ISOWEEKNUM(B8)</f>
        <v>Semaine 36</v>
      </c>
      <c r="C9" s="810"/>
      <c r="D9" s="809" t="str">
        <f>"Semaine "&amp;_xlfn.ISOWEEKNUM(D8)</f>
        <v>Semaine 37</v>
      </c>
      <c r="E9" s="810"/>
      <c r="F9" s="809" t="str">
        <f>"Semaine "&amp;_xlfn.ISOWEEKNUM(F8)</f>
        <v>Semaine 38</v>
      </c>
      <c r="G9" s="810"/>
      <c r="H9" s="809" t="str">
        <f>"Semaine "&amp;_xlfn.ISOWEEKNUM(H8)</f>
        <v>Semaine 39</v>
      </c>
      <c r="I9" s="810"/>
      <c r="J9" s="809" t="str">
        <f>"Semaine "&amp;_xlfn.ISOWEEKNUM(J8)</f>
        <v>Semaine 40</v>
      </c>
      <c r="K9" s="810"/>
      <c r="L9" s="809" t="str">
        <f>"Semaine "&amp;_xlfn.ISOWEEKNUM(L8)</f>
        <v>Semaine 41</v>
      </c>
      <c r="M9" s="810"/>
      <c r="N9" s="809" t="str">
        <f>"Semaine "&amp;_xlfn.ISOWEEKNUM(N8)</f>
        <v>Semaine 42</v>
      </c>
      <c r="O9" s="810"/>
      <c r="P9" s="809" t="str">
        <f>"Semaine "&amp;_xlfn.ISOWEEKNUM(P8)</f>
        <v>Semaine 43</v>
      </c>
      <c r="Q9" s="810"/>
      <c r="R9" s="809" t="str">
        <f>"Semaine "&amp;_xlfn.ISOWEEKNUM(R8)</f>
        <v>Semaine 44</v>
      </c>
      <c r="S9" s="810"/>
      <c r="T9" s="807" t="str">
        <f>"Semaine "&amp;_xlfn.ISOWEEKNUM(T8)</f>
        <v>Semaine 45</v>
      </c>
      <c r="U9" s="808"/>
      <c r="V9" s="807" t="str">
        <f>"Semaine "&amp;_xlfn.ISOWEEKNUM(V8)</f>
        <v>Semaine 46</v>
      </c>
      <c r="W9" s="808"/>
      <c r="X9" s="807" t="str">
        <f>"Semaine "&amp;_xlfn.ISOWEEKNUM(X8)</f>
        <v>Semaine 47</v>
      </c>
      <c r="Y9" s="808"/>
      <c r="Z9" s="807" t="str">
        <f>"Semaine "&amp;_xlfn.ISOWEEKNUM(Z8)</f>
        <v>Semaine 48</v>
      </c>
      <c r="AA9" s="808"/>
    </row>
    <row r="10" spans="1:27" ht="15" customHeight="1" thickBot="1" x14ac:dyDescent="0.3">
      <c r="A10" s="41"/>
      <c r="B10" s="38" t="s">
        <v>0</v>
      </c>
      <c r="C10" s="6" t="s">
        <v>1</v>
      </c>
      <c r="D10" s="7" t="s">
        <v>0</v>
      </c>
      <c r="E10" s="6" t="s">
        <v>1</v>
      </c>
      <c r="F10" s="7" t="s">
        <v>0</v>
      </c>
      <c r="G10" s="6" t="s">
        <v>1</v>
      </c>
      <c r="H10" s="7" t="s">
        <v>0</v>
      </c>
      <c r="I10" s="6" t="s">
        <v>1</v>
      </c>
      <c r="J10" s="7" t="s">
        <v>0</v>
      </c>
      <c r="K10" s="6" t="s">
        <v>1</v>
      </c>
      <c r="L10" s="7" t="s">
        <v>0</v>
      </c>
      <c r="M10" s="6" t="s">
        <v>1</v>
      </c>
      <c r="N10" s="7" t="s">
        <v>0</v>
      </c>
      <c r="O10" s="6" t="s">
        <v>1</v>
      </c>
      <c r="P10" s="7" t="s">
        <v>0</v>
      </c>
      <c r="Q10" s="6" t="s">
        <v>1</v>
      </c>
      <c r="R10" s="7" t="s">
        <v>0</v>
      </c>
      <c r="S10" s="6" t="s">
        <v>1</v>
      </c>
      <c r="T10" s="7" t="s">
        <v>0</v>
      </c>
      <c r="U10" s="6" t="s">
        <v>1</v>
      </c>
      <c r="V10" s="7" t="s">
        <v>0</v>
      </c>
      <c r="W10" s="6" t="s">
        <v>1</v>
      </c>
      <c r="X10" s="7" t="s">
        <v>0</v>
      </c>
      <c r="Y10" s="6" t="s">
        <v>1</v>
      </c>
      <c r="Z10" s="7" t="s">
        <v>0</v>
      </c>
      <c r="AA10" s="6" t="s">
        <v>1</v>
      </c>
    </row>
    <row r="11" spans="1:27" ht="15" customHeight="1" x14ac:dyDescent="0.25">
      <c r="A11" s="51" t="s">
        <v>2</v>
      </c>
      <c r="B11" s="50">
        <f>IF('T1'!B6="css","css",IF('T1'!B6="aa","aa",IF('T1'!B6="jc","jc",IF('T1'!B6="m","m",IF('T1'!B6="f","f",IF('T1'!B6="cp","cp",'T1'!N6))))))</f>
        <v>0</v>
      </c>
      <c r="C11" s="99">
        <f>IF('T1'!C6="css","css",IF('T1'!C6="aa","aa",IF('T1'!C6="jc","jc",IF('T1'!C6="m","m",IF('T1'!C6="f","f",IF('T1'!C6="cp","cp",'T1'!O6))))))</f>
        <v>0</v>
      </c>
      <c r="D11" s="18">
        <f>IF('T1'!B18="css","css",IF('T1'!$B18="aa","aa",IF('T1'!B18="jc","jc",IF('T1'!B18="m","m",IF('T1'!B18="f","f",IF('T1'!B18="cp","cp",'T1'!N18))))))</f>
        <v>0</v>
      </c>
      <c r="E11" s="98">
        <f>IF('T1'!C18="css","css",IF('T1'!$C18="aa","aa",IF('T1'!C18="jc","jc",IF('T1'!C18="m","m",IF('T1'!C18="f","f",IF('T1'!C18="cp","cp",'T1'!O18))))))</f>
        <v>0</v>
      </c>
      <c r="F11" s="18">
        <f>IF('T1'!B30="css","css",IF('T1'!$B30="aa","aa",IF('T1'!$B30="jc","jc",IF('T1'!$B30="m","m",IF('T1'!$B30="f","f",IF('T1'!$B30="cp","cp",'T1'!$N30))))))</f>
        <v>0</v>
      </c>
      <c r="G11" s="98">
        <f>IF('T1'!C30="css","css",IF('T1'!$C30="aa","aa",IF('T1'!$C30="jc","jc",IF('T1'!$C30="m","m",IF('T1'!$C30="f","f",IF('T1'!$C30="cp","cp",'T1'!$O30))))))</f>
        <v>0</v>
      </c>
      <c r="H11" s="18">
        <f>IF('T1'!B42="css","css",IF('T1'!$B42="aa","aa",IF('T1'!$B42="jc","jc",IF('T1'!$B42="m","m",IF('T1'!$B42="f","f",IF('T1'!$B42="cp","cp",'T1'!$N42))))))</f>
        <v>0</v>
      </c>
      <c r="I11" s="98">
        <f>IF('T1'!C42="css","css",IF('T1'!$C42="aa","aa",IF('T1'!$C42="jc","jc",IF('T1'!$C42="m","m",IF('T1'!$C42="f","f",IF('T1'!$C42="cp","cp",'T1'!$O42))))))</f>
        <v>0</v>
      </c>
      <c r="J11" s="18">
        <f>IF('T1'!B54="css","css",IF('T1'!$B54="aa","aa",IF('T1'!$B54="jc","jc",IF('T1'!$B54="m","m",IF('T1'!$B54="f","f",IF('T1'!$B54="cp","cp",'T1'!$N54))))))</f>
        <v>0</v>
      </c>
      <c r="K11" s="98">
        <f>IF('T1'!C54="css","css",IF('T1'!$C54="aa","aa",IF('T1'!$C54="jc","jc",IF('T1'!$C54="m","m",IF('T1'!$C54="f","f",IF('T1'!$C54="cp","cp",'T1'!$O54))))))</f>
        <v>0</v>
      </c>
      <c r="L11" s="18">
        <f>IF('T1'!B66="css","css",IF('T1'!$B66="aa","aa",IF('T1'!$B66="jc","jc",IF('T1'!$B66="m","m",IF('T1'!$B66="f","f",IF('T1'!$B66="cp","cp",'T1'!$N66))))))</f>
        <v>0</v>
      </c>
      <c r="M11" s="98">
        <f>IF('T1'!C66="css","css",IF('T1'!$C66="aa","aa",IF('T1'!$C66="jc","jc",IF('T1'!$C66="m","m",IF('T1'!$C66="f","f",IF('T1'!$C66="cp","cp",'T1'!$O66))))))</f>
        <v>0</v>
      </c>
      <c r="N11" s="18">
        <f>IF('T1'!B78="css","css",IF('T1'!$B78="aa","aa",IF('T1'!$B78="jc","jc",IF('T1'!$B78="m","m",IF('T1'!$B78="f","f",IF('T1'!$B78="cp","cp",'T1'!$N78))))))</f>
        <v>0</v>
      </c>
      <c r="O11" s="98">
        <f>IF('T1'!C78="css","css",IF('T1'!$C78="aa","aa",IF('T1'!$C78="jc","jc",IF('T1'!$C78="m","m",IF('T1'!$C78="f","f",IF('T1'!$C78="cp","cp",'T1'!$O78))))))</f>
        <v>0</v>
      </c>
      <c r="P11" s="18">
        <f>IF('T1'!B90="css","css",IF('T1'!$B90="aa","aa",IF('T1'!$B90="jc","jc",IF('T1'!$B90="m","m",IF('T1'!$B90="f","f",IF('T1'!$B90="cp","cp",'T1'!$N90))))))</f>
        <v>0</v>
      </c>
      <c r="Q11" s="98">
        <f>IF('T1'!C90="css","css",IF('T1'!$C90="aa","aa",IF('T1'!$C90="jc","jc",IF('T1'!$C90="m","m",IF('T1'!$C90="f","f",IF('T1'!$C90="cp","cp",'T1'!$O90))))))</f>
        <v>0</v>
      </c>
      <c r="R11" s="18">
        <f>IF('T1'!B102="css","css",IF('T1'!$B102="aa","aa",IF('T1'!$B102="jc","jc",IF('T1'!$B102="m","m",IF('T1'!$B102="f","f",IF('T1'!$B102="cp","cp",'T1'!$N102))))))</f>
        <v>0</v>
      </c>
      <c r="S11" s="98">
        <f>IF('T1'!C102="css","css",IF('T1'!$C102="aa","aa",IF('T1'!$C102="jc","jc",IF('T1'!$C102="m","m",IF('T1'!$C102="f","f",IF('T1'!$C102="cp","cp",'T1'!$O102))))))</f>
        <v>0</v>
      </c>
      <c r="T11" s="18">
        <f>IF('T1'!B114="css","css",IF('T1'!$B114="aa","aa",IF('T1'!$B114="jc","jc",IF('T1'!$B114="m","m",IF('T1'!$B114="f","f",IF('T1'!$B114="cp","cp",'T1'!$N114))))))</f>
        <v>0</v>
      </c>
      <c r="U11" s="98">
        <f>IF('T1'!C114="css","css",IF('T1'!$C114="aa","aa",IF('T1'!$C114="jc","jc",IF('T1'!$C114="m","m",IF('T1'!$C114="f","f",IF('T1'!$C114="cp","cp",'T1'!$O114))))))</f>
        <v>0</v>
      </c>
      <c r="V11" s="18">
        <f>IF('T1'!B126="css","css",IF('T1'!$B126="aa","aa",IF('T1'!$B126="jc","jc",IF('T1'!$B126="m","m",IF('T1'!$B126="f","f",IF('T1'!$B126="cp","cp",'T1'!$N126))))))</f>
        <v>0</v>
      </c>
      <c r="W11" s="98">
        <f>IF('T1'!C126="css","css",IF('T1'!$C126="aa","aa",IF('T1'!$C126="jc","jc",IF('T1'!$C126="m","m",IF('T1'!$C126="f","f",IF('T1'!$C126="cp","cp",'T1'!$O126))))))</f>
        <v>0</v>
      </c>
      <c r="X11" s="18">
        <f>IF('T1'!B138="css","css",IF('T1'!$B138="aa","aa",IF('T1'!$B138="jc","jc",IF('T1'!$B138="m","m",IF('T1'!$B138="f","f",IF('T1'!$B138="cp","cp",'T1'!$N138))))))</f>
        <v>0</v>
      </c>
      <c r="Y11" s="98">
        <f>IF('T1'!C138="css","css",IF('T1'!$C138="aa","aa",IF('T1'!$C138="jc","jc",IF('T1'!$C138="m","m",IF('T1'!$C138="f","f",IF('T1'!$C138="cp","cp",'T1'!$O138))))))</f>
        <v>0</v>
      </c>
      <c r="Z11" s="18">
        <f>IF('T1'!B150="css","css",IF('T1'!$B150="aa","aa",IF('T1'!$B150="jc","jc",IF('T1'!$B150="m","m",IF('T1'!$B150="f","f",IF('T1'!$B150="cp","cp",'T1'!$N150))))))</f>
        <v>0</v>
      </c>
      <c r="AA11" s="98">
        <f>IF('T1'!C150="css","css",IF('T1'!$C150="aa","aa",IF('T1'!$C150="jc","jc",IF('T1'!$C150="m","m",IF('T1'!$C150="f","f",IF('T1'!$C150="cp","cp",'T1'!$O150))))))</f>
        <v>0</v>
      </c>
    </row>
    <row r="12" spans="1:27" ht="15" customHeight="1" x14ac:dyDescent="0.25">
      <c r="A12" s="52" t="s">
        <v>3</v>
      </c>
      <c r="B12" s="50">
        <f>IF('T1'!B7="css","css",IF('T1'!B7="aa","aa",IF('T1'!B7="jc","jc",IF('T1'!B7="m","m",IF('T1'!B7="f","f",IF('T1'!B7="cp","cp",'T1'!N7))))))</f>
        <v>0</v>
      </c>
      <c r="C12" s="99">
        <f>IF('T1'!C7="css","css",IF('T1'!C7="aa","aa",IF('T1'!C7="jc","jc",IF('T1'!C7="m","m",IF('T1'!C7="f","f",IF('T1'!C7="cp","cp",'T1'!O7))))))</f>
        <v>0</v>
      </c>
      <c r="D12" s="50">
        <f>IF('T1'!B19="css","css",IF('T1'!$B19="aa","aa",IF('T1'!B19="jc","jc",IF('T1'!B19="m","m",IF('T1'!B19="f","f",IF('T1'!B19="cp","cp",'T1'!N19))))))</f>
        <v>0</v>
      </c>
      <c r="E12" s="99">
        <f>IF('T1'!C19="css","css",IF('T1'!$C19="aa","aa",IF('T1'!C19="jc","jc",IF('T1'!C19="m","m",IF('T1'!C19="f","f",IF('T1'!C19="cp","cp",'T1'!O19))))))</f>
        <v>0</v>
      </c>
      <c r="F12" s="50">
        <f>IF('T1'!B31="css","css",IF('T1'!$B31="aa","aa",IF('T1'!$B31="jc","jc",IF('T1'!$B31="m","m",IF('T1'!$B31="f","f",IF('T1'!$B31="cp","cp",'T1'!$N31))))))</f>
        <v>0</v>
      </c>
      <c r="G12" s="99">
        <f>IF('T1'!C31="css","css",IF('T1'!$C31="aa","aa",IF('T1'!$C31="jc","jc",IF('T1'!$C31="m","m",IF('T1'!$C31="f","f",IF('T1'!$C31="cp","cp",'T1'!$O31))))))</f>
        <v>0</v>
      </c>
      <c r="H12" s="50">
        <f>IF('T1'!B43="css","css",IF('T1'!$B43="aa","aa",IF('T1'!$B43="jc","jc",IF('T1'!$B43="m","m",IF('T1'!$B43="f","f",IF('T1'!$B43="cp","cp",'T1'!$N43))))))</f>
        <v>0</v>
      </c>
      <c r="I12" s="99">
        <f>IF('T1'!C43="css","css",IF('T1'!$C43="aa","aa",IF('T1'!$C43="jc","jc",IF('T1'!$C43="m","m",IF('T1'!$C43="f","f",IF('T1'!$C43="cp","cp",'T1'!$O43))))))</f>
        <v>0</v>
      </c>
      <c r="J12" s="50">
        <f>IF('T1'!B55="css","css",IF('T1'!$B55="aa","aa",IF('T1'!$B55="jc","jc",IF('T1'!$B55="m","m",IF('T1'!$B55="f","f",IF('T1'!$B55="cp","cp",'T1'!$N55))))))</f>
        <v>0</v>
      </c>
      <c r="K12" s="99">
        <f>IF('T1'!C55="css","css",IF('T1'!$C55="aa","aa",IF('T1'!$C55="jc","jc",IF('T1'!$C55="m","m",IF('T1'!$C55="f","f",IF('T1'!$C55="cp","cp",'T1'!$O55))))))</f>
        <v>0</v>
      </c>
      <c r="L12" s="50">
        <f>IF('T1'!B67="css","css",IF('T1'!$B67="aa","aa",IF('T1'!$B67="jc","jc",IF('T1'!$B67="m","m",IF('T1'!$B67="f","f",IF('T1'!$B67="cp","cp",'T1'!$N67))))))</f>
        <v>0</v>
      </c>
      <c r="M12" s="99">
        <f>IF('T1'!C67="css","css",IF('T1'!$C67="aa","aa",IF('T1'!$C67="jc","jc",IF('T1'!$C67="m","m",IF('T1'!$C67="f","f",IF('T1'!$C67="cp","cp",'T1'!$O67))))))</f>
        <v>0</v>
      </c>
      <c r="N12" s="50">
        <f>IF('T1'!B79="css","css",IF('T1'!$B79="aa","aa",IF('T1'!$B79="jc","jc",IF('T1'!$B79="m","m",IF('T1'!$B79="f","f",IF('T1'!$B79="cp","cp",'T1'!$N79))))))</f>
        <v>0</v>
      </c>
      <c r="O12" s="99">
        <f>IF('T1'!C79="css","css",IF('T1'!$C79="aa","aa",IF('T1'!$C79="jc","jc",IF('T1'!$C79="m","m",IF('T1'!$C79="f","f",IF('T1'!$C79="cp","cp",'T1'!$O79))))))</f>
        <v>0</v>
      </c>
      <c r="P12" s="50">
        <f>IF('T1'!B91="css","css",IF('T1'!$B91="aa","aa",IF('T1'!$B91="jc","jc",IF('T1'!$B91="m","m",IF('T1'!$B91="f","f",IF('T1'!$B91="cp","cp",'T1'!$N91))))))</f>
        <v>0</v>
      </c>
      <c r="Q12" s="99">
        <f>IF('T1'!C91="css","css",IF('T1'!$C91="aa","aa",IF('T1'!$C91="jc","jc",IF('T1'!$C91="m","m",IF('T1'!$C91="f","f",IF('T1'!$C91="cp","cp",'T1'!$O91))))))</f>
        <v>0</v>
      </c>
      <c r="R12" s="50">
        <f>IF('T1'!B103="css","css",IF('T1'!$B103="aa","aa",IF('T1'!$B103="jc","jc",IF('T1'!$B103="m","m",IF('T1'!$B103="f","f",IF('T1'!$B103="cp","cp",'T1'!$N103))))))</f>
        <v>0</v>
      </c>
      <c r="S12" s="99">
        <f>IF('T1'!C103="css","css",IF('T1'!$C103="aa","aa",IF('T1'!$C103="jc","jc",IF('T1'!$C103="m","m",IF('T1'!$C103="f","f",IF('T1'!$C103="cp","cp",'T1'!$O103))))))</f>
        <v>0</v>
      </c>
      <c r="T12" s="50">
        <f>IF('T1'!B115="css","css",IF('T1'!$B115="aa","aa",IF('T1'!$B115="jc","jc",IF('T1'!$B115="m","m",IF('T1'!$B115="f","f",IF('T1'!$B115="cp","cp",'T1'!$N115))))))</f>
        <v>0</v>
      </c>
      <c r="U12" s="99">
        <f>IF('T1'!C115="css","css",IF('T1'!$C115="aa","aa",IF('T1'!$C115="jc","jc",IF('T1'!$C115="m","m",IF('T1'!$C115="f","f",IF('T1'!$C115="cp","cp",'T1'!$O115))))))</f>
        <v>0</v>
      </c>
      <c r="V12" s="50">
        <f>IF('T1'!B127="css","css",IF('T1'!$B127="aa","aa",IF('T1'!$B127="jc","jc",IF('T1'!$B127="m","m",IF('T1'!$B127="f","f",IF('T1'!$B127="cp","cp",'T1'!$N127))))))</f>
        <v>0</v>
      </c>
      <c r="W12" s="99">
        <f>IF('T1'!C127="css","css",IF('T1'!$C127="aa","aa",IF('T1'!$C127="jc","jc",IF('T1'!$C127="m","m",IF('T1'!$C127="f","f",IF('T1'!$C127="cp","cp",'T1'!$O127))))))</f>
        <v>0</v>
      </c>
      <c r="X12" s="50">
        <f>IF('T1'!B139="css","css",IF('T1'!$B139="aa","aa",IF('T1'!$B139="jc","jc",IF('T1'!$B139="m","m",IF('T1'!$B139="f","f",IF('T1'!$B139="cp","cp",'T1'!$N139))))))</f>
        <v>0</v>
      </c>
      <c r="Y12" s="99">
        <f>IF('T1'!C139="css","css",IF('T1'!$C139="aa","aa",IF('T1'!$C139="jc","jc",IF('T1'!$C139="m","m",IF('T1'!$C139="f","f",IF('T1'!$C139="cp","cp",'T1'!$O139))))))</f>
        <v>0</v>
      </c>
      <c r="Z12" s="50">
        <f>IF('T1'!B151="css","css",IF('T1'!$B151="aa","aa",IF('T1'!$B151="jc","jc",IF('T1'!$B151="m","m",IF('T1'!$B151="f","f",IF('T1'!$B151="cp","cp",'T1'!$N151))))))</f>
        <v>0</v>
      </c>
      <c r="AA12" s="130">
        <f>IF('T1'!C151="css","css",IF('T1'!$C151="aa","aa",IF('T1'!$C151="jc","jc",IF('T1'!$C151="m","m",IF('T1'!$C151="f","f",IF('T1'!$C151="cp","cp",'T1'!$O151))))))</f>
        <v>0</v>
      </c>
    </row>
    <row r="13" spans="1:27" ht="15" customHeight="1" x14ac:dyDescent="0.25">
      <c r="A13" s="52" t="s">
        <v>4</v>
      </c>
      <c r="B13" s="50">
        <f>IF('T1'!B8="css","css",IF('T1'!B8="aa","aa",IF('T1'!B8="jc","jc",IF('T1'!B8="m","m",IF('T1'!B8="f","f",IF('T1'!B8="cp","cp",'T1'!N8))))))</f>
        <v>0</v>
      </c>
      <c r="C13" s="99">
        <f>IF('T1'!C8="css","css",IF('T1'!C8="aa","aa",IF('T1'!C8="jc","jc",IF('T1'!C8="m","m",IF('T1'!C8="f","f",IF('T1'!C8="cp","cp",'T1'!O8))))))</f>
        <v>0</v>
      </c>
      <c r="D13" s="50">
        <f>IF('T1'!B20="css","css",IF('T1'!$B20="aa","aa",IF('T1'!B20="jc","jc",IF('T1'!B20="m","m",IF('T1'!B20="f","f",IF('T1'!B20="cp","cp",'T1'!N20))))))</f>
        <v>0</v>
      </c>
      <c r="E13" s="99">
        <f>IF('T1'!C20="css","css",IF('T1'!$C20="aa","aa",IF('T1'!C20="jc","jc",IF('T1'!C20="m","m",IF('T1'!C20="f","f",IF('T1'!C20="cp","cp",'T1'!O20))))))</f>
        <v>0</v>
      </c>
      <c r="F13" s="50">
        <f>IF('T1'!B32="css","css",IF('T1'!$B32="aa","aa",IF('T1'!$B32="jc","jc",IF('T1'!$B32="m","m",IF('T1'!$B32="f","f",IF('T1'!$B32="cp","cp",'T1'!$N32))))))</f>
        <v>0</v>
      </c>
      <c r="G13" s="99">
        <f>IF('T1'!C32="css","css",IF('T1'!$C32="aa","aa",IF('T1'!$C32="jc","jc",IF('T1'!$C32="m","m",IF('T1'!$C32="f","f",IF('T1'!$C32="cp","cp",'T1'!$O32))))))</f>
        <v>0</v>
      </c>
      <c r="H13" s="50">
        <f>IF('T1'!B44="css","css",IF('T1'!$B44="aa","aa",IF('T1'!$B44="jc","jc",IF('T1'!$B44="m","m",IF('T1'!$B44="f","f",IF('T1'!$B44="cp","cp",'T1'!$N44))))))</f>
        <v>0</v>
      </c>
      <c r="I13" s="99">
        <f>IF('T1'!C44="css","css",IF('T1'!$C44="aa","aa",IF('T1'!$C44="jc","jc",IF('T1'!$C44="m","m",IF('T1'!$C44="f","f",IF('T1'!$C44="cp","cp",'T1'!$O44))))))</f>
        <v>0</v>
      </c>
      <c r="J13" s="50">
        <f>IF('T1'!B56="css","css",IF('T1'!$B56="aa","aa",IF('T1'!$B56="jc","jc",IF('T1'!$B56="m","m",IF('T1'!$B56="f","f",IF('T1'!$B56="cp","cp",'T1'!$N56))))))</f>
        <v>0</v>
      </c>
      <c r="K13" s="99">
        <f>IF('T1'!C56="css","css",IF('T1'!$C56="aa","aa",IF('T1'!$C56="jc","jc",IF('T1'!$C56="m","m",IF('T1'!$C56="f","f",IF('T1'!$C56="cp","cp",'T1'!$O56))))))</f>
        <v>0</v>
      </c>
      <c r="L13" s="50">
        <f>IF('T1'!B68="css","css",IF('T1'!$B68="aa","aa",IF('T1'!$B68="jc","jc",IF('T1'!$B68="m","m",IF('T1'!$B68="f","f",IF('T1'!$B68="cp","cp",'T1'!$N68))))))</f>
        <v>0</v>
      </c>
      <c r="M13" s="99">
        <f>IF('T1'!C68="css","css",IF('T1'!$C68="aa","aa",IF('T1'!$C68="jc","jc",IF('T1'!$C68="m","m",IF('T1'!$C68="f","f",IF('T1'!$C68="cp","cp",'T1'!$O68))))))</f>
        <v>0</v>
      </c>
      <c r="N13" s="50">
        <f>IF('T1'!B80="css","css",IF('T1'!$B80="aa","aa",IF('T1'!$B80="jc","jc",IF('T1'!$B80="m","m",IF('T1'!$B80="f","f",IF('T1'!$B80="cp","cp",'T1'!$N80))))))</f>
        <v>0</v>
      </c>
      <c r="O13" s="99">
        <f>IF('T1'!C80="css","css",IF('T1'!$C80="aa","aa",IF('T1'!$C80="jc","jc",IF('T1'!$C80="m","m",IF('T1'!$C80="f","f",IF('T1'!$C80="cp","cp",'T1'!$O80))))))</f>
        <v>0</v>
      </c>
      <c r="P13" s="50">
        <f>IF('T1'!B92="css","css",IF('T1'!$B92="aa","aa",IF('T1'!$B92="jc","jc",IF('T1'!$B92="m","m",IF('T1'!$B92="f","f",IF('T1'!$B92="cp","cp",'T1'!$N92))))))</f>
        <v>0</v>
      </c>
      <c r="Q13" s="99">
        <f>IF('T1'!C92="css","css",IF('T1'!$C92="aa","aa",IF('T1'!$C92="jc","jc",IF('T1'!$C92="m","m",IF('T1'!$C92="f","f",IF('T1'!$C92="cp","cp",'T1'!$O92))))))</f>
        <v>0</v>
      </c>
      <c r="R13" s="50">
        <f>IF('T1'!B104="css","css",IF('T1'!$B104="aa","aa",IF('T1'!$B104="jc","jc",IF('T1'!$B104="m","m",IF('T1'!$B104="f","f",IF('T1'!$B104="cp","cp",'T1'!$N104))))))</f>
        <v>0</v>
      </c>
      <c r="S13" s="99">
        <f>IF('T1'!C104="css","css",IF('T1'!$C104="aa","aa",IF('T1'!$C104="jc","jc",IF('T1'!$C104="m","m",IF('T1'!$C104="f","f",IF('T1'!$C104="cp","cp",'T1'!$O104))))))</f>
        <v>0</v>
      </c>
      <c r="T13" s="50">
        <f>IF('T1'!B116="css","css",IF('T1'!$B116="aa","aa",IF('T1'!$B116="jc","jc",IF('T1'!$B116="m","m",IF('T1'!$B116="f","f",IF('T1'!$B116="cp","cp",'T1'!$N116))))))</f>
        <v>0</v>
      </c>
      <c r="U13" s="99">
        <f>IF('T1'!C116="css","css",IF('T1'!$C116="aa","aa",IF('T1'!$C116="jc","jc",IF('T1'!$C116="m","m",IF('T1'!$C116="f","f",IF('T1'!$C116="cp","cp",'T1'!$O116))))))</f>
        <v>0</v>
      </c>
      <c r="V13" s="50">
        <f>IF('T1'!B128="css","css",IF('T1'!$B128="aa","aa",IF('T1'!$B128="jc","jc",IF('T1'!$B128="m","m",IF('T1'!$B128="f","f",IF('T1'!$B128="cp","cp",'T1'!$N128))))))</f>
        <v>0</v>
      </c>
      <c r="W13" s="99">
        <f>IF('T1'!C128="css","css",IF('T1'!$C128="aa","aa",IF('T1'!$C128="jc","jc",IF('T1'!$C128="m","m",IF('T1'!$C128="f","f",IF('T1'!$C128="cp","cp",'T1'!$O128))))))</f>
        <v>0</v>
      </c>
      <c r="X13" s="50">
        <f>IF('T1'!B140="css","css",IF('T1'!$B140="aa","aa",IF('T1'!$B140="jc","jc",IF('T1'!$B140="m","m",IF('T1'!$B140="f","f",IF('T1'!$B140="cp","cp",'T1'!$N140))))))</f>
        <v>0</v>
      </c>
      <c r="Y13" s="99">
        <f>IF('T1'!C140="css","css",IF('T1'!$C140="aa","aa",IF('T1'!$C140="jc","jc",IF('T1'!$C140="m","m",IF('T1'!$C140="f","f",IF('T1'!$C140="cp","cp",'T1'!$O140))))))</f>
        <v>0</v>
      </c>
      <c r="Z13" s="50">
        <f>IF('T1'!B152="css","css",IF('T1'!$B152="aa","aa",IF('T1'!$B152="jc","jc",IF('T1'!$B152="m","m",IF('T1'!$B152="f","f",IF('T1'!$B152="cp","cp",'T1'!$N152))))))</f>
        <v>0</v>
      </c>
      <c r="AA13" s="130">
        <f>IF('T1'!C152="css","css",IF('T1'!$C152="aa","aa",IF('T1'!$C152="jc","jc",IF('T1'!$C152="m","m",IF('T1'!$C152="f","f",IF('T1'!$C152="cp","cp",'T1'!$O152))))))</f>
        <v>0</v>
      </c>
    </row>
    <row r="14" spans="1:27" ht="15" customHeight="1" x14ac:dyDescent="0.25">
      <c r="A14" s="52" t="s">
        <v>5</v>
      </c>
      <c r="B14" s="50">
        <f>IF('T1'!B9="css","css",IF('T1'!B9="aa","aa",IF('T1'!B9="jc","jc",IF('T1'!B9="m","m",IF('T1'!B9="f","f",IF('T1'!B9="cp","cp",'T1'!N9))))))</f>
        <v>0</v>
      </c>
      <c r="C14" s="99">
        <f>IF('T1'!C9="css","css",IF('T1'!C9="aa","aa",IF('T1'!C9="jc","jc",IF('T1'!C9="m","m",IF('T1'!C9="f","f",IF('T1'!C9="cp","cp",'T1'!O9))))))</f>
        <v>0</v>
      </c>
      <c r="D14" s="50">
        <f>IF('T1'!B21="css","css",IF('T1'!$B21="aa","aa",IF('T1'!B21="jc","jc",IF('T1'!B21="m","m",IF('T1'!B21="f","f",IF('T1'!B21="cp","cp",'T1'!N21))))))</f>
        <v>0</v>
      </c>
      <c r="E14" s="99">
        <f>IF('T1'!C21="css","css",IF('T1'!$C21="aa","aa",IF('T1'!C21="jc","jc",IF('T1'!C21="m","m",IF('T1'!C21="f","f",IF('T1'!C21="cp","cp",'T1'!O21))))))</f>
        <v>0</v>
      </c>
      <c r="F14" s="50">
        <f>IF('T1'!B33="css","css",IF('T1'!$B33="aa","aa",IF('T1'!$B33="jc","jc",IF('T1'!$B33="m","m",IF('T1'!$B33="f","f",IF('T1'!$B33="cp","cp",'T1'!$N33))))))</f>
        <v>0</v>
      </c>
      <c r="G14" s="99">
        <f>IF('T1'!C33="css","css",IF('T1'!$C33="aa","aa",IF('T1'!$C33="jc","jc",IF('T1'!$C33="m","m",IF('T1'!$C33="f","f",IF('T1'!$C33="cp","cp",'T1'!$O33))))))</f>
        <v>0</v>
      </c>
      <c r="H14" s="50">
        <f>IF('T1'!B45="css","css",IF('T1'!$B45="aa","aa",IF('T1'!$B45="jc","jc",IF('T1'!$B45="m","m",IF('T1'!$B45="f","f",IF('T1'!$B45="cp","cp",'T1'!$N45))))))</f>
        <v>0</v>
      </c>
      <c r="I14" s="99">
        <f>IF('T1'!C45="css","css",IF('T1'!$C45="aa","aa",IF('T1'!$C45="jc","jc",IF('T1'!$C45="m","m",IF('T1'!$C45="f","f",IF('T1'!$C45="cp","cp",'T1'!$O45))))))</f>
        <v>0</v>
      </c>
      <c r="J14" s="50">
        <f>IF('T1'!B57="css","css",IF('T1'!$B57="aa","aa",IF('T1'!$B57="jc","jc",IF('T1'!$B57="m","m",IF('T1'!$B57="f","f",IF('T1'!$B57="cp","cp",'T1'!$N57))))))</f>
        <v>0</v>
      </c>
      <c r="K14" s="99">
        <f>IF('T1'!C57="css","css",IF('T1'!$C57="aa","aa",IF('T1'!$C57="jc","jc",IF('T1'!$C57="m","m",IF('T1'!$C57="f","f",IF('T1'!$C57="cp","cp",'T1'!$O57))))))</f>
        <v>0</v>
      </c>
      <c r="L14" s="50">
        <f>IF('T1'!B69="css","css",IF('T1'!$B69="aa","aa",IF('T1'!$B69="jc","jc",IF('T1'!$B69="m","m",IF('T1'!$B69="f","f",IF('T1'!$B69="cp","cp",'T1'!$N69))))))</f>
        <v>0</v>
      </c>
      <c r="M14" s="99">
        <f>IF('T1'!C69="css","css",IF('T1'!$C69="aa","aa",IF('T1'!$C69="jc","jc",IF('T1'!$C69="m","m",IF('T1'!$C69="f","f",IF('T1'!$C69="cp","cp",'T1'!$O69))))))</f>
        <v>0</v>
      </c>
      <c r="N14" s="50">
        <f>IF('T1'!B81="css","css",IF('T1'!$B81="aa","aa",IF('T1'!$B81="jc","jc",IF('T1'!$B81="m","m",IF('T1'!$B81="f","f",IF('T1'!$B81="cp","cp",'T1'!$N81))))))</f>
        <v>0</v>
      </c>
      <c r="O14" s="99">
        <f>IF('T1'!C81="css","css",IF('T1'!$C81="aa","aa",IF('T1'!$C81="jc","jc",IF('T1'!$C81="m","m",IF('T1'!$C81="f","f",IF('T1'!$C81="cp","cp",'T1'!$O81))))))</f>
        <v>0</v>
      </c>
      <c r="P14" s="50">
        <f>IF('T1'!B93="css","css",IF('T1'!$B93="aa","aa",IF('T1'!$B93="jc","jc",IF('T1'!$B93="m","m",IF('T1'!$B93="f","f",IF('T1'!$B93="cp","cp",'T1'!$N93))))))</f>
        <v>0</v>
      </c>
      <c r="Q14" s="99">
        <f>IF('T1'!C93="css","css",IF('T1'!$C93="aa","aa",IF('T1'!$C93="jc","jc",IF('T1'!$C93="m","m",IF('T1'!$C93="f","f",IF('T1'!$C93="cp","cp",'T1'!$O93))))))</f>
        <v>0</v>
      </c>
      <c r="R14" s="50">
        <f>IF('T1'!B105="css","css",IF('T1'!$B105="aa","aa",IF('T1'!$B105="jc","jc",IF('T1'!$B105="m","m",IF('T1'!$B105="f","f",IF('T1'!$B105="cp","cp",'T1'!$N105))))))</f>
        <v>0</v>
      </c>
      <c r="S14" s="99">
        <f>IF('T1'!C105="css","css",IF('T1'!$C105="aa","aa",IF('T1'!$C105="jc","jc",IF('T1'!$C105="m","m",IF('T1'!$C105="f","f",IF('T1'!$C105="cp","cp",'T1'!$O105))))))</f>
        <v>0</v>
      </c>
      <c r="T14" s="50">
        <f>IF('T1'!B117="css","css",IF('T1'!$B117="aa","aa",IF('T1'!$B117="jc","jc",IF('T1'!$B117="m","m",IF('T1'!$B117="f","f",IF('T1'!$B117="cp","cp",'T1'!$N117))))))</f>
        <v>0</v>
      </c>
      <c r="U14" s="99">
        <f>IF('T1'!C117="css","css",IF('T1'!$C117="aa","aa",IF('T1'!$C117="jc","jc",IF('T1'!$C117="m","m",IF('T1'!$C117="f","f",IF('T1'!$C117="cp","cp",'T1'!$O117))))))</f>
        <v>0</v>
      </c>
      <c r="V14" s="50">
        <f>IF('T1'!B129="css","css",IF('T1'!$B129="aa","aa",IF('T1'!$B129="jc","jc",IF('T1'!$B129="m","m",IF('T1'!$B129="f","f",IF('T1'!$B129="cp","cp",'T1'!$N129))))))</f>
        <v>0</v>
      </c>
      <c r="W14" s="99">
        <f>IF('T1'!C129="css","css",IF('T1'!$C129="aa","aa",IF('T1'!$C129="jc","jc",IF('T1'!$C129="m","m",IF('T1'!$C129="f","f",IF('T1'!$C129="cp","cp",'T1'!$O129))))))</f>
        <v>0</v>
      </c>
      <c r="X14" s="50">
        <f>IF('T1'!B141="css","css",IF('T1'!$B141="aa","aa",IF('T1'!$B141="jc","jc",IF('T1'!$B141="m","m",IF('T1'!$B141="f","f",IF('T1'!$B141="cp","cp",'T1'!$N141))))))</f>
        <v>0</v>
      </c>
      <c r="Y14" s="99">
        <f>IF('T1'!C141="css","css",IF('T1'!$C141="aa","aa",IF('T1'!$C141="jc","jc",IF('T1'!$C141="m","m",IF('T1'!$C141="f","f",IF('T1'!$C141="cp","cp",'T1'!$O141))))))</f>
        <v>0</v>
      </c>
      <c r="Z14" s="50">
        <f>IF('T1'!B153="css","css",IF('T1'!$B153="aa","aa",IF('T1'!$B153="jc","jc",IF('T1'!$B153="m","m",IF('T1'!$B153="f","f",IF('T1'!$B153="cp","cp",'T1'!$N153))))))</f>
        <v>0</v>
      </c>
      <c r="AA14" s="130">
        <f>IF('T1'!C153="css","css",IF('T1'!$C153="aa","aa",IF('T1'!$C153="jc","jc",IF('T1'!$C153="m","m",IF('T1'!$C153="f","f",IF('T1'!$C153="cp","cp",'T1'!$O153))))))</f>
        <v>0</v>
      </c>
    </row>
    <row r="15" spans="1:27" ht="15" customHeight="1" x14ac:dyDescent="0.25">
      <c r="A15" s="52" t="s">
        <v>6</v>
      </c>
      <c r="B15" s="50">
        <f>IF('T1'!B10="css","css",IF('T1'!B10="aa","aa",IF('T1'!B10="jc","jc",IF('T1'!B10="m","m",IF('T1'!B10="f","f",IF('T1'!B10="cp","cp",'T1'!N10))))))</f>
        <v>0</v>
      </c>
      <c r="C15" s="99">
        <f>IF('T1'!C10="css","css",IF('T1'!C10="aa","aa",IF('T1'!C10="jc","jc",IF('T1'!C10="m","m",IF('T1'!C10="f","f",IF('T1'!C10="cp","cp",'T1'!O10))))))</f>
        <v>0</v>
      </c>
      <c r="D15" s="50">
        <f>IF('T1'!B22="css","css",IF('T1'!$B22="aa","aa",IF('T1'!B22="jc","jc",IF('T1'!B22="m","m",IF('T1'!B22="f","f",IF('T1'!B22="cp","cp",'T1'!N22))))))</f>
        <v>0</v>
      </c>
      <c r="E15" s="99">
        <f>IF('T1'!C22="css","css",IF('T1'!$C22="aa","aa",IF('T1'!C22="jc","jc",IF('T1'!C22="m","m",IF('T1'!C22="f","f",IF('T1'!C22="cp","cp",'T1'!O22))))))</f>
        <v>0</v>
      </c>
      <c r="F15" s="50">
        <f>IF('T1'!B34="css","css",IF('T1'!$B34="aa","aa",IF('T1'!$B34="jc","jc",IF('T1'!$B34="m","m",IF('T1'!$B34="f","f",IF('T1'!$B34="cp","cp",'T1'!$N34))))))</f>
        <v>0</v>
      </c>
      <c r="G15" s="99">
        <f>IF('T1'!C34="css","css",IF('T1'!$C34="aa","aa",IF('T1'!$C34="jc","jc",IF('T1'!$C34="m","m",IF('T1'!$C34="f","f",IF('T1'!$C34="cp","cp",'T1'!$O34))))))</f>
        <v>0</v>
      </c>
      <c r="H15" s="50">
        <f>IF('T1'!B46="css","css",IF('T1'!$B46="aa","aa",IF('T1'!$B46="jc","jc",IF('T1'!$B46="m","m",IF('T1'!$B46="f","f",IF('T1'!$B46="cp","cp",'T1'!$N46))))))</f>
        <v>0</v>
      </c>
      <c r="I15" s="99">
        <f>IF('T1'!C46="css","css",IF('T1'!$C46="aa","aa",IF('T1'!$C46="jc","jc",IF('T1'!$C46="m","m",IF('T1'!$C46="f","f",IF('T1'!$C46="cp","cp",'T1'!$O46))))))</f>
        <v>0</v>
      </c>
      <c r="J15" s="50">
        <f>IF('T1'!B58="css","css",IF('T1'!$B58="aa","aa",IF('T1'!$B58="jc","jc",IF('T1'!$B58="m","m",IF('T1'!$B58="f","f",IF('T1'!$B58="cp","cp",'T1'!$N58))))))</f>
        <v>0</v>
      </c>
      <c r="K15" s="99">
        <f>IF('T1'!C58="css","css",IF('T1'!$C58="aa","aa",IF('T1'!$C58="jc","jc",IF('T1'!$C58="m","m",IF('T1'!$C58="f","f",IF('T1'!$C58="cp","cp",'T1'!$O58))))))</f>
        <v>0</v>
      </c>
      <c r="L15" s="50">
        <f>IF('T1'!B70="css","css",IF('T1'!$B70="aa","aa",IF('T1'!$B70="jc","jc",IF('T1'!$B70="m","m",IF('T1'!$B70="f","f",IF('T1'!$B70="cp","cp",'T1'!$N70))))))</f>
        <v>0</v>
      </c>
      <c r="M15" s="99">
        <f>IF('T1'!C70="css","css",IF('T1'!$C70="aa","aa",IF('T1'!$C70="jc","jc",IF('T1'!$C70="m","m",IF('T1'!$C70="f","f",IF('T1'!$C70="cp","cp",'T1'!$O70))))))</f>
        <v>0</v>
      </c>
      <c r="N15" s="50">
        <f>IF('T1'!B82="css","css",IF('T1'!$B82="aa","aa",IF('T1'!$B82="jc","jc",IF('T1'!$B82="m","m",IF('T1'!$B82="f","f",IF('T1'!$B82="cp","cp",'T1'!$N82))))))</f>
        <v>0</v>
      </c>
      <c r="O15" s="99">
        <f>IF('T1'!C82="css","css",IF('T1'!$C82="aa","aa",IF('T1'!$C82="jc","jc",IF('T1'!$C82="m","m",IF('T1'!$C82="f","f",IF('T1'!$C82="cp","cp",'T1'!$O82))))))</f>
        <v>0</v>
      </c>
      <c r="P15" s="50">
        <f>IF('T1'!B94="css","css",IF('T1'!$B94="aa","aa",IF('T1'!$B94="jc","jc",IF('T1'!$B94="m","m",IF('T1'!$B94="f","f",IF('T1'!$B94="cp","cp",'T1'!$N94))))))</f>
        <v>0</v>
      </c>
      <c r="Q15" s="99">
        <f>IF('T1'!C94="css","css",IF('T1'!$C94="aa","aa",IF('T1'!$C94="jc","jc",IF('T1'!$C94="m","m",IF('T1'!$C94="f","f",IF('T1'!$C94="cp","cp",'T1'!$O94))))))</f>
        <v>0</v>
      </c>
      <c r="R15" s="50">
        <f>IF('T1'!B106="css","css",IF('T1'!$B106="aa","aa",IF('T1'!$B106="jc","jc",IF('T1'!$B106="m","m",IF('T1'!$B106="f","f",IF('T1'!$B106="cp","cp",'T1'!$N106))))))</f>
        <v>0</v>
      </c>
      <c r="S15" s="99">
        <f>IF('T1'!C106="css","css",IF('T1'!$C106="aa","aa",IF('T1'!$C106="jc","jc",IF('T1'!$C106="m","m",IF('T1'!$C106="f","f",IF('T1'!$C106="cp","cp",'T1'!$O106))))))</f>
        <v>0</v>
      </c>
      <c r="T15" s="50">
        <f>IF('T1'!B118="css","css",IF('T1'!$B118="aa","aa",IF('T1'!$B118="jc","jc",IF('T1'!$B118="m","m",IF('T1'!$B118="f","f",IF('T1'!$B118="cp","cp",'T1'!$N118))))))</f>
        <v>0</v>
      </c>
      <c r="U15" s="99">
        <f>IF('T1'!C118="css","css",IF('T1'!$C118="aa","aa",IF('T1'!$C118="jc","jc",IF('T1'!$C118="m","m",IF('T1'!$C118="f","f",IF('T1'!$C118="cp","cp",'T1'!$O118))))))</f>
        <v>0</v>
      </c>
      <c r="V15" s="50">
        <f>IF('T1'!B130="css","css",IF('T1'!$B130="aa","aa",IF('T1'!$B130="jc","jc",IF('T1'!$B130="m","m",IF('T1'!$B130="f","f",IF('T1'!$B130="cp","cp",'T1'!$N130))))))</f>
        <v>0</v>
      </c>
      <c r="W15" s="99">
        <f>IF('T1'!C130="css","css",IF('T1'!$C130="aa","aa",IF('T1'!$C130="jc","jc",IF('T1'!$C130="m","m",IF('T1'!$C130="f","f",IF('T1'!$C130="cp","cp",'T1'!$O130))))))</f>
        <v>0</v>
      </c>
      <c r="X15" s="50">
        <f>IF('T1'!B142="css","css",IF('T1'!$B142="aa","aa",IF('T1'!$B142="jc","jc",IF('T1'!$B142="m","m",IF('T1'!$B142="f","f",IF('T1'!$B142="cp","cp",'T1'!$N142))))))</f>
        <v>0</v>
      </c>
      <c r="Y15" s="99">
        <f>IF('T1'!C142="css","css",IF('T1'!$C142="aa","aa",IF('T1'!$C142="jc","jc",IF('T1'!$C142="m","m",IF('T1'!$C142="f","f",IF('T1'!$C142="cp","cp",'T1'!$O142))))))</f>
        <v>0</v>
      </c>
      <c r="Z15" s="50">
        <f>IF('T1'!B154="css","css",IF('T1'!$B154="aa","aa",IF('T1'!$B154="jc","jc",IF('T1'!$B154="m","m",IF('T1'!$B154="f","f",IF('T1'!$B154="cp","cp",'T1'!$N154))))))</f>
        <v>0</v>
      </c>
      <c r="AA15" s="130">
        <f>IF('T1'!C154="css","css",IF('T1'!$C154="aa","aa",IF('T1'!$C154="jc","jc",IF('T1'!$C154="m","m",IF('T1'!$C154="f","f",IF('T1'!$C154="cp","cp",'T1'!$O154))))))</f>
        <v>0</v>
      </c>
    </row>
    <row r="16" spans="1:27" ht="15" customHeight="1" x14ac:dyDescent="0.25">
      <c r="A16" s="52" t="s">
        <v>7</v>
      </c>
      <c r="B16" s="129">
        <f>IF('T1'!B11="css","css",IF('T1'!B11="aa","aa",IF('T1'!B11="jc","jc",IF('T1'!B11="m","m",IF('T1'!B11="f","f",IF('T1'!B11="cp","cp",'T1'!N11))))))</f>
        <v>0</v>
      </c>
      <c r="C16" s="100">
        <f>IF('T1'!C11="css","css",IF('T1'!C11="aa","aa",IF('T1'!C11="jc","jc",IF('T1'!C11="m","m",IF('T1'!C11="f","f",IF('T1'!C11="cp","cp",'T1'!O11))))))</f>
        <v>0</v>
      </c>
      <c r="D16" s="129">
        <f>IF('T1'!B23="css","css",IF('T1'!$B23="aa","aa",IF('T1'!B23="jc","jc",IF('T1'!B23="m","m",IF('T1'!B23="f","f",IF('T1'!B23="cp","cp",'T1'!N23))))))</f>
        <v>0</v>
      </c>
      <c r="E16" s="100">
        <f>IF('T1'!C23="css","css",IF('T1'!$C23="aa","aa",IF('T1'!C23="jc","jc",IF('T1'!C23="m","m",IF('T1'!C23="f","f",IF('T1'!C23="cp","cp",'T1'!O23))))))</f>
        <v>0</v>
      </c>
      <c r="F16" s="129">
        <f>IF('T1'!B35="css","css",IF('T1'!$B35="aa","aa",IF('T1'!$B35="jc","jc",IF('T1'!$B35="m","m",IF('T1'!$B35="f","f",IF('T1'!$B35="cp","cp",'T1'!$N35))))))</f>
        <v>0</v>
      </c>
      <c r="G16" s="100">
        <f>IF('T1'!C35="css","css",IF('T1'!$C35="aa","aa",IF('T1'!$C35="jc","jc",IF('T1'!$C35="m","m",IF('T1'!$C35="f","f",IF('T1'!$C35="cp","cp",'T1'!$O35))))))</f>
        <v>0</v>
      </c>
      <c r="H16" s="129">
        <f>IF('T1'!B47="css","css",IF('T1'!$B47="aa","aa",IF('T1'!$B47="jc","jc",IF('T1'!$B47="m","m",IF('T1'!$B47="f","f",IF('T1'!$B47="cp","cp",'T1'!$N47))))))</f>
        <v>0</v>
      </c>
      <c r="I16" s="100">
        <f>IF('T1'!C47="css","css",IF('T1'!$C47="aa","aa",IF('T1'!$C47="jc","jc",IF('T1'!$C47="m","m",IF('T1'!$C47="f","f",IF('T1'!$C47="cp","cp",'T1'!$O47))))))</f>
        <v>0</v>
      </c>
      <c r="J16" s="129">
        <f>IF('T1'!B59="css","css",IF('T1'!$B59="aa","aa",IF('T1'!$B59="jc","jc",IF('T1'!$B59="m","m",IF('T1'!$B59="f","f",IF('T1'!$B59="cp","cp",'T1'!$N59))))))</f>
        <v>0</v>
      </c>
      <c r="K16" s="100">
        <f>IF('T1'!C59="css","css",IF('T1'!$C59="aa","aa",IF('T1'!$C59="jc","jc",IF('T1'!$C59="m","m",IF('T1'!$C59="f","f",IF('T1'!$C59="cp","cp",'T1'!$O59))))))</f>
        <v>0</v>
      </c>
      <c r="L16" s="129">
        <f>IF('T1'!B71="css","css",IF('T1'!$B71="aa","aa",IF('T1'!$B71="jc","jc",IF('T1'!$B71="m","m",IF('T1'!$B71="f","f",IF('T1'!$B71="cp","cp",'T1'!$N71))))))</f>
        <v>0</v>
      </c>
      <c r="M16" s="100">
        <f>IF('T1'!C71="css","css",IF('T1'!$C71="aa","aa",IF('T1'!$C71="jc","jc",IF('T1'!$C71="m","m",IF('T1'!$C71="f","f",IF('T1'!$C71="cp","cp",'T1'!$O71))))))</f>
        <v>0</v>
      </c>
      <c r="N16" s="129">
        <f>IF('T1'!B83="css","css",IF('T1'!$B83="aa","aa",IF('T1'!$B83="jc","jc",IF('T1'!$B83="m","m",IF('T1'!$B83="f","f",IF('T1'!$B83="cp","cp",'T1'!$N83))))))</f>
        <v>0</v>
      </c>
      <c r="O16" s="100">
        <f>IF('T1'!C83="css","css",IF('T1'!$C83="aa","aa",IF('T1'!$C83="jc","jc",IF('T1'!$C83="m","m",IF('T1'!$C83="f","f",IF('T1'!$C83="cp","cp",'T1'!$O83))))))</f>
        <v>0</v>
      </c>
      <c r="P16" s="129">
        <f>IF('T1'!B95="css","css",IF('T1'!$B95="aa","aa",IF('T1'!$B95="jc","jc",IF('T1'!$B95="m","m",IF('T1'!$B95="f","f",IF('T1'!$B95="cp","cp",'T1'!$N95))))))</f>
        <v>0</v>
      </c>
      <c r="Q16" s="100">
        <f>IF('T1'!C95="css","css",IF('T1'!$C95="aa","aa",IF('T1'!$C95="jc","jc",IF('T1'!$C95="m","m",IF('T1'!$C95="f","f",IF('T1'!$C95="cp","cp",'T1'!$O95))))))</f>
        <v>0</v>
      </c>
      <c r="R16" s="129">
        <f>IF('T1'!B107="css","css",IF('T1'!$B107="aa","aa",IF('T1'!$B107="jc","jc",IF('T1'!$B107="m","m",IF('T1'!$B107="f","f",IF('T1'!$B107="cp","cp",'T1'!$N107))))))</f>
        <v>0</v>
      </c>
      <c r="S16" s="100">
        <f>IF('T1'!C107="css","css",IF('T1'!$C107="aa","aa",IF('T1'!$C107="jc","jc",IF('T1'!$C107="m","m",IF('T1'!$C107="f","f",IF('T1'!$C107="cp","cp",'T1'!$O107))))))</f>
        <v>0</v>
      </c>
      <c r="T16" s="129">
        <f>IF('T1'!B119="css","css",IF('T1'!$B119="aa","aa",IF('T1'!$B119="jc","jc",IF('T1'!$B119="m","m",IF('T1'!$B119="f","f",IF('T1'!$B119="cp","cp",'T1'!$N119))))))</f>
        <v>0</v>
      </c>
      <c r="U16" s="100">
        <f>IF('T1'!C119="css","css",IF('T1'!$C119="aa","aa",IF('T1'!$C119="jc","jc",IF('T1'!$C119="m","m",IF('T1'!$C119="f","f",IF('T1'!$C119="cp","cp",'T1'!$O119))))))</f>
        <v>0</v>
      </c>
      <c r="V16" s="129">
        <f>IF('T1'!B131="css","css",IF('T1'!$B131="aa","aa",IF('T1'!$B131="jc","jc",IF('T1'!$B131="m","m",IF('T1'!$B131="f","f",IF('T1'!$B131="cp","cp",'T1'!$N131))))))</f>
        <v>0</v>
      </c>
      <c r="W16" s="100">
        <f>IF('T1'!C131="css","css",IF('T1'!$C131="aa","aa",IF('T1'!$C131="jc","jc",IF('T1'!$C131="m","m",IF('T1'!$C131="f","f",IF('T1'!$C131="cp","cp",'T1'!$O131))))))</f>
        <v>0</v>
      </c>
      <c r="X16" s="129">
        <f>IF('T1'!B143="css","css",IF('T1'!$B143="aa","aa",IF('T1'!$B143="jc","jc",IF('T1'!$B143="m","m",IF('T1'!$B143="f","f",IF('T1'!$B143="cp","cp",'T1'!$N143))))))</f>
        <v>0</v>
      </c>
      <c r="Y16" s="100">
        <f>IF('T1'!C143="css","css",IF('T1'!$C143="aa","aa",IF('T1'!$C143="jc","jc",IF('T1'!$C143="m","m",IF('T1'!$C143="f","f",IF('T1'!$C143="cp","cp",'T1'!$O143))))))</f>
        <v>0</v>
      </c>
      <c r="Z16" s="129">
        <f>IF('T1'!B155="css","css",IF('T1'!$B155="aa","aa",IF('T1'!$B155="jc","jc",IF('T1'!$B155="m","m",IF('T1'!$B155="f","f",IF('T1'!$B155="cp","cp",'T1'!$N155))))))</f>
        <v>0</v>
      </c>
      <c r="AA16" s="131">
        <f>IF('T1'!C155="css","css",IF('T1'!$C155="aa","aa",IF('T1'!$C155="jc","jc",IF('T1'!$C155="m","m",IF('T1'!$C155="f","f",IF('T1'!$C155="cp","cp",'T1'!$O155))))))</f>
        <v>0</v>
      </c>
    </row>
    <row r="17" spans="1:27" ht="15" customHeight="1" thickBot="1" x14ac:dyDescent="0.3">
      <c r="A17" s="53" t="s">
        <v>8</v>
      </c>
      <c r="B17" s="133">
        <f>IF('T1'!B12="css","css",IF('T1'!B12="aa","aa",IF('T1'!B12="jc","jc",IF('T1'!B12="m","m",IF('T1'!B12="f","f",IF('T1'!B12="cp","cp",'T1'!N12))))))</f>
        <v>0</v>
      </c>
      <c r="C17" s="101">
        <f>IF('T1'!C12="css","css",IF('T1'!C12="aa","aa",IF('T1'!C12="jc","jc",IF('T1'!C12="m","m",IF('T1'!C12="f","f",IF('T1'!C12="cp","cp",'T1'!O12))))))</f>
        <v>0</v>
      </c>
      <c r="D17" s="133">
        <f>IF('T1'!B24="css","css",IF('T1'!$B24="aa","aa",IF('T1'!B24="jc","jc",IF('T1'!B24="m","m",IF('T1'!B24="f","f",IF('T1'!B24="cp","cp",'T1'!N24))))))</f>
        <v>0</v>
      </c>
      <c r="E17" s="101">
        <f>IF('T1'!C24="css","css",IF('T1'!$C24="aa","aa",IF('T1'!C24="jc","jc",IF('T1'!C24="m","m",IF('T1'!C24="f","f",IF('T1'!C24="cp","cp",'T1'!O24))))))</f>
        <v>0</v>
      </c>
      <c r="F17" s="133">
        <f>IF('T1'!B36="css","css",IF('T1'!$B36="aa","aa",IF('T1'!$B36="jc","jc",IF('T1'!$B36="m","m",IF('T1'!$B36="f","f",IF('T1'!$B36="cp","cp",'T1'!$N36))))))</f>
        <v>0</v>
      </c>
      <c r="G17" s="101">
        <f>IF('T1'!C36="css","css",IF('T1'!$C36="aa","aa",IF('T1'!$C36="jc","jc",IF('T1'!$C36="m","m",IF('T1'!$C36="f","f",IF('T1'!$C36="cp","cp",'T1'!$O36))))))</f>
        <v>0</v>
      </c>
      <c r="H17" s="133">
        <f>IF('T1'!B48="css","css",IF('T1'!$B48="aa","aa",IF('T1'!$B48="jc","jc",IF('T1'!$B48="m","m",IF('T1'!$B48="f","f",IF('T1'!$B48="cp","cp",'T1'!$N48))))))</f>
        <v>0</v>
      </c>
      <c r="I17" s="101">
        <f>IF('T1'!C48="css","css",IF('T1'!$C48="aa","aa",IF('T1'!$C48="jc","jc",IF('T1'!$C48="m","m",IF('T1'!$C48="f","f",IF('T1'!$C48="cp","cp",'T1'!$O48))))))</f>
        <v>0</v>
      </c>
      <c r="J17" s="133">
        <f>IF('T1'!B60="css","css",IF('T1'!$B60="aa","aa",IF('T1'!$B60="jc","jc",IF('T1'!$B60="m","m",IF('T1'!$B60="f","f",IF('T1'!$B60="cp","cp",'T1'!$N60))))))</f>
        <v>0</v>
      </c>
      <c r="K17" s="101">
        <f>IF('T1'!C60="css","css",IF('T1'!$C60="aa","aa",IF('T1'!$C60="jc","jc",IF('T1'!$C60="m","m",IF('T1'!$C60="f","f",IF('T1'!$C60="cp","cp",'T1'!$O60))))))</f>
        <v>0</v>
      </c>
      <c r="L17" s="133">
        <f>IF('T1'!B72="css","css",IF('T1'!$B72="aa","aa",IF('T1'!$B72="jc","jc",IF('T1'!$B72="m","m",IF('T1'!$B72="f","f",IF('T1'!$B72="cp","cp",'T1'!$N72))))))</f>
        <v>0</v>
      </c>
      <c r="M17" s="101">
        <f>IF('T1'!C72="css","css",IF('T1'!$C72="aa","aa",IF('T1'!$C72="jc","jc",IF('T1'!$C72="m","m",IF('T1'!$C72="f","f",IF('T1'!$C72="cp","cp",'T1'!$O72))))))</f>
        <v>0</v>
      </c>
      <c r="N17" s="133">
        <f>IF('T1'!B84="css","css",IF('T1'!$B84="aa","aa",IF('T1'!$B84="jc","jc",IF('T1'!$B84="m","m",IF('T1'!$B84="f","f",IF('T1'!$B84="cp","cp",'T1'!$N84))))))</f>
        <v>0</v>
      </c>
      <c r="O17" s="101">
        <f>IF('T1'!C84="css","css",IF('T1'!$C84="aa","aa",IF('T1'!$C84="jc","jc",IF('T1'!$C84="m","m",IF('T1'!$C84="f","f",IF('T1'!$C84="cp","cp",'T1'!$O84))))))</f>
        <v>0</v>
      </c>
      <c r="P17" s="133">
        <f>IF('T1'!B96="css","css",IF('T1'!$B96="aa","aa",IF('T1'!$B96="jc","jc",IF('T1'!$B96="m","m",IF('T1'!$B96="f","f",IF('T1'!$B96="cp","cp",'T1'!$N96))))))</f>
        <v>0</v>
      </c>
      <c r="Q17" s="101">
        <f>IF('T1'!C96="css","css",IF('T1'!$C96="aa","aa",IF('T1'!$C96="jc","jc",IF('T1'!$C96="m","m",IF('T1'!$C96="f","f",IF('T1'!$C96="cp","cp",'T1'!$O96))))))</f>
        <v>0</v>
      </c>
      <c r="R17" s="133">
        <f>IF('T1'!B108="css","css",IF('T1'!$B108="aa","aa",IF('T1'!$B108="jc","jc",IF('T1'!$B108="m","m",IF('T1'!$B108="f","f",IF('T1'!$B108="cp","cp",'T1'!$N108))))))</f>
        <v>0</v>
      </c>
      <c r="S17" s="101">
        <f>IF('T1'!C108="css","css",IF('T1'!$C108="aa","aa",IF('T1'!$C108="jc","jc",IF('T1'!$C108="m","m",IF('T1'!$C108="f","f",IF('T1'!$C108="cp","cp",'T1'!$O108))))))</f>
        <v>0</v>
      </c>
      <c r="T17" s="133">
        <f>IF('T1'!B120="css","css",IF('T1'!$B120="aa","aa",IF('T1'!$B120="jc","jc",IF('T1'!$B120="m","m",IF('T1'!$B120="f","f",IF('T1'!$B120="cp","cp",'T1'!$N120))))))</f>
        <v>0</v>
      </c>
      <c r="U17" s="101">
        <f>IF('T1'!C120="css","css",IF('T1'!$C120="aa","aa",IF('T1'!$C120="jc","jc",IF('T1'!$C120="m","m",IF('T1'!$C120="f","f",IF('T1'!$C120="cp","cp",'T1'!$O120))))))</f>
        <v>0</v>
      </c>
      <c r="V17" s="133">
        <f>IF('T1'!B132="css","css",IF('T1'!$B132="aa","aa",IF('T1'!$B132="jc","jc",IF('T1'!$B132="m","m",IF('T1'!$B132="f","f",IF('T1'!$B132="cp","cp",'T1'!$N132))))))</f>
        <v>0</v>
      </c>
      <c r="W17" s="101">
        <f>IF('T1'!C132="css","css",IF('T1'!$C132="aa","aa",IF('T1'!$C132="jc","jc",IF('T1'!$C132="m","m",IF('T1'!$C132="f","f",IF('T1'!$C132="cp","cp",'T1'!$O132))))))</f>
        <v>0</v>
      </c>
      <c r="X17" s="133">
        <f>IF('T1'!B144="css","css",IF('T1'!$B144="aa","aa",IF('T1'!$B144="jc","jc",IF('T1'!$B144="m","m",IF('T1'!$B144="f","f",IF('T1'!$B144="cp","cp",'T1'!$N144))))))</f>
        <v>0</v>
      </c>
      <c r="Y17" s="101">
        <f>IF('T1'!C144="css","css",IF('T1'!$C144="aa","aa",IF('T1'!$C144="jc","jc",IF('T1'!$C144="m","m",IF('T1'!$C144="f","f",IF('T1'!$C144="cp","cp",'T1'!$O144))))))</f>
        <v>0</v>
      </c>
      <c r="Z17" s="133">
        <f>IF('T1'!B156="css","css",IF('T1'!$B156="aa","aa",IF('T1'!$B156="jc","jc",IF('T1'!$B156="m","m",IF('T1'!$B156="f","f",IF('T1'!$B156="cp","cp",'T1'!$N156))))))</f>
        <v>0</v>
      </c>
      <c r="AA17" s="132">
        <f>IF('T1'!C156="css","css",IF('T1'!$C156="aa","aa",IF('T1'!$C156="jc","jc",IF('T1'!$C156="m","m",IF('T1'!$C156="f","f",IF('T1'!$C156="cp","cp",'T1'!$O156))))))</f>
        <v>0</v>
      </c>
    </row>
    <row r="18" spans="1:27" ht="15" customHeight="1" x14ac:dyDescent="0.25">
      <c r="A18" s="8"/>
      <c r="B18" s="102">
        <f>COUNTIF(B11:B17,"cp")</f>
        <v>0</v>
      </c>
      <c r="C18" s="102"/>
      <c r="D18" s="102">
        <f>COUNTIF(D11:D17,"cp")</f>
        <v>0</v>
      </c>
      <c r="E18" s="102"/>
      <c r="F18" s="102">
        <f>COUNTIF(F11:F17,"cp")</f>
        <v>0</v>
      </c>
      <c r="G18" s="102"/>
      <c r="H18" s="102">
        <f>COUNTIF(H11:H17,"cp")</f>
        <v>0</v>
      </c>
      <c r="I18" s="102"/>
      <c r="J18" s="102">
        <f>COUNTIF(J11:J17,"cp")</f>
        <v>0</v>
      </c>
      <c r="K18" s="102"/>
      <c r="L18" s="102">
        <f>COUNTIF(L11:L17,"cp")</f>
        <v>0</v>
      </c>
      <c r="M18" s="102"/>
      <c r="N18" s="102">
        <f>COUNTIF(N11:N17,"cp")</f>
        <v>0</v>
      </c>
      <c r="O18" s="102"/>
      <c r="P18" s="102">
        <f>COUNTIF(P11:P17,"cp")</f>
        <v>0</v>
      </c>
      <c r="Q18" s="102"/>
      <c r="R18" s="102">
        <f>COUNTIF(R11:R17,"cp")</f>
        <v>0</v>
      </c>
      <c r="S18" s="102"/>
      <c r="T18" s="102">
        <f>COUNTIF(T11:T17,"cp")</f>
        <v>0</v>
      </c>
      <c r="U18" s="102"/>
      <c r="V18" s="102">
        <f>COUNTIF(V11:V17,"cp")</f>
        <v>0</v>
      </c>
      <c r="W18" s="102"/>
      <c r="X18" s="102">
        <f>COUNTIF(X11:X17,"cp")</f>
        <v>0</v>
      </c>
      <c r="Y18" s="102"/>
      <c r="Z18" s="102">
        <f>COUNTIF(Z11:Z17,"cp")</f>
        <v>0</v>
      </c>
      <c r="AA18" s="102"/>
    </row>
    <row r="19" spans="1:27" ht="15" hidden="1" customHeight="1" x14ac:dyDescent="0.25">
      <c r="A19" s="8"/>
      <c r="B19" s="102">
        <f>COUNTIF(B11:B17,"jc")</f>
        <v>0</v>
      </c>
      <c r="C19" s="102"/>
      <c r="D19" s="102">
        <f>COUNTIF(D11:D17,"jc")</f>
        <v>0</v>
      </c>
      <c r="E19" s="102"/>
      <c r="F19" s="102">
        <f>COUNTIF(F11:F17,"jc")</f>
        <v>0</v>
      </c>
      <c r="G19" s="102"/>
      <c r="H19" s="102">
        <f>COUNTIF(H11:H17,"jc")</f>
        <v>0</v>
      </c>
      <c r="I19" s="102"/>
      <c r="J19" s="102">
        <f>COUNTIF(J11:J17,"jc")</f>
        <v>0</v>
      </c>
      <c r="K19" s="102"/>
      <c r="L19" s="102">
        <f>COUNTIF(L11:L17,"jc")</f>
        <v>0</v>
      </c>
      <c r="M19" s="102"/>
      <c r="N19" s="102">
        <f>COUNTIF(N11:N17,"jc")</f>
        <v>0</v>
      </c>
      <c r="O19" s="102"/>
      <c r="P19" s="102">
        <f>COUNTIF(P11:P17,"jc")</f>
        <v>0</v>
      </c>
      <c r="Q19" s="102"/>
      <c r="R19" s="102">
        <f>COUNTIF(R11:R17,"jc")</f>
        <v>0</v>
      </c>
      <c r="S19" s="102"/>
      <c r="T19" s="102">
        <f>COUNTIF(T11:T17,"jc")</f>
        <v>0</v>
      </c>
      <c r="U19" s="102"/>
      <c r="V19" s="102">
        <f>COUNTIF(V11:V17,"jc")</f>
        <v>0</v>
      </c>
      <c r="W19" s="102"/>
      <c r="X19" s="102">
        <f>COUNTIF(X11:X17,"jc")</f>
        <v>0</v>
      </c>
      <c r="Y19" s="102"/>
      <c r="Z19" s="102">
        <f>COUNTIF(Z11:Z17,"jc")</f>
        <v>0</v>
      </c>
      <c r="AA19" s="102"/>
    </row>
    <row r="20" spans="1:27" ht="15" customHeight="1" x14ac:dyDescent="0.25">
      <c r="A20" s="9" t="s">
        <v>11</v>
      </c>
      <c r="B20" s="23">
        <f>SUM(B11:B18)</f>
        <v>0</v>
      </c>
      <c r="C20" s="24">
        <f>+'T1'!O13</f>
        <v>0</v>
      </c>
      <c r="D20" s="23">
        <f>SUM(D11:D17)</f>
        <v>0</v>
      </c>
      <c r="E20" s="24">
        <f>+'T1'!O25</f>
        <v>0</v>
      </c>
      <c r="F20" s="23">
        <f>SUM(F11:F17)</f>
        <v>0</v>
      </c>
      <c r="G20" s="24">
        <f>'T1'!O37</f>
        <v>0</v>
      </c>
      <c r="H20" s="23">
        <f t="shared" ref="H20:X20" si="0">SUM(H11:H17)</f>
        <v>0</v>
      </c>
      <c r="I20" s="24">
        <f>'T1'!O49</f>
        <v>0</v>
      </c>
      <c r="J20" s="23">
        <f t="shared" si="0"/>
        <v>0</v>
      </c>
      <c r="K20" s="24">
        <f>'T1'!O61</f>
        <v>0</v>
      </c>
      <c r="L20" s="23">
        <f t="shared" si="0"/>
        <v>0</v>
      </c>
      <c r="M20" s="24">
        <f>'T1'!O73</f>
        <v>0</v>
      </c>
      <c r="N20" s="23">
        <f t="shared" si="0"/>
        <v>0</v>
      </c>
      <c r="O20" s="24">
        <f>'T1'!O85</f>
        <v>0</v>
      </c>
      <c r="P20" s="23">
        <f t="shared" si="0"/>
        <v>0</v>
      </c>
      <c r="Q20" s="24">
        <f>'T1'!O97</f>
        <v>0</v>
      </c>
      <c r="R20" s="23">
        <f t="shared" si="0"/>
        <v>0</v>
      </c>
      <c r="S20" s="24">
        <f>'T1'!O109</f>
        <v>0</v>
      </c>
      <c r="T20" s="23">
        <f t="shared" si="0"/>
        <v>0</v>
      </c>
      <c r="U20" s="24">
        <f>'T1'!O121</f>
        <v>0</v>
      </c>
      <c r="V20" s="23">
        <f t="shared" si="0"/>
        <v>0</v>
      </c>
      <c r="W20" s="24">
        <f>'T1'!O133</f>
        <v>0</v>
      </c>
      <c r="X20" s="23">
        <f t="shared" si="0"/>
        <v>0</v>
      </c>
      <c r="Y20" s="24">
        <f>'T1'!O145</f>
        <v>0</v>
      </c>
      <c r="Z20" s="23">
        <f>SUM(Z11:Z17)</f>
        <v>0</v>
      </c>
      <c r="AA20" s="24">
        <f>'T1'!O157</f>
        <v>0</v>
      </c>
    </row>
    <row r="21" spans="1:27" ht="15" customHeight="1" x14ac:dyDescent="0.3">
      <c r="A21" s="46" t="s">
        <v>114</v>
      </c>
      <c r="B21" s="55">
        <f>+AA21-W21</f>
        <v>0</v>
      </c>
      <c r="C21" s="23"/>
      <c r="D21" s="23"/>
      <c r="E21" s="23"/>
      <c r="F21" s="25"/>
      <c r="G21" s="23"/>
      <c r="H21" s="23"/>
      <c r="I21" s="23"/>
      <c r="J21" s="23"/>
      <c r="K21" s="23"/>
      <c r="L21" s="23"/>
      <c r="M21" s="23"/>
      <c r="N21" s="23"/>
      <c r="O21" s="23"/>
      <c r="P21" s="23"/>
      <c r="Q21" s="23"/>
      <c r="R21" s="23"/>
      <c r="S21" s="23"/>
      <c r="T21" s="26"/>
      <c r="U21" s="56"/>
      <c r="V21" s="57" t="s">
        <v>131</v>
      </c>
      <c r="W21" s="58">
        <f>B20+D20+F20+H20+J20+L20+N20+P20+R20+T20+V20+X20+Z20</f>
        <v>0</v>
      </c>
      <c r="X21" s="23"/>
      <c r="Y21" s="61"/>
      <c r="Z21" s="57" t="s">
        <v>130</v>
      </c>
      <c r="AA21" s="60">
        <f>C20+E20+G20+I20+K20+M20+O20+Q20+S20+U20+W20+Y20+AA20</f>
        <v>0</v>
      </c>
    </row>
    <row r="22" spans="1:27" ht="15" customHeight="1" x14ac:dyDescent="0.25">
      <c r="A22" s="42"/>
      <c r="B22" s="43"/>
      <c r="C22" s="23"/>
      <c r="D22" s="23"/>
      <c r="E22" s="23"/>
      <c r="F22" s="25"/>
      <c r="G22" s="23"/>
      <c r="H22" s="23"/>
      <c r="I22" s="23"/>
      <c r="J22" s="23"/>
      <c r="K22" s="23"/>
      <c r="L22" s="23"/>
      <c r="M22" s="23"/>
      <c r="N22" s="23"/>
      <c r="O22" s="23"/>
      <c r="P22" s="23"/>
      <c r="Q22" s="23"/>
      <c r="R22" s="23"/>
      <c r="S22" s="23"/>
      <c r="T22" s="26"/>
      <c r="U22" s="26"/>
      <c r="V22" s="23"/>
      <c r="W22" s="23"/>
      <c r="X22" s="23"/>
      <c r="Y22" s="23"/>
      <c r="Z22" s="23"/>
      <c r="AA22" s="24"/>
    </row>
    <row r="23" spans="1:27" ht="25.5" customHeight="1" x14ac:dyDescent="0.35">
      <c r="A23" s="811" t="s">
        <v>73</v>
      </c>
      <c r="B23" s="811"/>
      <c r="C23" s="811"/>
      <c r="D23" s="811"/>
      <c r="E23" s="811"/>
      <c r="F23" s="811"/>
      <c r="G23" s="811"/>
      <c r="H23" s="811"/>
      <c r="I23" s="811"/>
      <c r="J23" s="811"/>
      <c r="K23" s="811"/>
      <c r="L23" s="811"/>
      <c r="M23" s="811"/>
      <c r="N23" s="811"/>
      <c r="O23" s="811"/>
      <c r="P23" s="811"/>
      <c r="Q23" s="811"/>
      <c r="R23" s="811"/>
      <c r="S23" s="811"/>
      <c r="T23" s="811"/>
      <c r="U23" s="811"/>
      <c r="V23" s="811"/>
      <c r="W23" s="811"/>
      <c r="X23" s="811"/>
      <c r="Y23" s="811"/>
      <c r="Z23" s="811"/>
      <c r="AA23" s="811"/>
    </row>
    <row r="24" spans="1:27" ht="15" customHeight="1" thickBot="1" x14ac:dyDescent="0.35">
      <c r="A24" s="10"/>
    </row>
    <row r="25" spans="1:27" ht="15" customHeight="1" x14ac:dyDescent="0.25">
      <c r="A25" s="11"/>
      <c r="B25" s="3" t="s">
        <v>9</v>
      </c>
      <c r="C25" s="2" t="s">
        <v>10</v>
      </c>
      <c r="D25" s="3" t="s">
        <v>9</v>
      </c>
      <c r="E25" s="2" t="s">
        <v>10</v>
      </c>
      <c r="F25" s="3" t="s">
        <v>9</v>
      </c>
      <c r="G25" s="2" t="s">
        <v>10</v>
      </c>
      <c r="H25" s="3" t="s">
        <v>9</v>
      </c>
      <c r="I25" s="2" t="s">
        <v>10</v>
      </c>
      <c r="J25" s="3" t="s">
        <v>9</v>
      </c>
      <c r="K25" s="2" t="s">
        <v>10</v>
      </c>
      <c r="L25" s="3" t="s">
        <v>9</v>
      </c>
      <c r="M25" s="2" t="s">
        <v>10</v>
      </c>
      <c r="N25" s="3" t="s">
        <v>9</v>
      </c>
      <c r="O25" s="2" t="s">
        <v>10</v>
      </c>
      <c r="P25" s="3" t="s">
        <v>9</v>
      </c>
      <c r="Q25" s="2" t="s">
        <v>10</v>
      </c>
      <c r="R25" s="3" t="s">
        <v>9</v>
      </c>
      <c r="S25" s="2" t="s">
        <v>10</v>
      </c>
      <c r="T25" s="3" t="s">
        <v>9</v>
      </c>
      <c r="U25" s="2" t="s">
        <v>10</v>
      </c>
      <c r="V25" s="3" t="s">
        <v>9</v>
      </c>
      <c r="W25" s="2" t="s">
        <v>10</v>
      </c>
      <c r="X25" s="3" t="s">
        <v>9</v>
      </c>
      <c r="Y25" s="2" t="s">
        <v>10</v>
      </c>
      <c r="Z25" s="3" t="s">
        <v>9</v>
      </c>
      <c r="AA25" s="2" t="s">
        <v>10</v>
      </c>
    </row>
    <row r="26" spans="1:27" ht="15" customHeight="1" x14ac:dyDescent="0.25">
      <c r="A26" s="13" t="s">
        <v>132</v>
      </c>
      <c r="B26" s="5">
        <f>+AA8+1</f>
        <v>42703</v>
      </c>
      <c r="C26" s="4">
        <f>6+B26</f>
        <v>42709</v>
      </c>
      <c r="D26" s="5">
        <f>+C26+1</f>
        <v>42710</v>
      </c>
      <c r="E26" s="4">
        <f>6+D26</f>
        <v>42716</v>
      </c>
      <c r="F26" s="5">
        <f>+E26+1</f>
        <v>42717</v>
      </c>
      <c r="G26" s="4">
        <f>6+F26</f>
        <v>42723</v>
      </c>
      <c r="H26" s="5">
        <f>+G26+1</f>
        <v>42724</v>
      </c>
      <c r="I26" s="4">
        <f>6+H26</f>
        <v>42730</v>
      </c>
      <c r="J26" s="5">
        <f>+I26+1</f>
        <v>42731</v>
      </c>
      <c r="K26" s="4">
        <f>6+J26</f>
        <v>42737</v>
      </c>
      <c r="L26" s="5">
        <f>+K26+1</f>
        <v>42738</v>
      </c>
      <c r="M26" s="4">
        <f>6+L26</f>
        <v>42744</v>
      </c>
      <c r="N26" s="5">
        <f>+M26+1</f>
        <v>42745</v>
      </c>
      <c r="O26" s="4">
        <f>6+N26</f>
        <v>42751</v>
      </c>
      <c r="P26" s="5">
        <f>+O26+1</f>
        <v>42752</v>
      </c>
      <c r="Q26" s="4">
        <f>6+P26</f>
        <v>42758</v>
      </c>
      <c r="R26" s="5">
        <f>+Q26+1</f>
        <v>42759</v>
      </c>
      <c r="S26" s="4">
        <f>6+R26</f>
        <v>42765</v>
      </c>
      <c r="T26" s="5">
        <f>+S26+1</f>
        <v>42766</v>
      </c>
      <c r="U26" s="4">
        <f>6+T26</f>
        <v>42772</v>
      </c>
      <c r="V26" s="5">
        <f>+U26+1</f>
        <v>42773</v>
      </c>
      <c r="W26" s="4">
        <f>6+V26</f>
        <v>42779</v>
      </c>
      <c r="X26" s="5">
        <f>+W26+1</f>
        <v>42780</v>
      </c>
      <c r="Y26" s="4">
        <f>+X26+6</f>
        <v>42786</v>
      </c>
      <c r="Z26" s="5">
        <f>+Y26+1</f>
        <v>42787</v>
      </c>
      <c r="AA26" s="4">
        <f>6+Z26</f>
        <v>42793</v>
      </c>
    </row>
    <row r="27" spans="1:27" ht="15" customHeight="1" x14ac:dyDescent="0.25">
      <c r="A27" s="48">
        <f>B21</f>
        <v>0</v>
      </c>
      <c r="B27" s="809" t="str">
        <f>"Semaine "&amp;_xlfn.ISOWEEKNUM(B26)</f>
        <v>Semaine 49</v>
      </c>
      <c r="C27" s="810"/>
      <c r="D27" s="809" t="str">
        <f>"Semaine "&amp;_xlfn.ISOWEEKNUM(D26)</f>
        <v>Semaine 50</v>
      </c>
      <c r="E27" s="810"/>
      <c r="F27" s="809" t="str">
        <f>"Semaine "&amp;_xlfn.ISOWEEKNUM(F26)</f>
        <v>Semaine 51</v>
      </c>
      <c r="G27" s="810"/>
      <c r="H27" s="809" t="str">
        <f>"Semaine "&amp;_xlfn.ISOWEEKNUM(H26)</f>
        <v>Semaine 52</v>
      </c>
      <c r="I27" s="810"/>
      <c r="J27" s="809" t="str">
        <f>"Semaine "&amp;_xlfn.ISOWEEKNUM(J26)</f>
        <v>Semaine 53</v>
      </c>
      <c r="K27" s="810"/>
      <c r="L27" s="809" t="str">
        <f>"Semaine "&amp;_xlfn.ISOWEEKNUM(L26)</f>
        <v>Semaine 1</v>
      </c>
      <c r="M27" s="810"/>
      <c r="N27" s="809" t="str">
        <f>"Semaine "&amp;_xlfn.ISOWEEKNUM(N26)</f>
        <v>Semaine 2</v>
      </c>
      <c r="O27" s="810"/>
      <c r="P27" s="809" t="str">
        <f>"Semaine "&amp;_xlfn.ISOWEEKNUM(P26)</f>
        <v>Semaine 3</v>
      </c>
      <c r="Q27" s="810"/>
      <c r="R27" s="809" t="str">
        <f>"Semaine "&amp;_xlfn.ISOWEEKNUM(R26)</f>
        <v>Semaine 4</v>
      </c>
      <c r="S27" s="810"/>
      <c r="T27" s="807" t="str">
        <f>"Semaine "&amp;_xlfn.ISOWEEKNUM(T26)</f>
        <v>Semaine 5</v>
      </c>
      <c r="U27" s="808"/>
      <c r="V27" s="807" t="str">
        <f>"Semaine "&amp;_xlfn.ISOWEEKNUM(V26)</f>
        <v>Semaine 6</v>
      </c>
      <c r="W27" s="808"/>
      <c r="X27" s="807" t="str">
        <f>"Semaine "&amp;_xlfn.ISOWEEKNUM(X26)</f>
        <v>Semaine 7</v>
      </c>
      <c r="Y27" s="808"/>
      <c r="Z27" s="807" t="str">
        <f>"Semaine "&amp;_xlfn.ISOWEEKNUM(Z26)</f>
        <v>Semaine 8</v>
      </c>
      <c r="AA27" s="808"/>
    </row>
    <row r="28" spans="1:27" ht="15" customHeight="1" thickBot="1" x14ac:dyDescent="0.3">
      <c r="A28" s="11"/>
      <c r="B28" s="7" t="s">
        <v>0</v>
      </c>
      <c r="C28" s="6" t="s">
        <v>1</v>
      </c>
      <c r="D28" s="7" t="s">
        <v>0</v>
      </c>
      <c r="E28" s="6" t="s">
        <v>1</v>
      </c>
      <c r="F28" s="7" t="s">
        <v>0</v>
      </c>
      <c r="G28" s="6" t="s">
        <v>1</v>
      </c>
      <c r="H28" s="7" t="s">
        <v>0</v>
      </c>
      <c r="I28" s="6" t="s">
        <v>1</v>
      </c>
      <c r="J28" s="7" t="s">
        <v>0</v>
      </c>
      <c r="K28" s="6" t="s">
        <v>1</v>
      </c>
      <c r="L28" s="7" t="s">
        <v>0</v>
      </c>
      <c r="M28" s="6" t="s">
        <v>1</v>
      </c>
      <c r="N28" s="7" t="s">
        <v>0</v>
      </c>
      <c r="O28" s="6" t="s">
        <v>1</v>
      </c>
      <c r="P28" s="7" t="s">
        <v>0</v>
      </c>
      <c r="Q28" s="6" t="s">
        <v>1</v>
      </c>
      <c r="R28" s="7" t="s">
        <v>0</v>
      </c>
      <c r="S28" s="6" t="s">
        <v>1</v>
      </c>
      <c r="T28" s="7" t="s">
        <v>0</v>
      </c>
      <c r="U28" s="6" t="s">
        <v>1</v>
      </c>
      <c r="V28" s="7" t="s">
        <v>0</v>
      </c>
      <c r="W28" s="6" t="s">
        <v>1</v>
      </c>
      <c r="X28" s="7" t="s">
        <v>0</v>
      </c>
      <c r="Y28" s="6" t="s">
        <v>1</v>
      </c>
      <c r="Z28" s="7" t="s">
        <v>0</v>
      </c>
      <c r="AA28" s="6" t="s">
        <v>1</v>
      </c>
    </row>
    <row r="29" spans="1:27" ht="15" customHeight="1" x14ac:dyDescent="0.25">
      <c r="A29" s="54" t="s">
        <v>2</v>
      </c>
      <c r="B29" s="18">
        <f>IF('T2'!B6="css","css",IF('T2'!B6="aa","aa",IF('T2'!B6="jc","jc",IF('T2'!B6="m","m",IF('T2'!B6="f","f",IF('T2'!B6="cp","cp",'T2'!N6))))))</f>
        <v>0</v>
      </c>
      <c r="C29" s="98">
        <f>IF('T2'!C6="css","css",IF('T2'!C6="aa","aa",IF('T2'!C6="jc","jc",IF('T2'!C6="m","m",IF('T2'!C6="f","f",IF('T2'!C6="cp","cp",'T2'!O6))))))</f>
        <v>0</v>
      </c>
      <c r="D29" s="18">
        <f>IF('T2'!B18="css","css",IF('T2'!B18="aa","aa",IF('T2'!B18="jc","jc",IF('T2'!B18="m","m",IF('T2'!B18="f","f",IF('T2'!B18="cp","cp",'T2'!N18))))))</f>
        <v>0</v>
      </c>
      <c r="E29" s="98">
        <f>IF('T2'!C18="css","css",IF('T2'!C18="aa","aa",IF('T2'!C18="jc","jc",IF('T2'!C18="m","m",IF('T2'!C18="f","f",IF('T2'!C18="cp","cp",'T2'!O18))))))</f>
        <v>0</v>
      </c>
      <c r="F29" s="18">
        <f>IF('T2'!B30="css","css",IF('T2'!B30="aa","aa",IF('T2'!$B30="jc","jc",IF('T2'!$B30="m","m",IF('T2'!$B30="f","f",IF('T2'!$B30="cp","cp",'T2'!$N30))))))</f>
        <v>0</v>
      </c>
      <c r="G29" s="98">
        <f>IF('T2'!C30="css","css",IF('T2'!C30="aa","aa",IF('T2'!$C30="jc","jc",IF('T2'!$C30="m","m",IF('T2'!$C30="f","f",IF('T2'!$C30="cp","cp",'T2'!$O30))))))</f>
        <v>0</v>
      </c>
      <c r="H29" s="18">
        <f>IF('T2'!B42="css","css",IF('T2'!B42="aa","aa",IF('T2'!$B42="jc","jc",IF('T2'!$B42="m","m",IF('T2'!$B42="f","f",IF('T2'!$B42="cp","cp",'T2'!$N42))))))</f>
        <v>0</v>
      </c>
      <c r="I29" s="98">
        <f>IF('T2'!C42="css","css",IF('T2'!C42="aa","aa",IF('T2'!$C42="jc","jc",IF('T2'!$C42="m","m",IF('T2'!$C42="f","f",IF('T2'!$C42="cp","cp",'T2'!$O42))))))</f>
        <v>0</v>
      </c>
      <c r="J29" s="18">
        <f>IF('T2'!B54="css","css",IF('T2'!B54="aa","aa",IF('T2'!$B54="jc","jc",IF('T2'!$B54="m","m",IF('T2'!$B54="f","f",IF('T2'!$B54="cp","cp",'T2'!$N54))))))</f>
        <v>0</v>
      </c>
      <c r="K29" s="98">
        <f>IF('T2'!C54="css","css",IF('T2'!C54="aa","aa",IF('T2'!$C54="jc","jc",IF('T2'!$C54="m","m",IF('T2'!$C54="f","f",IF('T2'!$C54="cp","cp",'T2'!$O54))))))</f>
        <v>0</v>
      </c>
      <c r="L29" s="18">
        <f>IF('T2'!B66="css","css",IF('T2'!B66="aa","aa",IF('T2'!$B66="jc","jc",IF('T2'!$B66="m","m",IF('T2'!$B66="f","f",IF('T2'!$B66="cp","cp",'T2'!$N66))))))</f>
        <v>0</v>
      </c>
      <c r="M29" s="98">
        <f>IF('T2'!C66="css","css",IF('T2'!C66="aa","aa",IF('T2'!$C66="jc","jc",IF('T2'!$C66="m","m",IF('T2'!$C66="f","f",IF('T2'!$C66="cp","cp",'T2'!$O66))))))</f>
        <v>0</v>
      </c>
      <c r="N29" s="18">
        <f>IF('T2'!B78="css","css",IF('T2'!B78="aa","aa",IF('T2'!$B78="jc","jc",IF('T2'!$B78="m","m",IF('T2'!$B78="f","f",IF('T2'!$B78="cp","cp",'T2'!$N78))))))</f>
        <v>0</v>
      </c>
      <c r="O29" s="98">
        <f>IF('T2'!C78="css","css",IF('T2'!C78="aa","aa",IF('T2'!$C78="jc","jc",IF('T2'!$C78="m","m",IF('T2'!$C78="f","f",IF('T2'!$C78="cp","cp",'T2'!$O78))))))</f>
        <v>0</v>
      </c>
      <c r="P29" s="18">
        <f>IF('T2'!B90="css","css",IF('T2'!B90="aa","aa",IF('T2'!$B90="jc","jc",IF('T2'!$B90="m","m",IF('T2'!$B90="f","f",IF('T2'!$B90="cp","cp",'T2'!$N90))))))</f>
        <v>0</v>
      </c>
      <c r="Q29" s="98">
        <f>IF('T2'!C90="css","css",IF('T2'!C90="aa","aa",IF('T2'!$C90="jc","jc",IF('T2'!$C90="m","m",IF('T2'!$C90="f","f",IF('T2'!$C90="cp","cp",'T2'!$O90))))))</f>
        <v>0</v>
      </c>
      <c r="R29" s="18">
        <f>IF('T2'!B102="css","css",IF('T2'!B102="aa","aa",IF('T2'!$B102="jc","jc",IF('T2'!$B102="m","m",IF('T2'!$B102="f","f",IF('T2'!$B102="cp","cp",'T2'!$N102))))))</f>
        <v>0</v>
      </c>
      <c r="S29" s="98">
        <f>IF('T2'!C102="css","css",IF('T2'!C102="aa","aa",IF('T2'!$C102="jc","jc",IF('T2'!$C102="m","m",IF('T2'!$C102="f","f",IF('T2'!$C102="cp","cp",'T2'!$O102))))))</f>
        <v>0</v>
      </c>
      <c r="T29" s="18">
        <f>IF('T2'!B114="css","css",IF('T2'!B114="aa","aa",IF('T2'!$B114="jc","jc",IF('T2'!$B114="m","m",IF('T2'!$B114="f","f",IF('T2'!$B114="cp","cp",'T2'!$N114))))))</f>
        <v>0</v>
      </c>
      <c r="U29" s="98">
        <f>IF('T2'!C114="css","css",IF('T2'!C114="aa","aa",IF('T2'!$C114="jc","jc",IF('T2'!$C114="m","m",IF('T2'!$C114="f","f",IF('T2'!$C114="cp","cp",'T2'!$O114))))))</f>
        <v>0</v>
      </c>
      <c r="V29" s="18">
        <f>IF('T2'!B126="css","css",IF('T2'!B126="aa","aa",IF('T2'!$B126="jc","jc",IF('T2'!$B126="m","m",IF('T2'!$B126="f","f",IF('T2'!$B126="cp","cp",'T2'!$N126))))))</f>
        <v>0</v>
      </c>
      <c r="W29" s="98">
        <f>IF('T2'!C126="css","css",IF('T2'!C126="aa","aa",IF('T2'!$C126="jc","jc",IF('T2'!$C126="m","m",IF('T2'!$C126="f","f",IF('T2'!$C126="cp","cp",'T2'!$O126))))))</f>
        <v>0</v>
      </c>
      <c r="X29" s="18">
        <f>IF('T2'!B138="css","css",IF('T2'!B138="aa","aa",IF('T2'!$B138="jc","jc",IF('T2'!$B138="m","m",IF('T2'!$B138="f","f",IF('T2'!$B138="cp","cp",'T2'!$N138))))))</f>
        <v>0</v>
      </c>
      <c r="Y29" s="98">
        <f>IF('T2'!C138="css","css",IF('T2'!C138="aa","aa",IF('T2'!$C138="jc","jc",IF('T2'!$C138="m","m",IF('T2'!$C138="f","f",IF('T2'!$C138="cp","cp",'T2'!$O138))))))</f>
        <v>0</v>
      </c>
      <c r="Z29" s="18">
        <f>IF('T2'!B150="css","css",IF('T2'!B150="aa","aa",IF('T2'!$B150="jc","jc",IF('T2'!$B150="m","m",IF('T2'!$B150="f","f",IF('T2'!$B150="cp","cp",'T2'!$N150))))))</f>
        <v>0</v>
      </c>
      <c r="AA29" s="98">
        <f>IF('T2'!C150="css","css",IF('T2'!C150="aa","aa",IF('T2'!$C150="jc","jc",IF('T2'!$C150="m","m",IF('T2'!$C150="f","f",IF('T2'!$C150="cp","cp",'T2'!$O150))))))</f>
        <v>0</v>
      </c>
    </row>
    <row r="30" spans="1:27" ht="15" customHeight="1" x14ac:dyDescent="0.25">
      <c r="A30" s="52" t="s">
        <v>3</v>
      </c>
      <c r="B30" s="50">
        <f>IF('T2'!B7="css","css",IF('T2'!B7="aa","aa",IF('T2'!B7="jc","jc",IF('T2'!B7="m","m",IF('T2'!B7="f","f",IF('T2'!B7="cp","cp",'T2'!N7))))))</f>
        <v>0</v>
      </c>
      <c r="C30" s="99">
        <f>IF('T2'!C7="css","css",IF('T2'!C7="aa","aa",IF('T2'!C7="jc","jc",IF('T2'!C7="m","m",IF('T2'!C7="f","f",IF('T2'!C7="cp","cp",'T2'!O7))))))</f>
        <v>0</v>
      </c>
      <c r="D30" s="50">
        <f>IF('T2'!B19="css","css",IF('T2'!B19="aa","aa",IF('T2'!B19="jc","jc",IF('T2'!B19="m","m",IF('T2'!B19="f","f",IF('T2'!B19="cp","cp",'T2'!N19))))))</f>
        <v>0</v>
      </c>
      <c r="E30" s="99">
        <f>IF('T2'!C19="css","css",IF('T2'!C19="aa","aa",IF('T2'!C19="jc","jc",IF('T2'!C19="m","m",IF('T2'!C19="f","f",IF('T2'!C19="cp","cp",'T2'!O19))))))</f>
        <v>0</v>
      </c>
      <c r="F30" s="50">
        <f>IF('T2'!B31="css","css",IF('T2'!B31="aa","aa",IF('T2'!$B31="jc","jc",IF('T2'!$B31="m","m",IF('T2'!$B31="f","f",IF('T2'!$B31="cp","cp",'T2'!$N31))))))</f>
        <v>0</v>
      </c>
      <c r="G30" s="99">
        <f>IF('T2'!C31="css","css",IF('T2'!C31="aa","aa",IF('T2'!$C31="jc","jc",IF('T2'!$C31="m","m",IF('T2'!$C31="f","f",IF('T2'!$C31="cp","cp",'T2'!$O31))))))</f>
        <v>0</v>
      </c>
      <c r="H30" s="50">
        <f>IF('T2'!B43="css","css",IF('T2'!B43="aa","aa",IF('T2'!$B43="jc","jc",IF('T2'!$B43="m","m",IF('T2'!$B43="f","f",IF('T2'!$B43="cp","cp",'T2'!$N43))))))</f>
        <v>0</v>
      </c>
      <c r="I30" s="99">
        <f>IF('T2'!C43="css","css",IF('T2'!C43="aa","aa",IF('T2'!$C43="jc","jc",IF('T2'!$C43="m","m",IF('T2'!$C43="f","f",IF('T2'!$C43="cp","cp",'T2'!$O43))))))</f>
        <v>0</v>
      </c>
      <c r="J30" s="50">
        <f>IF('T2'!B55="css","css",IF('T2'!B55="aa","aa",IF('T2'!$B55="jc","jc",IF('T2'!$B55="m","m",IF('T2'!$B55="f","f",IF('T2'!$B55="cp","cp",'T2'!$N55))))))</f>
        <v>0</v>
      </c>
      <c r="K30" s="99">
        <f>IF('T2'!C55="css","css",IF('T2'!C55="aa","aa",IF('T2'!$C55="jc","jc",IF('T2'!$C55="m","m",IF('T2'!$C55="f","f",IF('T2'!$C55="cp","cp",'T2'!$O55))))))</f>
        <v>0</v>
      </c>
      <c r="L30" s="50">
        <f>IF('T2'!B67="css","css",IF('T2'!B67="aa","aa",IF('T2'!$B67="jc","jc",IF('T2'!$B67="m","m",IF('T2'!$B67="f","f",IF('T2'!$B67="cp","cp",'T2'!$N67))))))</f>
        <v>0</v>
      </c>
      <c r="M30" s="99">
        <f>IF('T2'!C67="css","css",IF('T2'!C67="aa","aa",IF('T2'!$C67="jc","jc",IF('T2'!$C67="m","m",IF('T2'!$C67="f","f",IF('T2'!$C67="cp","cp",'T2'!$O67))))))</f>
        <v>0</v>
      </c>
      <c r="N30" s="50">
        <f>IF('T2'!B79="css","css",IF('T2'!B79="aa","aa",IF('T2'!$B79="jc","jc",IF('T2'!$B79="m","m",IF('T2'!$B79="f","f",IF('T2'!$B79="cp","cp",'T2'!$N79))))))</f>
        <v>0</v>
      </c>
      <c r="O30" s="99">
        <f>IF('T2'!C79="css","css",IF('T2'!C79="aa","aa",IF('T2'!$C79="jc","jc",IF('T2'!$C79="m","m",IF('T2'!$C79="f","f",IF('T2'!$C79="cp","cp",'T2'!$O79))))))</f>
        <v>0</v>
      </c>
      <c r="P30" s="50">
        <f>IF('T2'!B91="css","css",IF('T2'!B91="aa","aa",IF('T2'!$B91="jc","jc",IF('T2'!$B91="m","m",IF('T2'!$B91="f","f",IF('T2'!$B91="cp","cp",'T2'!$N91))))))</f>
        <v>0</v>
      </c>
      <c r="Q30" s="99">
        <f>IF('T2'!C91="css","css",IF('T2'!C91="aa","aa",IF('T2'!$C91="jc","jc",IF('T2'!$C91="m","m",IF('T2'!$C91="f","f",IF('T2'!$C91="cp","cp",'T2'!$O91))))))</f>
        <v>0</v>
      </c>
      <c r="R30" s="50">
        <f>IF('T2'!B103="css","css",IF('T2'!B103="aa","aa",IF('T2'!$B103="jc","jc",IF('T2'!$B103="m","m",IF('T2'!$B103="f","f",IF('T2'!$B103="cp","cp",'T2'!$N103))))))</f>
        <v>0</v>
      </c>
      <c r="S30" s="99">
        <f>IF('T2'!C103="css","css",IF('T2'!C103="aa","aa",IF('T2'!$C103="jc","jc",IF('T2'!$C103="m","m",IF('T2'!$C103="f","f",IF('T2'!$C103="cp","cp",'T2'!$O103))))))</f>
        <v>0</v>
      </c>
      <c r="T30" s="50">
        <f>IF('T2'!B115="css","css",IF('T2'!B115="aa","aa",IF('T2'!$B115="jc","jc",IF('T2'!$B115="m","m",IF('T2'!$B115="f","f",IF('T2'!$B115="cp","cp",'T2'!$N115))))))</f>
        <v>0</v>
      </c>
      <c r="U30" s="99">
        <f>IF('T2'!C115="css","css",IF('T2'!C115="aa","aa",IF('T2'!$C115="jc","jc",IF('T2'!$C115="m","m",IF('T2'!$C115="f","f",IF('T2'!$C115="cp","cp",'T2'!$O115))))))</f>
        <v>0</v>
      </c>
      <c r="V30" s="50">
        <f>IF('T2'!B127="css","css",IF('T2'!B127="aa","aa",IF('T2'!$B127="jc","jc",IF('T2'!$B127="m","m",IF('T2'!$B127="f","f",IF('T2'!$B127="cp","cp",'T2'!$N127))))))</f>
        <v>0</v>
      </c>
      <c r="W30" s="99">
        <f>IF('T2'!C127="css","css",IF('T2'!C127="aa","aa",IF('T2'!$C127="jc","jc",IF('T2'!$C127="m","m",IF('T2'!$C127="f","f",IF('T2'!$C127="cp","cp",'T2'!$O127))))))</f>
        <v>0</v>
      </c>
      <c r="X30" s="50">
        <f>IF('T2'!B139="css","css",IF('T2'!B139="aa","aa",IF('T2'!$B139="jc","jc",IF('T2'!$B139="m","m",IF('T2'!$B139="f","f",IF('T2'!$B139="cp","cp",'T2'!$N139))))))</f>
        <v>0</v>
      </c>
      <c r="Y30" s="99">
        <f>IF('T2'!C139="css","css",IF('T2'!C139="aa","aa",IF('T2'!$C139="jc","jc",IF('T2'!$C139="m","m",IF('T2'!$C139="f","f",IF('T2'!$C139="cp","cp",'T2'!$O139))))))</f>
        <v>0</v>
      </c>
      <c r="Z30" s="50">
        <f>IF('T2'!B151="css","css",IF('T2'!B151="aa","aa",IF('T2'!$B151="jc","jc",IF('T2'!$B151="m","m",IF('T2'!$B151="f","f",IF('T2'!$B151="cp","cp",'T2'!$N151))))))</f>
        <v>0</v>
      </c>
      <c r="AA30" s="130">
        <f>IF('T2'!C151="css","css",IF('T2'!C151="aa","aa",IF('T2'!$C151="jc","jc",IF('T2'!$C151="m","m",IF('T2'!$C151="f","f",IF('T2'!$C151="cp","cp",'T2'!$O151))))))</f>
        <v>0</v>
      </c>
    </row>
    <row r="31" spans="1:27" ht="15" customHeight="1" x14ac:dyDescent="0.25">
      <c r="A31" s="52" t="s">
        <v>4</v>
      </c>
      <c r="B31" s="50">
        <f>IF('T2'!B8="css","css",IF('T2'!B8="aa","aa",IF('T2'!B8="jc","jc",IF('T2'!B8="m","m",IF('T2'!B8="f","f",IF('T2'!B8="cp","cp",'T2'!N8))))))</f>
        <v>0</v>
      </c>
      <c r="C31" s="99">
        <f>IF('T2'!C8="css","css",IF('T2'!C8="aa","aa",IF('T2'!C8="jc","jc",IF('T2'!C8="m","m",IF('T2'!C8="f","f",IF('T2'!C8="cp","cp",'T2'!O8))))))</f>
        <v>0</v>
      </c>
      <c r="D31" s="50">
        <f>IF('T2'!B20="css","css",IF('T2'!B20="aa","aa",IF('T2'!B20="jc","jc",IF('T2'!B20="m","m",IF('T2'!B20="f","f",IF('T2'!B20="cp","cp",'T2'!N20))))))</f>
        <v>0</v>
      </c>
      <c r="E31" s="99">
        <f>IF('T2'!C20="css","css",IF('T2'!C20="aa","aa",IF('T2'!C20="jc","jc",IF('T2'!C20="m","m",IF('T2'!C20="f","f",IF('T2'!C20="cp","cp",'T2'!O20))))))</f>
        <v>0</v>
      </c>
      <c r="F31" s="50">
        <f>IF('T2'!B32="css","css",IF('T2'!B32="aa","aa",IF('T2'!$B32="jc","jc",IF('T2'!$B32="m","m",IF('T2'!$B32="f","f",IF('T2'!$B32="cp","cp",'T2'!$N32))))))</f>
        <v>0</v>
      </c>
      <c r="G31" s="99">
        <f>IF('T2'!C32="css","css",IF('T2'!C32="aa","aa",IF('T2'!$C32="jc","jc",IF('T2'!$C32="m","m",IF('T2'!$C32="f","f",IF('T2'!$C32="cp","cp",'T2'!$O32))))))</f>
        <v>0</v>
      </c>
      <c r="H31" s="50">
        <f>IF('T2'!B44="css","css",IF('T2'!B44="aa","aa",IF('T2'!$B44="jc","jc",IF('T2'!$B44="m","m",IF('T2'!$B44="f","f",IF('T2'!$B44="cp","cp",'T2'!$N44))))))</f>
        <v>0</v>
      </c>
      <c r="I31" s="99">
        <f>IF('T2'!C44="css","css",IF('T2'!C44="aa","aa",IF('T2'!$C44="jc","jc",IF('T2'!$C44="m","m",IF('T2'!$C44="f","f",IF('T2'!$C44="cp","cp",'T2'!$O44))))))</f>
        <v>0</v>
      </c>
      <c r="J31" s="50">
        <f>IF('T2'!B56="css","css",IF('T2'!B56="aa","aa",IF('T2'!$B56="jc","jc",IF('T2'!$B56="m","m",IF('T2'!$B56="f","f",IF('T2'!$B56="cp","cp",'T2'!$N56))))))</f>
        <v>0</v>
      </c>
      <c r="K31" s="99">
        <f>IF('T2'!C56="css","css",IF('T2'!C56="aa","aa",IF('T2'!$C56="jc","jc",IF('T2'!$C56="m","m",IF('T2'!$C56="f","f",IF('T2'!$C56="cp","cp",'T2'!$O56))))))</f>
        <v>0</v>
      </c>
      <c r="L31" s="50">
        <f>IF('T2'!B68="css","css",IF('T2'!B68="aa","aa",IF('T2'!$B68="jc","jc",IF('T2'!$B68="m","m",IF('T2'!$B68="f","f",IF('T2'!$B68="cp","cp",'T2'!$N68))))))</f>
        <v>0</v>
      </c>
      <c r="M31" s="99">
        <f>IF('T2'!C68="css","css",IF('T2'!C68="aa","aa",IF('T2'!$C68="jc","jc",IF('T2'!$C68="m","m",IF('T2'!$C68="f","f",IF('T2'!$C68="cp","cp",'T2'!$O68))))))</f>
        <v>0</v>
      </c>
      <c r="N31" s="50">
        <f>IF('T2'!B80="css","css",IF('T2'!B80="aa","aa",IF('T2'!$B80="jc","jc",IF('T2'!$B80="m","m",IF('T2'!$B80="f","f",IF('T2'!$B80="cp","cp",'T2'!$N80))))))</f>
        <v>0</v>
      </c>
      <c r="O31" s="99">
        <f>IF('T2'!C80="css","css",IF('T2'!C80="aa","aa",IF('T2'!$C80="jc","jc",IF('T2'!$C80="m","m",IF('T2'!$C80="f","f",IF('T2'!$C80="cp","cp",'T2'!$O80))))))</f>
        <v>0</v>
      </c>
      <c r="P31" s="50">
        <f>IF('T2'!B92="css","css",IF('T2'!B92="aa","aa",IF('T2'!$B92="jc","jc",IF('T2'!$B92="m","m",IF('T2'!$B92="f","f",IF('T2'!$B92="cp","cp",'T2'!$N92))))))</f>
        <v>0</v>
      </c>
      <c r="Q31" s="99">
        <f>IF('T2'!C92="css","css",IF('T2'!C92="aa","aa",IF('T2'!$C92="jc","jc",IF('T2'!$C92="m","m",IF('T2'!$C92="f","f",IF('T2'!$C92="cp","cp",'T2'!$O92))))))</f>
        <v>0</v>
      </c>
      <c r="R31" s="50">
        <f>IF('T2'!B104="css","css",IF('T2'!B104="aa","aa",IF('T2'!$B104="jc","jc",IF('T2'!$B104="m","m",IF('T2'!$B104="f","f",IF('T2'!$B104="cp","cp",'T2'!$N104))))))</f>
        <v>0</v>
      </c>
      <c r="S31" s="99">
        <f>IF('T2'!C104="css","css",IF('T2'!C104="aa","aa",IF('T2'!$C104="jc","jc",IF('T2'!$C104="m","m",IF('T2'!$C104="f","f",IF('T2'!$C104="cp","cp",'T2'!$O104))))))</f>
        <v>0</v>
      </c>
      <c r="T31" s="50">
        <f>IF('T2'!B116="css","css",IF('T2'!B116="aa","aa",IF('T2'!$B116="jc","jc",IF('T2'!$B116="m","m",IF('T2'!$B116="f","f",IF('T2'!$B116="cp","cp",'T2'!$N116))))))</f>
        <v>0</v>
      </c>
      <c r="U31" s="99">
        <f>IF('T2'!C116="css","css",IF('T2'!C116="aa","aa",IF('T2'!$C116="jc","jc",IF('T2'!$C116="m","m",IF('T2'!$C116="f","f",IF('T2'!$C116="cp","cp",'T2'!$O116))))))</f>
        <v>0</v>
      </c>
      <c r="V31" s="50">
        <f>IF('T2'!B128="css","css",IF('T2'!B128="aa","aa",IF('T2'!$B128="jc","jc",IF('T2'!$B128="m","m",IF('T2'!$B128="f","f",IF('T2'!$B128="cp","cp",'T2'!$N128))))))</f>
        <v>0</v>
      </c>
      <c r="W31" s="99">
        <f>IF('T2'!C128="css","css",IF('T2'!C128="aa","aa",IF('T2'!$C128="jc","jc",IF('T2'!$C128="m","m",IF('T2'!$C128="f","f",IF('T2'!$C128="cp","cp",'T2'!$O128))))))</f>
        <v>0</v>
      </c>
      <c r="X31" s="50">
        <f>IF('T2'!B140="css","css",IF('T2'!B140="aa","aa",IF('T2'!$B140="jc","jc",IF('T2'!$B140="m","m",IF('T2'!$B140="f","f",IF('T2'!$B140="cp","cp",'T2'!$N140))))))</f>
        <v>0</v>
      </c>
      <c r="Y31" s="99">
        <f>IF('T2'!C140="css","css",IF('T2'!C140="aa","aa",IF('T2'!$C140="jc","jc",IF('T2'!$C140="m","m",IF('T2'!$C140="f","f",IF('T2'!$C140="cp","cp",'T2'!$O140))))))</f>
        <v>0</v>
      </c>
      <c r="Z31" s="50">
        <f>IF('T2'!B152="css","css",IF('T2'!B152="aa","aa",IF('T2'!$B152="jc","jc",IF('T2'!$B152="m","m",IF('T2'!$B152="f","f",IF('T2'!$B152="cp","cp",'T2'!$N152))))))</f>
        <v>0</v>
      </c>
      <c r="AA31" s="130">
        <f>IF('T2'!C152="css","css",IF('T2'!C152="aa","aa",IF('T2'!$C152="jc","jc",IF('T2'!$C152="m","m",IF('T2'!$C152="f","f",IF('T2'!$C152="cp","cp",'T2'!$O152))))))</f>
        <v>0</v>
      </c>
    </row>
    <row r="32" spans="1:27" ht="15" customHeight="1" x14ac:dyDescent="0.25">
      <c r="A32" s="52" t="s">
        <v>5</v>
      </c>
      <c r="B32" s="50">
        <f>IF('T2'!B9="css","css",IF('T2'!B9="aa","aa",IF('T2'!B9="jc","jc",IF('T2'!B9="m","m",IF('T2'!B9="f","f",IF('T2'!B9="cp","cp",'T2'!N9))))))</f>
        <v>0</v>
      </c>
      <c r="C32" s="99">
        <f>IF('T2'!C9="css","css",IF('T2'!C9="aa","aa",IF('T2'!C9="jc","jc",IF('T2'!C9="m","m",IF('T2'!C9="f","f",IF('T2'!C9="cp","cp",'T2'!O9))))))</f>
        <v>0</v>
      </c>
      <c r="D32" s="50">
        <f>IF('T2'!B21="css","css",IF('T2'!B21="aa","aa",IF('T2'!B21="jc","jc",IF('T2'!B21="m","m",IF('T2'!B21="f","f",IF('T2'!B21="cp","cp",'T2'!N21))))))</f>
        <v>0</v>
      </c>
      <c r="E32" s="99">
        <f>IF('T2'!C21="css","css",IF('T2'!C21="aa","aa",IF('T2'!C21="jc","jc",IF('T2'!C21="m","m",IF('T2'!C21="f","f",IF('T2'!C21="cp","cp",'T2'!O21))))))</f>
        <v>0</v>
      </c>
      <c r="F32" s="50">
        <f>IF('T2'!B33="css","css",IF('T2'!B33="aa","aa",IF('T2'!$B33="jc","jc",IF('T2'!$B33="m","m",IF('T2'!$B33="f","f",IF('T2'!$B33="cp","cp",'T2'!$N33))))))</f>
        <v>0</v>
      </c>
      <c r="G32" s="99">
        <f>IF('T2'!C33="css","css",IF('T2'!C33="aa","aa",IF('T2'!$C33="jc","jc",IF('T2'!$C33="m","m",IF('T2'!$C33="f","f",IF('T2'!$C33="cp","cp",'T2'!$O33))))))</f>
        <v>0</v>
      </c>
      <c r="H32" s="50">
        <f>IF('T2'!B45="css","css",IF('T2'!B45="aa","aa",IF('T2'!$B45="jc","jc",IF('T2'!$B45="m","m",IF('T2'!$B45="f","f",IF('T2'!$B45="cp","cp",'T2'!$N45))))))</f>
        <v>0</v>
      </c>
      <c r="I32" s="99">
        <f>IF('T2'!C45="css","css",IF('T2'!C45="aa","aa",IF('T2'!$C45="jc","jc",IF('T2'!$C45="m","m",IF('T2'!$C45="f","f",IF('T2'!$C45="cp","cp",'T2'!$O45))))))</f>
        <v>0</v>
      </c>
      <c r="J32" s="50">
        <f>IF('T2'!B57="css","css",IF('T2'!B57="aa","aa",IF('T2'!$B57="jc","jc",IF('T2'!$B57="m","m",IF('T2'!$B57="f","f",IF('T2'!$B57="cp","cp",'T2'!$N57))))))</f>
        <v>0</v>
      </c>
      <c r="K32" s="99">
        <f>IF('T2'!C57="css","css",IF('T2'!C57="aa","aa",IF('T2'!$C57="jc","jc",IF('T2'!$C57="m","m",IF('T2'!$C57="f","f",IF('T2'!$C57="cp","cp",'T2'!$O57))))))</f>
        <v>0</v>
      </c>
      <c r="L32" s="50">
        <f>IF('T2'!B69="css","css",IF('T2'!B69="aa","aa",IF('T2'!$B69="jc","jc",IF('T2'!$B69="m","m",IF('T2'!$B69="f","f",IF('T2'!$B69="cp","cp",'T2'!$N69))))))</f>
        <v>0</v>
      </c>
      <c r="M32" s="99">
        <f>IF('T2'!C69="css","css",IF('T2'!C69="aa","aa",IF('T2'!$C69="jc","jc",IF('T2'!$C69="m","m",IF('T2'!$C69="f","f",IF('T2'!$C69="cp","cp",'T2'!$O69))))))</f>
        <v>0</v>
      </c>
      <c r="N32" s="50">
        <f>IF('T2'!B81="css","css",IF('T2'!B81="aa","aa",IF('T2'!$B81="jc","jc",IF('T2'!$B81="m","m",IF('T2'!$B81="f","f",IF('T2'!$B81="cp","cp",'T2'!$N81))))))</f>
        <v>0</v>
      </c>
      <c r="O32" s="99">
        <f>IF('T2'!C81="css","css",IF('T2'!C81="aa","aa",IF('T2'!$C81="jc","jc",IF('T2'!$C81="m","m",IF('T2'!$C81="f","f",IF('T2'!$C81="cp","cp",'T2'!$O81))))))</f>
        <v>0</v>
      </c>
      <c r="P32" s="50">
        <f>IF('T2'!B93="css","css",IF('T2'!B93="aa","aa",IF('T2'!$B93="jc","jc",IF('T2'!$B93="m","m",IF('T2'!$B93="f","f",IF('T2'!$B93="cp","cp",'T2'!$N93))))))</f>
        <v>0</v>
      </c>
      <c r="Q32" s="99">
        <f>IF('T2'!C93="css","css",IF('T2'!C93="aa","aa",IF('T2'!$C93="jc","jc",IF('T2'!$C93="m","m",IF('T2'!$C93="f","f",IF('T2'!$C93="cp","cp",'T2'!$O93))))))</f>
        <v>0</v>
      </c>
      <c r="R32" s="50">
        <f>IF('T2'!B105="css","css",IF('T2'!B105="aa","aa",IF('T2'!$B105="jc","jc",IF('T2'!$B105="m","m",IF('T2'!$B105="f","f",IF('T2'!$B105="cp","cp",'T2'!$N105))))))</f>
        <v>0</v>
      </c>
      <c r="S32" s="99">
        <f>IF('T2'!C105="css","css",IF('T2'!C105="aa","aa",IF('T2'!$C105="jc","jc",IF('T2'!$C105="m","m",IF('T2'!$C105="f","f",IF('T2'!$C105="cp","cp",'T2'!$O105))))))</f>
        <v>0</v>
      </c>
      <c r="T32" s="50">
        <f>IF('T2'!B117="css","css",IF('T2'!B117="aa","aa",IF('T2'!$B117="jc","jc",IF('T2'!$B117="m","m",IF('T2'!$B117="f","f",IF('T2'!$B117="cp","cp",'T2'!$N117))))))</f>
        <v>0</v>
      </c>
      <c r="U32" s="99">
        <f>IF('T2'!C117="css","css",IF('T2'!C117="aa","aa",IF('T2'!$C117="jc","jc",IF('T2'!$C117="m","m",IF('T2'!$C117="f","f",IF('T2'!$C117="cp","cp",'T2'!$O117))))))</f>
        <v>0</v>
      </c>
      <c r="V32" s="50">
        <f>IF('T2'!B129="css","css",IF('T2'!B129="aa","aa",IF('T2'!$B129="jc","jc",IF('T2'!$B129="m","m",IF('T2'!$B129="f","f",IF('T2'!$B129="cp","cp",'T2'!$N129))))))</f>
        <v>0</v>
      </c>
      <c r="W32" s="99">
        <f>IF('T2'!C129="css","css",IF('T2'!C129="aa","aa",IF('T2'!$C129="jc","jc",IF('T2'!$C129="m","m",IF('T2'!$C129="f","f",IF('T2'!$C129="cp","cp",'T2'!$O129))))))</f>
        <v>0</v>
      </c>
      <c r="X32" s="50">
        <f>IF('T2'!B141="css","css",IF('T2'!B141="aa","aa",IF('T2'!$B141="jc","jc",IF('T2'!$B141="m","m",IF('T2'!$B141="f","f",IF('T2'!$B141="cp","cp",'T2'!$N141))))))</f>
        <v>0</v>
      </c>
      <c r="Y32" s="99">
        <f>IF('T2'!C141="css","css",IF('T2'!C141="aa","aa",IF('T2'!$C141="jc","jc",IF('T2'!$C141="m","m",IF('T2'!$C141="f","f",IF('T2'!$C141="cp","cp",'T2'!$O141))))))</f>
        <v>0</v>
      </c>
      <c r="Z32" s="50">
        <f>IF('T2'!B153="css","css",IF('T2'!B153="aa","aa",IF('T2'!$B153="jc","jc",IF('T2'!$B153="m","m",IF('T2'!$B153="f","f",IF('T2'!$B153="cp","cp",'T2'!$N153))))))</f>
        <v>0</v>
      </c>
      <c r="AA32" s="130">
        <f>IF('T2'!C153="css","css",IF('T2'!C153="aa","aa",IF('T2'!$C153="jc","jc",IF('T2'!$C153="m","m",IF('T2'!$C153="f","f",IF('T2'!$C153="cp","cp",'T2'!$O153))))))</f>
        <v>0</v>
      </c>
    </row>
    <row r="33" spans="1:29" ht="15" customHeight="1" x14ac:dyDescent="0.25">
      <c r="A33" s="52" t="s">
        <v>6</v>
      </c>
      <c r="B33" s="50">
        <f>IF('T2'!B10="css","css",IF('T2'!B10="aa","aa",IF('T2'!B10="jc","jc",IF('T2'!B10="m","m",IF('T2'!B10="f","f",IF('T2'!B10="cp","cp",'T2'!N10))))))</f>
        <v>0</v>
      </c>
      <c r="C33" s="99">
        <f>IF('T2'!C10="css","css",IF('T2'!C10="aa","aa",IF('T2'!C10="jc","jc",IF('T2'!C10="m","m",IF('T2'!C10="f","f",IF('T2'!C10="cp","cp",'T2'!O10))))))</f>
        <v>0</v>
      </c>
      <c r="D33" s="50">
        <f>IF('T2'!B22="css","css",IF('T2'!B22="aa","aa",IF('T2'!B22="jc","jc",IF('T2'!B22="m","m",IF('T2'!B22="f","f",IF('T2'!B22="cp","cp",'T2'!N22))))))</f>
        <v>0</v>
      </c>
      <c r="E33" s="99">
        <f>IF('T2'!C22="css","css",IF('T2'!C22="aa","aa",IF('T2'!C22="jc","jc",IF('T2'!C22="m","m",IF('T2'!C22="f","f",IF('T2'!C22="cp","cp",'T2'!O22))))))</f>
        <v>0</v>
      </c>
      <c r="F33" s="50">
        <f>IF('T2'!B34="css","css",IF('T2'!B34="aa","aa",IF('T2'!$B34="jc","jc",IF('T2'!$B34="m","m",IF('T2'!$B34="f","f",IF('T2'!$B34="cp","cp",'T2'!$N34))))))</f>
        <v>0</v>
      </c>
      <c r="G33" s="99">
        <f>IF('T2'!C34="css","css",IF('T2'!C34="aa","aa",IF('T2'!$C34="jc","jc",IF('T2'!$C34="m","m",IF('T2'!$C34="f","f",IF('T2'!$C34="cp","cp",'T2'!$O34))))))</f>
        <v>0</v>
      </c>
      <c r="H33" s="50">
        <f>IF('T2'!B46="css","css",IF('T2'!B46="aa","aa",IF('T2'!$B46="jc","jc",IF('T2'!$B46="m","m",IF('T2'!$B46="f","f",IF('T2'!$B46="cp","cp",'T2'!$N46))))))</f>
        <v>0</v>
      </c>
      <c r="I33" s="99">
        <f>IF('T2'!C46="css","css",IF('T2'!C46="aa","aa",IF('T2'!$C46="jc","jc",IF('T2'!$C46="m","m",IF('T2'!$C46="f","f",IF('T2'!$C46="cp","cp",'T2'!$O46))))))</f>
        <v>0</v>
      </c>
      <c r="J33" s="50">
        <f>IF('T2'!B58="css","css",IF('T2'!B58="aa","aa",IF('T2'!$B58="jc","jc",IF('T2'!$B58="m","m",IF('T2'!$B58="f","f",IF('T2'!$B58="cp","cp",'T2'!$N58))))))</f>
        <v>0</v>
      </c>
      <c r="K33" s="99">
        <f>IF('T2'!C58="css","css",IF('T2'!C58="aa","aa",IF('T2'!$C58="jc","jc",IF('T2'!$C58="m","m",IF('T2'!$C58="f","f",IF('T2'!$C58="cp","cp",'T2'!$O58))))))</f>
        <v>0</v>
      </c>
      <c r="L33" s="50">
        <f>IF('T2'!B70="css","css",IF('T2'!B70="aa","aa",IF('T2'!$B70="jc","jc",IF('T2'!$B70="m","m",IF('T2'!$B70="f","f",IF('T2'!$B70="cp","cp",'T2'!$N70))))))</f>
        <v>0</v>
      </c>
      <c r="M33" s="99">
        <f>IF('T2'!C70="css","css",IF('T2'!C70="aa","aa",IF('T2'!$C70="jc","jc",IF('T2'!$C70="m","m",IF('T2'!$C70="f","f",IF('T2'!$C70="cp","cp",'T2'!$O70))))))</f>
        <v>0</v>
      </c>
      <c r="N33" s="50">
        <f>IF('T2'!B82="css","css",IF('T2'!B82="aa","aa",IF('T2'!$B82="jc","jc",IF('T2'!$B82="m","m",IF('T2'!$B82="f","f",IF('T2'!$B82="cp","cp",'T2'!$N82))))))</f>
        <v>0</v>
      </c>
      <c r="O33" s="99">
        <f>IF('T2'!C82="css","css",IF('T2'!C82="aa","aa",IF('T2'!$C82="jc","jc",IF('T2'!$C82="m","m",IF('T2'!$C82="f","f",IF('T2'!$C82="cp","cp",'T2'!$O82))))))</f>
        <v>0</v>
      </c>
      <c r="P33" s="50">
        <f>IF('T2'!B94="css","css",IF('T2'!B94="aa","aa",IF('T2'!$B94="jc","jc",IF('T2'!$B94="m","m",IF('T2'!$B94="f","f",IF('T2'!$B94="cp","cp",'T2'!$N94))))))</f>
        <v>0</v>
      </c>
      <c r="Q33" s="99">
        <f>IF('T2'!C94="css","css",IF('T2'!C94="aa","aa",IF('T2'!$C94="jc","jc",IF('T2'!$C94="m","m",IF('T2'!$C94="f","f",IF('T2'!$C94="cp","cp",'T2'!$O94))))))</f>
        <v>0</v>
      </c>
      <c r="R33" s="50">
        <f>IF('T2'!B106="css","css",IF('T2'!B106="aa","aa",IF('T2'!$B106="jc","jc",IF('T2'!$B106="m","m",IF('T2'!$B106="f","f",IF('T2'!$B106="cp","cp",'T2'!$N106))))))</f>
        <v>0</v>
      </c>
      <c r="S33" s="99">
        <f>IF('T2'!C106="css","css",IF('T2'!C106="aa","aa",IF('T2'!$C106="jc","jc",IF('T2'!$C106="m","m",IF('T2'!$C106="f","f",IF('T2'!$C106="cp","cp",'T2'!$O106))))))</f>
        <v>0</v>
      </c>
      <c r="T33" s="50">
        <f>IF('T2'!B118="css","css",IF('T2'!B118="aa","aa",IF('T2'!$B118="jc","jc",IF('T2'!$B118="m","m",IF('T2'!$B118="f","f",IF('T2'!$B118="cp","cp",'T2'!$N118))))))</f>
        <v>0</v>
      </c>
      <c r="U33" s="99">
        <f>IF('T2'!C118="css","css",IF('T2'!C118="aa","aa",IF('T2'!$C118="jc","jc",IF('T2'!$C118="m","m",IF('T2'!$C118="f","f",IF('T2'!$C118="cp","cp",'T2'!$O118))))))</f>
        <v>0</v>
      </c>
      <c r="V33" s="50">
        <f>IF('T2'!B130="css","css",IF('T2'!B130="aa","aa",IF('T2'!$B130="jc","jc",IF('T2'!$B130="m","m",IF('T2'!$B130="f","f",IF('T2'!$B130="cp","cp",'T2'!$N130))))))</f>
        <v>0</v>
      </c>
      <c r="W33" s="99">
        <f>IF('T2'!C130="css","css",IF('T2'!C130="aa","aa",IF('T2'!$C130="jc","jc",IF('T2'!$C130="m","m",IF('T2'!$C130="f","f",IF('T2'!$C130="cp","cp",'T2'!$O130))))))</f>
        <v>0</v>
      </c>
      <c r="X33" s="50">
        <f>IF('T2'!B142="css","css",IF('T2'!B142="aa","aa",IF('T2'!$B142="jc","jc",IF('T2'!$B142="m","m",IF('T2'!$B142="f","f",IF('T2'!$B142="cp","cp",'T2'!$N142))))))</f>
        <v>0</v>
      </c>
      <c r="Y33" s="99">
        <f>IF('T2'!C142="css","css",IF('T2'!C142="aa","aa",IF('T2'!$C142="jc","jc",IF('T2'!$C142="m","m",IF('T2'!$C142="f","f",IF('T2'!$C142="cp","cp",'T2'!$O142))))))</f>
        <v>0</v>
      </c>
      <c r="Z33" s="50">
        <f>IF('T2'!B154="css","css",IF('T2'!B154="aa","aa",IF('T2'!$B154="jc","jc",IF('T2'!$B154="m","m",IF('T2'!$B154="f","f",IF('T2'!$B154="cp","cp",'T2'!$N154))))))</f>
        <v>0</v>
      </c>
      <c r="AA33" s="130">
        <f>IF('T2'!C154="css","css",IF('T2'!C154="aa","aa",IF('T2'!$C154="jc","jc",IF('T2'!$C154="m","m",IF('T2'!$C154="f","f",IF('T2'!$C154="cp","cp",'T2'!$O154))))))</f>
        <v>0</v>
      </c>
    </row>
    <row r="34" spans="1:29" ht="15" customHeight="1" x14ac:dyDescent="0.25">
      <c r="A34" s="52" t="s">
        <v>7</v>
      </c>
      <c r="B34" s="129">
        <f>IF('T2'!B11="css","css",IF('T2'!B11="aa","aa",IF('T2'!B11="jc","jc",IF('T2'!B11="m","m",IF('T2'!B11="f","f",IF('T2'!B11="cp","cp",'T2'!N11))))))</f>
        <v>0</v>
      </c>
      <c r="C34" s="100">
        <f>IF('T2'!C11="css","css",IF('T2'!C11="aa","aa",IF('T2'!C11="jc","jc",IF('T2'!C11="m","m",IF('T2'!C11="f","f",IF('T2'!C11="cp","cp",'T2'!O11))))))</f>
        <v>0</v>
      </c>
      <c r="D34" s="129">
        <f>IF('T2'!B23="css","css",IF('T2'!B23="aa","aa",IF('T2'!B23="jc","jc",IF('T2'!B23="m","m",IF('T2'!B23="f","f",IF('T2'!B23="cp","cp",'T2'!N23))))))</f>
        <v>0</v>
      </c>
      <c r="E34" s="100">
        <f>IF('T2'!C23="css","css",IF('T2'!C23="aa","aa",IF('T2'!C23="jc","jc",IF('T2'!C23="m","m",IF('T2'!C23="f","f",IF('T2'!C23="cp","cp",'T2'!O23))))))</f>
        <v>0</v>
      </c>
      <c r="F34" s="129">
        <f>IF('T2'!B35="css","css",IF('T2'!B35="aa","aa",IF('T2'!$B35="jc","jc",IF('T2'!$B35="m","m",IF('T2'!$B35="f","f",IF('T2'!$B35="cp","cp",'T2'!$N35))))))</f>
        <v>0</v>
      </c>
      <c r="G34" s="100">
        <f>IF('T2'!C35="css","css",IF('T2'!C35="aa","aa",IF('T2'!$C35="jc","jc",IF('T2'!$C35="m","m",IF('T2'!$C35="f","f",IF('T2'!$C35="cp","cp",'T2'!$O35))))))</f>
        <v>0</v>
      </c>
      <c r="H34" s="129">
        <f>IF('T2'!B47="css","css",IF('T2'!B47="aa","aa",IF('T2'!$B47="jc","jc",IF('T2'!$B47="m","m",IF('T2'!$B47="f","f",IF('T2'!$B47="cp","cp",'T2'!$N47))))))</f>
        <v>0</v>
      </c>
      <c r="I34" s="100">
        <f>IF('T2'!C47="css","css",IF('T2'!C47="aa","aa",IF('T2'!$C47="jc","jc",IF('T2'!$C47="m","m",IF('T2'!$C47="f","f",IF('T2'!$C47="cp","cp",'T2'!$O47))))))</f>
        <v>0</v>
      </c>
      <c r="J34" s="129">
        <f>IF('T2'!B59="css","css",IF('T2'!B59="aa","aa",IF('T2'!$B59="jc","jc",IF('T2'!$B59="m","m",IF('T2'!$B59="f","f",IF('T2'!$B59="cp","cp",'T2'!$N59))))))</f>
        <v>0</v>
      </c>
      <c r="K34" s="100">
        <f>IF('T2'!C59="css","css",IF('T2'!C59="aa","aa",IF('T2'!$C59="jc","jc",IF('T2'!$C59="m","m",IF('T2'!$C59="f","f",IF('T2'!$C59="cp","cp",'T2'!$O59))))))</f>
        <v>0</v>
      </c>
      <c r="L34" s="129">
        <f>IF('T2'!B71="css","css",IF('T2'!B71="aa","aa",IF('T2'!$B71="jc","jc",IF('T2'!$B71="m","m",IF('T2'!$B71="f","f",IF('T2'!$B71="cp","cp",'T2'!$N71))))))</f>
        <v>0</v>
      </c>
      <c r="M34" s="100">
        <f>IF('T2'!C71="css","css",IF('T2'!C71="aa","aa",IF('T2'!$C71="jc","jc",IF('T2'!$C71="m","m",IF('T2'!$C71="f","f",IF('T2'!$C71="cp","cp",'T2'!$O71))))))</f>
        <v>0</v>
      </c>
      <c r="N34" s="129">
        <f>IF('T2'!B83="css","css",IF('T2'!B83="aa","aa",IF('T2'!$B83="jc","jc",IF('T2'!$B83="m","m",IF('T2'!$B83="f","f",IF('T2'!$B83="cp","cp",'T2'!$N83))))))</f>
        <v>0</v>
      </c>
      <c r="O34" s="100">
        <f>IF('T2'!C83="css","css",IF('T2'!C83="aa","aa",IF('T2'!$C83="jc","jc",IF('T2'!$C83="m","m",IF('T2'!$C83="f","f",IF('T2'!$C83="cp","cp",'T2'!$O83))))))</f>
        <v>0</v>
      </c>
      <c r="P34" s="129">
        <f>IF('T2'!B95="css","css",IF('T2'!B95="aa","aa",IF('T2'!$B95="jc","jc",IF('T2'!$B95="m","m",IF('T2'!$B95="f","f",IF('T2'!$B95="cp","cp",'T2'!$N95))))))</f>
        <v>0</v>
      </c>
      <c r="Q34" s="100">
        <f>IF('T2'!C95="css","css",IF('T2'!C95="aa","aa",IF('T2'!$C95="jc","jc",IF('T2'!$C95="m","m",IF('T2'!$C95="f","f",IF('T2'!$C95="cp","cp",'T2'!$O95))))))</f>
        <v>0</v>
      </c>
      <c r="R34" s="129">
        <f>IF('T2'!B107="css","css",IF('T2'!B107="aa","aa",IF('T2'!$B107="jc","jc",IF('T2'!$B107="m","m",IF('T2'!$B107="f","f",IF('T2'!$B107="cp","cp",'T2'!$N107))))))</f>
        <v>0</v>
      </c>
      <c r="S34" s="100">
        <f>IF('T2'!C107="css","css",IF('T2'!C107="aa","aa",IF('T2'!$C107="jc","jc",IF('T2'!$C107="m","m",IF('T2'!$C107="f","f",IF('T2'!$C107="cp","cp",'T2'!$O107))))))</f>
        <v>0</v>
      </c>
      <c r="T34" s="129">
        <f>IF('T2'!B119="css","css",IF('T2'!B119="aa","aa",IF('T2'!$B119="jc","jc",IF('T2'!$B119="m","m",IF('T2'!$B119="f","f",IF('T2'!$B119="cp","cp",'T2'!$N119))))))</f>
        <v>0</v>
      </c>
      <c r="U34" s="100">
        <f>IF('T2'!C119="css","css",IF('T2'!C119="aa","aa",IF('T2'!$C119="jc","jc",IF('T2'!$C119="m","m",IF('T2'!$C119="f","f",IF('T2'!$C119="cp","cp",'T2'!$O119))))))</f>
        <v>0</v>
      </c>
      <c r="V34" s="129">
        <f>IF('T2'!B131="css","css",IF('T2'!B131="aa","aa",IF('T2'!$B131="jc","jc",IF('T2'!$B131="m","m",IF('T2'!$B131="f","f",IF('T2'!$B131="cp","cp",'T2'!$N131))))))</f>
        <v>0</v>
      </c>
      <c r="W34" s="100">
        <f>IF('T2'!C131="css","css",IF('T2'!C131="aa","aa",IF('T2'!$C131="jc","jc",IF('T2'!$C131="m","m",IF('T2'!$C131="f","f",IF('T2'!$C131="cp","cp",'T2'!$O131))))))</f>
        <v>0</v>
      </c>
      <c r="X34" s="129">
        <f>IF('T2'!B143="css","css",IF('T2'!B143="aa","aa",IF('T2'!$B143="jc","jc",IF('T2'!$B143="m","m",IF('T2'!$B143="f","f",IF('T2'!$B143="cp","cp",'T2'!$N143))))))</f>
        <v>0</v>
      </c>
      <c r="Y34" s="100">
        <f>IF('T2'!C143="css","css",IF('T2'!C143="aa","aa",IF('T2'!$C143="jc","jc",IF('T2'!$C143="m","m",IF('T2'!$C143="f","f",IF('T2'!$C143="cp","cp",'T2'!$O143))))))</f>
        <v>0</v>
      </c>
      <c r="Z34" s="129">
        <f>IF('T2'!B155="css","css",IF('T2'!B155="aa","aa",IF('T2'!$B155="jc","jc",IF('T2'!$B155="m","m",IF('T2'!$B155="f","f",IF('T2'!$B155="cp","cp",'T2'!$N155))))))</f>
        <v>0</v>
      </c>
      <c r="AA34" s="131">
        <f>IF('T2'!C155="css","css",IF('T2'!C155="aa","aa",IF('T2'!$C155="jc","jc",IF('T2'!$C155="m","m",IF('T2'!$C155="f","f",IF('T2'!$C155="cp","cp",'T2'!$O155))))))</f>
        <v>0</v>
      </c>
    </row>
    <row r="35" spans="1:29" ht="15" customHeight="1" thickBot="1" x14ac:dyDescent="0.3">
      <c r="A35" s="53" t="s">
        <v>8</v>
      </c>
      <c r="B35" s="133">
        <f>IF('T2'!B12="css","css",IF('T2'!B12="aa","aa",IF('T2'!B12="jc","jc",IF('T2'!B12="m","m",IF('T2'!B12="f","f",IF('T2'!B12="cp","cp",'T2'!N12))))))</f>
        <v>0</v>
      </c>
      <c r="C35" s="101">
        <f>IF('T2'!C12="css","css",IF('T2'!C12="aa","aa",IF('T2'!C12="jc","jc",IF('T2'!C12="m","m",IF('T2'!C12="f","f",IF('T2'!C12="cp","cp",'T2'!O12))))))</f>
        <v>0</v>
      </c>
      <c r="D35" s="133">
        <f>IF('T2'!B24="css","css",IF('T2'!B24="aa","aa",IF('T2'!B24="jc","jc",IF('T2'!B24="m","m",IF('T2'!B24="f","f",IF('T2'!B24="cp","cp",'T2'!N24))))))</f>
        <v>0</v>
      </c>
      <c r="E35" s="101">
        <f>IF('T2'!C24="css","css",IF('T2'!C24="aa","aa",IF('T2'!C24="jc","jc",IF('T2'!C24="m","m",IF('T2'!C24="f","f",IF('T2'!C24="cp","cp",'T2'!O24))))))</f>
        <v>0</v>
      </c>
      <c r="F35" s="133">
        <f>IF('T2'!B36="css","css",IF('T2'!B36="aa","aa",IF('T2'!$B36="jc","jc",IF('T2'!$B36="m","m",IF('T2'!$B36="f","f",IF('T2'!$B36="cp","cp",'T2'!$N36))))))</f>
        <v>0</v>
      </c>
      <c r="G35" s="101">
        <f>IF('T2'!C36="css","css",IF('T2'!C36="aa","aa",IF('T2'!$C36="jc","jc",IF('T2'!$C36="m","m",IF('T2'!$C36="f","f",IF('T2'!$C36="cp","cp",'T2'!$O36))))))</f>
        <v>0</v>
      </c>
      <c r="H35" s="133">
        <f>IF('T2'!B48="css","css",IF('T2'!B48="aa","aa",IF('T2'!$B48="jc","jc",IF('T2'!$B48="m","m",IF('T2'!$B48="f","f",IF('T2'!$B48="cp","cp",'T2'!$N48))))))</f>
        <v>0</v>
      </c>
      <c r="I35" s="101">
        <f>IF('T2'!C48="css","css",IF('T2'!C48="aa","aa",IF('T2'!$C48="jc","jc",IF('T2'!$C48="m","m",IF('T2'!$C48="f","f",IF('T2'!$C48="cp","cp",'T2'!$O48))))))</f>
        <v>0</v>
      </c>
      <c r="J35" s="133">
        <f>IF('T2'!B60="css","css",IF('T2'!B60="aa","aa",IF('T2'!$B60="jc","jc",IF('T2'!$B60="m","m",IF('T2'!$B60="f","f",IF('T2'!$B60="cp","cp",'T2'!$N60))))))</f>
        <v>0</v>
      </c>
      <c r="K35" s="101">
        <f>IF('T2'!C60="css","css",IF('T2'!C60="aa","aa",IF('T2'!$C60="jc","jc",IF('T2'!$C60="m","m",IF('T2'!$C60="f","f",IF('T2'!$C60="cp","cp",'T2'!$O60))))))</f>
        <v>0</v>
      </c>
      <c r="L35" s="133">
        <f>IF('T2'!B72="css","css",IF('T2'!B72="aa","aa",IF('T2'!$B72="jc","jc",IF('T2'!$B72="m","m",IF('T2'!$B72="f","f",IF('T2'!$B72="cp","cp",'T2'!$N72))))))</f>
        <v>0</v>
      </c>
      <c r="M35" s="101">
        <f>IF('T2'!C72="css","css",IF('T2'!C72="aa","aa",IF('T2'!$C72="jc","jc",IF('T2'!$C72="m","m",IF('T2'!$C72="f","f",IF('T2'!$C72="cp","cp",'T2'!$O72))))))</f>
        <v>0</v>
      </c>
      <c r="N35" s="133">
        <f>IF('T2'!B84="css","css",IF('T2'!B84="aa","aa",IF('T2'!$B84="jc","jc",IF('T2'!$B84="m","m",IF('T2'!$B84="f","f",IF('T2'!$B84="cp","cp",'T2'!$N84))))))</f>
        <v>0</v>
      </c>
      <c r="O35" s="101">
        <f>IF('T2'!C84="css","css",IF('T2'!C84="aa","aa",IF('T2'!$C84="jc","jc",IF('T2'!$C84="m","m",IF('T2'!$C84="f","f",IF('T2'!$C84="cp","cp",'T2'!$O84))))))</f>
        <v>0</v>
      </c>
      <c r="P35" s="133">
        <f>IF('T2'!B96="css","css",IF('T2'!B96="aa","aa",IF('T2'!$B96="jc","jc",IF('T2'!$B96="m","m",IF('T2'!$B96="f","f",IF('T2'!$B96="cp","cp",'T2'!$N96))))))</f>
        <v>0</v>
      </c>
      <c r="Q35" s="101">
        <f>IF('T2'!C96="css","css",IF('T2'!C96="aa","aa",IF('T2'!$C96="jc","jc",IF('T2'!$C96="m","m",IF('T2'!$C96="f","f",IF('T2'!$C96="cp","cp",'T2'!$O96))))))</f>
        <v>0</v>
      </c>
      <c r="R35" s="133">
        <f>IF('T2'!B108="css","css",IF('T2'!B108="aa","aa",IF('T2'!$B108="jc","jc",IF('T2'!$B108="m","m",IF('T2'!$B108="f","f",IF('T2'!$B108="cp","cp",'T2'!$N108))))))</f>
        <v>0</v>
      </c>
      <c r="S35" s="101">
        <f>IF('T2'!C108="css","css",IF('T2'!C108="aa","aa",IF('T2'!$C108="jc","jc",IF('T2'!$C108="m","m",IF('T2'!$C108="f","f",IF('T2'!$C108="cp","cp",'T2'!$O108))))))</f>
        <v>0</v>
      </c>
      <c r="T35" s="133">
        <f>IF('T2'!B120="css","css",IF('T2'!B120="aa","aa",IF('T2'!$B120="jc","jc",IF('T2'!$B120="m","m",IF('T2'!$B120="f","f",IF('T2'!$B120="cp","cp",'T2'!$N120))))))</f>
        <v>0</v>
      </c>
      <c r="U35" s="101">
        <f>IF('T2'!C120="css","css",IF('T2'!C120="aa","aa",IF('T2'!$C120="jc","jc",IF('T2'!$C120="m","m",IF('T2'!$C120="f","f",IF('T2'!$C120="cp","cp",'T2'!$O120))))))</f>
        <v>0</v>
      </c>
      <c r="V35" s="133">
        <f>IF('T2'!B132="css","css",IF('T2'!B132="aa","aa",IF('T2'!$B132="jc","jc",IF('T2'!$B132="m","m",IF('T2'!$B132="f","f",IF('T2'!$B132="cp","cp",'T2'!$N132))))))</f>
        <v>0</v>
      </c>
      <c r="W35" s="101">
        <f>IF('T2'!C132="css","css",IF('T2'!C132="aa","aa",IF('T2'!$C132="jc","jc",IF('T2'!$C132="m","m",IF('T2'!$C132="f","f",IF('T2'!$C132="cp","cp",'T2'!$O132))))))</f>
        <v>0</v>
      </c>
      <c r="X35" s="133">
        <f>IF('T2'!B144="css","css",IF('T2'!B144="aa","aa",IF('T2'!$B144="jc","jc",IF('T2'!$B144="m","m",IF('T2'!$B144="f","f",IF('T2'!$B144="cp","cp",'T2'!$N144))))))</f>
        <v>0</v>
      </c>
      <c r="Y35" s="101">
        <f>IF('T2'!C144="css","css",IF('T2'!C144="aa","aa",IF('T2'!$C144="jc","jc",IF('T2'!$C144="m","m",IF('T2'!$C144="f","f",IF('T2'!$C144="cp","cp",'T2'!$O144))))))</f>
        <v>0</v>
      </c>
      <c r="Z35" s="133">
        <f>IF('T2'!B156="css","css",IF('T2'!B156="aa","aa",IF('T2'!$B156="jc","jc",IF('T2'!$B156="m","m",IF('T2'!$B156="f","f",IF('T2'!$B156="cp","cp",'T2'!$N156))))))</f>
        <v>0</v>
      </c>
      <c r="AA35" s="132">
        <f>IF('T2'!C156="css","css",IF('T2'!C156="aa","aa",IF('T2'!$C156="jc","jc",IF('T2'!$C156="m","m",IF('T2'!$C156="f","f",IF('T2'!$C156="cp","cp",'T2'!$O156))))))</f>
        <v>0</v>
      </c>
    </row>
    <row r="36" spans="1:29" ht="15" customHeight="1" x14ac:dyDescent="0.25">
      <c r="A36" s="8"/>
      <c r="B36" s="102">
        <f t="shared" ref="B36:Z36" si="1">COUNTIF(B29:B35,"cp")</f>
        <v>0</v>
      </c>
      <c r="C36" s="102"/>
      <c r="D36" s="102">
        <f t="shared" si="1"/>
        <v>0</v>
      </c>
      <c r="E36" s="102"/>
      <c r="F36" s="102">
        <f t="shared" si="1"/>
        <v>0</v>
      </c>
      <c r="G36" s="102"/>
      <c r="H36" s="102">
        <f t="shared" si="1"/>
        <v>0</v>
      </c>
      <c r="I36" s="102"/>
      <c r="J36" s="102">
        <f t="shared" si="1"/>
        <v>0</v>
      </c>
      <c r="K36" s="102"/>
      <c r="L36" s="102">
        <f t="shared" si="1"/>
        <v>0</v>
      </c>
      <c r="M36" s="102"/>
      <c r="N36" s="102">
        <f t="shared" si="1"/>
        <v>0</v>
      </c>
      <c r="O36" s="102"/>
      <c r="P36" s="102">
        <f t="shared" si="1"/>
        <v>0</v>
      </c>
      <c r="Q36" s="102"/>
      <c r="R36" s="102">
        <f t="shared" si="1"/>
        <v>0</v>
      </c>
      <c r="S36" s="102"/>
      <c r="T36" s="102">
        <f t="shared" si="1"/>
        <v>0</v>
      </c>
      <c r="U36" s="102"/>
      <c r="V36" s="102">
        <f t="shared" si="1"/>
        <v>0</v>
      </c>
      <c r="W36" s="102"/>
      <c r="X36" s="102">
        <f t="shared" si="1"/>
        <v>0</v>
      </c>
      <c r="Y36" s="102"/>
      <c r="Z36" s="102">
        <f t="shared" si="1"/>
        <v>0</v>
      </c>
      <c r="AA36" s="102"/>
    </row>
    <row r="37" spans="1:29" ht="15" hidden="1" customHeight="1" x14ac:dyDescent="0.25">
      <c r="A37" s="8"/>
      <c r="B37" s="102">
        <f>COUNTIF(B29:B35,"jc")</f>
        <v>0</v>
      </c>
      <c r="C37" s="102"/>
      <c r="D37" s="102">
        <f>COUNTIF(D29:D35,"jc")</f>
        <v>0</v>
      </c>
      <c r="E37" s="102"/>
      <c r="F37" s="102">
        <f>COUNTIF(F29:F35,"jc")</f>
        <v>0</v>
      </c>
      <c r="G37" s="102"/>
      <c r="H37" s="102">
        <f>COUNTIF(H29:H35,"jc")</f>
        <v>0</v>
      </c>
      <c r="I37" s="102"/>
      <c r="J37" s="102">
        <f>COUNTIF(J29:J35,"jc")</f>
        <v>0</v>
      </c>
      <c r="K37" s="102"/>
      <c r="L37" s="102">
        <f>COUNTIF(L29:L35,"jc")</f>
        <v>0</v>
      </c>
      <c r="M37" s="102"/>
      <c r="N37" s="102">
        <f>COUNTIF(N29:N35,"jc")</f>
        <v>0</v>
      </c>
      <c r="O37" s="102"/>
      <c r="P37" s="102">
        <f>COUNTIF(P29:P35,"jc")</f>
        <v>0</v>
      </c>
      <c r="Q37" s="102"/>
      <c r="R37" s="102">
        <f>COUNTIF(R29:R35,"jc")</f>
        <v>0</v>
      </c>
      <c r="S37" s="102"/>
      <c r="T37" s="102">
        <f>COUNTIF(T29:T35,"jc")</f>
        <v>0</v>
      </c>
      <c r="U37" s="102"/>
      <c r="V37" s="102">
        <f>COUNTIF(V29:V35,"jc")</f>
        <v>0</v>
      </c>
      <c r="W37" s="102"/>
      <c r="X37" s="102">
        <f>COUNTIF(X29:X35,"jc")</f>
        <v>0</v>
      </c>
      <c r="Y37" s="102"/>
      <c r="Z37" s="102">
        <f>COUNTIF(Z29:Z35,"jc")</f>
        <v>0</v>
      </c>
      <c r="AA37" s="102"/>
    </row>
    <row r="38" spans="1:29" ht="15" customHeight="1" x14ac:dyDescent="0.25">
      <c r="A38" s="9" t="s">
        <v>11</v>
      </c>
      <c r="B38" s="23">
        <f>SUM(B29:B35)</f>
        <v>0</v>
      </c>
      <c r="C38" s="24">
        <f>+'T2'!O13</f>
        <v>0</v>
      </c>
      <c r="D38" s="23">
        <f>SUM(D29:D35)</f>
        <v>0</v>
      </c>
      <c r="E38" s="24">
        <f>+'T2'!O25</f>
        <v>0</v>
      </c>
      <c r="F38" s="23">
        <f>SUM(F29:F35)</f>
        <v>0</v>
      </c>
      <c r="G38" s="24">
        <f>'T2'!O37</f>
        <v>0</v>
      </c>
      <c r="H38" s="23">
        <f>SUM(H29:H35)</f>
        <v>0</v>
      </c>
      <c r="I38" s="24">
        <f>'T2'!O49</f>
        <v>0</v>
      </c>
      <c r="J38" s="23">
        <f>SUM(J29:J35)</f>
        <v>0</v>
      </c>
      <c r="K38" s="24">
        <f>'T2'!O61</f>
        <v>0</v>
      </c>
      <c r="L38" s="23">
        <f>SUM(L29:L35)</f>
        <v>0</v>
      </c>
      <c r="M38" s="24">
        <f>+'T2'!O73</f>
        <v>0</v>
      </c>
      <c r="N38" s="23">
        <f>SUM(N29:N35)</f>
        <v>0</v>
      </c>
      <c r="O38" s="24">
        <f>+'T2'!O85</f>
        <v>0</v>
      </c>
      <c r="P38" s="23">
        <f>SUM(P29:P35)</f>
        <v>0</v>
      </c>
      <c r="Q38" s="24">
        <f>+'T2'!O97</f>
        <v>0</v>
      </c>
      <c r="R38" s="23">
        <f>SUM(R29:R35)</f>
        <v>0</v>
      </c>
      <c r="S38" s="24">
        <f>+'T2'!O109</f>
        <v>0</v>
      </c>
      <c r="T38" s="23">
        <f>SUM(T29:T35)</f>
        <v>0</v>
      </c>
      <c r="U38" s="24">
        <f>+'T2'!O121</f>
        <v>0</v>
      </c>
      <c r="V38" s="23">
        <f>SUM(V29:V35)</f>
        <v>0</v>
      </c>
      <c r="W38" s="24">
        <f>+'T2'!O133</f>
        <v>0</v>
      </c>
      <c r="X38" s="23">
        <f>SUM(X29:X35)</f>
        <v>0</v>
      </c>
      <c r="Y38" s="24">
        <f>+'T2'!O145</f>
        <v>0</v>
      </c>
      <c r="Z38" s="23">
        <f>SUM(Z29:Z35)</f>
        <v>0</v>
      </c>
      <c r="AA38" s="24">
        <f>+'T2'!O157</f>
        <v>0</v>
      </c>
    </row>
    <row r="39" spans="1:29" ht="15" customHeight="1" x14ac:dyDescent="0.3">
      <c r="A39" s="46" t="s">
        <v>115</v>
      </c>
      <c r="B39" s="55">
        <f>+AA39-W39</f>
        <v>0</v>
      </c>
      <c r="C39" s="23"/>
      <c r="D39" s="23"/>
      <c r="E39" s="23"/>
      <c r="F39" s="23"/>
      <c r="G39" s="23"/>
      <c r="H39" s="23"/>
      <c r="I39" s="23"/>
      <c r="J39" s="23"/>
      <c r="K39" s="23"/>
      <c r="L39" s="23"/>
      <c r="M39" s="23"/>
      <c r="N39" s="23"/>
      <c r="O39" s="23"/>
      <c r="P39" s="23"/>
      <c r="Q39" s="23"/>
      <c r="R39" s="26"/>
      <c r="S39" s="26"/>
      <c r="T39" s="26"/>
      <c r="U39" s="56"/>
      <c r="V39" s="57" t="s">
        <v>131</v>
      </c>
      <c r="W39" s="58">
        <f>B38+D38+F38+H38+J38+L38+N38+P38+R38+T38+V38+X38+Z38</f>
        <v>0</v>
      </c>
      <c r="X39" s="23"/>
      <c r="Y39" s="61"/>
      <c r="Z39" s="57" t="s">
        <v>130</v>
      </c>
      <c r="AA39" s="60">
        <f>Y38+C38+E38+G38+I38+K38+M38+O38+Q38+S38+U38+W38+AA38</f>
        <v>0</v>
      </c>
    </row>
    <row r="40" spans="1:29" ht="15" customHeight="1" x14ac:dyDescent="0.25">
      <c r="A40" s="42"/>
      <c r="B40" s="43"/>
      <c r="C40" s="44"/>
      <c r="D40" s="44"/>
      <c r="E40" s="44"/>
      <c r="F40" s="44"/>
      <c r="G40" s="44"/>
      <c r="H40" s="44"/>
      <c r="I40" s="44"/>
      <c r="J40" s="44"/>
      <c r="K40" s="44"/>
      <c r="L40" s="44"/>
      <c r="M40" s="44"/>
      <c r="N40" s="44"/>
      <c r="O40" s="44"/>
      <c r="P40" s="44"/>
      <c r="Q40" s="44"/>
      <c r="R40" s="26"/>
      <c r="S40" s="26"/>
      <c r="T40" s="26"/>
      <c r="U40" s="26"/>
      <c r="V40" s="44"/>
      <c r="W40" s="44"/>
      <c r="X40" s="44"/>
      <c r="Y40" s="44"/>
      <c r="Z40" s="44"/>
      <c r="AA40" s="45"/>
    </row>
    <row r="41" spans="1:29" ht="25.5" customHeight="1" x14ac:dyDescent="0.35">
      <c r="A41" s="811" t="s">
        <v>74</v>
      </c>
      <c r="B41" s="811"/>
      <c r="C41" s="811"/>
      <c r="D41" s="811"/>
      <c r="E41" s="811"/>
      <c r="F41" s="811"/>
      <c r="G41" s="811"/>
      <c r="H41" s="811"/>
      <c r="I41" s="811"/>
      <c r="J41" s="811"/>
      <c r="K41" s="811"/>
      <c r="L41" s="811"/>
      <c r="M41" s="811"/>
      <c r="N41" s="811"/>
      <c r="O41" s="811"/>
      <c r="P41" s="811"/>
      <c r="Q41" s="811"/>
      <c r="R41" s="811"/>
      <c r="S41" s="811"/>
      <c r="T41" s="811"/>
      <c r="U41" s="811"/>
      <c r="V41" s="811"/>
      <c r="W41" s="811"/>
      <c r="X41" s="811"/>
      <c r="Y41" s="811"/>
      <c r="Z41" s="811"/>
      <c r="AA41" s="811"/>
      <c r="AB41" s="811"/>
      <c r="AC41" s="811"/>
    </row>
    <row r="42" spans="1:29" ht="15" customHeight="1" thickBot="1" x14ac:dyDescent="0.35">
      <c r="A42" s="10"/>
    </row>
    <row r="43" spans="1:29" ht="15" customHeight="1" x14ac:dyDescent="0.25">
      <c r="A43" s="11"/>
      <c r="B43" s="3" t="s">
        <v>9</v>
      </c>
      <c r="C43" s="2" t="s">
        <v>10</v>
      </c>
      <c r="D43" s="3" t="s">
        <v>9</v>
      </c>
      <c r="E43" s="2" t="s">
        <v>10</v>
      </c>
      <c r="F43" s="3" t="s">
        <v>9</v>
      </c>
      <c r="G43" s="2" t="s">
        <v>10</v>
      </c>
      <c r="H43" s="3" t="s">
        <v>9</v>
      </c>
      <c r="I43" s="2" t="s">
        <v>10</v>
      </c>
      <c r="J43" s="3" t="s">
        <v>9</v>
      </c>
      <c r="K43" s="2" t="s">
        <v>10</v>
      </c>
      <c r="L43" s="3" t="s">
        <v>9</v>
      </c>
      <c r="M43" s="2" t="s">
        <v>10</v>
      </c>
      <c r="N43" s="3" t="s">
        <v>9</v>
      </c>
      <c r="O43" s="2" t="s">
        <v>10</v>
      </c>
      <c r="P43" s="3" t="s">
        <v>9</v>
      </c>
      <c r="Q43" s="2" t="s">
        <v>10</v>
      </c>
      <c r="R43" s="3" t="s">
        <v>9</v>
      </c>
      <c r="S43" s="2" t="s">
        <v>10</v>
      </c>
      <c r="T43" s="3" t="s">
        <v>9</v>
      </c>
      <c r="U43" s="2" t="s">
        <v>10</v>
      </c>
      <c r="V43" s="3" t="s">
        <v>9</v>
      </c>
      <c r="W43" s="2" t="s">
        <v>10</v>
      </c>
      <c r="X43" s="3" t="s">
        <v>9</v>
      </c>
      <c r="Y43" s="2" t="s">
        <v>10</v>
      </c>
      <c r="Z43" s="3" t="s">
        <v>9</v>
      </c>
      <c r="AA43" s="2" t="s">
        <v>10</v>
      </c>
      <c r="AB43" s="3" t="s">
        <v>9</v>
      </c>
      <c r="AC43" s="2" t="s">
        <v>10</v>
      </c>
    </row>
    <row r="44" spans="1:29" ht="15" customHeight="1" x14ac:dyDescent="0.25">
      <c r="A44" s="13" t="s">
        <v>133</v>
      </c>
      <c r="B44" s="5">
        <f>+AA26+1</f>
        <v>42794</v>
      </c>
      <c r="C44" s="4">
        <f>6+B44</f>
        <v>42800</v>
      </c>
      <c r="D44" s="5">
        <f>+C44+1</f>
        <v>42801</v>
      </c>
      <c r="E44" s="4">
        <f>6+D44</f>
        <v>42807</v>
      </c>
      <c r="F44" s="5">
        <f>+E44+1</f>
        <v>42808</v>
      </c>
      <c r="G44" s="4">
        <f>6+F44</f>
        <v>42814</v>
      </c>
      <c r="H44" s="5">
        <f>+G44+1</f>
        <v>42815</v>
      </c>
      <c r="I44" s="4">
        <f>6+H44</f>
        <v>42821</v>
      </c>
      <c r="J44" s="5">
        <f>+I44+1</f>
        <v>42822</v>
      </c>
      <c r="K44" s="4">
        <f>6+J44</f>
        <v>42828</v>
      </c>
      <c r="L44" s="5">
        <f>+K44+1</f>
        <v>42829</v>
      </c>
      <c r="M44" s="4">
        <f>6+L44</f>
        <v>42835</v>
      </c>
      <c r="N44" s="5">
        <f>+M44+1</f>
        <v>42836</v>
      </c>
      <c r="O44" s="4">
        <f>6+N44</f>
        <v>42842</v>
      </c>
      <c r="P44" s="5">
        <f>+O44+1</f>
        <v>42843</v>
      </c>
      <c r="Q44" s="4">
        <f>6+P44</f>
        <v>42849</v>
      </c>
      <c r="R44" s="5">
        <f>+Q44+1</f>
        <v>42850</v>
      </c>
      <c r="S44" s="4">
        <f>6+R44</f>
        <v>42856</v>
      </c>
      <c r="T44" s="5">
        <f>+S44+1</f>
        <v>42857</v>
      </c>
      <c r="U44" s="4">
        <f>6+T44</f>
        <v>42863</v>
      </c>
      <c r="V44" s="5">
        <f>+U44+1</f>
        <v>42864</v>
      </c>
      <c r="W44" s="4">
        <f>+V44+6</f>
        <v>42870</v>
      </c>
      <c r="X44" s="5">
        <f>+W44+1</f>
        <v>42871</v>
      </c>
      <c r="Y44" s="4">
        <f>6+X44</f>
        <v>42877</v>
      </c>
      <c r="Z44" s="5">
        <f>+Y44+1</f>
        <v>42878</v>
      </c>
      <c r="AA44" s="4">
        <f>6+Z44</f>
        <v>42884</v>
      </c>
      <c r="AB44" s="5">
        <f>+AA44+1</f>
        <v>42885</v>
      </c>
      <c r="AC44" s="4">
        <f>6+AB44</f>
        <v>42891</v>
      </c>
    </row>
    <row r="45" spans="1:29" ht="15" customHeight="1" x14ac:dyDescent="0.25">
      <c r="A45" s="48">
        <f>B39</f>
        <v>0</v>
      </c>
      <c r="B45" s="809" t="str">
        <f>"Semaine "&amp;_xlfn.ISOWEEKNUM(B44)</f>
        <v>Semaine 9</v>
      </c>
      <c r="C45" s="810"/>
      <c r="D45" s="809" t="str">
        <f>"Semaine "&amp;_xlfn.ISOWEEKNUM(D44)</f>
        <v>Semaine 10</v>
      </c>
      <c r="E45" s="810"/>
      <c r="F45" s="809" t="str">
        <f>"Semaine "&amp;_xlfn.ISOWEEKNUM(F44)</f>
        <v>Semaine 11</v>
      </c>
      <c r="G45" s="810"/>
      <c r="H45" s="809" t="str">
        <f>"Semaine "&amp;_xlfn.ISOWEEKNUM(H44)</f>
        <v>Semaine 12</v>
      </c>
      <c r="I45" s="810"/>
      <c r="J45" s="809" t="str">
        <f>"Semaine "&amp;_xlfn.ISOWEEKNUM(J44)</f>
        <v>Semaine 13</v>
      </c>
      <c r="K45" s="810"/>
      <c r="L45" s="809" t="str">
        <f>"Semaine "&amp;_xlfn.ISOWEEKNUM(L44)</f>
        <v>Semaine 14</v>
      </c>
      <c r="M45" s="810"/>
      <c r="N45" s="809" t="str">
        <f>"Semaine "&amp;_xlfn.ISOWEEKNUM(N44)</f>
        <v>Semaine 15</v>
      </c>
      <c r="O45" s="810"/>
      <c r="P45" s="809" t="str">
        <f>"Semaine "&amp;_xlfn.ISOWEEKNUM(P44)</f>
        <v>Semaine 16</v>
      </c>
      <c r="Q45" s="810"/>
      <c r="R45" s="809" t="str">
        <f>"Semaine "&amp;_xlfn.ISOWEEKNUM(R44)</f>
        <v>Semaine 17</v>
      </c>
      <c r="S45" s="810"/>
      <c r="T45" s="807" t="str">
        <f>"Semaine "&amp;_xlfn.ISOWEEKNUM(T44)</f>
        <v>Semaine 18</v>
      </c>
      <c r="U45" s="808"/>
      <c r="V45" s="807" t="str">
        <f>"Semaine "&amp;_xlfn.ISOWEEKNUM(V44)</f>
        <v>Semaine 19</v>
      </c>
      <c r="W45" s="808"/>
      <c r="X45" s="807" t="str">
        <f>"Semaine "&amp;_xlfn.ISOWEEKNUM(X44)</f>
        <v>Semaine 20</v>
      </c>
      <c r="Y45" s="808"/>
      <c r="Z45" s="807" t="str">
        <f>"Semaine "&amp;_xlfn.ISOWEEKNUM(Z44)</f>
        <v>Semaine 21</v>
      </c>
      <c r="AA45" s="808"/>
      <c r="AB45" s="807" t="str">
        <f>"Semaine "&amp;_xlfn.ISOWEEKNUM(AB44)</f>
        <v>Semaine 22</v>
      </c>
      <c r="AC45" s="808"/>
    </row>
    <row r="46" spans="1:29" ht="15" customHeight="1" thickBot="1" x14ac:dyDescent="0.3">
      <c r="A46" s="11"/>
      <c r="B46" s="7" t="s">
        <v>0</v>
      </c>
      <c r="C46" s="6" t="s">
        <v>1</v>
      </c>
      <c r="D46" s="7" t="s">
        <v>0</v>
      </c>
      <c r="E46" s="6" t="s">
        <v>1</v>
      </c>
      <c r="F46" s="7" t="s">
        <v>0</v>
      </c>
      <c r="G46" s="6" t="s">
        <v>1</v>
      </c>
      <c r="H46" s="7" t="s">
        <v>0</v>
      </c>
      <c r="I46" s="6" t="s">
        <v>1</v>
      </c>
      <c r="J46" s="7" t="s">
        <v>0</v>
      </c>
      <c r="K46" s="6" t="s">
        <v>1</v>
      </c>
      <c r="L46" s="7" t="s">
        <v>0</v>
      </c>
      <c r="M46" s="6" t="s">
        <v>1</v>
      </c>
      <c r="N46" s="7" t="s">
        <v>0</v>
      </c>
      <c r="O46" s="6" t="s">
        <v>1</v>
      </c>
      <c r="P46" s="7" t="s">
        <v>0</v>
      </c>
      <c r="Q46" s="6" t="s">
        <v>1</v>
      </c>
      <c r="R46" s="7" t="s">
        <v>0</v>
      </c>
      <c r="S46" s="6" t="s">
        <v>1</v>
      </c>
      <c r="T46" s="7" t="s">
        <v>0</v>
      </c>
      <c r="U46" s="6" t="s">
        <v>1</v>
      </c>
      <c r="V46" s="7" t="s">
        <v>0</v>
      </c>
      <c r="W46" s="6" t="s">
        <v>1</v>
      </c>
      <c r="X46" s="7" t="s">
        <v>0</v>
      </c>
      <c r="Y46" s="6" t="s">
        <v>1</v>
      </c>
      <c r="Z46" s="7" t="s">
        <v>0</v>
      </c>
      <c r="AA46" s="6" t="s">
        <v>1</v>
      </c>
      <c r="AB46" s="7" t="s">
        <v>0</v>
      </c>
      <c r="AC46" s="6" t="s">
        <v>1</v>
      </c>
    </row>
    <row r="47" spans="1:29" ht="15" customHeight="1" x14ac:dyDescent="0.25">
      <c r="A47" s="54" t="s">
        <v>2</v>
      </c>
      <c r="B47" s="18">
        <f>IF('T3'!B6="css","css",IF('T3'!B6="aa","aa",IF('T3'!B6="jc","jc",IF('T3'!B6="m","m",IF('T3'!B6="f","f",IF('T3'!B6="cp","cp",'T3'!N6))))))</f>
        <v>0</v>
      </c>
      <c r="C47" s="98">
        <f>IF('T3'!C6="css","css",IF('T3'!C6="aa","aa",IF('T3'!$C6="jc","jc",IF('T3'!$C6="m","m",IF('T3'!$C6="f","f",IF('T3'!$C6="cp","cp",'T3'!$O6))))))</f>
        <v>0</v>
      </c>
      <c r="D47" s="18">
        <f>IF('T3'!B18="css","css",IF('T3'!B18="aa","aa",IF('T3'!B18="jc","jc",IF('T3'!B18="m","m",IF('T3'!B18="f","f",IF('T3'!B18="cp","cp",'T3'!N18))))))</f>
        <v>0</v>
      </c>
      <c r="E47" s="98">
        <f>IF('T3'!C18="css","css",IF('T3'!C18="aa","aa",IF('T3'!$C18="jc","jc",IF('T3'!$C18="m","m",IF('T3'!$C18="f","f",IF('T3'!$C18="cp","cp",'T3'!$O18))))))</f>
        <v>0</v>
      </c>
      <c r="F47" s="18">
        <f>IF('T3'!B30="css","css",IF('T3'!B30="aa","aa",IF('T3'!$B30="jc","jc",IF('T3'!$B30="m","m",IF('T3'!$B30="f","f",IF('T3'!$B30="cp","cp",'T3'!$N30))))))</f>
        <v>0</v>
      </c>
      <c r="G47" s="98">
        <f>IF('T3'!C30="css","css",IF('T3'!C30="aa","aa",IF('T3'!$C30="jc","jc",IF('T3'!$C30="m","m",IF('T3'!$C30="f","f",IF('T3'!$C30="cp","cp",'T3'!$O30))))))</f>
        <v>0</v>
      </c>
      <c r="H47" s="18">
        <f>IF('T3'!B42="css","css",IF('T3'!B42="aa","aa",IF('T3'!$B42="jc","jc",IF('T3'!$B42="m","m",IF('T3'!$B42="f","f",IF('T3'!$B42="cp","cp",'T3'!$N42))))))</f>
        <v>0</v>
      </c>
      <c r="I47" s="98">
        <f>IF('T3'!C42="css","css",IF('T3'!C42="aa","aa",IF('T3'!$C42="jc","jc",IF('T3'!$C42="m","m",IF('T3'!$C42="f","f",IF('T3'!$C42="cp","cp",'T3'!$O42))))))</f>
        <v>0</v>
      </c>
      <c r="J47" s="18">
        <f>IF('T3'!B54="css","css",IF('T3'!B54="aa","aa",IF('T3'!$B54="jc","jc",IF('T3'!$B54="m","m",IF('T3'!$B54="f","f",IF('T3'!$B54="cp","cp",'T3'!$N54))))))</f>
        <v>0</v>
      </c>
      <c r="K47" s="98">
        <f>IF('T3'!C54="css","css",IF('T3'!C54="aa","aa",IF('T3'!$C54="jc","jc",IF('T3'!$C54="m","m",IF('T3'!$C54="f","f",IF('T3'!$C54="cp","cp",'T3'!$O54))))))</f>
        <v>0</v>
      </c>
      <c r="L47" s="18">
        <f>IF('T3'!B66="css","css",IF('T3'!B66="aa","aa",IF('T3'!$B66="jc","jc",IF('T3'!$B66="m","m",IF('T3'!$B66="f","f",IF('T3'!$B66="cp","cp",'T3'!$N66))))))</f>
        <v>0</v>
      </c>
      <c r="M47" s="98">
        <f>IF('T3'!C66="css","css",IF('T3'!C66="aa","aa",IF('T3'!$C66="jc","jc",IF('T3'!$C66="m","m",IF('T3'!$C66="f","f",IF('T3'!$C66="cp","cp",'T3'!$O66))))))</f>
        <v>0</v>
      </c>
      <c r="N47" s="18">
        <f>IF('T3'!B78="css","css",IF('T3'!B78="aa","aa",IF('T3'!$B78="jc","jc",IF('T3'!$B78="m","m",IF('T3'!$B78="f","f",IF('T3'!$B78="cp","cp",'T3'!$N78))))))</f>
        <v>0</v>
      </c>
      <c r="O47" s="98">
        <f>IF('T3'!C78="css","css",IF('T3'!C78="aa","aa",IF('T3'!$C78="jc","jc",IF('T3'!$C78="m","m",IF('T3'!$C78="f","f",IF('T3'!$C78="cp","cp",'T3'!$O78))))))</f>
        <v>0</v>
      </c>
      <c r="P47" s="18">
        <f>IF('T3'!B90="css","css",IF('T3'!B90="aa","aa",IF('T3'!$B90="jc","jc",IF('T3'!$B90="m","m",IF('T3'!$B90="f","f",IF('T3'!$B90="cp","cp",'T3'!$N90))))))</f>
        <v>0</v>
      </c>
      <c r="Q47" s="98">
        <f>IF('T3'!C90="css","css",IF('T3'!C90="aa","aa",IF('T3'!$C90="jc","jc",IF('T3'!$C90="m","m",IF('T3'!$C90="f","f",IF('T3'!$C90="cp","cp",'T3'!$O90))))))</f>
        <v>0</v>
      </c>
      <c r="R47" s="18">
        <f>IF('T3'!B102="css","css",IF('T3'!B102="aa","aa",IF('T3'!$B102="jc","jc",IF('T3'!$B102="m","m",IF('T3'!$B102="f","f",IF('T3'!$B102="cp","cp",'T3'!$N102))))))</f>
        <v>0</v>
      </c>
      <c r="S47" s="98">
        <f>IF('T3'!C102="css","css",IF('T3'!C102="aa","aa",IF('T3'!$C102="jc","jc",IF('T3'!$C102="m","m",IF('T3'!$C102="f","f",IF('T3'!$C102="cp","cp",'T3'!$O102))))))</f>
        <v>0</v>
      </c>
      <c r="T47" s="18">
        <f>IF('T3'!B114="css","css",IF('T3'!C114="aa","aa",IF('T3'!$B114="jc","jc",IF('T3'!$B114="m","m",IF('T3'!$B114="f","f",IF('T3'!$B114="cp","cp",'T3'!$N114))))))</f>
        <v>0</v>
      </c>
      <c r="U47" s="98">
        <f>IF('T3'!C114="css","css",IF('T3'!C114="aa","aa",IF('T3'!$C114="jc","jc",IF('T3'!$C114="m","m",IF('T3'!$C114="f","f",IF('T3'!$C114="cp","cp",'T3'!$O114))))))</f>
        <v>0</v>
      </c>
      <c r="V47" s="18">
        <f>IF('T3'!B126="css","css",IF('T3'!B126="aa","aa",IF('T3'!$B126="jc","jc",IF('T3'!$B126="m","m",IF('T3'!$B126="f","f",IF('T3'!$B126="cp","cp",'T3'!$N126))))))</f>
        <v>0</v>
      </c>
      <c r="W47" s="98">
        <f>IF('T3'!C126="css","css",IF('T3'!C126="aa","aa",IF('T3'!$C126="jc","jc",IF('T3'!$C126="m","m",IF('T3'!$C126="f","f",IF('T3'!$C126="cp","cp",'T3'!$O126))))))</f>
        <v>0</v>
      </c>
      <c r="X47" s="18">
        <f>IF('T3'!B138="css","css",IF('T3'!B138="aa","aa",IF('T3'!$B138="jc","jc",IF('T3'!$B138="m","m",IF('T3'!$B138="f","f",IF('T3'!$B138="cp","cp",'T3'!$N138))))))</f>
        <v>0</v>
      </c>
      <c r="Y47" s="98">
        <f>IF('T3'!C138="css","css",IF('T3'!C138="aa","aa",IF('T3'!$C138="jc","jc",IF('T3'!$C138="m","m",IF('T3'!$C138="f","f",IF('T3'!$C138="cp","cp",'T3'!$O138))))))</f>
        <v>0</v>
      </c>
      <c r="Z47" s="18">
        <f>IF('T3'!B150="css","css",IF('T3'!B150="aa","aa",IF('T3'!$B150="jc","jc",IF('T3'!$B150="m","m",IF('T3'!$B150="f","f",IF('T3'!$B150="cp","cp",'T3'!$N150))))))</f>
        <v>0</v>
      </c>
      <c r="AA47" s="98">
        <f>IF('T3'!C150="css","css",IF('T3'!C150="aa","aa",IF('T3'!$C150="jc","jc",IF('T3'!$C150="m","m",IF('T3'!$C150="f","f",IF('T3'!$C150="cp","cp",'T3'!$O150))))))</f>
        <v>0</v>
      </c>
      <c r="AB47" s="18">
        <f>IF('T3'!B162="css","css",IF('T3'!B162="aa","aa",IF('T3'!$B162="jc","jc",IF('T3'!$B162="m","m",IF('T3'!$B162="f","f",IF('T3'!$B162="cp","cp",'T3'!$N162))))))</f>
        <v>0</v>
      </c>
      <c r="AC47" s="98">
        <f>IF('T3'!C162="css","css",IF('T3'!C162="aa","aa",IF('T3'!$C162="jc","jc",IF('T3'!$C162="m","m",IF('T3'!$C162="f","f",IF('T3'!$C162="cp","cp",'T3'!$O162))))))</f>
        <v>0</v>
      </c>
    </row>
    <row r="48" spans="1:29" ht="15" customHeight="1" x14ac:dyDescent="0.25">
      <c r="A48" s="52" t="s">
        <v>3</v>
      </c>
      <c r="B48" s="50">
        <f>IF('T3'!B7="css","css",IF('T3'!B7="aa","aa",IF('T3'!B7="jc","jc",IF('T3'!B7="m","m",IF('T3'!B7="f","f",IF('T3'!B7="cp","cp",'T3'!N7))))))</f>
        <v>0</v>
      </c>
      <c r="C48" s="99">
        <f>IF('T3'!C7="css","css",IF('T3'!C7="aa","aa",IF('T3'!$C7="jc","jc",IF('T3'!$C7="m","m",IF('T3'!$C7="f","f",IF('T3'!$C7="cp","cp",'T3'!$O7))))))</f>
        <v>0</v>
      </c>
      <c r="D48" s="50">
        <f>IF('T3'!B19="css","css",IF('T3'!B19="aa","aa",IF('T3'!B19="jc","jc",IF('T3'!B19="m","m",IF('T3'!B19="f","f",IF('T3'!B19="cp","cp",'T3'!N19))))))</f>
        <v>0</v>
      </c>
      <c r="E48" s="99">
        <f>IF('T3'!C19="css","css",IF('T3'!C19="aa","aa",IF('T3'!$C19="jc","jc",IF('T3'!$C19="m","m",IF('T3'!$C19="f","f",IF('T3'!$C19="cp","cp",'T3'!$O19))))))</f>
        <v>0</v>
      </c>
      <c r="F48" s="50">
        <f>IF('T3'!B31="css","css",IF('T3'!B31="aa","aa",IF('T3'!$B31="jc","jc",IF('T3'!$B31="m","m",IF('T3'!$B31="f","f",IF('T3'!$B31="cp","cp",'T3'!$N31))))))</f>
        <v>0</v>
      </c>
      <c r="G48" s="99">
        <f>IF('T3'!C31="css","css",IF('T3'!C31="aa","aa",IF('T3'!$C31="jc","jc",IF('T3'!$C31="m","m",IF('T3'!$C31="f","f",IF('T3'!$C31="cp","cp",'T3'!$O31))))))</f>
        <v>0</v>
      </c>
      <c r="H48" s="50">
        <f>IF('T3'!B43="css","css",IF('T3'!B43="aa","aa",IF('T3'!$B43="jc","jc",IF('T3'!$B43="m","m",IF('T3'!$B43="f","f",IF('T3'!$B43="cp","cp",'T3'!$N43))))))</f>
        <v>0</v>
      </c>
      <c r="I48" s="99">
        <f>IF('T3'!C43="css","css",IF('T3'!C43="aa","aa",IF('T3'!$C43="jc","jc",IF('T3'!$C43="m","m",IF('T3'!$C43="f","f",IF('T3'!$C43="cp","cp",'T3'!$O43))))))</f>
        <v>0</v>
      </c>
      <c r="J48" s="50">
        <f>IF('T3'!B55="css","css",IF('T3'!B55="aa","aa",IF('T3'!$B55="jc","jc",IF('T3'!$B55="m","m",IF('T3'!$B55="f","f",IF('T3'!$B55="cp","cp",'T3'!$N55))))))</f>
        <v>0</v>
      </c>
      <c r="K48" s="99">
        <f>IF('T3'!C55="css","css",IF('T3'!C55="aa","aa",IF('T3'!$C55="jc","jc",IF('T3'!$C55="m","m",IF('T3'!$C55="f","f",IF('T3'!$C55="cp","cp",'T3'!$O55))))))</f>
        <v>0</v>
      </c>
      <c r="L48" s="50">
        <f>IF('T3'!B67="css","css",IF('T3'!B67="aa","aa",IF('T3'!$B67="jc","jc",IF('T3'!$B67="m","m",IF('T3'!$B67="f","f",IF('T3'!$B67="cp","cp",'T3'!$N67))))))</f>
        <v>0</v>
      </c>
      <c r="M48" s="99">
        <f>IF('T3'!C67="css","css",IF('T3'!C67="aa","aa",IF('T3'!$C67="jc","jc",IF('T3'!$C67="m","m",IF('T3'!$C67="f","f",IF('T3'!$C67="cp","cp",'T3'!$O67))))))</f>
        <v>0</v>
      </c>
      <c r="N48" s="50">
        <f>IF('T3'!B79="css","css",IF('T3'!B79="aa","aa",IF('T3'!$B79="jc","jc",IF('T3'!$B79="m","m",IF('T3'!$B79="f","f",IF('T3'!$B79="cp","cp",'T3'!$N79))))))</f>
        <v>0</v>
      </c>
      <c r="O48" s="99">
        <f>IF('T3'!C79="css","css",IF('T3'!C79="aa","aa",IF('T3'!$C79="jc","jc",IF('T3'!$C79="m","m",IF('T3'!$C79="f","f",IF('T3'!$C79="cp","cp",'T3'!$O79))))))</f>
        <v>0</v>
      </c>
      <c r="P48" s="50">
        <f>IF('T3'!B91="css","css",IF('T3'!B91="aa","aa",IF('T3'!$B91="jc","jc",IF('T3'!$B91="m","m",IF('T3'!$B91="f","f",IF('T3'!$B91="cp","cp",'T3'!$N91))))))</f>
        <v>0</v>
      </c>
      <c r="Q48" s="99">
        <f>IF('T3'!C91="css","css",IF('T3'!C91="aa","aa",IF('T3'!$C91="jc","jc",IF('T3'!$C91="m","m",IF('T3'!$C91="f","f",IF('T3'!$C91="cp","cp",'T3'!$O91))))))</f>
        <v>0</v>
      </c>
      <c r="R48" s="50">
        <f>IF('T3'!B103="css","css",IF('T3'!B103="aa","aa",IF('T3'!$B103="jc","jc",IF('T3'!$B103="m","m",IF('T3'!$B103="f","f",IF('T3'!$B103="cp","cp",'T3'!$N103))))))</f>
        <v>0</v>
      </c>
      <c r="S48" s="99">
        <f>IF('T3'!C103="css","css",IF('T3'!C103="aa","aa",IF('T3'!$C103="jc","jc",IF('T3'!$C103="m","m",IF('T3'!$C103="f","f",IF('T3'!$C103="cp","cp",'T3'!$O103))))))</f>
        <v>0</v>
      </c>
      <c r="T48" s="50">
        <f>IF('T3'!B115="css","css",IF('T3'!C115="aa","aa",IF('T3'!$B115="jc","jc",IF('T3'!$B115="m","m",IF('T3'!$B115="f","f",IF('T3'!$B115="cp","cp",'T3'!$N115))))))</f>
        <v>0</v>
      </c>
      <c r="U48" s="99">
        <f>IF('T3'!C115="css","css",IF('T3'!C115="aa","aa",IF('T3'!$C115="jc","jc",IF('T3'!$C115="m","m",IF('T3'!$C115="f","f",IF('T3'!$C115="cp","cp",'T3'!$O115))))))</f>
        <v>0</v>
      </c>
      <c r="V48" s="50">
        <f>IF('T3'!B127="css","css",IF('T3'!B127="aa","aa",IF('T3'!$B127="jc","jc",IF('T3'!$B127="m","m",IF('T3'!$B127="f","f",IF('T3'!$B127="cp","cp",'T3'!$N127))))))</f>
        <v>0</v>
      </c>
      <c r="W48" s="99">
        <f>IF('T3'!C127="css","css",IF('T3'!C127="aa","aa",IF('T3'!$C127="jc","jc",IF('T3'!$C127="m","m",IF('T3'!$C127="f","f",IF('T3'!$C127="cp","cp",'T3'!$O127))))))</f>
        <v>0</v>
      </c>
      <c r="X48" s="50">
        <f>IF('T3'!B139="css","css",IF('T3'!B139="aa","aa",IF('T3'!$B139="jc","jc",IF('T3'!$B139="m","m",IF('T3'!$B139="f","f",IF('T3'!$B139="cp","cp",'T3'!$N139))))))</f>
        <v>0</v>
      </c>
      <c r="Y48" s="99">
        <f>IF('T3'!C139="css","css",IF('T3'!C139="aa","aa",IF('T3'!$C139="jc","jc",IF('T3'!$C139="m","m",IF('T3'!$C139="f","f",IF('T3'!$C139="cp","cp",'T3'!$O139))))))</f>
        <v>0</v>
      </c>
      <c r="Z48" s="50">
        <f>IF('T3'!B151="css","css",IF('T3'!B151="aa","aa",IF('T3'!$B151="jc","jc",IF('T3'!$B151="m","m",IF('T3'!$B151="f","f",IF('T3'!$B151="cp","cp",'T3'!$N151))))))</f>
        <v>0</v>
      </c>
      <c r="AA48" s="99">
        <f>IF('T3'!C151="css","css",IF('T3'!C151="aa","aa",IF('T3'!$C151="jc","jc",IF('T3'!$C151="m","m",IF('T3'!$C151="f","f",IF('T3'!$C151="cp","cp",'T3'!$O151))))))</f>
        <v>0</v>
      </c>
      <c r="AB48" s="50">
        <f>IF('T3'!B163="css","css",IF('T3'!B163="aa","aa",IF('T3'!$B163="jc","jc",IF('T3'!$B163="m","m",IF('T3'!$B163="f","f",IF('T3'!$B163="cp","cp",'T3'!$N163))))))</f>
        <v>0</v>
      </c>
      <c r="AC48" s="130">
        <f>IF('T3'!C163="css","css",IF('T3'!C163="aa","aa",IF('T3'!$C163="jc","jc",IF('T3'!$C163="m","m",IF('T3'!$C163="f","f",IF('T3'!$C163="cp","cp",'T3'!$O163))))))</f>
        <v>0</v>
      </c>
    </row>
    <row r="49" spans="1:31" ht="15" customHeight="1" x14ac:dyDescent="0.25">
      <c r="A49" s="52" t="s">
        <v>4</v>
      </c>
      <c r="B49" s="50">
        <f>IF('T3'!B8="css","css",IF('T3'!B8="aa","aa",IF('T3'!B8="jc","jc",IF('T3'!B8="m","m",IF('T3'!B8="f","f",IF('T3'!B8="cp","cp",'T3'!N8))))))</f>
        <v>0</v>
      </c>
      <c r="C49" s="99">
        <f>IF('T3'!C8="css","css",IF('T3'!C8="aa","aa",IF('T3'!$C8="jc","jc",IF('T3'!$C8="m","m",IF('T3'!$C8="f","f",IF('T3'!$C8="cp","cp",'T3'!$O8))))))</f>
        <v>0</v>
      </c>
      <c r="D49" s="50">
        <f>IF('T3'!B20="css","css",IF('T3'!B20="aa","aa",IF('T3'!B20="jc","jc",IF('T3'!B20="m","m",IF('T3'!B20="f","f",IF('T3'!B20="cp","cp",'T3'!N20))))))</f>
        <v>0</v>
      </c>
      <c r="E49" s="99">
        <f>IF('T3'!C20="css","css",IF('T3'!C20="aa","aa",IF('T3'!$C20="jc","jc",IF('T3'!$C20="m","m",IF('T3'!$C20="f","f",IF('T3'!$C20="cp","cp",'T3'!$O20))))))</f>
        <v>0</v>
      </c>
      <c r="F49" s="50">
        <f>IF('T3'!B32="css","css",IF('T3'!B32="aa","aa",IF('T3'!$B32="jc","jc",IF('T3'!$B32="m","m",IF('T3'!$B32="f","f",IF('T3'!$B32="cp","cp",'T3'!$N32))))))</f>
        <v>0</v>
      </c>
      <c r="G49" s="99">
        <f>IF('T3'!C32="css","css",IF('T3'!C32="aa","aa",IF('T3'!$C32="jc","jc",IF('T3'!$C32="m","m",IF('T3'!$C32="f","f",IF('T3'!$C32="cp","cp",'T3'!$O32))))))</f>
        <v>0</v>
      </c>
      <c r="H49" s="50">
        <f>IF('T3'!B44="css","css",IF('T3'!B44="aa","aa",IF('T3'!$B44="jc","jc",IF('T3'!$B44="m","m",IF('T3'!$B44="f","f",IF('T3'!$B44="cp","cp",'T3'!$N44))))))</f>
        <v>0</v>
      </c>
      <c r="I49" s="99">
        <f>IF('T3'!C44="css","css",IF('T3'!C44="aa","aa",IF('T3'!$C44="jc","jc",IF('T3'!$C44="m","m",IF('T3'!$C44="f","f",IF('T3'!$C44="cp","cp",'T3'!$O44))))))</f>
        <v>0</v>
      </c>
      <c r="J49" s="50">
        <f>IF('T3'!B56="css","css",IF('T3'!B56="aa","aa",IF('T3'!$B56="jc","jc",IF('T3'!$B56="m","m",IF('T3'!$B56="f","f",IF('T3'!$B56="cp","cp",'T3'!$N56))))))</f>
        <v>0</v>
      </c>
      <c r="K49" s="99">
        <f>IF('T3'!C56="css","css",IF('T3'!C56="aa","aa",IF('T3'!$C56="jc","jc",IF('T3'!$C56="m","m",IF('T3'!$C56="f","f",IF('T3'!$C56="cp","cp",'T3'!$O56))))))</f>
        <v>0</v>
      </c>
      <c r="L49" s="50">
        <f>IF('T3'!B68="css","css",IF('T3'!B68="aa","aa",IF('T3'!$B68="jc","jc",IF('T3'!$B68="m","m",IF('T3'!$B68="f","f",IF('T3'!$B68="cp","cp",'T3'!$N68))))))</f>
        <v>0</v>
      </c>
      <c r="M49" s="99">
        <f>IF('T3'!C68="css","css",IF('T3'!C68="aa","aa",IF('T3'!$C68="jc","jc",IF('T3'!$C68="m","m",IF('T3'!$C68="f","f",IF('T3'!$C68="cp","cp",'T3'!$O68))))))</f>
        <v>0</v>
      </c>
      <c r="N49" s="50">
        <f>IF('T3'!B80="css","css",IF('T3'!B80="aa","aa",IF('T3'!$B80="jc","jc",IF('T3'!$B80="m","m",IF('T3'!$B80="f","f",IF('T3'!$B80="cp","cp",'T3'!$N80))))))</f>
        <v>0</v>
      </c>
      <c r="O49" s="99">
        <f>IF('T3'!C80="css","css",IF('T3'!C80="aa","aa",IF('T3'!$C80="jc","jc",IF('T3'!$C80="m","m",IF('T3'!$C80="f","f",IF('T3'!$C80="cp","cp",'T3'!$O80))))))</f>
        <v>0</v>
      </c>
      <c r="P49" s="50">
        <f>IF('T3'!B92="css","css",IF('T3'!B92="aa","aa",IF('T3'!$B92="jc","jc",IF('T3'!$B92="m","m",IF('T3'!$B92="f","f",IF('T3'!$B92="cp","cp",'T3'!$N92))))))</f>
        <v>0</v>
      </c>
      <c r="Q49" s="99">
        <f>IF('T3'!C92="css","css",IF('T3'!C92="aa","aa",IF('T3'!$C92="jc","jc",IF('T3'!$C92="m","m",IF('T3'!$C92="f","f",IF('T3'!$C92="cp","cp",'T3'!$O92))))))</f>
        <v>0</v>
      </c>
      <c r="R49" s="50">
        <f>IF('T3'!B104="css","css",IF('T3'!B104="aa","aa",IF('T3'!$B104="jc","jc",IF('T3'!$B104="m","m",IF('T3'!$B104="f","f",IF('T3'!$B104="cp","cp",'T3'!$N104))))))</f>
        <v>0</v>
      </c>
      <c r="S49" s="99">
        <f>IF('T3'!C104="css","css",IF('T3'!C104="aa","aa",IF('T3'!$C104="jc","jc",IF('T3'!$C104="m","m",IF('T3'!$C104="f","f",IF('T3'!$C104="cp","cp",'T3'!$O104))))))</f>
        <v>0</v>
      </c>
      <c r="T49" s="50">
        <f>IF('T3'!B116="css","css",IF('T3'!C116="aa","aa",IF('T3'!$B116="jc","jc",IF('T3'!$B116="m","m",IF('T3'!$B116="f","f",IF('T3'!$B116="cp","cp",'T3'!$N116))))))</f>
        <v>0</v>
      </c>
      <c r="U49" s="99">
        <f>IF('T3'!C116="css","css",IF('T3'!C116="aa","aa",IF('T3'!$C116="jc","jc",IF('T3'!$C116="m","m",IF('T3'!$C116="f","f",IF('T3'!$C116="cp","cp",'T3'!$O116))))))</f>
        <v>0</v>
      </c>
      <c r="V49" s="50">
        <f>IF('T3'!B128="css","css",IF('T3'!B128="aa","aa",IF('T3'!$B128="jc","jc",IF('T3'!$B128="m","m",IF('T3'!$B128="f","f",IF('T3'!$B128="cp","cp",'T3'!$N128))))))</f>
        <v>0</v>
      </c>
      <c r="W49" s="99">
        <f>IF('T3'!C128="css","css",IF('T3'!C128="aa","aa",IF('T3'!$C128="jc","jc",IF('T3'!$C128="m","m",IF('T3'!$C128="f","f",IF('T3'!$C128="cp","cp",'T3'!$O128))))))</f>
        <v>0</v>
      </c>
      <c r="X49" s="50">
        <f>IF('T3'!B140="css","css",IF('T3'!B140="aa","aa",IF('T3'!$B140="jc","jc",IF('T3'!$B140="m","m",IF('T3'!$B140="f","f",IF('T3'!$B140="cp","cp",'T3'!$N140))))))</f>
        <v>0</v>
      </c>
      <c r="Y49" s="99">
        <f>IF('T3'!C140="css","css",IF('T3'!C140="aa","aa",IF('T3'!$C140="jc","jc",IF('T3'!$C140="m","m",IF('T3'!$C140="f","f",IF('T3'!$C140="cp","cp",'T3'!$O140))))))</f>
        <v>0</v>
      </c>
      <c r="Z49" s="50">
        <f>IF('T3'!B152="css","css",IF('T3'!B152="aa","aa",IF('T3'!$B152="jc","jc",IF('T3'!$B152="m","m",IF('T3'!$B152="f","f",IF('T3'!$B152="cp","cp",'T3'!$N152))))))</f>
        <v>0</v>
      </c>
      <c r="AA49" s="99">
        <f>IF('T3'!C152="css","css",IF('T3'!C152="aa","aa",IF('T3'!$C152="jc","jc",IF('T3'!$C152="m","m",IF('T3'!$C152="f","f",IF('T3'!$C152="cp","cp",'T3'!$O152))))))</f>
        <v>0</v>
      </c>
      <c r="AB49" s="50">
        <f>IF('T3'!B164="css","css",IF('T3'!B164="aa","aa",IF('T3'!$B164="jc","jc",IF('T3'!$B164="m","m",IF('T3'!$B164="f","f",IF('T3'!$B164="cp","cp",'T3'!$N164))))))</f>
        <v>0</v>
      </c>
      <c r="AC49" s="130">
        <f>IF('T3'!C164="css","css",IF('T3'!C164="aa","aa",IF('T3'!$C164="jc","jc",IF('T3'!$C164="m","m",IF('T3'!$C164="f","f",IF('T3'!$C164="cp","cp",'T3'!$O164))))))</f>
        <v>0</v>
      </c>
    </row>
    <row r="50" spans="1:31" ht="15" customHeight="1" x14ac:dyDescent="0.25">
      <c r="A50" s="52" t="s">
        <v>5</v>
      </c>
      <c r="B50" s="50">
        <f>IF('T3'!B9="css","css",IF('T3'!B9="aa","aa",IF('T3'!B9="jc","jc",IF('T3'!B9="m","m",IF('T3'!B9="f","f",IF('T3'!B9="cp","cp",'T3'!N9))))))</f>
        <v>0</v>
      </c>
      <c r="C50" s="99">
        <f>IF('T3'!C9="css","css",IF('T3'!C9="aa","aa",IF('T3'!$C9="jc","jc",IF('T3'!$C9="m","m",IF('T3'!$C9="f","f",IF('T3'!$C9="cp","cp",'T3'!$O9))))))</f>
        <v>0</v>
      </c>
      <c r="D50" s="50">
        <f>IF('T3'!B21="css","css",IF('T3'!B21="aa","aa",IF('T3'!B21="jc","jc",IF('T3'!B21="m","m",IF('T3'!B21="f","f",IF('T3'!B21="cp","cp",'T3'!N21))))))</f>
        <v>0</v>
      </c>
      <c r="E50" s="99">
        <f>IF('T3'!C21="css","css",IF('T3'!C21="aa","aa",IF('T3'!$C21="jc","jc",IF('T3'!$C21="m","m",IF('T3'!$C21="f","f",IF('T3'!$C21="cp","cp",'T3'!$O21))))))</f>
        <v>0</v>
      </c>
      <c r="F50" s="50">
        <f>IF('T3'!B33="css","css",IF('T3'!B33="aa","aa",IF('T3'!$B33="jc","jc",IF('T3'!$B33="m","m",IF('T3'!$B33="f","f",IF('T3'!$B33="cp","cp",'T3'!$N33))))))</f>
        <v>0</v>
      </c>
      <c r="G50" s="99">
        <f>IF('T3'!C33="css","css",IF('T3'!C33="aa","aa",IF('T3'!$C33="jc","jc",IF('T3'!$C33="m","m",IF('T3'!$C33="f","f",IF('T3'!$C33="cp","cp",'T3'!$O33))))))</f>
        <v>0</v>
      </c>
      <c r="H50" s="50">
        <f>IF('T3'!B45="css","css",IF('T3'!B45="aa","aa",IF('T3'!$B45="jc","jc",IF('T3'!$B45="m","m",IF('T3'!$B45="f","f",IF('T3'!$B45="cp","cp",'T3'!$N45))))))</f>
        <v>0</v>
      </c>
      <c r="I50" s="99">
        <f>IF('T3'!C45="css","css",IF('T3'!C45="aa","aa",IF('T3'!$C45="jc","jc",IF('T3'!$C45="m","m",IF('T3'!$C45="f","f",IF('T3'!$C45="cp","cp",'T3'!$O45))))))</f>
        <v>0</v>
      </c>
      <c r="J50" s="50">
        <f>IF('T3'!B57="css","css",IF('T3'!B57="aa","aa",IF('T3'!$B57="jc","jc",IF('T3'!$B57="m","m",IF('T3'!$B57="f","f",IF('T3'!$B57="cp","cp",'T3'!$N57))))))</f>
        <v>0</v>
      </c>
      <c r="K50" s="99">
        <f>IF('T3'!C57="css","css",IF('T3'!C57="aa","aa",IF('T3'!$C57="jc","jc",IF('T3'!$C57="m","m",IF('T3'!$C57="f","f",IF('T3'!$C57="cp","cp",'T3'!$O57))))))</f>
        <v>0</v>
      </c>
      <c r="L50" s="50">
        <f>IF('T3'!B69="css","css",IF('T3'!B69="aa","aa",IF('T3'!$B69="jc","jc",IF('T3'!$B69="m","m",IF('T3'!$B69="f","f",IF('T3'!$B69="cp","cp",'T3'!$N69))))))</f>
        <v>0</v>
      </c>
      <c r="M50" s="99">
        <f>IF('T3'!C69="css","css",IF('T3'!C69="aa","aa",IF('T3'!$C69="jc","jc",IF('T3'!$C69="m","m",IF('T3'!$C69="f","f",IF('T3'!$C69="cp","cp",'T3'!$O69))))))</f>
        <v>0</v>
      </c>
      <c r="N50" s="50">
        <f>IF('T3'!B81="css","css",IF('T3'!B81="aa","aa",IF('T3'!$B81="jc","jc",IF('T3'!$B81="m","m",IF('T3'!$B81="f","f",IF('T3'!$B81="cp","cp",'T3'!$N81))))))</f>
        <v>0</v>
      </c>
      <c r="O50" s="99">
        <f>IF('T3'!C81="css","css",IF('T3'!C81="aa","aa",IF('T3'!$C81="jc","jc",IF('T3'!$C81="m","m",IF('T3'!$C81="f","f",IF('T3'!$C81="cp","cp",'T3'!$O81))))))</f>
        <v>0</v>
      </c>
      <c r="P50" s="50">
        <f>IF('T3'!B93="css","css",IF('T3'!B93="aa","aa",IF('T3'!$B93="jc","jc",IF('T3'!$B93="m","m",IF('T3'!$B93="f","f",IF('T3'!$B93="cp","cp",'T3'!$N93))))))</f>
        <v>0</v>
      </c>
      <c r="Q50" s="99">
        <f>IF('T3'!C93="css","css",IF('T3'!C93="aa","aa",IF('T3'!$C93="jc","jc",IF('T3'!$C93="m","m",IF('T3'!$C93="f","f",IF('T3'!$C93="cp","cp",'T3'!$O93))))))</f>
        <v>0</v>
      </c>
      <c r="R50" s="50">
        <f>IF('T3'!B105="css","css",IF('T3'!B105="aa","aa",IF('T3'!$B105="jc","jc",IF('T3'!$B105="m","m",IF('T3'!$B105="f","f",IF('T3'!$B105="cp","cp",'T3'!$N105))))))</f>
        <v>0</v>
      </c>
      <c r="S50" s="99">
        <f>IF('T3'!C105="css","css",IF('T3'!C105="aa","aa",IF('T3'!$C105="jc","jc",IF('T3'!$C105="m","m",IF('T3'!$C105="f","f",IF('T3'!$C105="cp","cp",'T3'!$O105))))))</f>
        <v>0</v>
      </c>
      <c r="T50" s="50">
        <f>IF('T3'!B117="css","css",IF('T3'!C117="aa","aa",IF('T3'!$B117="jc","jc",IF('T3'!$B117="m","m",IF('T3'!$B117="f","f",IF('T3'!$B117="cp","cp",'T3'!$N117))))))</f>
        <v>0</v>
      </c>
      <c r="U50" s="99">
        <f>IF('T3'!C117="css","css",IF('T3'!C117="aa","aa",IF('T3'!$C117="jc","jc",IF('T3'!$C117="m","m",IF('T3'!$C117="f","f",IF('T3'!$C117="cp","cp",'T3'!$O117))))))</f>
        <v>0</v>
      </c>
      <c r="V50" s="50">
        <f>IF('T3'!B129="css","css",IF('T3'!B129="aa","aa",IF('T3'!$B129="jc","jc",IF('T3'!$B129="m","m",IF('T3'!$B129="f","f",IF('T3'!$B129="cp","cp",'T3'!$N129))))))</f>
        <v>0</v>
      </c>
      <c r="W50" s="99">
        <f>IF('T3'!C129="css","css",IF('T3'!C129="aa","aa",IF('T3'!$C129="jc","jc",IF('T3'!$C129="m","m",IF('T3'!$C129="f","f",IF('T3'!$C129="cp","cp",'T3'!$O129))))))</f>
        <v>0</v>
      </c>
      <c r="X50" s="50">
        <f>IF('T3'!B141="css","css",IF('T3'!B141="aa","aa",IF('T3'!$B141="jc","jc",IF('T3'!$B141="m","m",IF('T3'!$B141="f","f",IF('T3'!$B141="cp","cp",'T3'!$N141))))))</f>
        <v>0</v>
      </c>
      <c r="Y50" s="99">
        <f>IF('T3'!C141="css","css",IF('T3'!C141="aa","aa",IF('T3'!$C141="jc","jc",IF('T3'!$C141="m","m",IF('T3'!$C141="f","f",IF('T3'!$C141="cp","cp",'T3'!$O141))))))</f>
        <v>0</v>
      </c>
      <c r="Z50" s="50">
        <f>IF('T3'!B153="css","css",IF('T3'!B153="aa","aa",IF('T3'!$B153="jc","jc",IF('T3'!$B153="m","m",IF('T3'!$B153="f","f",IF('T3'!$B153="cp","cp",'T3'!$N153))))))</f>
        <v>0</v>
      </c>
      <c r="AA50" s="99">
        <f>IF('T3'!C153="css","css",IF('T3'!C153="aa","aa",IF('T3'!$C153="jc","jc",IF('T3'!$C153="m","m",IF('T3'!$C153="f","f",IF('T3'!$C153="cp","cp",'T3'!$O153))))))</f>
        <v>0</v>
      </c>
      <c r="AB50" s="50">
        <f>IF('T3'!B165="css","css",IF('T3'!B165="aa","aa",IF('T3'!$B165="jc","jc",IF('T3'!$B165="m","m",IF('T3'!$B165="f","f",IF('T3'!$B165="cp","cp",'T3'!$N165))))))</f>
        <v>0</v>
      </c>
      <c r="AC50" s="130">
        <f>IF('T3'!C165="css","css",IF('T3'!C165="aa","aa",IF('T3'!$C165="jc","jc",IF('T3'!$C165="m","m",IF('T3'!$C165="f","f",IF('T3'!$C165="cp","cp",'T3'!$O165))))))</f>
        <v>0</v>
      </c>
    </row>
    <row r="51" spans="1:31" ht="15" customHeight="1" x14ac:dyDescent="0.25">
      <c r="A51" s="52" t="s">
        <v>6</v>
      </c>
      <c r="B51" s="50">
        <f>IF('T3'!B10="css","css",IF('T3'!B10="aa","aa",IF('T3'!B10="jc","jc",IF('T3'!B10="m","m",IF('T3'!B10="f","f",IF('T3'!B10="cp","cp",'T3'!N10))))))</f>
        <v>0</v>
      </c>
      <c r="C51" s="99">
        <f>IF('T3'!C10="css","css",IF('T3'!C10="aa","aa",IF('T3'!$C10="jc","jc",IF('T3'!$C10="m","m",IF('T3'!$C10="f","f",IF('T3'!$C10="cp","cp",'T3'!$O10))))))</f>
        <v>0</v>
      </c>
      <c r="D51" s="50">
        <f>IF('T3'!B22="css","css",IF('T3'!B22="aa","aa",IF('T3'!B22="jc","jc",IF('T3'!B22="m","m",IF('T3'!B22="f","f",IF('T3'!B22="cp","cp",'T3'!N22))))))</f>
        <v>0</v>
      </c>
      <c r="E51" s="99">
        <f>IF('T3'!C22="css","css",IF('T3'!C22="aa","aa",IF('T3'!$C22="jc","jc",IF('T3'!$C22="m","m",IF('T3'!$C22="f","f",IF('T3'!$C22="cp","cp",'T3'!$O22))))))</f>
        <v>0</v>
      </c>
      <c r="F51" s="50">
        <f>IF('T3'!B34="css","css",IF('T3'!B34="aa","aa",IF('T3'!$B34="jc","jc",IF('T3'!$B34="m","m",IF('T3'!$B34="f","f",IF('T3'!$B34="cp","cp",'T3'!$N34))))))</f>
        <v>0</v>
      </c>
      <c r="G51" s="99">
        <f>IF('T3'!C34="css","css",IF('T3'!C34="aa","aa",IF('T3'!$C34="jc","jc",IF('T3'!$C34="m","m",IF('T3'!$C34="f","f",IF('T3'!$C34="cp","cp",'T3'!$O34))))))</f>
        <v>0</v>
      </c>
      <c r="H51" s="50">
        <f>IF('T3'!B46="css","css",IF('T3'!B46="aa","aa",IF('T3'!$B46="jc","jc",IF('T3'!$B46="m","m",IF('T3'!$B46="f","f",IF('T3'!$B46="cp","cp",'T3'!$N46))))))</f>
        <v>0</v>
      </c>
      <c r="I51" s="99">
        <f>IF('T3'!C46="css","css",IF('T3'!C46="aa","aa",IF('T3'!$C46="jc","jc",IF('T3'!$C46="m","m",IF('T3'!$C46="f","f",IF('T3'!$C46="cp","cp",'T3'!$O46))))))</f>
        <v>0</v>
      </c>
      <c r="J51" s="50">
        <f>IF('T3'!B58="css","css",IF('T3'!B58="aa","aa",IF('T3'!$B58="jc","jc",IF('T3'!$B58="m","m",IF('T3'!$B58="f","f",IF('T3'!$B58="cp","cp",'T3'!$N58))))))</f>
        <v>0</v>
      </c>
      <c r="K51" s="99">
        <f>IF('T3'!C58="css","css",IF('T3'!C58="aa","aa",IF('T3'!$C58="jc","jc",IF('T3'!$C58="m","m",IF('T3'!$C58="f","f",IF('T3'!$C58="cp","cp",'T3'!$O58))))))</f>
        <v>0</v>
      </c>
      <c r="L51" s="50">
        <f>IF('T3'!B70="css","css",IF('T3'!B70="aa","aa",IF('T3'!$B70="jc","jc",IF('T3'!$B70="m","m",IF('T3'!$B70="f","f",IF('T3'!$B70="cp","cp",'T3'!$N70))))))</f>
        <v>0</v>
      </c>
      <c r="M51" s="99">
        <f>IF('T3'!C70="css","css",IF('T3'!C70="aa","aa",IF('T3'!$C70="jc","jc",IF('T3'!$C70="m","m",IF('T3'!$C70="f","f",IF('T3'!$C70="cp","cp",'T3'!$O70))))))</f>
        <v>0</v>
      </c>
      <c r="N51" s="50">
        <f>IF('T3'!B82="css","css",IF('T3'!B82="aa","aa",IF('T3'!$B82="jc","jc",IF('T3'!$B82="m","m",IF('T3'!$B82="f","f",IF('T3'!$B82="cp","cp",'T3'!$N82))))))</f>
        <v>0</v>
      </c>
      <c r="O51" s="99">
        <f>IF('T3'!C82="css","css",IF('T3'!C82="aa","aa",IF('T3'!$C82="jc","jc",IF('T3'!$C82="m","m",IF('T3'!$C82="f","f",IF('T3'!$C82="cp","cp",'T3'!$O82))))))</f>
        <v>0</v>
      </c>
      <c r="P51" s="50">
        <f>IF('T3'!B94="css","css",IF('T3'!B94="aa","aa",IF('T3'!$B94="jc","jc",IF('T3'!$B94="m","m",IF('T3'!$B94="f","f",IF('T3'!$B94="cp","cp",'T3'!$N94))))))</f>
        <v>0</v>
      </c>
      <c r="Q51" s="99">
        <f>IF('T3'!C94="css","css",IF('T3'!C94="aa","aa",IF('T3'!$C94="jc","jc",IF('T3'!$C94="m","m",IF('T3'!$C94="f","f",IF('T3'!$C94="cp","cp",'T3'!$O94))))))</f>
        <v>0</v>
      </c>
      <c r="R51" s="50">
        <f>IF('T3'!B106="css","css",IF('T3'!B106="aa","aa",IF('T3'!$B106="jc","jc",IF('T3'!$B106="m","m",IF('T3'!$B106="f","f",IF('T3'!$B106="cp","cp",'T3'!$N106))))))</f>
        <v>0</v>
      </c>
      <c r="S51" s="99">
        <f>IF('T3'!C106="css","css",IF('T3'!C106="aa","aa",IF('T3'!$C106="jc","jc",IF('T3'!$C106="m","m",IF('T3'!$C106="f","f",IF('T3'!$C106="cp","cp",'T3'!$O106))))))</f>
        <v>0</v>
      </c>
      <c r="T51" s="50">
        <f>IF('T3'!B118="css","css",IF('T3'!C118="aa","aa",IF('T3'!$B118="jc","jc",IF('T3'!$B118="m","m",IF('T3'!$B118="f","f",IF('T3'!$B118="cp","cp",'T3'!$N118))))))</f>
        <v>0</v>
      </c>
      <c r="U51" s="99">
        <f>IF('T3'!C118="css","css",IF('T3'!C118="aa","aa",IF('T3'!$C118="jc","jc",IF('T3'!$C118="m","m",IF('T3'!$C118="f","f",IF('T3'!$C118="cp","cp",'T3'!$O118))))))</f>
        <v>0</v>
      </c>
      <c r="V51" s="50">
        <f>IF('T3'!B130="css","css",IF('T3'!B130="aa","aa",IF('T3'!$B130="jc","jc",IF('T3'!$B130="m","m",IF('T3'!$B130="f","f",IF('T3'!$B130="cp","cp",'T3'!$N130))))))</f>
        <v>0</v>
      </c>
      <c r="W51" s="99">
        <f>IF('T3'!C130="css","css",IF('T3'!C130="aa","aa",IF('T3'!$C130="jc","jc",IF('T3'!$C130="m","m",IF('T3'!$C130="f","f",IF('T3'!$C130="cp","cp",'T3'!$O130))))))</f>
        <v>0</v>
      </c>
      <c r="X51" s="50">
        <f>IF('T3'!B142="css","css",IF('T3'!B142="aa","aa",IF('T3'!$B142="jc","jc",IF('T3'!$B142="m","m",IF('T3'!$B142="f","f",IF('T3'!$B142="cp","cp",'T3'!$N142))))))</f>
        <v>0</v>
      </c>
      <c r="Y51" s="99">
        <f>IF('T3'!C142="css","css",IF('T3'!C142="aa","aa",IF('T3'!$C142="jc","jc",IF('T3'!$C142="m","m",IF('T3'!$C142="f","f",IF('T3'!$C142="cp","cp",'T3'!$O142))))))</f>
        <v>0</v>
      </c>
      <c r="Z51" s="50">
        <f>IF('T3'!B154="css","css",IF('T3'!B154="aa","aa",IF('T3'!$B154="jc","jc",IF('T3'!$B154="m","m",IF('T3'!$B154="f","f",IF('T3'!$B154="cp","cp",'T3'!$N154))))))</f>
        <v>0</v>
      </c>
      <c r="AA51" s="99">
        <f>IF('T3'!C154="css","css",IF('T3'!C154="aa","aa",IF('T3'!$C154="jc","jc",IF('T3'!$C154="m","m",IF('T3'!$C154="f","f",IF('T3'!$C154="cp","cp",'T3'!$O154))))))</f>
        <v>0</v>
      </c>
      <c r="AB51" s="50">
        <f>IF('T3'!B166="css","css",IF('T3'!B166="aa","aa",IF('T3'!$B166="jc","jc",IF('T3'!$B166="m","m",IF('T3'!$B166="f","f",IF('T3'!$B166="cp","cp",'T3'!$N166))))))</f>
        <v>0</v>
      </c>
      <c r="AC51" s="130">
        <f>IF('T3'!C166="css","css",IF('T3'!C166="aa","aa",IF('T3'!$C166="jc","jc",IF('T3'!$C166="m","m",IF('T3'!$C166="f","f",IF('T3'!$C166="cp","cp",'T3'!$O166))))))</f>
        <v>0</v>
      </c>
    </row>
    <row r="52" spans="1:31" ht="15" customHeight="1" x14ac:dyDescent="0.25">
      <c r="A52" s="52" t="s">
        <v>7</v>
      </c>
      <c r="B52" s="129">
        <f>IF('T3'!B11="css","css",IF('T3'!B11="aa","aa",IF('T3'!B11="jc","jc",IF('T3'!B11="m","m",IF('T3'!B11="f","f",IF('T3'!B11="cp","cp",'T3'!N11))))))</f>
        <v>0</v>
      </c>
      <c r="C52" s="100">
        <f>IF('T3'!C11="css","css",IF('T3'!C11="aa","aa",IF('T3'!$C11="jc","jc",IF('T3'!$C11="m","m",IF('T3'!$C11="f","f",IF('T3'!$C11="cp","cp",'T3'!$O11))))))</f>
        <v>0</v>
      </c>
      <c r="D52" s="129">
        <f>IF('T3'!B23="css","css",IF('T3'!B23="aa","aa",IF('T3'!B23="jc","jc",IF('T3'!B23="m","m",IF('T3'!B23="f","f",IF('T3'!B23="cp","cp",'T3'!N23))))))</f>
        <v>0</v>
      </c>
      <c r="E52" s="100">
        <f>IF('T3'!C23="css","css",IF('T3'!C23="aa","aa",IF('T3'!$C23="jc","jc",IF('T3'!$C23="m","m",IF('T3'!$C23="f","f",IF('T3'!$C23="cp","cp",'T3'!$O23))))))</f>
        <v>0</v>
      </c>
      <c r="F52" s="129">
        <f>IF('T3'!B35="css","css",IF('T3'!B35="aa","aa",IF('T3'!$B35="jc","jc",IF('T3'!$B35="m","m",IF('T3'!$B35="f","f",IF('T3'!$B35="cp","cp",'T3'!$N35))))))</f>
        <v>0</v>
      </c>
      <c r="G52" s="100">
        <f>IF('T3'!C35="css","css",IF('T3'!C35="aa","aa",IF('T3'!$C35="jc","jc",IF('T3'!$C35="m","m",IF('T3'!$C35="f","f",IF('T3'!$C35="cp","cp",'T3'!$O35))))))</f>
        <v>0</v>
      </c>
      <c r="H52" s="129">
        <f>IF('T3'!B47="css","css",IF('T3'!B47="aa","aa",IF('T3'!$B47="jc","jc",IF('T3'!$B47="m","m",IF('T3'!$B47="f","f",IF('T3'!$B47="cp","cp",'T3'!$N47))))))</f>
        <v>0</v>
      </c>
      <c r="I52" s="100">
        <f>IF('T3'!C47="css","css",IF('T3'!C47="aa","aa",IF('T3'!$C47="jc","jc",IF('T3'!$C47="m","m",IF('T3'!$C47="f","f",IF('T3'!$C47="cp","cp",'T3'!$O47))))))</f>
        <v>0</v>
      </c>
      <c r="J52" s="129">
        <f>IF('T3'!B59="css","css",IF('T3'!B59="aa","aa",IF('T3'!$B59="jc","jc",IF('T3'!$B59="m","m",IF('T3'!$B59="f","f",IF('T3'!$B59="cp","cp",'T3'!$N59))))))</f>
        <v>0</v>
      </c>
      <c r="K52" s="100">
        <f>IF('T3'!C59="css","css",IF('T3'!C59="aa","aa",IF('T3'!$C59="jc","jc",IF('T3'!$C59="m","m",IF('T3'!$C59="f","f",IF('T3'!$C59="cp","cp",'T3'!$O59))))))</f>
        <v>0</v>
      </c>
      <c r="L52" s="129">
        <f>IF('T3'!B71="css","css",IF('T3'!B71="aa","aa",IF('T3'!$B71="jc","jc",IF('T3'!$B71="m","m",IF('T3'!$B71="f","f",IF('T3'!$B71="cp","cp",'T3'!$N71))))))</f>
        <v>0</v>
      </c>
      <c r="M52" s="100">
        <f>IF('T3'!C71="css","css",IF('T3'!C71="aa","aa",IF('T3'!$C71="jc","jc",IF('T3'!$C71="m","m",IF('T3'!$C71="f","f",IF('T3'!$C71="cp","cp",'T3'!$O71))))))</f>
        <v>0</v>
      </c>
      <c r="N52" s="129">
        <f>IF('T3'!B83="css","css",IF('T3'!B83="aa","aa",IF('T3'!$B83="jc","jc",IF('T3'!$B83="m","m",IF('T3'!$B83="f","f",IF('T3'!$B83="cp","cp",'T3'!$N83))))))</f>
        <v>0</v>
      </c>
      <c r="O52" s="100">
        <f>IF('T3'!C83="css","css",IF('T3'!C83="aa","aa",IF('T3'!$C83="jc","jc",IF('T3'!$C83="m","m",IF('T3'!$C83="f","f",IF('T3'!$C83="cp","cp",'T3'!$O83))))))</f>
        <v>0</v>
      </c>
      <c r="P52" s="129">
        <f>IF('T3'!B95="css","css",IF('T3'!B95="aa","aa",IF('T3'!$B95="jc","jc",IF('T3'!$B95="m","m",IF('T3'!$B95="f","f",IF('T3'!$B95="cp","cp",'T3'!$N95))))))</f>
        <v>0</v>
      </c>
      <c r="Q52" s="100">
        <f>IF('T3'!C95="css","css",IF('T3'!C95="aa","aa",IF('T3'!$C95="jc","jc",IF('T3'!$C95="m","m",IF('T3'!$C95="f","f",IF('T3'!$C95="cp","cp",'T3'!$O95))))))</f>
        <v>0</v>
      </c>
      <c r="R52" s="129">
        <f>IF('T3'!B107="css","css",IF('T3'!B107="aa","aa",IF('T3'!$B107="jc","jc",IF('T3'!$B107="m","m",IF('T3'!$B107="f","f",IF('T3'!$B107="cp","cp",'T3'!$N107))))))</f>
        <v>0</v>
      </c>
      <c r="S52" s="100">
        <f>IF('T3'!C107="css","css",IF('T3'!C107="aa","aa",IF('T3'!$C107="jc","jc",IF('T3'!$C107="m","m",IF('T3'!$C107="f","f",IF('T3'!$C107="cp","cp",'T3'!$O107))))))</f>
        <v>0</v>
      </c>
      <c r="T52" s="129">
        <f>IF('T3'!B119="css","css",IF('T3'!C119="aa","aa",IF('T3'!$B119="jc","jc",IF('T3'!$B119="m","m",IF('T3'!$B119="f","f",IF('T3'!$B119="cp","cp",'T3'!$N119))))))</f>
        <v>0</v>
      </c>
      <c r="U52" s="100">
        <f>IF('T3'!C119="css","css",IF('T3'!C119="aa","aa",IF('T3'!$C119="jc","jc",IF('T3'!$C119="m","m",IF('T3'!$C119="f","f",IF('T3'!$C119="cp","cp",'T3'!$O119))))))</f>
        <v>0</v>
      </c>
      <c r="V52" s="129">
        <f>IF('T3'!B131="css","css",IF('T3'!B131="aa","aa",IF('T3'!$B131="jc","jc",IF('T3'!$B131="m","m",IF('T3'!$B131="f","f",IF('T3'!$B131="cp","cp",'T3'!$N131))))))</f>
        <v>0</v>
      </c>
      <c r="W52" s="100">
        <f>IF('T3'!C131="css","css",IF('T3'!C131="aa","aa",IF('T3'!$C131="jc","jc",IF('T3'!$C131="m","m",IF('T3'!$C131="f","f",IF('T3'!$C131="cp","cp",'T3'!$O131))))))</f>
        <v>0</v>
      </c>
      <c r="X52" s="129">
        <f>IF('T3'!B143="css","css",IF('T3'!B143="aa","aa",IF('T3'!$B143="jc","jc",IF('T3'!$B143="m","m",IF('T3'!$B143="f","f",IF('T3'!$B143="cp","cp",'T3'!$N143))))))</f>
        <v>0</v>
      </c>
      <c r="Y52" s="100">
        <f>IF('T3'!C143="css","css",IF('T3'!C143="aa","aa",IF('T3'!$C143="jc","jc",IF('T3'!$C143="m","m",IF('T3'!$C143="f","f",IF('T3'!$C143="cp","cp",'T3'!$O143))))))</f>
        <v>0</v>
      </c>
      <c r="Z52" s="129">
        <f>IF('T3'!B155="css","css",IF('T3'!B155="aa","aa",IF('T3'!$B155="jc","jc",IF('T3'!$B155="m","m",IF('T3'!$B155="f","f",IF('T3'!$B155="cp","cp",'T3'!$N155))))))</f>
        <v>0</v>
      </c>
      <c r="AA52" s="100">
        <f>IF('T3'!C155="css","css",IF('T3'!C155="aa","aa",IF('T3'!$C155="jc","jc",IF('T3'!$C155="m","m",IF('T3'!$C155="f","f",IF('T3'!$C155="cp","cp",'T3'!$O155))))))</f>
        <v>0</v>
      </c>
      <c r="AB52" s="129">
        <f>IF('T3'!B167="css","css",IF('T3'!B167="aa","aa",IF('T3'!$B167="jc","jc",IF('T3'!$B167="m","m",IF('T3'!$B167="f","f",IF('T3'!$B167="cp","cp",'T3'!$N167))))))</f>
        <v>0</v>
      </c>
      <c r="AC52" s="131">
        <f>IF('T3'!C167="css","css",IF('T3'!C167="aa","aa",IF('T3'!$C167="jc","jc",IF('T3'!$C167="m","m",IF('T3'!$C167="f","f",IF('T3'!$C167="cp","cp",'T3'!$O167))))))</f>
        <v>0</v>
      </c>
    </row>
    <row r="53" spans="1:31" ht="15" customHeight="1" thickBot="1" x14ac:dyDescent="0.3">
      <c r="A53" s="53" t="s">
        <v>8</v>
      </c>
      <c r="B53" s="133">
        <f>IF('T3'!B12="css","css",IF('T3'!B12="aa","aa",IF('T3'!B12="jc","jc",IF('T3'!B12="m","m",IF('T3'!B12="f","f",IF('T3'!B12="cp","cp",'T3'!N12))))))</f>
        <v>0</v>
      </c>
      <c r="C53" s="101">
        <f>IF('T3'!C12="css","css",IF('T3'!C12="aa","aa",IF('T3'!$C12="jc","jc",IF('T3'!$C12="m","m",IF('T3'!$C12="f","f",IF('T3'!$C12="cp","cp",'T3'!$O12))))))</f>
        <v>0</v>
      </c>
      <c r="D53" s="133">
        <f>IF('T3'!B24="css","css",IF('T3'!B24="aa","aa",IF('T3'!B24="jc","jc",IF('T3'!B24="m","m",IF('T3'!B24="f","f",IF('T3'!B24="cp","cp",'T3'!N24))))))</f>
        <v>0</v>
      </c>
      <c r="E53" s="101">
        <f>IF('T3'!C24="css","css",IF('T3'!C24="aa","aa",IF('T3'!$C24="jc","jc",IF('T3'!$C24="m","m",IF('T3'!$C24="f","f",IF('T3'!$C24="cp","cp",'T3'!$O24))))))</f>
        <v>0</v>
      </c>
      <c r="F53" s="133">
        <f>IF('T3'!B36="css","css",IF('T3'!B36="aa","aa",IF('T3'!$B36="jc","jc",IF('T3'!$B36="m","m",IF('T3'!$B36="f","f",IF('T3'!$B36="cp","cp",'T3'!$N36))))))</f>
        <v>0</v>
      </c>
      <c r="G53" s="101">
        <f>IF('T3'!C36="css","css",IF('T3'!C36="aa","aa",IF('T3'!$C36="jc","jc",IF('T3'!$C36="m","m",IF('T3'!$C36="f","f",IF('T3'!$C36="cp","cp",'T3'!$O36))))))</f>
        <v>0</v>
      </c>
      <c r="H53" s="133">
        <f>IF('T3'!B48="css","css",IF('T3'!B48="aa","aa",IF('T3'!$B48="jc","jc",IF('T3'!$B48="m","m",IF('T3'!$B48="f","f",IF('T3'!$B48="cp","cp",'T3'!$N48))))))</f>
        <v>0</v>
      </c>
      <c r="I53" s="101">
        <f>IF('T3'!C48="css","css",IF('T3'!C48="aa","aa",IF('T3'!$C48="jc","jc",IF('T3'!$C48="m","m",IF('T3'!$C48="f","f",IF('T3'!$C48="cp","cp",'T3'!$O48))))))</f>
        <v>0</v>
      </c>
      <c r="J53" s="133">
        <f>IF('T3'!B60="css","css",IF('T3'!B60="aa","aa",IF('T3'!$B60="jc","jc",IF('T3'!$B60="m","m",IF('T3'!$B60="f","f",IF('T3'!$B60="cp","cp",'T3'!$N60))))))</f>
        <v>0</v>
      </c>
      <c r="K53" s="101">
        <f>IF('T3'!C60="css","css",IF('T3'!C60="aa","aa",IF('T3'!$C60="jc","jc",IF('T3'!$C60="m","m",IF('T3'!$C60="f","f",IF('T3'!$C60="cp","cp",'T3'!$O60))))))</f>
        <v>0</v>
      </c>
      <c r="L53" s="133">
        <f>IF('T3'!B72="css","css",IF('T3'!B72="aa","aa",IF('T3'!$B72="jc","jc",IF('T3'!$B72="m","m",IF('T3'!$B72="f","f",IF('T3'!$B72="cp","cp",'T3'!$N72))))))</f>
        <v>0</v>
      </c>
      <c r="M53" s="101">
        <f>IF('T3'!C72="css","css",IF('T3'!C72="aa","aa",IF('T3'!$C72="jc","jc",IF('T3'!$C72="m","m",IF('T3'!$C72="f","f",IF('T3'!$C72="cp","cp",'T3'!$O72))))))</f>
        <v>0</v>
      </c>
      <c r="N53" s="133">
        <f>IF('T3'!B84="css","css",IF('T3'!B84="aa","aa",IF('T3'!$B84="jc","jc",IF('T3'!$B84="m","m",IF('T3'!$B84="f","f",IF('T3'!$B84="cp","cp",'T3'!$N84))))))</f>
        <v>0</v>
      </c>
      <c r="O53" s="101">
        <f>IF('T3'!C84="css","css",IF('T3'!C84="aa","aa",IF('T3'!$C84="jc","jc",IF('T3'!$C84="m","m",IF('T3'!$C84="f","f",IF('T3'!$C84="cp","cp",'T3'!$O84))))))</f>
        <v>0</v>
      </c>
      <c r="P53" s="133">
        <f>IF('T3'!B96="css","css",IF('T3'!B96="aa","aa",IF('T3'!$B96="jc","jc",IF('T3'!$B96="m","m",IF('T3'!$B96="f","f",IF('T3'!$B96="cp","cp",'T3'!$N96))))))</f>
        <v>0</v>
      </c>
      <c r="Q53" s="101">
        <f>IF('T3'!C96="css","css",IF('T3'!C96="aa","aa",IF('T3'!$C96="jc","jc",IF('T3'!$C96="m","m",IF('T3'!$C96="f","f",IF('T3'!$C96="cp","cp",'T3'!$O96))))))</f>
        <v>0</v>
      </c>
      <c r="R53" s="133">
        <f>IF('T3'!B108="css","css",IF('T3'!B108="aa","aa",IF('T3'!$B108="jc","jc",IF('T3'!$B108="m","m",IF('T3'!$B108="f","f",IF('T3'!$B108="cp","cp",'T3'!$N108))))))</f>
        <v>0</v>
      </c>
      <c r="S53" s="101">
        <f>IF('T3'!C108="css","css",IF('T3'!C108="aa","aa",IF('T3'!$C108="jc","jc",IF('T3'!$C108="m","m",IF('T3'!$C108="f","f",IF('T3'!$C108="cp","cp",'T3'!$O108))))))</f>
        <v>0</v>
      </c>
      <c r="T53" s="133">
        <f>IF('T3'!B120="css","css",IF('T3'!C120="aa","aa",IF('T3'!$B120="jc","jc",IF('T3'!$B120="m","m",IF('T3'!$B120="f","f",IF('T3'!$B120="cp","cp",'T3'!$N120))))))</f>
        <v>0</v>
      </c>
      <c r="U53" s="101">
        <f>IF('T3'!C120="css","css",IF('T3'!C120="aa","aa",IF('T3'!$C120="jc","jc",IF('T3'!$C120="m","m",IF('T3'!$C120="f","f",IF('T3'!$C120="cp","cp",'T3'!$O120))))))</f>
        <v>0</v>
      </c>
      <c r="V53" s="133">
        <f>IF('T3'!B132="css","css",IF('T3'!B132="aa","aa",IF('T3'!$B132="jc","jc",IF('T3'!$B132="m","m",IF('T3'!$B132="f","f",IF('T3'!$B132="cp","cp",'T3'!$N132))))))</f>
        <v>0</v>
      </c>
      <c r="W53" s="101">
        <f>IF('T3'!C132="css","css",IF('T3'!C132="aa","aa",IF('T3'!$C132="jc","jc",IF('T3'!$C132="m","m",IF('T3'!$C132="f","f",IF('T3'!$C132="cp","cp",'T3'!$O132))))))</f>
        <v>0</v>
      </c>
      <c r="X53" s="133">
        <f>IF('T3'!B144="css","css",IF('T3'!B144="aa","aa",IF('T3'!$B144="jc","jc",IF('T3'!$B144="m","m",IF('T3'!$B144="f","f",IF('T3'!$B144="cp","cp",'T3'!$N144))))))</f>
        <v>0</v>
      </c>
      <c r="Y53" s="101">
        <f>IF('T3'!C144="css","css",IF('T3'!C144="aa","aa",IF('T3'!$C144="jc","jc",IF('T3'!$C144="m","m",IF('T3'!$C144="f","f",IF('T3'!$C144="cp","cp",'T3'!$O144))))))</f>
        <v>0</v>
      </c>
      <c r="Z53" s="133">
        <f>IF('T3'!B156="css","css",IF('T3'!B156="aa","aa",IF('T3'!$B156="jc","jc",IF('T3'!$B156="m","m",IF('T3'!$B156="f","f",IF('T3'!$B156="cp","cp",'T3'!$N156))))))</f>
        <v>0</v>
      </c>
      <c r="AA53" s="101">
        <f>IF('T3'!C156="css","css",IF('T3'!C156="aa","aa",IF('T3'!$C156="jc","jc",IF('T3'!$C156="m","m",IF('T3'!$C156="f","f",IF('T3'!$C156="cp","cp",'T3'!$O156))))))</f>
        <v>0</v>
      </c>
      <c r="AB53" s="133">
        <f>IF('T3'!B168="css","css",IF('T3'!B168="aa","aa",IF('T3'!$B168="jc","jc",IF('T3'!$B168="m","m",IF('T3'!$B168="f","f",IF('T3'!$B168="cp","cp",'T3'!$N168))))))</f>
        <v>0</v>
      </c>
      <c r="AC53" s="132">
        <f>IF('T3'!C168="css","css",IF('T3'!C168="aa","aa",IF('T3'!$C168="jc","jc",IF('T3'!$C168="m","m",IF('T3'!$C168="f","f",IF('T3'!$C168="cp","cp",'T3'!$O168))))))</f>
        <v>0</v>
      </c>
    </row>
    <row r="54" spans="1:31" ht="15" customHeight="1" x14ac:dyDescent="0.25">
      <c r="A54" s="8"/>
      <c r="B54" s="102">
        <f>COUNTIF(B47:B53,"cp")</f>
        <v>0</v>
      </c>
      <c r="C54" s="102"/>
      <c r="D54" s="102">
        <f>COUNTIF(D47:D53,"cp")</f>
        <v>0</v>
      </c>
      <c r="E54" s="102"/>
      <c r="F54" s="102">
        <f>COUNTIF(F47:F53,"cp")</f>
        <v>0</v>
      </c>
      <c r="G54" s="102"/>
      <c r="H54" s="102">
        <f>COUNTIF(H47:H53,"cp")</f>
        <v>0</v>
      </c>
      <c r="I54" s="102"/>
      <c r="J54" s="102">
        <f>COUNTIF(J47:J53,"cp")</f>
        <v>0</v>
      </c>
      <c r="K54" s="102"/>
      <c r="L54" s="102">
        <f>COUNTIF(L47:L53,"cp")</f>
        <v>0</v>
      </c>
      <c r="M54" s="102"/>
      <c r="N54" s="102">
        <f>COUNTIF(N47:N53,"cp")</f>
        <v>0</v>
      </c>
      <c r="O54" s="102"/>
      <c r="P54" s="102">
        <f>COUNTIF(P47:P53,"cp")</f>
        <v>0</v>
      </c>
      <c r="Q54" s="102"/>
      <c r="R54" s="102">
        <f>COUNTIF(R47:R53,"cp")</f>
        <v>0</v>
      </c>
      <c r="S54" s="102"/>
      <c r="T54" s="102">
        <f>COUNTIF(T47:T53,"cp")</f>
        <v>0</v>
      </c>
      <c r="U54" s="102"/>
      <c r="V54" s="102">
        <f>COUNTIF(V47:V53,"cp")</f>
        <v>0</v>
      </c>
      <c r="W54" s="102"/>
      <c r="X54" s="102">
        <f>COUNTIF(X47:X53,"cp")</f>
        <v>0</v>
      </c>
      <c r="Y54" s="102"/>
      <c r="Z54" s="102">
        <f>COUNTIF(Z47:Z53,"cp")</f>
        <v>0</v>
      </c>
      <c r="AA54" s="102"/>
      <c r="AB54" s="102">
        <f>COUNTIF(AB47:AB53,"cp")</f>
        <v>0</v>
      </c>
      <c r="AC54" s="102"/>
    </row>
    <row r="55" spans="1:31" ht="15" hidden="1" customHeight="1" x14ac:dyDescent="0.25">
      <c r="A55" s="8"/>
      <c r="B55" s="102">
        <f>COUNTIF(B47:B53,"jc")</f>
        <v>0</v>
      </c>
      <c r="C55" s="102"/>
      <c r="D55" s="102">
        <f>COUNTIF(D47:D53,"jc")</f>
        <v>0</v>
      </c>
      <c r="E55" s="102"/>
      <c r="F55" s="102">
        <f>COUNTIF(F47:F53,"jc")</f>
        <v>0</v>
      </c>
      <c r="G55" s="102"/>
      <c r="H55" s="102">
        <f>COUNTIF(H47:H53,"jc")</f>
        <v>0</v>
      </c>
      <c r="I55" s="102"/>
      <c r="J55" s="102">
        <f>COUNTIF(J47:J53,"jc")</f>
        <v>0</v>
      </c>
      <c r="K55" s="102"/>
      <c r="L55" s="102">
        <f>COUNTIF(L47:L53,"jc")</f>
        <v>0</v>
      </c>
      <c r="M55" s="102"/>
      <c r="N55" s="102">
        <f>COUNTIF(N47:N53,"jc")</f>
        <v>0</v>
      </c>
      <c r="O55" s="102"/>
      <c r="P55" s="102">
        <f>COUNTIF(P47:P53,"jc")</f>
        <v>0</v>
      </c>
      <c r="Q55" s="102"/>
      <c r="R55" s="102">
        <f>COUNTIF(R47:R53,"jc")</f>
        <v>0</v>
      </c>
      <c r="S55" s="102"/>
      <c r="T55" s="102">
        <f>COUNTIF(T47:T53,"jc")</f>
        <v>0</v>
      </c>
      <c r="U55" s="102"/>
      <c r="V55" s="102">
        <f>COUNTIF(V47:V53,"jc")</f>
        <v>0</v>
      </c>
      <c r="W55" s="102"/>
      <c r="X55" s="102">
        <f>COUNTIF(X47:X53,"jc")</f>
        <v>0</v>
      </c>
      <c r="Y55" s="102"/>
      <c r="Z55" s="102">
        <f>COUNTIF(Z47:Z53,"jc")</f>
        <v>0</v>
      </c>
      <c r="AA55" s="102"/>
      <c r="AB55" s="102">
        <f>COUNTIF(AB47:AB53,"jc")</f>
        <v>0</v>
      </c>
      <c r="AC55" s="102"/>
    </row>
    <row r="56" spans="1:31" ht="15" customHeight="1" x14ac:dyDescent="0.25">
      <c r="A56" s="9" t="s">
        <v>11</v>
      </c>
      <c r="B56" s="23">
        <f>SUM(B47:B53)</f>
        <v>0</v>
      </c>
      <c r="C56" s="24">
        <f>+'T3'!O13</f>
        <v>0</v>
      </c>
      <c r="D56" s="23">
        <f>SUM(D47:D53)</f>
        <v>0</v>
      </c>
      <c r="E56" s="24">
        <f>+'T3'!O25</f>
        <v>0</v>
      </c>
      <c r="F56" s="23">
        <f>SUM(F47:F53)</f>
        <v>0</v>
      </c>
      <c r="G56" s="24">
        <f>+'T3'!O37</f>
        <v>0</v>
      </c>
      <c r="H56" s="23">
        <f>SUM(H47:H53)</f>
        <v>0</v>
      </c>
      <c r="I56" s="24">
        <f>+'T3'!O49</f>
        <v>0</v>
      </c>
      <c r="J56" s="23">
        <f>SUM(J47:J53)</f>
        <v>0</v>
      </c>
      <c r="K56" s="24">
        <f>+'T3'!O61</f>
        <v>0</v>
      </c>
      <c r="L56" s="23">
        <f>SUM(L47:L53)</f>
        <v>0</v>
      </c>
      <c r="M56" s="24">
        <f>+'T3'!O73</f>
        <v>0</v>
      </c>
      <c r="N56" s="23">
        <f>SUM(N47:N53)</f>
        <v>0</v>
      </c>
      <c r="O56" s="24">
        <f>+'T3'!O85</f>
        <v>0</v>
      </c>
      <c r="P56" s="23">
        <f>SUM(P47:P53)</f>
        <v>0</v>
      </c>
      <c r="Q56" s="24">
        <f>+'T3'!O97</f>
        <v>0</v>
      </c>
      <c r="R56" s="23">
        <f>SUM(R47:R53)</f>
        <v>0</v>
      </c>
      <c r="S56" s="24">
        <f>+'T3'!O109</f>
        <v>0</v>
      </c>
      <c r="T56" s="23">
        <f>SUM(T47:T53)</f>
        <v>0</v>
      </c>
      <c r="U56" s="24">
        <f>+'T3'!O121</f>
        <v>0</v>
      </c>
      <c r="V56" s="23">
        <f>SUM(V47:V53)</f>
        <v>0</v>
      </c>
      <c r="W56" s="24">
        <f>+'T3'!O133</f>
        <v>0</v>
      </c>
      <c r="X56" s="23">
        <f>SUM(X47:X53)</f>
        <v>0</v>
      </c>
      <c r="Y56" s="24">
        <f>+'T3'!O145</f>
        <v>0</v>
      </c>
      <c r="Z56" s="23">
        <f>SUM(Z47:Z53)</f>
        <v>0</v>
      </c>
      <c r="AA56" s="24">
        <f>+'T3'!O157</f>
        <v>0</v>
      </c>
      <c r="AB56" s="23">
        <f>SUM(AB47:AB53)</f>
        <v>0</v>
      </c>
      <c r="AC56" s="24">
        <f>+'T3'!O169</f>
        <v>0</v>
      </c>
    </row>
    <row r="57" spans="1:31" ht="15" customHeight="1" x14ac:dyDescent="0.3">
      <c r="A57" s="46" t="s">
        <v>116</v>
      </c>
      <c r="B57" s="55">
        <f>+AC57-Y57</f>
        <v>0</v>
      </c>
      <c r="C57" s="23"/>
      <c r="D57" s="23"/>
      <c r="E57" s="23"/>
      <c r="F57" s="23"/>
      <c r="G57" s="23"/>
      <c r="H57" s="23"/>
      <c r="I57" s="23"/>
      <c r="J57" s="23"/>
      <c r="K57" s="23"/>
      <c r="L57" s="23"/>
      <c r="M57" s="23"/>
      <c r="N57" s="23"/>
      <c r="O57" s="23"/>
      <c r="P57" s="26"/>
      <c r="Q57" s="26"/>
      <c r="R57" s="26"/>
      <c r="S57" s="26"/>
      <c r="T57" s="26"/>
      <c r="U57" s="26"/>
      <c r="V57" s="26"/>
      <c r="W57" s="56"/>
      <c r="X57" s="57" t="s">
        <v>131</v>
      </c>
      <c r="Y57" s="58">
        <f>V56+X56+B56+D56+F56+H56+J56+L56+N56+P56+R56+T56+Z56+AB56</f>
        <v>0</v>
      </c>
      <c r="Z57" s="23"/>
      <c r="AA57" s="61"/>
      <c r="AB57" s="59" t="s">
        <v>130</v>
      </c>
      <c r="AC57" s="60">
        <f>W56+Y56+C56+E56+G56+I56+K56+M56+O56+Q56+S56+U56+AA56+AC56</f>
        <v>0</v>
      </c>
    </row>
    <row r="58" spans="1:31" ht="15" customHeight="1" x14ac:dyDescent="0.25">
      <c r="A58" s="42"/>
      <c r="B58" s="43"/>
      <c r="C58" s="44"/>
      <c r="D58" s="44"/>
      <c r="E58" s="44"/>
      <c r="F58" s="44"/>
      <c r="G58" s="44"/>
      <c r="H58" s="44"/>
      <c r="I58" s="44"/>
      <c r="J58" s="44"/>
      <c r="K58" s="44"/>
      <c r="L58" s="44"/>
      <c r="M58" s="44"/>
      <c r="N58" s="44"/>
      <c r="O58" s="44"/>
      <c r="P58" s="26"/>
      <c r="Q58" s="26"/>
      <c r="R58" s="26"/>
      <c r="S58" s="26"/>
      <c r="T58" s="26"/>
      <c r="U58" s="26"/>
      <c r="V58" s="26"/>
      <c r="W58" s="26"/>
      <c r="X58" s="44"/>
      <c r="Y58" s="44"/>
      <c r="Z58" s="44"/>
      <c r="AA58" s="44"/>
      <c r="AB58" s="44"/>
      <c r="AC58" s="45"/>
    </row>
    <row r="59" spans="1:31" ht="25.5" customHeight="1" x14ac:dyDescent="0.35">
      <c r="A59" s="811" t="s">
        <v>75</v>
      </c>
      <c r="B59" s="811"/>
      <c r="C59" s="811"/>
      <c r="D59" s="811"/>
      <c r="E59" s="811"/>
      <c r="F59" s="811"/>
      <c r="G59" s="811"/>
      <c r="H59" s="811"/>
      <c r="I59" s="811"/>
      <c r="J59" s="811"/>
      <c r="K59" s="811"/>
      <c r="L59" s="811"/>
      <c r="M59" s="811"/>
      <c r="N59" s="811"/>
      <c r="O59" s="811"/>
      <c r="P59" s="811"/>
      <c r="Q59" s="811"/>
      <c r="R59" s="811"/>
      <c r="S59" s="811"/>
      <c r="T59" s="811"/>
      <c r="U59" s="811"/>
      <c r="V59" s="811"/>
      <c r="W59" s="811"/>
      <c r="X59" s="811"/>
      <c r="Y59" s="811"/>
      <c r="Z59" s="811"/>
      <c r="AA59" s="811"/>
    </row>
    <row r="60" spans="1:31" ht="15" customHeight="1" thickBot="1" x14ac:dyDescent="0.35">
      <c r="A60" s="10"/>
      <c r="AB60" s="822"/>
      <c r="AC60" s="822"/>
    </row>
    <row r="61" spans="1:31" ht="15" customHeight="1" x14ac:dyDescent="0.25">
      <c r="A61" s="11"/>
      <c r="B61" s="3" t="s">
        <v>9</v>
      </c>
      <c r="C61" s="2" t="s">
        <v>10</v>
      </c>
      <c r="D61" s="3" t="s">
        <v>9</v>
      </c>
      <c r="E61" s="2" t="s">
        <v>10</v>
      </c>
      <c r="F61" s="3" t="s">
        <v>9</v>
      </c>
      <c r="G61" s="2" t="s">
        <v>10</v>
      </c>
      <c r="H61" s="3" t="s">
        <v>9</v>
      </c>
      <c r="I61" s="2" t="s">
        <v>10</v>
      </c>
      <c r="J61" s="3" t="s">
        <v>9</v>
      </c>
      <c r="K61" s="2" t="s">
        <v>10</v>
      </c>
      <c r="L61" s="3" t="s">
        <v>9</v>
      </c>
      <c r="M61" s="2" t="s">
        <v>10</v>
      </c>
      <c r="N61" s="3" t="s">
        <v>9</v>
      </c>
      <c r="O61" s="2" t="s">
        <v>10</v>
      </c>
      <c r="P61" s="3" t="s">
        <v>9</v>
      </c>
      <c r="Q61" s="2" t="s">
        <v>10</v>
      </c>
      <c r="R61" s="3" t="s">
        <v>9</v>
      </c>
      <c r="S61" s="2" t="s">
        <v>10</v>
      </c>
      <c r="T61" s="3" t="s">
        <v>9</v>
      </c>
      <c r="U61" s="2" t="s">
        <v>10</v>
      </c>
      <c r="V61" s="3" t="s">
        <v>9</v>
      </c>
      <c r="W61" s="2" t="s">
        <v>10</v>
      </c>
      <c r="X61" s="3" t="s">
        <v>9</v>
      </c>
      <c r="Y61" s="2" t="s">
        <v>10</v>
      </c>
      <c r="Z61" s="3" t="s">
        <v>9</v>
      </c>
      <c r="AA61" s="2" t="s">
        <v>10</v>
      </c>
    </row>
    <row r="62" spans="1:31" ht="15" customHeight="1" x14ac:dyDescent="0.25">
      <c r="A62" s="13" t="s">
        <v>134</v>
      </c>
      <c r="B62" s="5">
        <f>+AC44+1</f>
        <v>42892</v>
      </c>
      <c r="C62" s="4">
        <f>6+B62</f>
        <v>42898</v>
      </c>
      <c r="D62" s="5">
        <f>+C62+1</f>
        <v>42899</v>
      </c>
      <c r="E62" s="4">
        <f>6+D62</f>
        <v>42905</v>
      </c>
      <c r="F62" s="5">
        <f>+E62+1</f>
        <v>42906</v>
      </c>
      <c r="G62" s="4">
        <f>6+F62</f>
        <v>42912</v>
      </c>
      <c r="H62" s="5">
        <f>+G62+1</f>
        <v>42913</v>
      </c>
      <c r="I62" s="4">
        <f>6+H62</f>
        <v>42919</v>
      </c>
      <c r="J62" s="5">
        <f>+I62+1</f>
        <v>42920</v>
      </c>
      <c r="K62" s="4">
        <f>6+J62</f>
        <v>42926</v>
      </c>
      <c r="L62" s="5">
        <f>+K62+1</f>
        <v>42927</v>
      </c>
      <c r="M62" s="4">
        <f>6+L62</f>
        <v>42933</v>
      </c>
      <c r="N62" s="5">
        <f>+M62+1</f>
        <v>42934</v>
      </c>
      <c r="O62" s="4">
        <f>6+N62</f>
        <v>42940</v>
      </c>
      <c r="P62" s="5">
        <f>+O62+1</f>
        <v>42941</v>
      </c>
      <c r="Q62" s="4">
        <f>6+P62</f>
        <v>42947</v>
      </c>
      <c r="R62" s="5">
        <f>+Q62+1</f>
        <v>42948</v>
      </c>
      <c r="S62" s="4">
        <f>+R62+6</f>
        <v>42954</v>
      </c>
      <c r="T62" s="5">
        <f>+S62+1</f>
        <v>42955</v>
      </c>
      <c r="U62" s="4">
        <f>6+T62</f>
        <v>42961</v>
      </c>
      <c r="V62" s="5">
        <f>+U62+1</f>
        <v>42962</v>
      </c>
      <c r="W62" s="4">
        <f>6+V62</f>
        <v>42968</v>
      </c>
      <c r="X62" s="5">
        <f>+W62+1</f>
        <v>42969</v>
      </c>
      <c r="Y62" s="4">
        <f>6+X62</f>
        <v>42975</v>
      </c>
      <c r="Z62" s="5">
        <f>+Y62+1</f>
        <v>42976</v>
      </c>
      <c r="AA62" s="4">
        <f>DATE(Y2,8,31)</f>
        <v>42977</v>
      </c>
      <c r="AC62" s="22"/>
      <c r="AD62" s="21"/>
      <c r="AE62" s="21"/>
    </row>
    <row r="63" spans="1:31" ht="15" customHeight="1" x14ac:dyDescent="0.25">
      <c r="A63" s="48">
        <f>B57</f>
        <v>0</v>
      </c>
      <c r="B63" s="809" t="str">
        <f>"Semaine "&amp;_xlfn.ISOWEEKNUM(B62)</f>
        <v>Semaine 23</v>
      </c>
      <c r="C63" s="810"/>
      <c r="D63" s="809" t="str">
        <f>"Semaine "&amp;_xlfn.ISOWEEKNUM(D62)</f>
        <v>Semaine 24</v>
      </c>
      <c r="E63" s="810"/>
      <c r="F63" s="809" t="str">
        <f>"Semaine "&amp;_xlfn.ISOWEEKNUM(F62)</f>
        <v>Semaine 25</v>
      </c>
      <c r="G63" s="810"/>
      <c r="H63" s="809" t="str">
        <f>"Semaine "&amp;_xlfn.ISOWEEKNUM(H62)</f>
        <v>Semaine 26</v>
      </c>
      <c r="I63" s="810"/>
      <c r="J63" s="809" t="str">
        <f>"Semaine "&amp;_xlfn.ISOWEEKNUM(J62)</f>
        <v>Semaine 27</v>
      </c>
      <c r="K63" s="810"/>
      <c r="L63" s="809" t="str">
        <f>"Semaine "&amp;_xlfn.ISOWEEKNUM(L62)</f>
        <v>Semaine 28</v>
      </c>
      <c r="M63" s="810"/>
      <c r="N63" s="809" t="str">
        <f>"Semaine "&amp;_xlfn.ISOWEEKNUM(N62)</f>
        <v>Semaine 29</v>
      </c>
      <c r="O63" s="810"/>
      <c r="P63" s="809" t="str">
        <f>"Semaine "&amp;_xlfn.ISOWEEKNUM(P62)</f>
        <v>Semaine 30</v>
      </c>
      <c r="Q63" s="810"/>
      <c r="R63" s="809" t="str">
        <f>"Semaine "&amp;_xlfn.ISOWEEKNUM(R62)</f>
        <v>Semaine 31</v>
      </c>
      <c r="S63" s="810"/>
      <c r="T63" s="807" t="str">
        <f>"Semaine "&amp;_xlfn.ISOWEEKNUM(T62)</f>
        <v>Semaine 32</v>
      </c>
      <c r="U63" s="808"/>
      <c r="V63" s="807" t="str">
        <f>"Semaine "&amp;_xlfn.ISOWEEKNUM(V62)</f>
        <v>Semaine 33</v>
      </c>
      <c r="W63" s="808"/>
      <c r="X63" s="807" t="str">
        <f>"Semaine "&amp;_xlfn.ISOWEEKNUM(X62)</f>
        <v>Semaine 34</v>
      </c>
      <c r="Y63" s="808"/>
      <c r="Z63" s="807" t="str">
        <f>"Semaine "&amp;_xlfn.ISOWEEKNUM(Z62)</f>
        <v>Semaine 35</v>
      </c>
      <c r="AA63" s="808"/>
      <c r="AB63" s="22"/>
      <c r="AC63" s="22"/>
    </row>
    <row r="64" spans="1:31" ht="15" customHeight="1" thickBot="1" x14ac:dyDescent="0.3">
      <c r="A64" s="11"/>
      <c r="B64" s="7" t="s">
        <v>0</v>
      </c>
      <c r="C64" s="6" t="s">
        <v>1</v>
      </c>
      <c r="D64" s="7" t="s">
        <v>0</v>
      </c>
      <c r="E64" s="6" t="s">
        <v>1</v>
      </c>
      <c r="F64" s="7" t="s">
        <v>0</v>
      </c>
      <c r="G64" s="6" t="s">
        <v>1</v>
      </c>
      <c r="H64" s="7" t="s">
        <v>0</v>
      </c>
      <c r="I64" s="6" t="s">
        <v>1</v>
      </c>
      <c r="J64" s="7" t="s">
        <v>0</v>
      </c>
      <c r="K64" s="6" t="s">
        <v>1</v>
      </c>
      <c r="L64" s="7" t="s">
        <v>0</v>
      </c>
      <c r="M64" s="6" t="s">
        <v>1</v>
      </c>
      <c r="N64" s="7" t="s">
        <v>0</v>
      </c>
      <c r="O64" s="6" t="s">
        <v>1</v>
      </c>
      <c r="P64" s="7" t="s">
        <v>0</v>
      </c>
      <c r="Q64" s="6" t="s">
        <v>1</v>
      </c>
      <c r="R64" s="7" t="s">
        <v>0</v>
      </c>
      <c r="S64" s="6" t="s">
        <v>1</v>
      </c>
      <c r="T64" s="7" t="s">
        <v>0</v>
      </c>
      <c r="U64" s="6" t="s">
        <v>1</v>
      </c>
      <c r="V64" s="7" t="s">
        <v>0</v>
      </c>
      <c r="W64" s="6" t="s">
        <v>1</v>
      </c>
      <c r="X64" s="7" t="s">
        <v>0</v>
      </c>
      <c r="Y64" s="6" t="s">
        <v>1</v>
      </c>
      <c r="Z64" s="7" t="s">
        <v>0</v>
      </c>
      <c r="AA64" s="6" t="s">
        <v>1</v>
      </c>
    </row>
    <row r="65" spans="1:28" ht="15" customHeight="1" x14ac:dyDescent="0.25">
      <c r="A65" s="54" t="s">
        <v>2</v>
      </c>
      <c r="B65" s="18">
        <f>IF('T4'!B6="css","css",IF('T4'!B6="aa","aa",IF('T4'!B6="jc","jc",IF('T4'!B6="m","m",IF('T4'!B6="f","f",IF('T4'!B6="cp","cp",'T4'!N6))))))</f>
        <v>0</v>
      </c>
      <c r="C65" s="98">
        <f>IF('T4'!C6="css","css",IF('T4'!C6="aa","aa",IF('T4'!$C6="jc","jc",IF('T4'!$C6="m","m",IF('T4'!$C6="f","f",IF('T4'!$C6="cp","cp",'T4'!$O6))))))</f>
        <v>0</v>
      </c>
      <c r="D65" s="18">
        <f>IF('T4'!B18="css","css",IF('T4'!B18="aa","aa",IF('T4'!B18="jc","jc",IF('T4'!B18="m","m",IF('T4'!B18="f","f",IF('T4'!B18="cp","cp",'T4'!N18))))))</f>
        <v>0</v>
      </c>
      <c r="E65" s="98">
        <f>IF('T4'!C18="css","css",IF('T4'!C18="aa","aa",IF('T4'!$C18="jc","jc",IF('T4'!$C18="m","m",IF('T4'!$C18="f","f",IF('T4'!$C18="cp","cp",'T4'!$O18))))))</f>
        <v>0</v>
      </c>
      <c r="F65" s="18">
        <f>IF('T4'!B30="css","css",IF('T4'!B30="aa","aa",IF('T4'!$B30="jc","jc",IF('T4'!$B30="m","m",IF('T4'!$B30="f","f",IF('T4'!$B30="cp","cp",'T4'!$N30))))))</f>
        <v>0</v>
      </c>
      <c r="G65" s="98">
        <f>IF('T4'!C30="css","css",IF('T4'!C30="aa","aa",IF('T4'!$C30="jc","jc",IF('T4'!$C30="m","m",IF('T4'!$C30="f","f",IF('T4'!$C30="cp","cp",'T4'!$O30))))))</f>
        <v>0</v>
      </c>
      <c r="H65" s="18">
        <f>IF('T4'!B42="css","css",IF('T4'!B42="aa","aa",IF('T4'!$B42="jc","jc",IF('T4'!$B42="m","m",IF('T4'!$B42="f","f",IF('T4'!$B42="cp","cp",'T4'!$N42))))))</f>
        <v>0</v>
      </c>
      <c r="I65" s="98">
        <f>IF('T4'!C42="css","css",IF('T4'!C42="aa","aa",IF('T4'!$C42="jc","jc",IF('T4'!$C42="m","m",IF('T4'!$C42="f","f",IF('T4'!$C42="cp","cp",'T4'!$O42))))))</f>
        <v>0</v>
      </c>
      <c r="J65" s="18">
        <f>IF('T4'!B54="css","css",IF('T4'!B54="aa","aa",IF('T4'!$B54="jc","jc",IF('T4'!$B54="m","m",IF('T4'!$B54="f","f",IF('T4'!$B54="cp","cp",'T4'!$N54))))))</f>
        <v>0</v>
      </c>
      <c r="K65" s="98">
        <f>IF('T4'!C54="css","css",IF('T4'!C54="aa","aa",IF('T4'!$C54="jc","jc",IF('T4'!$C54="m","m",IF('T4'!$C54="f","f",IF('T4'!$C54="cp","cp",'T4'!$O54))))))</f>
        <v>0</v>
      </c>
      <c r="L65" s="18">
        <f>IF('T4'!B66="css","css",IF('T4'!B66="aa","aa",IF('T4'!$B66="jc","jc",IF('T4'!$B66="m","m",IF('T4'!$B66="f","f",IF('T4'!$B66="cp","cp",'T4'!$N66))))))</f>
        <v>0</v>
      </c>
      <c r="M65" s="98">
        <f>IF('T4'!C66="css","css",IF('T4'!C66="aa","aa",IF('T4'!$C66="jc","jc",IF('T4'!$C66="m","m",IF('T4'!$C66="f","f",IF('T4'!$C66="cp","cp",'T4'!$O66))))))</f>
        <v>0</v>
      </c>
      <c r="N65" s="18">
        <f>IF('T4'!B78="css","css",IF('T4'!B78="aa","aa",IF('T4'!$B78="jc","jc",IF('T4'!$B78="m","m",IF('T4'!$B78="f","f",IF('T4'!$B78="cp","cp",'T4'!$N78))))))</f>
        <v>0</v>
      </c>
      <c r="O65" s="98">
        <f>IF('T4'!C78="css","css",IF('T4'!C78="aa","aa",IF('T4'!$C78="jc","jc",IF('T4'!$C78="m","m",IF('T4'!$C78="f","f",IF('T4'!$C78="cp","cp",'T4'!$O78))))))</f>
        <v>0</v>
      </c>
      <c r="P65" s="18">
        <f>IF('T4'!B90="css","css",IF('T4'!B90="aa","aa",IF('T4'!$B90="jc","jc",IF('T4'!$B90="m","m",IF('T4'!$B90="f","f",IF('T4'!$B90="cp","cp",'T4'!$N90))))))</f>
        <v>0</v>
      </c>
      <c r="Q65" s="98">
        <f>IF('T4'!C90="css","css",IF('T4'!C90="aa","aa",IF('T4'!$C90="jc","jc",IF('T4'!$C90="m","m",IF('T4'!$C90="f","f",IF('T4'!$C90="cp","cp",'T4'!$O90))))))</f>
        <v>0</v>
      </c>
      <c r="R65" s="18">
        <f>IF('T4'!B102="css","css",IF('T4'!B102="aa","aa",IF('T4'!$B102="jc","jc",IF('T4'!$B102="m","m",IF('T4'!$B102="f","f",IF('T4'!$B102="cp","cp",'T4'!$N102))))))</f>
        <v>0</v>
      </c>
      <c r="S65" s="98">
        <f>IF('T4'!C102="css","css",IF('T4'!C102="aa","aa",IF('T4'!$C102="jc","jc",IF('T4'!$C102="m","m",IF('T4'!$C102="f","f",IF('T4'!$C102="cp","cp",'T4'!$O102))))))</f>
        <v>0</v>
      </c>
      <c r="T65" s="18">
        <f>IF('T4'!B114="css","css",IF('T4'!B114="aa","aa",IF('T4'!$B114="jc","jc",IF('T4'!$B114="m","m",IF('T4'!$B114="f","f",IF('T4'!$B114="cp","cp",'T4'!$N114))))))</f>
        <v>0</v>
      </c>
      <c r="U65" s="98">
        <f>IF('T4'!C114="css","css",IF('T4'!C114="aa","aa",IF('T4'!$C114="jc","jc",IF('T4'!$C114="m","m",IF('T4'!$C114="f","f",IF('T4'!$C114="cp","cp",'T4'!$O114))))))</f>
        <v>0</v>
      </c>
      <c r="V65" s="18">
        <f>IF('T4'!B126="css","css",IF('T4'!B126="aa","aa",IF('T4'!$B126="jc","jc",IF('T4'!$B126="m","m",IF('T4'!$B126="f","f",IF('T4'!$B126="cp","cp",'T4'!$N126))))))</f>
        <v>0</v>
      </c>
      <c r="W65" s="98">
        <f>IF('T4'!C126="css","css",IF('T4'!C126="aa","aa",IF('T4'!$C126="jc","jc",IF('T4'!$C126="m","m",IF('T4'!$C126="f","f",IF('T4'!$C126="cp","cp",'T4'!$O126))))))</f>
        <v>0</v>
      </c>
      <c r="X65" s="18">
        <f>IF('T4'!B138="css","css",IF('T4'!B138="aa","aa",IF('T4'!$B138="jc","jc",IF('T4'!$B138="m","m",IF('T4'!$B138="f","f",IF('T4'!$B138="cp","cp",'T4'!$N138))))))</f>
        <v>0</v>
      </c>
      <c r="Y65" s="98">
        <f>IF('T4'!C138="css","css",IF('T4'!C138="aa","aa",IF('T4'!$C138="jc","jc",IF('T4'!$C138="m","m",IF('T4'!$C138="f","f",IF('T4'!$C138="cp","cp",'T4'!$O138))))))</f>
        <v>0</v>
      </c>
      <c r="Z65" s="18">
        <f>IF($Z$62&gt;$AA$62,"",IF('T4'!B6="css","css",IF('T4'!B150="aa","aa",IF('T4'!$B150="jc","jc",IF('T4'!$B150="m","m",IF('T4'!$B150="f","f",IF('T4'!$B150="cp","cp",'T4'!$N150)))))))</f>
        <v>0</v>
      </c>
      <c r="AA65" s="98">
        <f>IF($Z$62&gt;$AA$62,"",IF('T4'!B6="css","css",IF('T4'!C150="aa","aa",IF('T4'!$C150="jc","jc",IF('T4'!$C150="m","m",IF('T4'!$C150="f","f",IF('T4'!$C150="cp","cp",'T4'!$O150)))))))</f>
        <v>0</v>
      </c>
    </row>
    <row r="66" spans="1:28" ht="15" customHeight="1" x14ac:dyDescent="0.25">
      <c r="A66" s="52" t="s">
        <v>3</v>
      </c>
      <c r="B66" s="50">
        <f>IF('T4'!B7="css","css",IF('T4'!B7="aa","aa",IF('T4'!B7="jc","jc",IF('T4'!B7="m","m",IF('T4'!B7="f","f",IF('T4'!B7="cp","cp",'T4'!N7))))))</f>
        <v>0</v>
      </c>
      <c r="C66" s="99">
        <f>IF('T4'!C7="css","css",IF('T4'!C7="aa","aa",IF('T4'!$C7="jc","jc",IF('T4'!$C7="m","m",IF('T4'!$C7="f","f",IF('T4'!$C7="cp","cp",'T4'!$O7))))))</f>
        <v>0</v>
      </c>
      <c r="D66" s="50">
        <f>IF('T4'!B19="css","css",IF('T4'!B19="aa","aa",IF('T4'!B19="jc","jc",IF('T4'!B19="m","m",IF('T4'!B19="f","f",IF('T4'!B19="cp","cp",'T4'!N19))))))</f>
        <v>0</v>
      </c>
      <c r="E66" s="99">
        <f>IF('T4'!C19="css","css",IF('T4'!C19="aa","aa",IF('T4'!$C19="jc","jc",IF('T4'!$C19="m","m",IF('T4'!$C19="f","f",IF('T4'!$C19="cp","cp",'T4'!$O19))))))</f>
        <v>0</v>
      </c>
      <c r="F66" s="50">
        <f>IF('T4'!B31="css","css",IF('T4'!B31="aa","aa",IF('T4'!$B31="jc","jc",IF('T4'!$B31="m","m",IF('T4'!$B31="f","f",IF('T4'!$B31="cp","cp",'T4'!$N31))))))</f>
        <v>0</v>
      </c>
      <c r="G66" s="99">
        <f>IF('T4'!C31="css","css",IF('T4'!C31="aa","aa",IF('T4'!$C31="jc","jc",IF('T4'!$C31="m","m",IF('T4'!$C31="f","f",IF('T4'!$C31="cp","cp",'T4'!$O31))))))</f>
        <v>0</v>
      </c>
      <c r="H66" s="50">
        <f>IF('T4'!B43="css","css",IF('T4'!B43="aa","aa",IF('T4'!$B43="jc","jc",IF('T4'!$B43="m","m",IF('T4'!$B43="f","f",IF('T4'!$B43="cp","cp",'T4'!$N43))))))</f>
        <v>0</v>
      </c>
      <c r="I66" s="99">
        <f>IF('T4'!C43="css","css",IF('T4'!C43="aa","aa",IF('T4'!$C43="jc","jc",IF('T4'!$C43="m","m",IF('T4'!$C43="f","f",IF('T4'!$C43="cp","cp",'T4'!$O43))))))</f>
        <v>0</v>
      </c>
      <c r="J66" s="50">
        <f>IF('T4'!B55="css","css",IF('T4'!B55="aa","aa",IF('T4'!$B55="jc","jc",IF('T4'!$B55="m","m",IF('T4'!$B55="f","f",IF('T4'!$B55="cp","cp",'T4'!$N55))))))</f>
        <v>0</v>
      </c>
      <c r="K66" s="99">
        <f>IF('T4'!C55="css","css",IF('T4'!C55="aa","aa",IF('T4'!$C55="jc","jc",IF('T4'!$C55="m","m",IF('T4'!$C55="f","f",IF('T4'!$C55="cp","cp",'T4'!$O55))))))</f>
        <v>0</v>
      </c>
      <c r="L66" s="50">
        <f>IF('T4'!B67="css","css",IF('T4'!B67="aa","aa",IF('T4'!$B67="jc","jc",IF('T4'!$B67="m","m",IF('T4'!$B67="f","f",IF('T4'!$B67="cp","cp",'T4'!$N67))))))</f>
        <v>0</v>
      </c>
      <c r="M66" s="99">
        <f>IF('T4'!C67="css","css",IF('T4'!C67="aa","aa",IF('T4'!$C67="jc","jc",IF('T4'!$C67="m","m",IF('T4'!$C67="f","f",IF('T4'!$C67="cp","cp",'T4'!$O67))))))</f>
        <v>0</v>
      </c>
      <c r="N66" s="50">
        <f>IF('T4'!B79="css","css",IF('T4'!B79="aa","aa",IF('T4'!$B79="jc","jc",IF('T4'!$B79="m","m",IF('T4'!$B79="f","f",IF('T4'!$B79="cp","cp",'T4'!$N79))))))</f>
        <v>0</v>
      </c>
      <c r="O66" s="99">
        <f>IF('T4'!C79="css","css",IF('T4'!C79="aa","aa",IF('T4'!$C79="jc","jc",IF('T4'!$C79="m","m",IF('T4'!$C79="f","f",IF('T4'!$C79="cp","cp",'T4'!$O79))))))</f>
        <v>0</v>
      </c>
      <c r="P66" s="50">
        <f>IF('T4'!B91="css","css",IF('T4'!B91="aa","aa",IF('T4'!$B91="jc","jc",IF('T4'!$B91="m","m",IF('T4'!$B91="f","f",IF('T4'!$B91="cp","cp",'T4'!$N91))))))</f>
        <v>0</v>
      </c>
      <c r="Q66" s="99">
        <f>IF('T4'!C91="css","css",IF('T4'!C91="aa","aa",IF('T4'!$C91="jc","jc",IF('T4'!$C91="m","m",IF('T4'!$C91="f","f",IF('T4'!$C91="cp","cp",'T4'!$O91))))))</f>
        <v>0</v>
      </c>
      <c r="R66" s="50">
        <f>IF('T4'!B103="css","css",IF('T4'!B103="aa","aa",IF('T4'!$B103="jc","jc",IF('T4'!$B103="m","m",IF('T4'!$B103="f","f",IF('T4'!$B103="cp","cp",'T4'!$N103))))))</f>
        <v>0</v>
      </c>
      <c r="S66" s="99">
        <f>IF('T4'!C103="css","css",IF('T4'!C103="aa","aa",IF('T4'!$C103="jc","jc",IF('T4'!$C103="m","m",IF('T4'!$C103="f","f",IF('T4'!$C103="cp","cp",'T4'!$O103))))))</f>
        <v>0</v>
      </c>
      <c r="T66" s="50">
        <f>IF('T4'!B115="css","css",IF('T4'!B115="aa","aa",IF('T4'!$B115="jc","jc",IF('T4'!$B115="m","m",IF('T4'!$B115="f","f",IF('T4'!$B115="cp","cp",'T4'!$N115))))))</f>
        <v>0</v>
      </c>
      <c r="U66" s="99">
        <f>IF('T4'!C115="css","css",IF('T4'!C115="aa","aa",IF('T4'!$C115="jc","jc",IF('T4'!$C115="m","m",IF('T4'!$C115="f","f",IF('T4'!$C115="cp","cp",'T4'!$O115))))))</f>
        <v>0</v>
      </c>
      <c r="V66" s="50">
        <f>IF('T4'!B127="css","css",IF('T4'!B127="aa","aa",IF('T4'!$B127="jc","jc",IF('T4'!$B127="m","m",IF('T4'!$B127="f","f",IF('T4'!$B127="cp","cp",'T4'!$N127))))))</f>
        <v>0</v>
      </c>
      <c r="W66" s="99">
        <f>IF('T4'!C127="css","css",IF('T4'!C127="aa","aa",IF('T4'!$C127="jc","jc",IF('T4'!$C127="m","m",IF('T4'!$C127="f","f",IF('T4'!$C127="cp","cp",'T4'!$O127))))))</f>
        <v>0</v>
      </c>
      <c r="X66" s="50">
        <f>IF('T4'!B139="css","css",IF('T4'!B139="aa","aa",IF('T4'!$B139="jc","jc",IF('T4'!$B139="m","m",IF('T4'!$B139="f","f",IF('T4'!$B139="cp","cp",'T4'!$N139))))))</f>
        <v>0</v>
      </c>
      <c r="Y66" s="99">
        <f>IF('T4'!C139="css","css",IF('T4'!C139="aa","aa",IF('T4'!$C139="jc","jc",IF('T4'!$C139="m","m",IF('T4'!$C139="f","f",IF('T4'!$C139="cp","cp",'T4'!$O139))))))</f>
        <v>0</v>
      </c>
      <c r="Z66" s="50">
        <f>IF($Z$62+1&gt;$AA$62,"",IF('T4'!B7="css","css",IF('T4'!B151="aa","aa",IF('T4'!$B151="jc","jc",IF('T4'!$B151="m","m",IF('T4'!$B151="f","f",IF('T4'!$B151="cp","cp",'T4'!$N151)))))))</f>
        <v>0</v>
      </c>
      <c r="AA66" s="130">
        <f>IF($Z$62+1&gt;$AA$62,"",IF('T4'!B7="css","css",IF('T4'!C151="aa","aa",IF('T4'!$C151="jc","jc",IF('T4'!$C151="m","m",IF('T4'!$C151="f","f",IF('T4'!$C151="cp","cp",'T4'!$O151)))))))</f>
        <v>0</v>
      </c>
    </row>
    <row r="67" spans="1:28" ht="15" customHeight="1" x14ac:dyDescent="0.25">
      <c r="A67" s="52" t="s">
        <v>4</v>
      </c>
      <c r="B67" s="50">
        <f>IF('T4'!B8="css","css",IF('T4'!B8="aa","aa",IF('T4'!B8="jc","jc",IF('T4'!B8="m","m",IF('T4'!B8="f","f",IF('T4'!B8="cp","cp",'T4'!N8))))))</f>
        <v>0</v>
      </c>
      <c r="C67" s="99">
        <f>IF('T4'!C8="css","css",IF('T4'!C8="aa","aa",IF('T4'!$C8="jc","jc",IF('T4'!$C8="m","m",IF('T4'!$C8="f","f",IF('T4'!$C8="cp","cp",'T4'!$O8))))))</f>
        <v>0</v>
      </c>
      <c r="D67" s="50">
        <f>IF('T4'!B20="css","css",IF('T4'!B20="aa","aa",IF('T4'!B20="jc","jc",IF('T4'!B20="m","m",IF('T4'!B20="f","f",IF('T4'!B20="cp","cp",'T4'!N20))))))</f>
        <v>0</v>
      </c>
      <c r="E67" s="99">
        <f>IF('T4'!C20="css","css",IF('T4'!C20="aa","aa",IF('T4'!$C20="jc","jc",IF('T4'!$C20="m","m",IF('T4'!$C20="f","f",IF('T4'!$C20="cp","cp",'T4'!$O20))))))</f>
        <v>0</v>
      </c>
      <c r="F67" s="50">
        <f>IF('T4'!B32="css","css",IF('T4'!B32="aa","aa",IF('T4'!$B32="jc","jc",IF('T4'!$B32="m","m",IF('T4'!$B32="f","f",IF('T4'!$B32="cp","cp",'T4'!$N32))))))</f>
        <v>0</v>
      </c>
      <c r="G67" s="99">
        <f>IF('T4'!C32="css","css",IF('T4'!C32="aa","aa",IF('T4'!$C32="jc","jc",IF('T4'!$C32="m","m",IF('T4'!$C32="f","f",IF('T4'!$C32="cp","cp",'T4'!$O32))))))</f>
        <v>0</v>
      </c>
      <c r="H67" s="50">
        <f>IF('T4'!B44="css","css",IF('T4'!B44="aa","aa",IF('T4'!$B44="jc","jc",IF('T4'!$B44="m","m",IF('T4'!$B44="f","f",IF('T4'!$B44="cp","cp",'T4'!$N44))))))</f>
        <v>0</v>
      </c>
      <c r="I67" s="99">
        <f>IF('T4'!C44="css","css",IF('T4'!C44="aa","aa",IF('T4'!$C44="jc","jc",IF('T4'!$C44="m","m",IF('T4'!$C44="f","f",IF('T4'!$C44="cp","cp",'T4'!$O44))))))</f>
        <v>0</v>
      </c>
      <c r="J67" s="50">
        <f>IF('T4'!B56="css","css",IF('T4'!B56="aa","aa",IF('T4'!$B56="jc","jc",IF('T4'!$B56="m","m",IF('T4'!$B56="f","f",IF('T4'!$B56="cp","cp",'T4'!$N56))))))</f>
        <v>0</v>
      </c>
      <c r="K67" s="99">
        <f>IF('T4'!C56="css","css",IF('T4'!C56="aa","aa",IF('T4'!$C56="jc","jc",IF('T4'!$C56="m","m",IF('T4'!$C56="f","f",IF('T4'!$C56="cp","cp",'T4'!$O56))))))</f>
        <v>0</v>
      </c>
      <c r="L67" s="50">
        <f>IF('T4'!B68="css","css",IF('T4'!B68="aa","aa",IF('T4'!$B68="jc","jc",IF('T4'!$B68="m","m",IF('T4'!$B68="f","f",IF('T4'!$B68="cp","cp",'T4'!$N68))))))</f>
        <v>0</v>
      </c>
      <c r="M67" s="99">
        <f>IF('T4'!C68="css","css",IF('T4'!C68="aa","aa",IF('T4'!$C68="jc","jc",IF('T4'!$C68="m","m",IF('T4'!$C68="f","f",IF('T4'!$C68="cp","cp",'T4'!$O68))))))</f>
        <v>0</v>
      </c>
      <c r="N67" s="50">
        <f>IF('T4'!B80="css","css",IF('T4'!B80="aa","aa",IF('T4'!$B80="jc","jc",IF('T4'!$B80="m","m",IF('T4'!$B80="f","f",IF('T4'!$B80="cp","cp",'T4'!$N80))))))</f>
        <v>0</v>
      </c>
      <c r="O67" s="99">
        <f>IF('T4'!C80="css","css",IF('T4'!C80="aa","aa",IF('T4'!$C80="jc","jc",IF('T4'!$C80="m","m",IF('T4'!$C80="f","f",IF('T4'!$C80="cp","cp",'T4'!$O80))))))</f>
        <v>0</v>
      </c>
      <c r="P67" s="50">
        <f>IF('T4'!B92="css","css",IF('T4'!B92="aa","aa",IF('T4'!$B92="jc","jc",IF('T4'!$B92="m","m",IF('T4'!$B92="f","f",IF('T4'!$B92="cp","cp",'T4'!$N92))))))</f>
        <v>0</v>
      </c>
      <c r="Q67" s="99">
        <f>IF('T4'!C92="css","css",IF('T4'!C92="aa","aa",IF('T4'!$C92="jc","jc",IF('T4'!$C92="m","m",IF('T4'!$C92="f","f",IF('T4'!$C92="cp","cp",'T4'!$O92))))))</f>
        <v>0</v>
      </c>
      <c r="R67" s="50">
        <f>IF('T4'!B104="css","css",IF('T4'!B104="aa","aa",IF('T4'!$B104="jc","jc",IF('T4'!$B104="m","m",IF('T4'!$B104="f","f",IF('T4'!$B104="cp","cp",'T4'!$N104))))))</f>
        <v>0</v>
      </c>
      <c r="S67" s="99">
        <f>IF('T4'!C104="css","css",IF('T4'!C104="aa","aa",IF('T4'!$C104="jc","jc",IF('T4'!$C104="m","m",IF('T4'!$C104="f","f",IF('T4'!$C104="cp","cp",'T4'!$O104))))))</f>
        <v>0</v>
      </c>
      <c r="T67" s="50">
        <f>IF('T4'!B116="css","css",IF('T4'!B116="aa","aa",IF('T4'!$B116="jc","jc",IF('T4'!$B116="m","m",IF('T4'!$B116="f","f",IF('T4'!$B116="cp","cp",'T4'!$N116))))))</f>
        <v>0</v>
      </c>
      <c r="U67" s="99">
        <f>IF('T4'!C116="css","css",IF('T4'!C116="aa","aa",IF('T4'!$C116="jc","jc",IF('T4'!$C116="m","m",IF('T4'!$C116="f","f",IF('T4'!$C116="cp","cp",'T4'!$O116))))))</f>
        <v>0</v>
      </c>
      <c r="V67" s="50">
        <f>IF('T4'!B128="css","css",IF('T4'!B128="aa","aa",IF('T4'!$B128="jc","jc",IF('T4'!$B128="m","m",IF('T4'!$B128="f","f",IF('T4'!$B128="cp","cp",'T4'!$N128))))))</f>
        <v>0</v>
      </c>
      <c r="W67" s="99">
        <f>IF('T4'!C128="css","css",IF('T4'!C128="aa","aa",IF('T4'!$C128="jc","jc",IF('T4'!$C128="m","m",IF('T4'!$C128="f","f",IF('T4'!$C128="cp","cp",'T4'!$O128))))))</f>
        <v>0</v>
      </c>
      <c r="X67" s="50">
        <f>IF('T4'!B140="css","css",IF('T4'!B140="aa","aa",IF('T4'!$B140="jc","jc",IF('T4'!$B140="m","m",IF('T4'!$B140="f","f",IF('T4'!$B140="cp","cp",'T4'!$N140))))))</f>
        <v>0</v>
      </c>
      <c r="Y67" s="99">
        <f>IF('T4'!C140="css","css",IF('T4'!C140="aa","aa",IF('T4'!$C140="jc","jc",IF('T4'!$C140="m","m",IF('T4'!$C140="f","f",IF('T4'!$C140="cp","cp",'T4'!$O140))))))</f>
        <v>0</v>
      </c>
      <c r="Z67" s="50" t="str">
        <f>IF($Z$62+2&gt;$AA$62,"",IF('T4'!B8="css","css",IF('T4'!B152="aa","aa",IF('T4'!$B152="jc","jc",IF('T4'!$B152="m","m",IF('T4'!$B152="f","f",IF('T4'!$B152="cp","cp",'T4'!$N152)))))))</f>
        <v/>
      </c>
      <c r="AA67" s="130" t="str">
        <f>IF($Z$62+2&gt;$AA$62,"",IF('T4'!B8="css","css",IF('T4'!C152="aa","aa",IF('T4'!$C152="jc","jc",IF('T4'!$C152="m","m",IF('T4'!$C152="f","f",IF('T4'!$C152="cp","cp",'T4'!$O152)))))))</f>
        <v/>
      </c>
    </row>
    <row r="68" spans="1:28" ht="15" customHeight="1" x14ac:dyDescent="0.25">
      <c r="A68" s="52" t="s">
        <v>5</v>
      </c>
      <c r="B68" s="50">
        <f>IF('T4'!B9="css","css",IF('T4'!B9="aa","aa",IF('T4'!B9="jc","jc",IF('T4'!B9="m","m",IF('T4'!B9="f","f",IF('T4'!B9="cp","cp",'T4'!N9))))))</f>
        <v>0</v>
      </c>
      <c r="C68" s="99">
        <f>IF('T4'!C9="css","css",IF('T4'!C9="aa","aa",IF('T4'!$C9="jc","jc",IF('T4'!$C9="m","m",IF('T4'!$C9="f","f",IF('T4'!$C9="cp","cp",'T4'!$O9))))))</f>
        <v>0</v>
      </c>
      <c r="D68" s="50">
        <f>IF('T4'!B21="css","css",IF('T4'!B21="aa","aa",IF('T4'!B21="jc","jc",IF('T4'!B21="m","m",IF('T4'!B21="f","f",IF('T4'!B21="cp","cp",'T4'!N21))))))</f>
        <v>0</v>
      </c>
      <c r="E68" s="99">
        <f>IF('T4'!C21="css","css",IF('T4'!C21="aa","aa",IF('T4'!$C21="jc","jc",IF('T4'!$C21="m","m",IF('T4'!$C21="f","f",IF('T4'!$C21="cp","cp",'T4'!$O21))))))</f>
        <v>0</v>
      </c>
      <c r="F68" s="50">
        <f>IF('T4'!B33="css","css",IF('T4'!B33="aa","aa",IF('T4'!$B33="jc","jc",IF('T4'!$B33="m","m",IF('T4'!$B33="f","f",IF('T4'!$B33="cp","cp",'T4'!$N33))))))</f>
        <v>0</v>
      </c>
      <c r="G68" s="99">
        <f>IF('T4'!C33="css","css",IF('T4'!C33="aa","aa",IF('T4'!$C33="jc","jc",IF('T4'!$C33="m","m",IF('T4'!$C33="f","f",IF('T4'!$C33="cp","cp",'T4'!$O33))))))</f>
        <v>0</v>
      </c>
      <c r="H68" s="50">
        <f>IF('T4'!B45="css","css",IF('T4'!B45="aa","aa",IF('T4'!$B45="jc","jc",IF('T4'!$B45="m","m",IF('T4'!$B45="f","f",IF('T4'!$B45="cp","cp",'T4'!$N45))))))</f>
        <v>0</v>
      </c>
      <c r="I68" s="99">
        <f>IF('T4'!C45="css","css",IF('T4'!C45="aa","aa",IF('T4'!$C45="jc","jc",IF('T4'!$C45="m","m",IF('T4'!$C45="f","f",IF('T4'!$C45="cp","cp",'T4'!$O45))))))</f>
        <v>0</v>
      </c>
      <c r="J68" s="50">
        <f>IF('T4'!B57="css","css",IF('T4'!B57="aa","aa",IF('T4'!$B57="jc","jc",IF('T4'!$B57="m","m",IF('T4'!$B57="f","f",IF('T4'!$B57="cp","cp",'T4'!$N57))))))</f>
        <v>0</v>
      </c>
      <c r="K68" s="99">
        <f>IF('T4'!C57="css","css",IF('T4'!C57="aa","aa",IF('T4'!$C57="jc","jc",IF('T4'!$C57="m","m",IF('T4'!$C57="f","f",IF('T4'!$C57="cp","cp",'T4'!$O57))))))</f>
        <v>0</v>
      </c>
      <c r="L68" s="50">
        <f>IF('T4'!B69="css","css",IF('T4'!B69="aa","aa",IF('T4'!$B69="jc","jc",IF('T4'!$B69="m","m",IF('T4'!$B69="f","f",IF('T4'!$B69="cp","cp",'T4'!$N69))))))</f>
        <v>0</v>
      </c>
      <c r="M68" s="99">
        <f>IF('T4'!C69="css","css",IF('T4'!C69="aa","aa",IF('T4'!$C69="jc","jc",IF('T4'!$C69="m","m",IF('T4'!$C69="f","f",IF('T4'!$C69="cp","cp",'T4'!$O69))))))</f>
        <v>0</v>
      </c>
      <c r="N68" s="50">
        <f>IF('T4'!B81="css","css",IF('T4'!B81="aa","aa",IF('T4'!$B81="jc","jc",IF('T4'!$B81="m","m",IF('T4'!$B81="f","f",IF('T4'!$B81="cp","cp",'T4'!$N81))))))</f>
        <v>0</v>
      </c>
      <c r="O68" s="99">
        <f>IF('T4'!C81="css","css",IF('T4'!C81="aa","aa",IF('T4'!$C81="jc","jc",IF('T4'!$C81="m","m",IF('T4'!$C81="f","f",IF('T4'!$C81="cp","cp",'T4'!$O81))))))</f>
        <v>0</v>
      </c>
      <c r="P68" s="50">
        <f>IF('T4'!B93="css","css",IF('T4'!B93="aa","aa",IF('T4'!$B93="jc","jc",IF('T4'!$B93="m","m",IF('T4'!$B93="f","f",IF('T4'!$B93="cp","cp",'T4'!$N93))))))</f>
        <v>0</v>
      </c>
      <c r="Q68" s="99">
        <f>IF('T4'!C93="css","css",IF('T4'!C93="aa","aa",IF('T4'!$C93="jc","jc",IF('T4'!$C93="m","m",IF('T4'!$C93="f","f",IF('T4'!$C93="cp","cp",'T4'!$O93))))))</f>
        <v>0</v>
      </c>
      <c r="R68" s="50">
        <f>IF('T4'!B105="css","css",IF('T4'!B105="aa","aa",IF('T4'!$B105="jc","jc",IF('T4'!$B105="m","m",IF('T4'!$B105="f","f",IF('T4'!$B105="cp","cp",'T4'!$N105))))))</f>
        <v>0</v>
      </c>
      <c r="S68" s="99">
        <f>IF('T4'!C105="css","css",IF('T4'!C105="aa","aa",IF('T4'!$C105="jc","jc",IF('T4'!$C105="m","m",IF('T4'!$C105="f","f",IF('T4'!$C105="cp","cp",'T4'!$O105))))))</f>
        <v>0</v>
      </c>
      <c r="T68" s="50">
        <f>IF('T4'!B117="css","css",IF('T4'!B117="aa","aa",IF('T4'!$B117="jc","jc",IF('T4'!$B117="m","m",IF('T4'!$B117="f","f",IF('T4'!$B117="cp","cp",'T4'!$N117))))))</f>
        <v>0</v>
      </c>
      <c r="U68" s="99">
        <f>IF('T4'!C117="css","css",IF('T4'!C117="aa","aa",IF('T4'!$C117="jc","jc",IF('T4'!$C117="m","m",IF('T4'!$C117="f","f",IF('T4'!$C117="cp","cp",'T4'!$O117))))))</f>
        <v>0</v>
      </c>
      <c r="V68" s="50">
        <f>IF('T4'!B129="css","css",IF('T4'!B129="aa","aa",IF('T4'!$B129="jc","jc",IF('T4'!$B129="m","m",IF('T4'!$B129="f","f",IF('T4'!$B129="cp","cp",'T4'!$N129))))))</f>
        <v>0</v>
      </c>
      <c r="W68" s="99">
        <f>IF('T4'!C129="css","css",IF('T4'!C129="aa","aa",IF('T4'!$C129="jc","jc",IF('T4'!$C129="m","m",IF('T4'!$C129="f","f",IF('T4'!$C129="cp","cp",'T4'!$O129))))))</f>
        <v>0</v>
      </c>
      <c r="X68" s="50">
        <f>IF('T4'!B141="css","css",IF('T4'!B141="aa","aa",IF('T4'!$B141="jc","jc",IF('T4'!$B141="m","m",IF('T4'!$B141="f","f",IF('T4'!$B141="cp","cp",'T4'!$N141))))))</f>
        <v>0</v>
      </c>
      <c r="Y68" s="99">
        <f>IF('T4'!C141="css","css",IF('T4'!C141="aa","aa",IF('T4'!$C141="jc","jc",IF('T4'!$C141="m","m",IF('T4'!$C141="f","f",IF('T4'!$C141="cp","cp",'T4'!$O141))))))</f>
        <v>0</v>
      </c>
      <c r="Z68" s="50" t="str">
        <f>IF($Z$62+3&gt;$AA$62,"",IF('T4'!B9="css","css",IF('T4'!B153="aa","aa",IF('T4'!$B153="jc","jc",IF('T4'!$B153="m","m",IF('T4'!$B153="f","f",IF('T4'!$B153="cp","cp",'T4'!$N153)))))))</f>
        <v/>
      </c>
      <c r="AA68" s="130" t="str">
        <f>IF($Z$62+3&gt;$AA$62,"",IF('T4'!B9="css","css",IF('T4'!C153="aa","aa",IF('T4'!$C153="jc","jc",IF('T4'!$C153="m","m",IF('T4'!$C153="f","f",IF('T4'!$C153="cp","cp",'T4'!$O153)))))))</f>
        <v/>
      </c>
    </row>
    <row r="69" spans="1:28" ht="15" customHeight="1" x14ac:dyDescent="0.25">
      <c r="A69" s="52" t="s">
        <v>6</v>
      </c>
      <c r="B69" s="50">
        <f>IF('T4'!B10="css","css",IF('T4'!B10="aa","aa",IF('T4'!B10="jc","jc",IF('T4'!B10="m","m",IF('T4'!B10="f","f",IF('T4'!B10="cp","cp",'T4'!N10))))))</f>
        <v>0</v>
      </c>
      <c r="C69" s="99">
        <f>IF('T4'!C10="css","css",IF('T4'!C10="aa","aa",IF('T4'!$C10="jc","jc",IF('T4'!$C10="m","m",IF('T4'!$C10="f","f",IF('T4'!$C10="cp","cp",'T4'!$O10))))))</f>
        <v>0</v>
      </c>
      <c r="D69" s="50">
        <f>IF('T4'!B22="css","css",IF('T4'!B22="aa","aa",IF('T4'!B22="jc","jc",IF('T4'!B22="m","m",IF('T4'!B22="f","f",IF('T4'!B22="cp","cp",'T4'!N22))))))</f>
        <v>0</v>
      </c>
      <c r="E69" s="99">
        <f>IF('T4'!C22="css","css",IF('T4'!C22="aa","aa",IF('T4'!$C22="jc","jc",IF('T4'!$C22="m","m",IF('T4'!$C22="f","f",IF('T4'!$C22="cp","cp",'T4'!$O22))))))</f>
        <v>0</v>
      </c>
      <c r="F69" s="50">
        <f>IF('T4'!B34="css","css",IF('T4'!B34="aa","aa",IF('T4'!$B34="jc","jc",IF('T4'!$B34="m","m",IF('T4'!$B34="f","f",IF('T4'!$B34="cp","cp",'T4'!$N34))))))</f>
        <v>0</v>
      </c>
      <c r="G69" s="99">
        <f>IF('T4'!C34="css","css",IF('T4'!C34="aa","aa",IF('T4'!$C34="jc","jc",IF('T4'!$C34="m","m",IF('T4'!$C34="f","f",IF('T4'!$C34="cp","cp",'T4'!$O34))))))</f>
        <v>0</v>
      </c>
      <c r="H69" s="50">
        <f>IF('T4'!B46="css","css",IF('T4'!B46="aa","aa",IF('T4'!$B46="jc","jc",IF('T4'!$B46="m","m",IF('T4'!$B46="f","f",IF('T4'!$B46="cp","cp",'T4'!$N46))))))</f>
        <v>0</v>
      </c>
      <c r="I69" s="99">
        <f>IF('T4'!C46="css","css",IF('T4'!C46="aa","aa",IF('T4'!$C46="jc","jc",IF('T4'!$C46="m","m",IF('T4'!$C46="f","f",IF('T4'!$C46="cp","cp",'T4'!$O46))))))</f>
        <v>0</v>
      </c>
      <c r="J69" s="50">
        <f>IF('T4'!B58="css","css",IF('T4'!B58="aa","aa",IF('T4'!$B58="jc","jc",IF('T4'!$B58="m","m",IF('T4'!$B58="f","f",IF('T4'!$B58="cp","cp",'T4'!$N58))))))</f>
        <v>0</v>
      </c>
      <c r="K69" s="99">
        <f>IF('T4'!C58="css","css",IF('T4'!C58="aa","aa",IF('T4'!$C58="jc","jc",IF('T4'!$C58="m","m",IF('T4'!$C58="f","f",IF('T4'!$C58="cp","cp",'T4'!$O58))))))</f>
        <v>0</v>
      </c>
      <c r="L69" s="50">
        <f>IF('T4'!B70="css","css",IF('T4'!B70="aa","aa",IF('T4'!$B70="jc","jc",IF('T4'!$B70="m","m",IF('T4'!$B70="f","f",IF('T4'!$B70="cp","cp",'T4'!$N70))))))</f>
        <v>0</v>
      </c>
      <c r="M69" s="99">
        <f>IF('T4'!C70="css","css",IF('T4'!C70="aa","aa",IF('T4'!$C70="jc","jc",IF('T4'!$C70="m","m",IF('T4'!$C70="f","f",IF('T4'!$C70="cp","cp",'T4'!$O70))))))</f>
        <v>0</v>
      </c>
      <c r="N69" s="50">
        <f>IF('T4'!B82="css","css",IF('T4'!B82="aa","aa",IF('T4'!$B82="jc","jc",IF('T4'!$B82="m","m",IF('T4'!$B82="f","f",IF('T4'!$B82="cp","cp",'T4'!$N82))))))</f>
        <v>0</v>
      </c>
      <c r="O69" s="99">
        <f>IF('T4'!C82="css","css",IF('T4'!C82="aa","aa",IF('T4'!$C82="jc","jc",IF('T4'!$C82="m","m",IF('T4'!$C82="f","f",IF('T4'!$C82="cp","cp",'T4'!$O82))))))</f>
        <v>0</v>
      </c>
      <c r="P69" s="50">
        <f>IF('T4'!B94="css","css",IF('T4'!B94="aa","aa",IF('T4'!$B94="jc","jc",IF('T4'!$B94="m","m",IF('T4'!$B94="f","f",IF('T4'!$B94="cp","cp",'T4'!$N94))))))</f>
        <v>0</v>
      </c>
      <c r="Q69" s="99">
        <f>IF('T4'!C94="css","css",IF('T4'!C94="aa","aa",IF('T4'!$C94="jc","jc",IF('T4'!$C94="m","m",IF('T4'!$C94="f","f",IF('T4'!$C94="cp","cp",'T4'!$O94))))))</f>
        <v>0</v>
      </c>
      <c r="R69" s="50">
        <f>IF('T4'!B106="css","css",IF('T4'!B106="aa","aa",IF('T4'!$B106="jc","jc",IF('T4'!$B106="m","m",IF('T4'!$B106="f","f",IF('T4'!$B106="cp","cp",'T4'!$N106))))))</f>
        <v>0</v>
      </c>
      <c r="S69" s="99">
        <f>IF('T4'!C106="css","css",IF('T4'!C106="aa","aa",IF('T4'!$C106="jc","jc",IF('T4'!$C106="m","m",IF('T4'!$C106="f","f",IF('T4'!$C106="cp","cp",'T4'!$O106))))))</f>
        <v>0</v>
      </c>
      <c r="T69" s="50">
        <f>IF('T4'!B118="css","css",IF('T4'!B118="aa","aa",IF('T4'!$B118="jc","jc",IF('T4'!$B118="m","m",IF('T4'!$B118="f","f",IF('T4'!$B118="cp","cp",'T4'!$N118))))))</f>
        <v>0</v>
      </c>
      <c r="U69" s="99">
        <f>IF('T4'!C118="css","css",IF('T4'!C118="aa","aa",IF('T4'!$C118="jc","jc",IF('T4'!$C118="m","m",IF('T4'!$C118="f","f",IF('T4'!$C118="cp","cp",'T4'!$O118))))))</f>
        <v>0</v>
      </c>
      <c r="V69" s="50">
        <f>IF('T4'!B130="css","css",IF('T4'!B130="aa","aa",IF('T4'!$B130="jc","jc",IF('T4'!$B130="m","m",IF('T4'!$B130="f","f",IF('T4'!$B130="cp","cp",'T4'!$N130))))))</f>
        <v>0</v>
      </c>
      <c r="W69" s="99">
        <f>IF('T4'!C130="css","css",IF('T4'!C130="aa","aa",IF('T4'!$C130="jc","jc",IF('T4'!$C130="m","m",IF('T4'!$C130="f","f",IF('T4'!$C130="cp","cp",'T4'!$O130))))))</f>
        <v>0</v>
      </c>
      <c r="X69" s="50">
        <f>IF('T4'!B142="css","css",IF('T4'!B142="aa","aa",IF('T4'!$B142="jc","jc",IF('T4'!$B142="m","m",IF('T4'!$B142="f","f",IF('T4'!$B142="cp","cp",'T4'!$N142))))))</f>
        <v>0</v>
      </c>
      <c r="Y69" s="99">
        <f>IF('T4'!C142="css","css",IF('T4'!C142="aa","aa",IF('T4'!$C142="jc","jc",IF('T4'!$C142="m","m",IF('T4'!$C142="f","f",IF('T4'!$C142="cp","cp",'T4'!$O142))))))</f>
        <v>0</v>
      </c>
      <c r="Z69" s="50" t="str">
        <f>IF($Z$62+4&gt;$AA$62,"",IF('T4'!B10="css","css",IF('T4'!B154="aa","aa",IF('T4'!$B154="jc","jc",IF('T4'!$B154="m","m",IF('T4'!$B154="f","f",IF('T4'!$B154="cp","cp",'T4'!$N154)))))))</f>
        <v/>
      </c>
      <c r="AA69" s="130" t="str">
        <f>IF($Z$62+4&gt;$AA$62,"",IF('T4'!B10="css","css",IF('T4'!C154="aa","aa",IF('T4'!$C154="jc","jc",IF('T4'!$C154="m","m",IF('T4'!$C154="f","f",IF('T4'!$C154="cp","cp",'T4'!$O154)))))))</f>
        <v/>
      </c>
    </row>
    <row r="70" spans="1:28" ht="15" customHeight="1" x14ac:dyDescent="0.25">
      <c r="A70" s="52" t="s">
        <v>7</v>
      </c>
      <c r="B70" s="129">
        <f>IF('T4'!B11="css","css",IF('T4'!B11="aa","aa",IF('T4'!B11="jc","jc",IF('T4'!B11="m","m",IF('T4'!B11="f","f",IF('T4'!B11="cp","cp",'T4'!N11))))))</f>
        <v>0</v>
      </c>
      <c r="C70" s="100">
        <f>IF('T4'!C11="css","css",IF('T4'!C11="aa","aa",IF('T4'!$C11="jc","jc",IF('T4'!$C11="m","m",IF('T4'!$C11="f","f",IF('T4'!$C11="cp","cp",'T4'!$O11))))))</f>
        <v>0</v>
      </c>
      <c r="D70" s="129">
        <f>IF('T4'!B23="css","css",IF('T4'!B23="aa","aa",IF('T4'!B23="jc","jc",IF('T4'!B23="m","m",IF('T4'!B23="f","f",IF('T4'!B23="cp","cp",'T4'!N23))))))</f>
        <v>0</v>
      </c>
      <c r="E70" s="100">
        <f>IF('T4'!C23="css","css",IF('T4'!C23="aa","aa",IF('T4'!$C23="jc","jc",IF('T4'!$C23="m","m",IF('T4'!$C23="f","f",IF('T4'!$C23="cp","cp",'T4'!$O23))))))</f>
        <v>0</v>
      </c>
      <c r="F70" s="129">
        <f>IF('T4'!B35="css","css",IF('T4'!B35="aa","aa",IF('T4'!$B35="jc","jc",IF('T4'!$B35="m","m",IF('T4'!$B35="f","f",IF('T4'!$B35="cp","cp",'T4'!$N35))))))</f>
        <v>0</v>
      </c>
      <c r="G70" s="100">
        <f>IF('T4'!C35="css","css",IF('T4'!C35="aa","aa",IF('T4'!$C35="jc","jc",IF('T4'!$C35="m","m",IF('T4'!$C35="f","f",IF('T4'!$C35="cp","cp",'T4'!$O35))))))</f>
        <v>0</v>
      </c>
      <c r="H70" s="129">
        <f>IF('T4'!B47="css","css",IF('T4'!B47="aa","aa",IF('T4'!$B47="jc","jc",IF('T4'!$B47="m","m",IF('T4'!$B47="f","f",IF('T4'!$B47="cp","cp",'T4'!$N47))))))</f>
        <v>0</v>
      </c>
      <c r="I70" s="100">
        <f>IF('T4'!C47="css","css",IF('T4'!C47="aa","aa",IF('T4'!$C47="jc","jc",IF('T4'!$C47="m","m",IF('T4'!$C47="f","f",IF('T4'!$C47="cp","cp",'T4'!$O47))))))</f>
        <v>0</v>
      </c>
      <c r="J70" s="129">
        <f>IF('T4'!B59="css","css",IF('T4'!B59="aa","aa",IF('T4'!$B59="jc","jc",IF('T4'!$B59="m","m",IF('T4'!$B59="f","f",IF('T4'!$B59="cp","cp",'T4'!$N59))))))</f>
        <v>0</v>
      </c>
      <c r="K70" s="100">
        <f>IF('T4'!C59="css","css",IF('T4'!C59="aa","aa",IF('T4'!$C59="jc","jc",IF('T4'!$C59="m","m",IF('T4'!$C59="f","f",IF('T4'!$C59="cp","cp",'T4'!$O59))))))</f>
        <v>0</v>
      </c>
      <c r="L70" s="129">
        <f>IF('T4'!B71="css","css",IF('T4'!B71="aa","aa",IF('T4'!$B71="jc","jc",IF('T4'!$B71="m","m",IF('T4'!$B71="f","f",IF('T4'!$B71="cp","cp",'T4'!$N71))))))</f>
        <v>0</v>
      </c>
      <c r="M70" s="100">
        <f>IF('T4'!C71="css","css",IF('T4'!C71="aa","aa",IF('T4'!$C71="jc","jc",IF('T4'!$C71="m","m",IF('T4'!$C71="f","f",IF('T4'!$C71="cp","cp",'T4'!$O71))))))</f>
        <v>0</v>
      </c>
      <c r="N70" s="129">
        <f>IF('T4'!B83="css","css",IF('T4'!B83="aa","aa",IF('T4'!$B83="jc","jc",IF('T4'!$B83="m","m",IF('T4'!$B83="f","f",IF('T4'!$B83="cp","cp",'T4'!$N83))))))</f>
        <v>0</v>
      </c>
      <c r="O70" s="100">
        <f>IF('T4'!C83="css","css",IF('T4'!C83="aa","aa",IF('T4'!$C83="jc","jc",IF('T4'!$C83="m","m",IF('T4'!$C83="f","f",IF('T4'!$C83="cp","cp",'T4'!$O83))))))</f>
        <v>0</v>
      </c>
      <c r="P70" s="129">
        <f>IF('T4'!B95="css","css",IF('T4'!B95="aa","aa",IF('T4'!$B95="jc","jc",IF('T4'!$B95="m","m",IF('T4'!$B95="f","f",IF('T4'!$B95="cp","cp",'T4'!$N95))))))</f>
        <v>0</v>
      </c>
      <c r="Q70" s="100">
        <f>IF('T4'!C95="css","css",IF('T4'!C95="aa","aa",IF('T4'!$C95="jc","jc",IF('T4'!$C95="m","m",IF('T4'!$C95="f","f",IF('T4'!$C95="cp","cp",'T4'!$O95))))))</f>
        <v>0</v>
      </c>
      <c r="R70" s="129">
        <f>IF('T4'!B107="css","css",IF('T4'!B107="aa","aa",IF('T4'!$B107="jc","jc",IF('T4'!$B107="m","m",IF('T4'!$B107="f","f",IF('T4'!$B107="cp","cp",'T4'!$N107))))))</f>
        <v>0</v>
      </c>
      <c r="S70" s="100">
        <f>IF('T4'!C107="css","css",IF('T4'!C107="aa","aa",IF('T4'!$C107="jc","jc",IF('T4'!$C107="m","m",IF('T4'!$C107="f","f",IF('T4'!$C107="cp","cp",'T4'!$O107))))))</f>
        <v>0</v>
      </c>
      <c r="T70" s="129">
        <f>IF('T4'!B119="css","css",IF('T4'!B119="aa","aa",IF('T4'!$B119="jc","jc",IF('T4'!$B119="m","m",IF('T4'!$B119="f","f",IF('T4'!$B119="cp","cp",'T4'!$N119))))))</f>
        <v>0</v>
      </c>
      <c r="U70" s="100">
        <f>IF('T4'!C119="css","css",IF('T4'!C119="aa","aa",IF('T4'!$C119="jc","jc",IF('T4'!$C119="m","m",IF('T4'!$C119="f","f",IF('T4'!$C119="cp","cp",'T4'!$O119))))))</f>
        <v>0</v>
      </c>
      <c r="V70" s="129">
        <f>IF('T4'!B131="css","css",IF('T4'!B131="aa","aa",IF('T4'!$B131="jc","jc",IF('T4'!$B131="m","m",IF('T4'!$B131="f","f",IF('T4'!$B131="cp","cp",'T4'!$N131))))))</f>
        <v>0</v>
      </c>
      <c r="W70" s="100">
        <f>IF('T4'!C131="css","css",IF('T4'!C131="aa","aa",IF('T4'!$C131="jc","jc",IF('T4'!$C131="m","m",IF('T4'!$C131="f","f",IF('T4'!$C131="cp","cp",'T4'!$O131))))))</f>
        <v>0</v>
      </c>
      <c r="X70" s="129">
        <f>IF('T4'!B143="css","css",IF('T4'!B143="aa","aa",IF('T4'!$B143="jc","jc",IF('T4'!$B143="m","m",IF('T4'!$B143="f","f",IF('T4'!$B143="cp","cp",'T4'!$N143))))))</f>
        <v>0</v>
      </c>
      <c r="Y70" s="100">
        <f>IF('T4'!C143="css","css",IF('T4'!C143="aa","aa",IF('T4'!$C143="jc","jc",IF('T4'!$C143="m","m",IF('T4'!$C143="f","f",IF('T4'!$C143="cp","cp",'T4'!$O143))))))</f>
        <v>0</v>
      </c>
      <c r="Z70" s="352" t="str">
        <f>IF($Z$62+5&gt;$AA$62,"",IF('T4'!B11="css","css",IF('T4'!B155="aa","aa",IF('T4'!$B155="jc","jc",IF('T4'!$B155="m","m",IF('T4'!$B155="f","f",IF('T4'!$B155="cp","cp",'T4'!$N155)))))))</f>
        <v/>
      </c>
      <c r="AA70" s="353" t="str">
        <f>IF($Z$62+5&gt;$AA$62,"",IF('T4'!B11="css","css",IF('T4'!C155="aa","aa",IF('T4'!$C155="jc","jc",IF('T4'!$C155="m","m",IF('T4'!$C155="f","f",IF('T4'!$C155="cp","cp",'T4'!$O155)))))))</f>
        <v/>
      </c>
    </row>
    <row r="71" spans="1:28" ht="15" customHeight="1" thickBot="1" x14ac:dyDescent="0.3">
      <c r="A71" s="53" t="s">
        <v>8</v>
      </c>
      <c r="B71" s="133">
        <f>IF('T4'!B12="css","css",IF('T4'!B12="aa","aa",IF('T4'!B12="jc","jc",IF('T4'!B12="m","m",IF('T4'!B12="f","f",IF('T4'!B12="cp","cp",'T4'!N12))))))</f>
        <v>0</v>
      </c>
      <c r="C71" s="101">
        <f>IF('T4'!C12="css","css",IF('T4'!C12="aa","aa",IF('T4'!$C12="jc","jc",IF('T4'!$C12="m","m",IF('T4'!$C12="f","f",IF('T4'!$C12="cp","cp",'T4'!$O12))))))</f>
        <v>0</v>
      </c>
      <c r="D71" s="133">
        <f>IF('T4'!B24="css","css",IF('T4'!B24="aa","aa",IF('T4'!B24="jc","jc",IF('T4'!B24="m","m",IF('T4'!B24="f","f",IF('T4'!B24="cp","cp",'T4'!N24))))))</f>
        <v>0</v>
      </c>
      <c r="E71" s="101">
        <f>IF('T4'!C24="css","css",IF('T4'!C24="aa","aa",IF('T4'!$C24="jc","jc",IF('T4'!$C24="m","m",IF('T4'!$C24="f","f",IF('T4'!$C24="cp","cp",'T4'!$O24))))))</f>
        <v>0</v>
      </c>
      <c r="F71" s="133">
        <f>IF('T4'!B36="css","css",IF('T4'!B36="aa","aa",IF('T4'!$B36="jc","jc",IF('T4'!$B36="m","m",IF('T4'!$B36="f","f",IF('T4'!$B36="cp","cp",'T4'!$N36))))))</f>
        <v>0</v>
      </c>
      <c r="G71" s="101">
        <f>IF('T4'!C36="css","css",IF('T4'!C36="aa","aa",IF('T4'!$C36="jc","jc",IF('T4'!$C36="m","m",IF('T4'!$C36="f","f",IF('T4'!$C36="cp","cp",'T4'!$O36))))))</f>
        <v>0</v>
      </c>
      <c r="H71" s="133">
        <f>IF('T4'!B48="css","css",IF('T4'!B48="aa","aa",IF('T4'!$B48="jc","jc",IF('T4'!$B48="m","m",IF('T4'!$B48="f","f",IF('T4'!$B48="cp","cp",'T4'!$N48))))))</f>
        <v>0</v>
      </c>
      <c r="I71" s="101">
        <f>IF('T4'!C48="css","css",IF('T4'!C48="aa","aa",IF('T4'!$C48="jc","jc",IF('T4'!$C48="m","m",IF('T4'!$C48="f","f",IF('T4'!$C48="cp","cp",'T4'!$O48))))))</f>
        <v>0</v>
      </c>
      <c r="J71" s="133">
        <f>IF('T4'!B60="css","css",IF('T4'!B60="aa","aa",IF('T4'!$B60="jc","jc",IF('T4'!$B60="m","m",IF('T4'!$B60="f","f",IF('T4'!$B60="cp","cp",'T4'!$N60))))))</f>
        <v>0</v>
      </c>
      <c r="K71" s="101">
        <f>IF('T4'!C60="css","css",IF('T4'!C60="aa","aa",IF('T4'!$C60="jc","jc",IF('T4'!$C60="m","m",IF('T4'!$C60="f","f",IF('T4'!$C60="cp","cp",'T4'!$O60))))))</f>
        <v>0</v>
      </c>
      <c r="L71" s="133">
        <f>IF('T4'!B72="css","css",IF('T4'!B72="aa","aa",IF('T4'!$B72="jc","jc",IF('T4'!$B72="m","m",IF('T4'!$B72="f","f",IF('T4'!$B72="cp","cp",'T4'!$N72))))))</f>
        <v>0</v>
      </c>
      <c r="M71" s="101">
        <f>IF('T4'!C72="css","css",IF('T4'!C72="aa","aa",IF('T4'!$C72="jc","jc",IF('T4'!$C72="m","m",IF('T4'!$C72="f","f",IF('T4'!$C72="cp","cp",'T4'!$O72))))))</f>
        <v>0</v>
      </c>
      <c r="N71" s="133">
        <f>IF('T4'!B84="css","css",IF('T4'!B84="aa","aa",IF('T4'!$B84="jc","jc",IF('T4'!$B84="m","m",IF('T4'!$B84="f","f",IF('T4'!$B84="cp","cp",'T4'!$N84))))))</f>
        <v>0</v>
      </c>
      <c r="O71" s="101">
        <f>IF('T4'!C84="css","css",IF('T4'!C84="aa","aa",IF('T4'!$C84="jc","jc",IF('T4'!$C84="m","m",IF('T4'!$C84="f","f",IF('T4'!$C84="cp","cp",'T4'!$O84))))))</f>
        <v>0</v>
      </c>
      <c r="P71" s="133">
        <f>IF('T4'!B96="css","css",IF('T4'!B96="aa","aa",IF('T4'!$B96="jc","jc",IF('T4'!$B96="m","m",IF('T4'!$B96="f","f",IF('T4'!$B96="cp","cp",'T4'!$N96))))))</f>
        <v>0</v>
      </c>
      <c r="Q71" s="101">
        <f>IF('T4'!C96="css","css",IF('T4'!C96="aa","aa",IF('T4'!$C96="jc","jc",IF('T4'!$C96="m","m",IF('T4'!$C96="f","f",IF('T4'!$C96="cp","cp",'T4'!$O96))))))</f>
        <v>0</v>
      </c>
      <c r="R71" s="133">
        <f>IF('T4'!B108="css","css",IF('T4'!B108="aa","aa",IF('T4'!$B108="jc","jc",IF('T4'!$B108="m","m",IF('T4'!$B108="f","f",IF('T4'!$B108="cp","cp",'T4'!$N108))))))</f>
        <v>0</v>
      </c>
      <c r="S71" s="101">
        <f>IF('T4'!C108="css","css",IF('T4'!C108="aa","aa",IF('T4'!$C108="jc","jc",IF('T4'!$C108="m","m",IF('T4'!$C108="f","f",IF('T4'!$C108="cp","cp",'T4'!$O108))))))</f>
        <v>0</v>
      </c>
      <c r="T71" s="133">
        <f>IF('T4'!B120="css","css",IF('T4'!B120="aa","aa",IF('T4'!$B120="jc","jc",IF('T4'!$B120="m","m",IF('T4'!$B120="f","f",IF('T4'!$B120="cp","cp",'T4'!$N120))))))</f>
        <v>0</v>
      </c>
      <c r="U71" s="101">
        <f>IF('T4'!C120="css","css",IF('T4'!C120="aa","aa",IF('T4'!$C120="jc","jc",IF('T4'!$C120="m","m",IF('T4'!$C120="f","f",IF('T4'!$C120="cp","cp",'T4'!$O120))))))</f>
        <v>0</v>
      </c>
      <c r="V71" s="133">
        <f>IF('T4'!B132="css","css",IF('T4'!B132="aa","aa",IF('T4'!$B132="jc","jc",IF('T4'!$B132="m","m",IF('T4'!$B132="f","f",IF('T4'!$B132="cp","cp",'T4'!$N132))))))</f>
        <v>0</v>
      </c>
      <c r="W71" s="101">
        <f>IF('T4'!C132="css","css",IF('T4'!C132="aa","aa",IF('T4'!$C132="jc","jc",IF('T4'!$C132="m","m",IF('T4'!$C132="f","f",IF('T4'!$C132="cp","cp",'T4'!$O132))))))</f>
        <v>0</v>
      </c>
      <c r="X71" s="133">
        <f>IF('T4'!B144="css","css",IF('T4'!B144="aa","aa",IF('T4'!$B144="jc","jc",IF('T4'!$B144="m","m",IF('T4'!$B144="f","f",IF('T4'!$B144="cp","cp",'T4'!$N144))))))</f>
        <v>0</v>
      </c>
      <c r="Y71" s="101">
        <f>IF('T4'!C144="css","css",IF('T4'!C144="aa","aa",IF('T4'!$C144="jc","jc",IF('T4'!$C144="m","m",IF('T4'!$C144="f","f",IF('T4'!$C144="cp","cp",'T4'!$O144))))))</f>
        <v>0</v>
      </c>
      <c r="Z71" s="291" t="str">
        <f>IF($Z$62+6&gt;$AA$62,"",IF('T4'!B12="css","css",IF('T4'!B156="aa","aa",IF('T4'!$B156="jc","jc",IF('T4'!$B156="m","m",IF('T4'!$B156="f","f",IF('T4'!$B156="cp","cp",'T4'!$N156)))))))</f>
        <v/>
      </c>
      <c r="AA71" s="292" t="str">
        <f>IF($Z$62+6&gt;$AA$62,"",IF('T4'!B12="css","css",IF('T4'!C156="aa","aa",IF('T4'!$C156="jc","jc",IF('T4'!$C156="m","m",IF('T4'!$C156="f","f",IF('T4'!$C156="cp","cp",'T4'!$O156)))))))</f>
        <v/>
      </c>
    </row>
    <row r="72" spans="1:28" ht="15" customHeight="1" x14ac:dyDescent="0.25">
      <c r="A72" s="8"/>
      <c r="B72" s="102">
        <f>COUNTIF(B65:B71,"cp")</f>
        <v>0</v>
      </c>
      <c r="C72" s="102"/>
      <c r="D72" s="102">
        <f>COUNTIF(D65:D71,"cp")</f>
        <v>0</v>
      </c>
      <c r="E72" s="102"/>
      <c r="F72" s="102">
        <f>COUNTIF(F65:F71,"cp")</f>
        <v>0</v>
      </c>
      <c r="G72" s="102"/>
      <c r="H72" s="102">
        <f>COUNTIF(H65:H71,"cp")</f>
        <v>0</v>
      </c>
      <c r="I72" s="102"/>
      <c r="J72" s="102">
        <f>COUNTIF(J65:J71,"cp")</f>
        <v>0</v>
      </c>
      <c r="K72" s="102"/>
      <c r="L72" s="102">
        <f>COUNTIF(L65:L71,"cp")</f>
        <v>0</v>
      </c>
      <c r="M72" s="102"/>
      <c r="N72" s="102">
        <f>COUNTIF(N65:N71,"cp")</f>
        <v>0</v>
      </c>
      <c r="O72" s="102"/>
      <c r="P72" s="102">
        <f>COUNTIF(P65:P71,"cp")</f>
        <v>0</v>
      </c>
      <c r="Q72" s="102"/>
      <c r="R72" s="102">
        <f>COUNTIF(R65:R71,"cp")</f>
        <v>0</v>
      </c>
      <c r="S72" s="102"/>
      <c r="T72" s="102">
        <f>COUNTIF(T65:T71,"cp")</f>
        <v>0</v>
      </c>
      <c r="U72" s="102"/>
      <c r="V72" s="102">
        <f>COUNTIF(V65:V71,"cp")</f>
        <v>0</v>
      </c>
      <c r="W72" s="102"/>
      <c r="X72" s="102">
        <f>COUNTIF(X65:X71,"cp")</f>
        <v>0</v>
      </c>
      <c r="Y72" s="102"/>
      <c r="Z72" s="102">
        <f>COUNTIF(Z65:Z71,"cp")</f>
        <v>0</v>
      </c>
      <c r="AA72" s="102"/>
    </row>
    <row r="73" spans="1:28" ht="15" hidden="1" customHeight="1" x14ac:dyDescent="0.25">
      <c r="A73" s="8"/>
      <c r="B73" s="102">
        <f>COUNTIF(B65:B71,"jc")</f>
        <v>0</v>
      </c>
      <c r="C73" s="102"/>
      <c r="D73" s="102">
        <f>COUNTIF(D65:D71,"jc")</f>
        <v>0</v>
      </c>
      <c r="E73" s="102"/>
      <c r="F73" s="102">
        <f>COUNTIF(F65:F71,"jc")</f>
        <v>0</v>
      </c>
      <c r="G73" s="102"/>
      <c r="H73" s="102">
        <f>COUNTIF(H65:H71,"jc")</f>
        <v>0</v>
      </c>
      <c r="I73" s="102"/>
      <c r="J73" s="102">
        <f>COUNTIF(J65:J71,"jc")</f>
        <v>0</v>
      </c>
      <c r="K73" s="102"/>
      <c r="L73" s="102">
        <f>COUNTIF(L65:L71,"jc")</f>
        <v>0</v>
      </c>
      <c r="M73" s="102"/>
      <c r="N73" s="102">
        <f>COUNTIF(N65:N71,"jc")</f>
        <v>0</v>
      </c>
      <c r="O73" s="102"/>
      <c r="P73" s="102">
        <f>COUNTIF(P65:P71,"jc")</f>
        <v>0</v>
      </c>
      <c r="Q73" s="102"/>
      <c r="R73" s="102">
        <f>COUNTIF(R65:R71,"jc")</f>
        <v>0</v>
      </c>
      <c r="S73" s="102"/>
      <c r="T73" s="102">
        <f>COUNTIF(T65:T71,"jc")</f>
        <v>0</v>
      </c>
      <c r="U73" s="102"/>
      <c r="V73" s="102">
        <f>COUNTIF(V65:V71,"jc")</f>
        <v>0</v>
      </c>
      <c r="W73" s="102"/>
      <c r="X73" s="102">
        <f>COUNTIF(X65:X71,"jc")</f>
        <v>0</v>
      </c>
      <c r="Y73" s="102"/>
      <c r="Z73" s="102">
        <f>COUNTIF(Z65:Z71,"jc")</f>
        <v>0</v>
      </c>
      <c r="AA73" s="102"/>
    </row>
    <row r="74" spans="1:28" ht="15" customHeight="1" x14ac:dyDescent="0.25">
      <c r="A74" s="9" t="s">
        <v>11</v>
      </c>
      <c r="B74" s="23">
        <f>SUM(B65:B71)</f>
        <v>0</v>
      </c>
      <c r="C74" s="24">
        <f>+'T4'!O13</f>
        <v>0</v>
      </c>
      <c r="D74" s="23">
        <f>SUM(D65:D71)</f>
        <v>0</v>
      </c>
      <c r="E74" s="24">
        <f>+'T4'!O25</f>
        <v>0</v>
      </c>
      <c r="F74" s="23">
        <f>SUM(F65:F71)</f>
        <v>0</v>
      </c>
      <c r="G74" s="24">
        <f>+'T4'!O37</f>
        <v>0</v>
      </c>
      <c r="H74" s="23">
        <f>SUM(H65:H71)</f>
        <v>0</v>
      </c>
      <c r="I74" s="24">
        <f>+'T4'!O49</f>
        <v>0</v>
      </c>
      <c r="J74" s="23">
        <f>SUM(J65:J71)</f>
        <v>0</v>
      </c>
      <c r="K74" s="24">
        <f>+'T4'!O61</f>
        <v>0</v>
      </c>
      <c r="L74" s="23">
        <f>SUM(L65:L71)</f>
        <v>0</v>
      </c>
      <c r="M74" s="24">
        <f>+'T4'!O73</f>
        <v>0</v>
      </c>
      <c r="N74" s="23">
        <f>SUM(N65:N71)</f>
        <v>0</v>
      </c>
      <c r="O74" s="24">
        <f>+'T4'!O85</f>
        <v>0</v>
      </c>
      <c r="P74" s="23">
        <f>SUM(P65:P71)</f>
        <v>0</v>
      </c>
      <c r="Q74" s="24">
        <f>+'T4'!O97</f>
        <v>0</v>
      </c>
      <c r="R74" s="23">
        <f>SUM(R65:R71)</f>
        <v>0</v>
      </c>
      <c r="S74" s="24">
        <f>+'T4'!O109</f>
        <v>0</v>
      </c>
      <c r="T74" s="23">
        <f>SUM(T65:T71)</f>
        <v>0</v>
      </c>
      <c r="U74" s="24">
        <f>+'T4'!O121</f>
        <v>0</v>
      </c>
      <c r="V74" s="23">
        <f>SUM(V65:V71)</f>
        <v>0</v>
      </c>
      <c r="W74" s="24">
        <f>+'T4'!O133</f>
        <v>0</v>
      </c>
      <c r="X74" s="23">
        <f>SUM(X65:X71)</f>
        <v>0</v>
      </c>
      <c r="Y74" s="24">
        <f>+'T4'!O145</f>
        <v>0</v>
      </c>
      <c r="Z74" s="23">
        <f>SUM(Z65:Z71)</f>
        <v>0</v>
      </c>
      <c r="AA74" s="24">
        <f>+'T4'!O157</f>
        <v>0</v>
      </c>
    </row>
    <row r="75" spans="1:28" ht="15" customHeight="1" x14ac:dyDescent="0.3">
      <c r="A75" s="46" t="s">
        <v>117</v>
      </c>
      <c r="B75" s="55">
        <f>+AA75-W75</f>
        <v>0</v>
      </c>
      <c r="C75" s="27"/>
      <c r="D75" s="27"/>
      <c r="E75" s="27"/>
      <c r="F75" s="27"/>
      <c r="G75" s="27"/>
      <c r="H75" s="27"/>
      <c r="I75" s="27"/>
      <c r="J75" s="27"/>
      <c r="K75" s="27"/>
      <c r="L75" s="26"/>
      <c r="M75" s="26"/>
      <c r="N75" s="26"/>
      <c r="O75" s="26"/>
      <c r="P75" s="26"/>
      <c r="Q75" s="26"/>
      <c r="R75" s="26"/>
      <c r="S75" s="26"/>
      <c r="T75" s="26"/>
      <c r="U75" s="56"/>
      <c r="V75" s="57" t="s">
        <v>131</v>
      </c>
      <c r="W75" s="58">
        <f>R74+T74+V74+X74+B74+D74+F74+H74+J74+L74+N74+P74+Z74</f>
        <v>0</v>
      </c>
      <c r="X75" s="27"/>
      <c r="Y75" s="62"/>
      <c r="Z75" s="57" t="s">
        <v>130</v>
      </c>
      <c r="AA75" s="60">
        <f>S74+U74+W74+Y74+C74+E74+G74+I74+K74+M74+O74+Q74+AA74</f>
        <v>0</v>
      </c>
    </row>
    <row r="76" spans="1:28" ht="15" customHeight="1" x14ac:dyDescent="0.25">
      <c r="A76" s="27"/>
      <c r="B76" s="27"/>
      <c r="C76" s="27"/>
      <c r="D76" s="27"/>
      <c r="E76" s="27"/>
      <c r="F76" s="27"/>
      <c r="G76" s="27"/>
      <c r="H76" s="27"/>
      <c r="I76" s="27"/>
      <c r="J76" s="27"/>
      <c r="K76" s="27"/>
      <c r="L76" s="26"/>
      <c r="M76" s="26"/>
      <c r="N76" s="26"/>
      <c r="O76" s="26"/>
      <c r="P76" s="26"/>
      <c r="Q76" s="26"/>
      <c r="R76" s="26"/>
      <c r="S76" s="26"/>
      <c r="T76" s="26"/>
      <c r="U76" s="26"/>
      <c r="V76" s="23"/>
      <c r="W76" s="23"/>
      <c r="X76" s="27"/>
      <c r="Y76" s="27"/>
      <c r="Z76" s="23"/>
      <c r="AA76" s="24"/>
    </row>
    <row r="77" spans="1:28" ht="15" customHeight="1" x14ac:dyDescent="0.25">
      <c r="A77" s="27"/>
      <c r="B77" s="27"/>
      <c r="C77" s="14"/>
      <c r="D77" s="796" t="s">
        <v>102</v>
      </c>
      <c r="E77" s="796"/>
      <c r="F77" s="805" t="s">
        <v>118</v>
      </c>
      <c r="G77" s="805"/>
      <c r="H77" s="14"/>
      <c r="I77" s="785" t="s">
        <v>378</v>
      </c>
      <c r="J77" s="786"/>
      <c r="K77" s="786"/>
      <c r="L77" s="786"/>
      <c r="M77" s="786"/>
      <c r="N77" s="787"/>
      <c r="O77" s="785" t="s">
        <v>379</v>
      </c>
      <c r="P77" s="786"/>
      <c r="Q77" s="786"/>
      <c r="R77" s="786"/>
      <c r="S77" s="786"/>
      <c r="T77" s="787"/>
      <c r="U77" s="14"/>
      <c r="V77" s="14"/>
      <c r="W77" s="14"/>
      <c r="X77" s="14"/>
      <c r="Y77" s="14"/>
    </row>
    <row r="78" spans="1:28" ht="15.75" x14ac:dyDescent="0.25">
      <c r="A78" s="816" t="s">
        <v>243</v>
      </c>
      <c r="B78" s="816"/>
      <c r="C78" s="816"/>
      <c r="D78" s="804">
        <f>+'T1'!F160+'T2'!F160+'T3'!F172+'T4'!F160</f>
        <v>0</v>
      </c>
      <c r="E78" s="804"/>
      <c r="F78" s="804">
        <f>+D78-N2</f>
        <v>0</v>
      </c>
      <c r="G78" s="820"/>
      <c r="I78" s="779" t="str">
        <f>IF(ISNA(VLOOKUP(Paramétrage!S7,tab_phaute,2)),IF(Paramétrage!AA38="","",Paramétrage!AA38),VLOOKUP(Paramétrage!S7,tab_phaute,2))</f>
        <v/>
      </c>
      <c r="J78" s="780"/>
      <c r="K78" s="780"/>
      <c r="L78" s="780"/>
      <c r="M78" s="780"/>
      <c r="N78" s="781"/>
      <c r="O78" s="773" t="str">
        <f>IF(ISNA(VLOOKUP(Paramétrage!S7,tab_pbasse,2)),IF(Paramétrage!AA45="","",Paramétrage!AA45),VLOOKUP(Paramétrage!S7,tab_pbasse,2))</f>
        <v/>
      </c>
      <c r="P78" s="774"/>
      <c r="Q78" s="774"/>
      <c r="R78" s="774"/>
      <c r="S78" s="774"/>
      <c r="T78" s="775"/>
    </row>
    <row r="79" spans="1:28" ht="15.75" x14ac:dyDescent="0.25">
      <c r="A79" s="813" t="s">
        <v>280</v>
      </c>
      <c r="B79" s="813"/>
      <c r="C79" s="813"/>
      <c r="D79" s="800">
        <f>(COUNTA('T1'!S6:S12)+COUNTA('T1'!S18:S24)+COUNTA('T1'!S30:S36)+COUNTA('T1'!S42:S48)+COUNTA('T1'!S54:S60)+COUNTA('T1'!S66:S72)+COUNTA('T1'!S78:S84)+COUNTA('T1'!S90:S96)+COUNTA('T1'!S102:S108)+COUNTA('T1'!S114:S120)+COUNTA('T1'!S126:S132)+COUNTA('T1'!S138:S144)+COUNTA('T1'!S150:S156)+COUNTA('T2'!S6:S12)+COUNTA('T2'!S18:S24)+COUNTA('T2'!S30:S36)+COUNTA('T2'!S42:S48)+COUNTA('T2'!S54:S60)+COUNTA('T2'!S66:S72)+COUNTA('T2'!S78:S84)+COUNTA('T2'!S90:S96)+COUNTA('T2'!S102:S108)+COUNTA('T2'!S114:S120)+COUNTA('T2'!S126:S132)+COUNTA('T2'!S138:S144)+COUNTA('T2'!S150:S156)+COUNTA('T3'!S6:S12)+COUNTA('T3'!S18:S24)+COUNTA('T3'!S30:S36)+COUNTA('T3'!S42:S48)+COUNTA('T3'!S54:S60)+COUNTA('T3'!S66:S72)+COUNTA('T3'!S78:S84)+COUNTA('T3'!S90:S96)+COUNTA('T3'!S102:S108)+COUNTA('T3'!S114:S120)+COUNTA('T3'!S126:S132)+COUNTA('T3'!S138:S144)+COUNTA('T3'!S150:S156)+COUNTA('T3'!S162:S168)+COUNTA('T4'!S6:S12)+COUNTA('T4'!S18:S24)+COUNTA('T4'!S30:S36)+COUNTA('T4'!S42:S48)+COUNTA('T4'!S54:S60)+COUNTA('T4'!S66:S72)+COUNTA('T4'!S78:S84)+COUNTA('T4'!S90:S96)+COUNTA('T4'!S102:S108)+COUNTA('T4'!S114:S120)+COUNTA('T4'!S126:S132)+COUNTA('T4'!S138:S144)+COUNTA('T4'!S150:S156))/24</f>
        <v>0</v>
      </c>
      <c r="E79" s="800"/>
      <c r="F79" s="797">
        <f>F78+D79</f>
        <v>0</v>
      </c>
      <c r="G79" s="797"/>
      <c r="I79" s="779"/>
      <c r="J79" s="780"/>
      <c r="K79" s="780"/>
      <c r="L79" s="780"/>
      <c r="M79" s="780"/>
      <c r="N79" s="781"/>
      <c r="O79" s="773"/>
      <c r="P79" s="774"/>
      <c r="Q79" s="774"/>
      <c r="R79" s="774"/>
      <c r="S79" s="774"/>
      <c r="T79" s="775"/>
      <c r="W79" s="821" t="s">
        <v>120</v>
      </c>
      <c r="X79" s="821"/>
      <c r="Y79" s="821"/>
      <c r="Z79" s="821"/>
      <c r="AA79" s="821"/>
      <c r="AB79" s="821"/>
    </row>
    <row r="80" spans="1:28" ht="15.75" x14ac:dyDescent="0.25">
      <c r="A80" s="813" t="s">
        <v>136</v>
      </c>
      <c r="B80" s="813"/>
      <c r="C80" s="813"/>
      <c r="D80" s="800">
        <f>+'T1'!F159+'T2'!F159+'T3'!F171+'T4'!F159</f>
        <v>0</v>
      </c>
      <c r="E80" s="800"/>
      <c r="F80" s="819">
        <f>+D80-N2</f>
        <v>0</v>
      </c>
      <c r="G80" s="819"/>
      <c r="I80" s="779"/>
      <c r="J80" s="780"/>
      <c r="K80" s="780"/>
      <c r="L80" s="780"/>
      <c r="M80" s="780"/>
      <c r="N80" s="781"/>
      <c r="O80" s="773"/>
      <c r="P80" s="774"/>
      <c r="Q80" s="774"/>
      <c r="R80" s="774"/>
      <c r="S80" s="774"/>
      <c r="T80" s="775"/>
      <c r="W80" s="29" t="s">
        <v>121</v>
      </c>
      <c r="AB80" s="355" t="str">
        <f>IF(B1="","Salarié(e)",B1&amp;" "&amp;B2)</f>
        <v>Salarié(e)</v>
      </c>
    </row>
    <row r="81" spans="1:29" ht="15.75" x14ac:dyDescent="0.25">
      <c r="A81" s="835" t="s">
        <v>185</v>
      </c>
      <c r="B81" s="835"/>
      <c r="C81" s="835"/>
      <c r="D81" s="799">
        <f>+'T1'!F163+'T2'!F163+'T3'!F175+'T4'!F163</f>
        <v>0</v>
      </c>
      <c r="E81" s="799"/>
      <c r="F81" s="801" t="str">
        <f>ROUND(Paramétrage!AD11-D81,2)&amp;" jours"</f>
        <v>25 jours</v>
      </c>
      <c r="G81" s="801"/>
      <c r="I81" s="779"/>
      <c r="J81" s="780"/>
      <c r="K81" s="780"/>
      <c r="L81" s="780"/>
      <c r="M81" s="780"/>
      <c r="N81" s="781"/>
      <c r="O81" s="773"/>
      <c r="P81" s="774"/>
      <c r="Q81" s="774"/>
      <c r="R81" s="774"/>
      <c r="S81" s="774"/>
      <c r="T81" s="775"/>
      <c r="W81" s="47" t="s">
        <v>122</v>
      </c>
    </row>
    <row r="82" spans="1:29" ht="15.75" x14ac:dyDescent="0.25">
      <c r="A82" s="834" t="s">
        <v>187</v>
      </c>
      <c r="B82" s="834"/>
      <c r="C82" s="834"/>
      <c r="D82" s="814">
        <f>SUM(A18:AA18)+SUM(A36:AA36)+SUM(A54:AC54)+SUM(A72:AA72)</f>
        <v>0</v>
      </c>
      <c r="E82" s="814"/>
      <c r="F82" s="815" t="str">
        <f>ROUND(Paramétrage!AD11-D82,2)&amp;" jours"</f>
        <v>25 jours</v>
      </c>
      <c r="G82" s="815"/>
      <c r="I82" s="779"/>
      <c r="J82" s="780"/>
      <c r="K82" s="780"/>
      <c r="L82" s="780"/>
      <c r="M82" s="780"/>
      <c r="N82" s="781"/>
      <c r="O82" s="773"/>
      <c r="P82" s="774"/>
      <c r="Q82" s="774"/>
      <c r="R82" s="774"/>
      <c r="S82" s="774"/>
      <c r="T82" s="775"/>
    </row>
    <row r="83" spans="1:29" ht="15.75" x14ac:dyDescent="0.25">
      <c r="A83" s="816" t="s">
        <v>186</v>
      </c>
      <c r="B83" s="816"/>
      <c r="C83" s="816"/>
      <c r="D83" s="798">
        <f>+'T1'!F164+'T2'!F164+'T3'!F176+'T4'!F164</f>
        <v>0</v>
      </c>
      <c r="E83" s="798"/>
      <c r="F83" s="802" t="str">
        <f>ROUND(Paramétrage!AD12-D83,2)&amp;" jours"</f>
        <v>0 jours</v>
      </c>
      <c r="G83" s="802"/>
      <c r="H83" s="825" t="str">
        <f>IF(OR(COUNTIF('T1'!B6:C58,"jc"),COUNTIF('T4'!B47:C156,"jc")),"JC hors période","")</f>
        <v/>
      </c>
      <c r="I83" s="782"/>
      <c r="J83" s="783"/>
      <c r="K83" s="783"/>
      <c r="L83" s="783"/>
      <c r="M83" s="783"/>
      <c r="N83" s="784"/>
      <c r="O83" s="776"/>
      <c r="P83" s="777"/>
      <c r="Q83" s="777"/>
      <c r="R83" s="777"/>
      <c r="S83" s="777"/>
      <c r="T83" s="778"/>
    </row>
    <row r="84" spans="1:29" ht="15.75" x14ac:dyDescent="0.25">
      <c r="A84" s="813" t="s">
        <v>188</v>
      </c>
      <c r="B84" s="813"/>
      <c r="C84" s="813"/>
      <c r="D84" s="803">
        <f>SUM(A73:AA73)+SUM(A55:AC55)+SUM(A37:AA37)+SUM(A19:AA19)</f>
        <v>0</v>
      </c>
      <c r="E84" s="803"/>
      <c r="F84" s="806" t="str">
        <f>ROUND(Paramétrage!AD12-D84,2)&amp;" jours"</f>
        <v>0 jours</v>
      </c>
      <c r="G84" s="806"/>
      <c r="H84" s="825"/>
      <c r="K84" s="367"/>
      <c r="L84" s="367"/>
      <c r="M84" s="367"/>
      <c r="N84" s="367"/>
      <c r="O84" s="367"/>
      <c r="P84" s="367"/>
      <c r="Q84" s="367"/>
      <c r="R84" s="367"/>
      <c r="S84" s="367"/>
    </row>
    <row r="85" spans="1:29" ht="16.5" thickBot="1" x14ac:dyDescent="0.3">
      <c r="A85" s="276"/>
      <c r="B85" s="276"/>
      <c r="C85" s="276"/>
      <c r="D85" s="277"/>
      <c r="E85" s="277"/>
      <c r="F85" s="278"/>
      <c r="G85" s="278"/>
      <c r="H85" s="275"/>
      <c r="K85" s="770" t="s">
        <v>124</v>
      </c>
      <c r="L85" s="771"/>
      <c r="M85" s="771"/>
      <c r="N85" s="771"/>
      <c r="O85" s="771"/>
      <c r="P85" s="771"/>
      <c r="Q85" s="771"/>
      <c r="R85" s="771"/>
      <c r="S85" s="772"/>
    </row>
    <row r="86" spans="1:29" s="279" customFormat="1" ht="16.5" customHeight="1" thickBot="1" x14ac:dyDescent="0.3">
      <c r="A86" s="280" t="s">
        <v>284</v>
      </c>
      <c r="B86" s="281">
        <f>Paramétrage!AD16</f>
        <v>0</v>
      </c>
      <c r="C86" s="817" t="s">
        <v>285</v>
      </c>
      <c r="D86" s="817"/>
      <c r="E86" s="281">
        <f>+'T1'!F165+'T2'!F165+'T3'!F177+'T4'!F165</f>
        <v>0</v>
      </c>
      <c r="F86" s="817" t="s">
        <v>286</v>
      </c>
      <c r="G86" s="817"/>
      <c r="H86" s="817"/>
      <c r="I86" s="282">
        <f>+'T1'!F166+'T2'!F166+'T3'!F178+'T4'!F166</f>
        <v>0</v>
      </c>
      <c r="K86" s="368" t="s">
        <v>183</v>
      </c>
      <c r="L86" s="369"/>
      <c r="M86" s="370" t="s">
        <v>125</v>
      </c>
      <c r="N86" s="369"/>
      <c r="O86" s="370" t="s">
        <v>275</v>
      </c>
      <c r="P86" s="369"/>
      <c r="Q86" s="371" t="s">
        <v>184</v>
      </c>
      <c r="R86" s="369"/>
      <c r="S86" s="372" t="s">
        <v>214</v>
      </c>
      <c r="T86"/>
    </row>
    <row r="87" spans="1:29" ht="15.75" customHeight="1" x14ac:dyDescent="0.25">
      <c r="A87" s="826" t="str">
        <f>"Nombre d'heures"&amp;CHAR(10)&amp;"réalisées jusqu'au "</f>
        <v xml:space="preserve">Nombre d'heures
réalisées jusqu'au </v>
      </c>
      <c r="B87" s="828">
        <v>42276</v>
      </c>
      <c r="C87" s="830" t="str">
        <f>"+ nb d'heures prévisionnelles"&amp;CHAR(10)&amp;"du "&amp;TEXT(B87+1,"jj/mm/aa")&amp;" au "&amp;TEXT(Paramétrage!AF6,"jj/mm/aa")</f>
        <v>+ nb d'heures prévisionnelles
du 01/10/19 au 31/08/21</v>
      </c>
      <c r="D87" s="830"/>
      <c r="E87" s="831"/>
      <c r="F87" s="788" t="str">
        <f>IF(OR($B$87&lt;Paramétrage!$AF$5,$B$87&gt;Paramétrage!$AF$6),"Date saisie erronée",VLOOKUP(Paramétrage!AF6,tab_total,7)-VLOOKUP(B87,tab_total,7)+VLOOKUP(B87,tab_total,8)+D79)</f>
        <v>Date saisie erronée</v>
      </c>
      <c r="G87" s="790" t="e">
        <f>IF(Paramétrage!I15&lt;annualisation!F87,"Prévoir de diminuer le temps de travail de "&amp;ROUND(24*ABS(Paramétrage!I15-annualisation!F87),2)&amp;" heure(s)",IF(F87=Paramétrage!I15,"Temps de travail"&amp;CHAR(10)&amp;"parfaitement ajusté","Prévoir d'augmenter le temps de travail de "&amp;ROUND(24*ABS(Paramétrage!I15-annualisation!F87),2)&amp;" heure(s)"))</f>
        <v>#VALUE!</v>
      </c>
      <c r="H87" s="791"/>
      <c r="I87" s="792"/>
      <c r="K87" s="373" t="s">
        <v>216</v>
      </c>
      <c r="L87" s="374"/>
      <c r="M87" s="375" t="s">
        <v>182</v>
      </c>
      <c r="N87" s="374"/>
      <c r="O87" s="375" t="s">
        <v>276</v>
      </c>
      <c r="P87" s="374"/>
      <c r="Q87" s="376" t="s">
        <v>219</v>
      </c>
      <c r="R87" s="374"/>
      <c r="S87" s="377" t="s">
        <v>215</v>
      </c>
      <c r="U87" s="265"/>
      <c r="V87" s="265"/>
      <c r="W87" s="265"/>
      <c r="X87" s="265"/>
      <c r="Y87" s="265"/>
      <c r="Z87" s="265"/>
      <c r="AA87" s="265"/>
      <c r="AB87" s="265"/>
      <c r="AC87" s="265"/>
    </row>
    <row r="88" spans="1:29" ht="15" customHeight="1" thickBot="1" x14ac:dyDescent="0.3">
      <c r="A88" s="827"/>
      <c r="B88" s="829"/>
      <c r="C88" s="832"/>
      <c r="D88" s="832"/>
      <c r="E88" s="833"/>
      <c r="F88" s="789"/>
      <c r="G88" s="793"/>
      <c r="H88" s="794"/>
      <c r="I88" s="795"/>
      <c r="K88" s="378" t="s">
        <v>217</v>
      </c>
      <c r="L88" s="379"/>
      <c r="M88" s="380" t="s">
        <v>218</v>
      </c>
      <c r="N88" s="379"/>
      <c r="O88" s="381" t="s">
        <v>277</v>
      </c>
      <c r="P88" s="379"/>
      <c r="Q88" s="382" t="s">
        <v>220</v>
      </c>
      <c r="R88" s="379"/>
      <c r="S88" s="383" t="s">
        <v>221</v>
      </c>
      <c r="AB88" s="269" t="s">
        <v>129</v>
      </c>
    </row>
    <row r="89" spans="1:29" ht="15" customHeight="1" x14ac:dyDescent="0.25">
      <c r="G89" s="823"/>
      <c r="H89" s="823"/>
      <c r="I89" s="823"/>
    </row>
    <row r="90" spans="1:29" ht="15" customHeight="1" x14ac:dyDescent="0.25">
      <c r="G90" s="824"/>
      <c r="H90" s="824"/>
      <c r="I90" s="824"/>
    </row>
    <row r="91" spans="1:29" x14ac:dyDescent="0.25">
      <c r="G91" s="520"/>
      <c r="H91" s="520"/>
      <c r="I91" s="520"/>
    </row>
    <row r="99" spans="2:11" x14ac:dyDescent="0.25">
      <c r="K99" s="12"/>
    </row>
    <row r="104" spans="2:11" x14ac:dyDescent="0.25">
      <c r="B104" s="12"/>
    </row>
    <row r="105" spans="2:11" x14ac:dyDescent="0.25">
      <c r="B105" s="12"/>
    </row>
    <row r="106" spans="2:11" x14ac:dyDescent="0.25">
      <c r="B106" s="12"/>
    </row>
  </sheetData>
  <sheetProtection algorithmName="SHA-512" hashValue="/NJfaSkmHL2qo8RTI2ulAEmjN0cRwiRXFMAQqg/jRtVCWBdOFWoFwUj5y5cdBfoLl75GLt8FdynXp0PyUthN3A==" saltValue="/DrgT39oTe7u/5lhbwjNsg==" spinCount="100000" sheet="1" selectLockedCells="1"/>
  <mergeCells count="102">
    <mergeCell ref="G89:I90"/>
    <mergeCell ref="G91:I91"/>
    <mergeCell ref="H83:H84"/>
    <mergeCell ref="AB45:AC45"/>
    <mergeCell ref="L63:M63"/>
    <mergeCell ref="T63:U63"/>
    <mergeCell ref="A59:AA59"/>
    <mergeCell ref="D45:E45"/>
    <mergeCell ref="B45:C45"/>
    <mergeCell ref="B63:C63"/>
    <mergeCell ref="L45:M45"/>
    <mergeCell ref="T45:U45"/>
    <mergeCell ref="N45:O45"/>
    <mergeCell ref="H63:I63"/>
    <mergeCell ref="D63:E63"/>
    <mergeCell ref="A87:A88"/>
    <mergeCell ref="B87:B88"/>
    <mergeCell ref="C87:E88"/>
    <mergeCell ref="A79:C79"/>
    <mergeCell ref="A82:C82"/>
    <mergeCell ref="A80:C80"/>
    <mergeCell ref="A83:C83"/>
    <mergeCell ref="A81:C81"/>
    <mergeCell ref="C86:D86"/>
    <mergeCell ref="A84:C84"/>
    <mergeCell ref="D79:E79"/>
    <mergeCell ref="D82:E82"/>
    <mergeCell ref="F45:G45"/>
    <mergeCell ref="F82:G82"/>
    <mergeCell ref="A78:C78"/>
    <mergeCell ref="F86:H86"/>
    <mergeCell ref="N2:O2"/>
    <mergeCell ref="Z9:AA9"/>
    <mergeCell ref="P9:Q9"/>
    <mergeCell ref="R9:S9"/>
    <mergeCell ref="T9:U9"/>
    <mergeCell ref="Z63:AA63"/>
    <mergeCell ref="X63:Y63"/>
    <mergeCell ref="R63:S63"/>
    <mergeCell ref="F80:G80"/>
    <mergeCell ref="F78:G78"/>
    <mergeCell ref="W79:AB79"/>
    <mergeCell ref="F63:G63"/>
    <mergeCell ref="V63:W63"/>
    <mergeCell ref="N63:O63"/>
    <mergeCell ref="P63:Q63"/>
    <mergeCell ref="J63:K63"/>
    <mergeCell ref="AB60:AC60"/>
    <mergeCell ref="B1:D1"/>
    <mergeCell ref="G1:I1"/>
    <mergeCell ref="G2:I2"/>
    <mergeCell ref="H27:I27"/>
    <mergeCell ref="B9:C9"/>
    <mergeCell ref="D9:E9"/>
    <mergeCell ref="F9:G9"/>
    <mergeCell ref="F27:G27"/>
    <mergeCell ref="D27:E27"/>
    <mergeCell ref="B27:C27"/>
    <mergeCell ref="H9:I9"/>
    <mergeCell ref="A5:AA5"/>
    <mergeCell ref="B2:D2"/>
    <mergeCell ref="N27:O27"/>
    <mergeCell ref="L27:M27"/>
    <mergeCell ref="Z27:AA27"/>
    <mergeCell ref="J27:K27"/>
    <mergeCell ref="V27:W27"/>
    <mergeCell ref="A23:AA23"/>
    <mergeCell ref="L9:M9"/>
    <mergeCell ref="J9:K9"/>
    <mergeCell ref="N9:O9"/>
    <mergeCell ref="X9:Y9"/>
    <mergeCell ref="V9:W9"/>
    <mergeCell ref="V45:W45"/>
    <mergeCell ref="X45:Y45"/>
    <mergeCell ref="Z45:AA45"/>
    <mergeCell ref="H45:I45"/>
    <mergeCell ref="P45:Q45"/>
    <mergeCell ref="X27:Y27"/>
    <mergeCell ref="T27:U27"/>
    <mergeCell ref="R27:S27"/>
    <mergeCell ref="P27:Q27"/>
    <mergeCell ref="J45:K45"/>
    <mergeCell ref="R45:S45"/>
    <mergeCell ref="A41:AC41"/>
    <mergeCell ref="K85:S85"/>
    <mergeCell ref="O78:T83"/>
    <mergeCell ref="I78:N83"/>
    <mergeCell ref="O77:T77"/>
    <mergeCell ref="I77:N77"/>
    <mergeCell ref="F87:F88"/>
    <mergeCell ref="G87:I88"/>
    <mergeCell ref="D77:E77"/>
    <mergeCell ref="F79:G79"/>
    <mergeCell ref="D83:E83"/>
    <mergeCell ref="D81:E81"/>
    <mergeCell ref="D80:E80"/>
    <mergeCell ref="F81:G81"/>
    <mergeCell ref="F83:G83"/>
    <mergeCell ref="D84:E84"/>
    <mergeCell ref="D78:E78"/>
    <mergeCell ref="F77:G77"/>
    <mergeCell ref="F84:G84"/>
  </mergeCells>
  <phoneticPr fontId="34" type="noConversion"/>
  <conditionalFormatting sqref="B11 D47 F47 H47 J47 L47 N47 P47 R47 T47 V47 X47 Z47 AB47 B47 D65 F65 H65 J65 L65 N65 P65 R65 T65 V65 X65 Z65 B65">
    <cfRule type="expression" dxfId="1905" priority="126" stopIfTrue="1">
      <formula>COUNTIF(tab_ferie,B8)&gt;=1</formula>
    </cfRule>
  </conditionalFormatting>
  <conditionalFormatting sqref="U11 W11 Y11 S11 Q11 O11 M11 K11 I11 G11 AA65 E11 C11 C29 E29 G29 I29 K29 M29 O29 Q29 S29 U29 W29 Y29 AA11 C47 E47 G47 I47 K47 M47 O47 Q47 S47 U47 W47 Y47 AA47 E65 G65 I65 K65 M65 O65 Q65 S65 U65 W65 Y65 AC47 C65 AA29">
    <cfRule type="expression" dxfId="1904" priority="147" stopIfTrue="1">
      <formula>COUNTIF(tab_ferie,B8)&gt;=1</formula>
    </cfRule>
  </conditionalFormatting>
  <conditionalFormatting sqref="U12 W12 Y12 S12 Q12 O12 M12 K12 I12 G12 AA66 E12 C12 C30 E30 G30 I30 K30 M30 O30 Q30 S30 U30 W30 Y30 AA12 C48 E48 G48 I48 K48 M48 O48 Q48 S48 U48 W48 Y48 AA48 E66 G66 I66 K66 M66 O66 Q66 S66 U66 W66 Y66 AC48 C66 AA30">
    <cfRule type="expression" dxfId="1903" priority="150" stopIfTrue="1">
      <formula>COUNTIF(tab_ferie,B8+1)&gt;=1</formula>
    </cfRule>
  </conditionalFormatting>
  <conditionalFormatting sqref="U13 W13 Y13 S13 Q13 O13 M13 K13 I13 G13 AA67 E13 C31 E31 G31 I31 K31 M31 O31 Q31 S31 U31 W31 Y31 AA13 C49 E49 G49 I49 K49 M49 O49 Q49 S49 U49 W49 Y49 AA49 E67 G67 I67 K67 M67 O67 Q67 S67 U67 W67 Y67 AC49 C67 AA31">
    <cfRule type="expression" dxfId="1902" priority="153" stopIfTrue="1">
      <formula>COUNTIF(tab_ferie,B8+2)&gt;=1</formula>
    </cfRule>
  </conditionalFormatting>
  <conditionalFormatting sqref="U14 W14 Y14 S14 Q14 O14 M14 K14 I14 G14 AA68 E14 C32 E32 G32 I32 K32 M32 O32 Q32 S32 U32 W32 Y32 AA14 C50 E50 G50 I50 K50 M50 O50 Q50 S50 U50 W50 Y50 AA50 E68 G68 I68 K68 M68 O68 Q68 S68 U68 W68 Y68 AC50 C68 AA32">
    <cfRule type="expression" dxfId="1901" priority="156" stopIfTrue="1">
      <formula>COUNTIF(tab_ferie,B8+3)&gt;=1</formula>
    </cfRule>
  </conditionalFormatting>
  <conditionalFormatting sqref="U15 W15 Y15 S15 Q15 O15 M15 K15 I15 G15 AA69 E15 C33 E33 G33 I33 K33 M33 O33 Q33 S33 U33 W33 Y33 AA15 C51 E51 G51 I51 K51 M51 O51 Q51 S51 U51 W51 Y51 AA51 E69 G69 I69 K69 M69 O69 Q69 S69 U69 W69 Y69 AC51 C69 AA33">
    <cfRule type="expression" dxfId="1900" priority="159" stopIfTrue="1">
      <formula>COUNTIF(tab_ferie,B8+4)&gt;=1</formula>
    </cfRule>
  </conditionalFormatting>
  <conditionalFormatting sqref="U16 W16 Y16 S16 Q16 O16 M16 K16 I16 G16 AA70 E16 C16 C34 E34 G34 I34 K34 M34 O34 Q34 S34 U34 W34 Y34 AA16 C52 E52 G52 I52 K52 M52 O52 Q52 S52 U52 W52 Y52 AA52 E70 G70 I70 K70 M70 O70 Q70 S70 U70 W70 Y70 AC52 C70 AA34">
    <cfRule type="expression" dxfId="1899" priority="162" stopIfTrue="1">
      <formula>COUNTIF(tab_ferie,B8+5)&gt;=1</formula>
    </cfRule>
  </conditionalFormatting>
  <conditionalFormatting sqref="U17 W17 Y17 S17 Q17 O17 M17 K17 I17 G17 AA71 E17 C17 C35 E35 G35 I35 K35 M35 O35 Q35 S35 U35 W35 Y35 AA17 C53 E53 G53 I53 K53 M53 O53 Q53 S53 U53 W53 Y53 AA53 E71 G71 I71 K71 M71 O71 Q71 S71 U71 W71 Y71 AC53 C71 AA35">
    <cfRule type="expression" dxfId="1898" priority="165" stopIfTrue="1">
      <formula>COUNTIF(tab_ferie,B8+6)&gt;=1</formula>
    </cfRule>
  </conditionalFormatting>
  <conditionalFormatting sqref="Z11 X11 V11 T11 R11 P11 N11 L11 J11 H11 F11 D11 X29 H29 J29 L29 N29 P29 R29 T29 V29 Z29 B29 D29 F29">
    <cfRule type="expression" dxfId="1897" priority="192" stopIfTrue="1">
      <formula>COUNTIF(tab_ferie,B8)&gt;=1</formula>
    </cfRule>
  </conditionalFormatting>
  <conditionalFormatting sqref="Z12 X12 V12 T12 R12 P12 N12 L12 J12 H12 F12 D12 B12 X30 H30 J30 L30 N30 P30 R30 T30 V30 Z30 B30 D30 F30 AB48 Z48 X48 V48 T48 R48 P48 N48 L48 J48 H48 F48 D48 B48 Z66 X66 V66 T66 R66 P66 N66 L66 J66 H66 F66 D66 B66">
    <cfRule type="expression" dxfId="1896" priority="195" stopIfTrue="1">
      <formula>COUNTIF(tab_ferie,B8+1)&gt;=1</formula>
    </cfRule>
  </conditionalFormatting>
  <conditionalFormatting sqref="Z13 X13 V13 T13 R13 P13 N13 L13 J13 H13 F13 D13 X31 H31 J31 L31 N31 P31 R31 T31 V31 Z31 B31 D31 F31 AB49 Z49 X49 V49 T49 R49 P49 N49 L49 J49 H49 F49 D49 B49 Z67 X67 V67 T67 R67 P67 N67 L67 J67 H67 F67 D67 B67">
    <cfRule type="expression" dxfId="1895" priority="198" stopIfTrue="1">
      <formula>COUNTIF(tab_ferie,B8+2)&gt;=1</formula>
    </cfRule>
  </conditionalFormatting>
  <conditionalFormatting sqref="Z14 X14 V14 T14 R14 P14 N14 L14 J14 H14 F14 D14 X32 H32 J32 L32 N32 P32 R32 T32 V32 Z32 B32 D32 F32 AB50 Z50 X50 V50 T50 R50 P50 N50 L50 J50 H50 F50 D50 B50 Z68 X68 V68 T68 R68 P68 N68 L68 J68 H68 F68 D68 B68">
    <cfRule type="expression" dxfId="1894" priority="201" stopIfTrue="1">
      <formula>COUNTIF(tab_ferie,B8+3)&gt;=1</formula>
    </cfRule>
  </conditionalFormatting>
  <conditionalFormatting sqref="Z15 X15 V15 T15 R15 P15 N15 L15 J15 H15 F15 D15 X33 H33 J33 L33 N33 P33 R33 T33 V33 Z33 B33 D33 F33 AB51 Z51 X51 V51 T51 R51 P51 N51 L51 J51 H51 F51 D51 B51 Z69 X69 V69 T69 R69 P69 N69 L69 J69 H69 F69 D69 B69">
    <cfRule type="expression" dxfId="1893" priority="204" stopIfTrue="1">
      <formula>COUNTIF(tab_ferie,B8+4)&gt;=1</formula>
    </cfRule>
  </conditionalFormatting>
  <conditionalFormatting sqref="Z16 X16 V16 T16 R16 P16 N16 L16 J16 H16 F16 D16 B16 H34 J34 L34 N34 P34 R34 T34 V34 X34 Z34 B34 D34 F34 AB52 Z52 X52 V52 T52 R52 P52 N52 L52 J52 H52 F52 D52 B52 Z70 X70 V70 T70 R70 P70 N70 L70 J70 H70 F70 D70 B70">
    <cfRule type="expression" dxfId="1892" priority="207" stopIfTrue="1">
      <formula>COUNTIF(tab_ferie,B8+5)&gt;=1</formula>
    </cfRule>
  </conditionalFormatting>
  <conditionalFormatting sqref="Z17 X17 V17 T17 R17 P17 N17 L17 J17 H17 F17 D17 B17 AB53 Z53 X53 V53 T53 R53 P53 N53 L53 J53 H53 F53 D53 B53 Z71 X71 V71 T71 R71 P71 N71 L71 J71 H71 F71 D71 B71">
    <cfRule type="expression" dxfId="1891" priority="210" stopIfTrue="1">
      <formula>COUNTIF(tab_ferie,B8+6)&gt;=1</formula>
    </cfRule>
  </conditionalFormatting>
  <conditionalFormatting sqref="X35 H35 J35 L35 N35 P35 R35 T35 V35 Z35 B35 D35 F35">
    <cfRule type="expression" dxfId="1890" priority="213" stopIfTrue="1">
      <formula>COUNTIF(tab_ferie,B26+6)&gt;=1</formula>
    </cfRule>
  </conditionalFormatting>
  <conditionalFormatting sqref="B13">
    <cfRule type="expression" dxfId="1889" priority="39" stopIfTrue="1">
      <formula>COUNTIF(tab_ferie,B9+1)&gt;=1</formula>
    </cfRule>
  </conditionalFormatting>
  <conditionalFormatting sqref="B14">
    <cfRule type="expression" dxfId="1888" priority="36" stopIfTrue="1">
      <formula>COUNTIF(tab_ferie,B10+1)&gt;=1</formula>
    </cfRule>
  </conditionalFormatting>
  <conditionalFormatting sqref="B15">
    <cfRule type="expression" dxfId="1887" priority="33" stopIfTrue="1">
      <formula>COUNTIF(tab_ferie,B11+1)&gt;=1</formula>
    </cfRule>
  </conditionalFormatting>
  <conditionalFormatting sqref="C13">
    <cfRule type="expression" dxfId="1886" priority="30" stopIfTrue="1">
      <formula>COUNTIF(tab_ferie,B9+1)&gt;=1</formula>
    </cfRule>
  </conditionalFormatting>
  <conditionalFormatting sqref="C14">
    <cfRule type="expression" dxfId="1885" priority="27" stopIfTrue="1">
      <formula>COUNTIF(tab_ferie,B10+1)&gt;=1</formula>
    </cfRule>
  </conditionalFormatting>
  <conditionalFormatting sqref="C15">
    <cfRule type="expression" dxfId="1884" priority="24" stopIfTrue="1">
      <formula>COUNTIF(tab_ferie,B11+1)&gt;=1</formula>
    </cfRule>
  </conditionalFormatting>
  <conditionalFormatting sqref="B29:AA35 B47:AC53 B65:AA71 B11:AA17">
    <cfRule type="expression" dxfId="1883" priority="21" stopIfTrue="1">
      <formula>OR(B11="m",B11="aa")</formula>
    </cfRule>
  </conditionalFormatting>
  <conditionalFormatting sqref="B29:AA35 B47:AC53 B65:AA71 B11:AA17">
    <cfRule type="expression" dxfId="1882" priority="20" stopIfTrue="1">
      <formula>OR(B11="jc",B11="cp",B11="css")</formula>
    </cfRule>
  </conditionalFormatting>
  <conditionalFormatting sqref="Z65:AA71">
    <cfRule type="cellIs" dxfId="1881" priority="12" operator="equal">
      <formula>""</formula>
    </cfRule>
  </conditionalFormatting>
  <conditionalFormatting sqref="C12">
    <cfRule type="expression" dxfId="1880" priority="10" stopIfTrue="1">
      <formula>COUNTIF(tab_ferie,B4+5)&gt;=1</formula>
    </cfRule>
  </conditionalFormatting>
  <conditionalFormatting sqref="B12">
    <cfRule type="expression" dxfId="1879" priority="11" stopIfTrue="1">
      <formula>COUNTIF(tab_ferie,B4+5)&gt;=1</formula>
    </cfRule>
  </conditionalFormatting>
  <conditionalFormatting sqref="B12">
    <cfRule type="expression" dxfId="1878" priority="8" stopIfTrue="1">
      <formula>COUNTIF(tab_ferie,B8+1)&gt;=1</formula>
    </cfRule>
  </conditionalFormatting>
  <conditionalFormatting sqref="C12">
    <cfRule type="expression" dxfId="1877" priority="7" stopIfTrue="1">
      <formula>COUNTIF(tab_ferie,B8+1)&gt;=1</formula>
    </cfRule>
  </conditionalFormatting>
  <conditionalFormatting sqref="B12">
    <cfRule type="expression" dxfId="1876" priority="6" stopIfTrue="1">
      <formula>COUNTIF(tab_ferie,B8+1)&gt;=1</formula>
    </cfRule>
  </conditionalFormatting>
  <conditionalFormatting sqref="C12">
    <cfRule type="expression" dxfId="1875" priority="5" stopIfTrue="1">
      <formula>COUNTIF(tab_ferie,B8+1)&gt;=1</formula>
    </cfRule>
  </conditionalFormatting>
  <conditionalFormatting sqref="B12">
    <cfRule type="expression" dxfId="1874" priority="4" stopIfTrue="1">
      <formula>COUNTIF(tab_ferie,B8+1)&gt;=1</formula>
    </cfRule>
  </conditionalFormatting>
  <conditionalFormatting sqref="C12">
    <cfRule type="expression" dxfId="1873" priority="3" stopIfTrue="1">
      <formula>COUNTIF(tab_ferie,B8+1)&gt;=1</formula>
    </cfRule>
  </conditionalFormatting>
  <conditionalFormatting sqref="B11:B14">
    <cfRule type="expression" dxfId="1872" priority="2" stopIfTrue="1">
      <formula>COUNTIF(tab_ferie,B7+1)&gt;=1</formula>
    </cfRule>
  </conditionalFormatting>
  <conditionalFormatting sqref="C11:C14">
    <cfRule type="expression" dxfId="1871" priority="1" stopIfTrue="1">
      <formula>COUNTIF(tab_ferie,B7+1)&gt;=1</formula>
    </cfRule>
  </conditionalFormatting>
  <printOptions horizontalCentered="1"/>
  <pageMargins left="0.23622047244094491" right="0.23622047244094491" top="0.31496062992125984" bottom="0.15" header="0.23622047244094491" footer="0.12"/>
  <pageSetup paperSize="9" scale="43" orientation="landscape" r:id="rId1"/>
  <rowBreaks count="1" manualBreakCount="1">
    <brk id="58" max="16383" man="1"/>
  </rowBreaks>
  <extLst>
    <ext xmlns:x14="http://schemas.microsoft.com/office/spreadsheetml/2009/9/main" uri="{78C0D931-6437-407d-A8EE-F0AAD7539E65}">
      <x14:conditionalFormattings>
        <x14:conditionalFormatting xmlns:xm="http://schemas.microsoft.com/office/excel/2006/main">
          <x14:cfRule type="expression" priority="15" id="{4EC66599-9D1D-4181-89D6-E1A5CB93695C}">
            <xm:f>IF(OR($B$87&lt;Paramétrage!$AF$5,$B$87&gt;Paramétrage!$AF$6),TRUE,FALSE)</xm:f>
            <x14:dxf>
              <font>
                <color theme="0"/>
              </font>
              <fill>
                <patternFill>
                  <bgColor rgb="FFFF0000"/>
                </patternFill>
              </fill>
            </x14:dxf>
          </x14:cfRule>
          <xm:sqref>B87:B88</xm:sqref>
        </x14:conditionalFormatting>
        <x14:conditionalFormatting xmlns:xm="http://schemas.microsoft.com/office/excel/2006/main">
          <x14:cfRule type="expression" priority="14" id="{DB7BD751-BB26-468A-838A-83DB27715034}">
            <xm:f>IF(OR($B$87&lt;Paramétrage!$AF$5,$B$87&gt;Paramétrage!$AF$6),TRUE,FALSE)</xm:f>
            <x14:dxf>
              <font>
                <color theme="0"/>
              </font>
              <fill>
                <patternFill>
                  <bgColor rgb="FFFF0000"/>
                </patternFill>
              </fill>
            </x14:dxf>
          </x14:cfRule>
          <xm:sqref>F87</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pageSetUpPr fitToPage="1"/>
  </sheetPr>
  <dimension ref="A1:BF672"/>
  <sheetViews>
    <sheetView showGridLines="0" zoomScale="85" zoomScaleNormal="85" workbookViewId="0">
      <selection activeCell="C10" sqref="C10"/>
    </sheetView>
  </sheetViews>
  <sheetFormatPr baseColWidth="10" defaultColWidth="11.5703125" defaultRowHeight="15" x14ac:dyDescent="0.25"/>
  <cols>
    <col min="1" max="1" width="14.7109375" style="917" customWidth="1"/>
    <col min="2" max="5" width="7.7109375" style="917" customWidth="1"/>
    <col min="6" max="6" width="8.7109375" style="917" customWidth="1"/>
    <col min="7" max="9" width="7.7109375" style="917" customWidth="1"/>
    <col min="10" max="10" width="7.5703125" style="917" customWidth="1"/>
    <col min="11" max="13" width="7.7109375" style="917" customWidth="1"/>
    <col min="14" max="18" width="6.7109375" style="917" customWidth="1"/>
    <col min="19" max="19" width="4.7109375" style="917" customWidth="1"/>
    <col min="20" max="20" width="6.7109375" style="917" hidden="1" customWidth="1"/>
    <col min="21" max="25" width="2.7109375" style="917" customWidth="1"/>
    <col min="26" max="26" width="19.7109375" style="1047" customWidth="1"/>
    <col min="27" max="27" width="15.7109375" style="1048" customWidth="1"/>
    <col min="28" max="28" width="4.7109375" style="917" customWidth="1"/>
    <col min="29" max="29" width="13.85546875" style="934" customWidth="1"/>
    <col min="30" max="30" width="16.7109375" style="917" customWidth="1"/>
    <col min="31" max="31" width="11.5703125" style="917" customWidth="1"/>
    <col min="32" max="32" width="14.5703125" style="917" customWidth="1"/>
    <col min="33" max="47" width="11.5703125" style="917" customWidth="1"/>
    <col min="48" max="58" width="6.5703125" style="917" customWidth="1"/>
    <col min="59" max="16384" width="11.5703125" style="917"/>
  </cols>
  <sheetData>
    <row r="1" spans="1:58" ht="57.95" customHeight="1" x14ac:dyDescent="0.35">
      <c r="A1" s="916" t="str">
        <f>"Planning 1er trimestre de "&amp;annualisation!$B$1&amp;"  "&amp;Paramétrage!K5</f>
        <v xml:space="preserve">Planning 1er trimestre de   </v>
      </c>
      <c r="B1" s="916"/>
      <c r="C1" s="916"/>
      <c r="D1" s="916"/>
      <c r="E1" s="916"/>
      <c r="F1" s="916"/>
      <c r="G1" s="916"/>
      <c r="H1" s="916"/>
      <c r="I1" s="916"/>
      <c r="J1" s="916"/>
      <c r="K1" s="916"/>
      <c r="L1" s="916"/>
      <c r="M1" s="916"/>
      <c r="N1" s="916"/>
      <c r="O1" s="916"/>
      <c r="P1" s="916"/>
      <c r="Q1" s="916"/>
      <c r="R1" s="916"/>
      <c r="S1" s="916"/>
      <c r="T1" s="916"/>
      <c r="U1" s="916"/>
      <c r="V1" s="916"/>
      <c r="W1" s="916"/>
      <c r="X1" s="916"/>
      <c r="Y1" s="916"/>
      <c r="Z1" s="916"/>
      <c r="AA1" s="916"/>
      <c r="AC1" s="918" t="s">
        <v>344</v>
      </c>
      <c r="AD1" s="918"/>
      <c r="AE1" s="918"/>
      <c r="AF1" s="918"/>
      <c r="AG1" s="918"/>
    </row>
    <row r="2" spans="1:58" ht="27" customHeight="1" x14ac:dyDescent="0.35">
      <c r="A2" s="919"/>
      <c r="B2" s="920"/>
      <c r="C2" s="920"/>
      <c r="D2" s="920"/>
      <c r="E2" s="920"/>
      <c r="F2" s="920"/>
      <c r="G2" s="920"/>
      <c r="H2" s="920"/>
      <c r="I2" s="920"/>
      <c r="J2" s="920"/>
      <c r="K2" s="920"/>
      <c r="L2" s="920"/>
      <c r="M2" s="920"/>
      <c r="N2" s="920"/>
      <c r="O2" s="920"/>
      <c r="P2" s="920"/>
      <c r="Q2" s="920"/>
      <c r="R2" s="920"/>
      <c r="S2" s="920"/>
      <c r="T2" s="920"/>
      <c r="U2" s="920"/>
      <c r="V2" s="920"/>
      <c r="W2" s="920"/>
      <c r="X2" s="920"/>
      <c r="Y2" s="920"/>
      <c r="Z2" s="921" t="str">
        <f>Paramétrage!AG2</f>
        <v>version 5.0</v>
      </c>
      <c r="AA2" s="921"/>
      <c r="AC2" s="922">
        <f>WEEKDAY(F3,2)</f>
        <v>3</v>
      </c>
      <c r="AD2" s="923">
        <f>WEEKDAY(I3,2)</f>
        <v>7</v>
      </c>
      <c r="AE2" s="924">
        <f>_xlfn.ISOWEEKNUM(F3)</f>
        <v>36</v>
      </c>
      <c r="AF2" s="925">
        <f>_xlfn.ISOWEEKNUM(F15)</f>
        <v>37</v>
      </c>
      <c r="AG2" s="926">
        <f>AF2-AE2</f>
        <v>1</v>
      </c>
    </row>
    <row r="3" spans="1:58" ht="16.5" customHeight="1" x14ac:dyDescent="0.3">
      <c r="A3" s="927"/>
      <c r="B3" s="927"/>
      <c r="C3" s="927"/>
      <c r="D3" s="927"/>
      <c r="E3" s="927"/>
      <c r="F3" s="928">
        <f>+annualisation!B8+1</f>
        <v>42614</v>
      </c>
      <c r="G3" s="928"/>
      <c r="H3" s="929" t="s">
        <v>58</v>
      </c>
      <c r="I3" s="928">
        <f>+annualisation!C8</f>
        <v>42618</v>
      </c>
      <c r="J3" s="930"/>
      <c r="K3" s="927"/>
      <c r="L3" s="927"/>
      <c r="M3" s="927"/>
      <c r="N3" s="927"/>
      <c r="O3" s="927"/>
      <c r="P3" s="927"/>
      <c r="Q3" s="927"/>
      <c r="R3" s="927"/>
      <c r="S3" s="927"/>
      <c r="T3" s="927"/>
      <c r="U3" s="927"/>
      <c r="V3" s="927"/>
      <c r="W3" s="927"/>
      <c r="X3" s="927"/>
      <c r="Y3" s="927"/>
      <c r="Z3" s="931"/>
      <c r="AA3" s="932"/>
      <c r="AB3" s="933"/>
      <c r="AM3" s="935"/>
      <c r="AN3" s="935"/>
      <c r="AO3" s="935"/>
      <c r="AP3" s="935"/>
      <c r="AR3" s="934">
        <f>DATE(YEAR(Paramétrage!AF6+1),5,31)</f>
        <v>42885</v>
      </c>
      <c r="AV3" s="936" t="s">
        <v>346</v>
      </c>
      <c r="AW3" s="936"/>
      <c r="AX3" s="936"/>
      <c r="AY3" s="936"/>
      <c r="AZ3" s="936"/>
      <c r="BA3" s="936"/>
      <c r="BB3" s="936"/>
      <c r="BC3" s="936"/>
      <c r="BD3" s="936"/>
      <c r="BE3" s="936"/>
      <c r="BF3" s="936"/>
    </row>
    <row r="4" spans="1:58" ht="16.149999999999999" customHeight="1" x14ac:dyDescent="0.35">
      <c r="A4" s="937"/>
      <c r="B4" s="938" t="s">
        <v>17</v>
      </c>
      <c r="C4" s="938"/>
      <c r="D4" s="938" t="s">
        <v>18</v>
      </c>
      <c r="E4" s="938"/>
      <c r="F4" s="938" t="s">
        <v>17</v>
      </c>
      <c r="G4" s="938"/>
      <c r="H4" s="938" t="s">
        <v>18</v>
      </c>
      <c r="I4" s="938"/>
      <c r="J4" s="938" t="s">
        <v>17</v>
      </c>
      <c r="K4" s="938"/>
      <c r="L4" s="938" t="s">
        <v>18</v>
      </c>
      <c r="M4" s="938"/>
      <c r="N4" s="939" t="s">
        <v>61</v>
      </c>
      <c r="O4" s="939" t="s">
        <v>62</v>
      </c>
      <c r="P4" s="939" t="s">
        <v>60</v>
      </c>
      <c r="Q4" s="939" t="s">
        <v>63</v>
      </c>
      <c r="R4" s="939" t="s">
        <v>64</v>
      </c>
      <c r="S4" s="940" t="s">
        <v>223</v>
      </c>
      <c r="T4" s="939" t="s">
        <v>70</v>
      </c>
      <c r="U4" s="941" t="s">
        <v>65</v>
      </c>
      <c r="V4" s="942"/>
      <c r="W4" s="942"/>
      <c r="X4" s="942"/>
      <c r="Y4" s="943"/>
      <c r="Z4" s="944" t="s">
        <v>22</v>
      </c>
      <c r="AA4" s="944"/>
      <c r="AB4" s="945"/>
      <c r="AD4" s="946" t="s">
        <v>175</v>
      </c>
      <c r="AE4" s="946" t="s">
        <v>176</v>
      </c>
      <c r="AF4" s="946" t="s">
        <v>189</v>
      </c>
      <c r="AG4" s="946" t="s">
        <v>135</v>
      </c>
      <c r="AI4" s="946" t="s">
        <v>207</v>
      </c>
      <c r="AJ4" s="946" t="s">
        <v>208</v>
      </c>
      <c r="AL4" s="947"/>
      <c r="AR4" s="917" t="s">
        <v>287</v>
      </c>
      <c r="AU4" s="917" t="s">
        <v>338</v>
      </c>
      <c r="AV4" s="948">
        <v>9</v>
      </c>
      <c r="AW4" s="948">
        <v>10</v>
      </c>
      <c r="AX4" s="948">
        <v>11</v>
      </c>
      <c r="AY4" s="948">
        <v>1</v>
      </c>
      <c r="AZ4" s="948">
        <v>2</v>
      </c>
      <c r="BA4" s="948">
        <v>3</v>
      </c>
      <c r="BB4" s="948">
        <v>4</v>
      </c>
      <c r="BC4" s="948">
        <v>5</v>
      </c>
      <c r="BD4" s="948">
        <v>6</v>
      </c>
      <c r="BE4" s="948">
        <v>7</v>
      </c>
      <c r="BF4" s="948">
        <v>8</v>
      </c>
    </row>
    <row r="5" spans="1:58" ht="26.25" thickBot="1" x14ac:dyDescent="0.4">
      <c r="A5" s="937" t="str">
        <f>"S"&amp;_xlfn.ISOWEEKNUM(F3)</f>
        <v>S36</v>
      </c>
      <c r="B5" s="949" t="s">
        <v>0</v>
      </c>
      <c r="C5" s="950" t="s">
        <v>1</v>
      </c>
      <c r="D5" s="949" t="s">
        <v>0</v>
      </c>
      <c r="E5" s="950" t="s">
        <v>1</v>
      </c>
      <c r="F5" s="949" t="s">
        <v>0</v>
      </c>
      <c r="G5" s="950" t="s">
        <v>1</v>
      </c>
      <c r="H5" s="949" t="s">
        <v>0</v>
      </c>
      <c r="I5" s="950" t="s">
        <v>1</v>
      </c>
      <c r="J5" s="949" t="s">
        <v>0</v>
      </c>
      <c r="K5" s="950" t="s">
        <v>1</v>
      </c>
      <c r="L5" s="949" t="s">
        <v>0</v>
      </c>
      <c r="M5" s="950" t="s">
        <v>1</v>
      </c>
      <c r="N5" s="951"/>
      <c r="O5" s="951"/>
      <c r="P5" s="951"/>
      <c r="Q5" s="951"/>
      <c r="R5" s="951"/>
      <c r="S5" s="951"/>
      <c r="T5" s="939"/>
      <c r="U5" s="952" t="s">
        <v>66</v>
      </c>
      <c r="V5" s="952" t="s">
        <v>67</v>
      </c>
      <c r="W5" s="952" t="s">
        <v>68</v>
      </c>
      <c r="X5" s="952" t="s">
        <v>137</v>
      </c>
      <c r="Y5" s="952" t="s">
        <v>69</v>
      </c>
      <c r="Z5" s="944"/>
      <c r="AA5" s="944"/>
      <c r="AB5" s="953"/>
      <c r="AD5" s="946"/>
      <c r="AE5" s="946"/>
      <c r="AF5" s="946"/>
      <c r="AG5" s="946"/>
      <c r="AI5" s="946"/>
      <c r="AJ5" s="946"/>
      <c r="AL5" s="947"/>
      <c r="AM5" s="917" t="s">
        <v>274</v>
      </c>
      <c r="AR5" s="917" t="s">
        <v>288</v>
      </c>
      <c r="AS5" s="917" t="s">
        <v>279</v>
      </c>
      <c r="AU5" s="917" t="s">
        <v>339</v>
      </c>
      <c r="AV5" s="954"/>
      <c r="AW5" s="954"/>
      <c r="AX5" s="954"/>
      <c r="AY5" s="954"/>
      <c r="AZ5" s="954"/>
      <c r="BA5" s="954"/>
      <c r="BB5" s="954"/>
      <c r="BC5" s="954"/>
      <c r="BD5" s="954"/>
      <c r="BE5" s="954"/>
      <c r="BF5" s="954"/>
    </row>
    <row r="6" spans="1:58" ht="14.45" customHeight="1" x14ac:dyDescent="0.3">
      <c r="A6" s="955" t="str">
        <f>IF(WEEKDAY($F$3)&gt;2,"","LUNDI")</f>
        <v/>
      </c>
      <c r="B6" s="414" t="b">
        <f>IF(Paramétrage!$O$42="",FALSE,Paramétrage!$O$42)</f>
        <v>0</v>
      </c>
      <c r="C6" s="263"/>
      <c r="D6" s="415" t="b">
        <f>IF(Paramétrage!$Q$42="",FALSE,Paramétrage!$Q$42)</f>
        <v>0</v>
      </c>
      <c r="E6" s="264"/>
      <c r="F6" s="414" t="b">
        <f>IF(Paramétrage!$R$42="",FALSE,Paramétrage!$R$42)</f>
        <v>0</v>
      </c>
      <c r="G6" s="264"/>
      <c r="H6" s="416" t="b">
        <f>IF(Paramétrage!$T$42="",FALSE,Paramétrage!$T$42)</f>
        <v>0</v>
      </c>
      <c r="I6" s="263"/>
      <c r="J6" s="417" t="b">
        <f>IF(Paramétrage!$U$42="",FALSE,Paramétrage!$U$42)</f>
        <v>0</v>
      </c>
      <c r="K6" s="263"/>
      <c r="L6" s="418" t="b">
        <f>IF(Paramétrage!$W$42="",FALSE,Paramétrage!$W$42)</f>
        <v>0</v>
      </c>
      <c r="M6" s="263"/>
      <c r="N6" s="956">
        <f t="shared" ref="N6:N8" si="0">IF(OR(B6="aa",B6="cp",B6="f",B6="jc",B6="m",B6="css"),0,(L6-J6)+(H6-F6)+(D6-B6))</f>
        <v>0</v>
      </c>
      <c r="O6" s="956">
        <f t="shared" ref="O6:O8" si="1">SUM(AM6:AP6)+IF(OR(C6="m",C6="aa"),N6,IF(C6="css",0,IF(C6="cp",0,IF(C6="jc",0,IF(C6="f",0,E6-C6+I6-G6+M6-K6)))))</f>
        <v>0</v>
      </c>
      <c r="P6" s="956">
        <f>IF(OR(C6="aa",C6="cp",C6="f",C6="jc",C6="m",C6="css"),0,IF(C6="",IF(OR(F6="",F6=FALSE),0,F6-D6),IF(G6="",0,G6-E6)))</f>
        <v>0</v>
      </c>
      <c r="Q6" s="956">
        <f t="shared" ref="Q6:Q12" si="2">IF(P6=0,0,IF(G6="",IF(OR(J6="",J6=FALSE),0,J6-H6),IF(K6="",0,K6-I6)))</f>
        <v>0</v>
      </c>
      <c r="R6" s="957">
        <f t="shared" ref="R6:R8" si="3">IF(OR(C6="aa",C6="cp",C6="f",C6="jc",C6="m",C6="css"),0,IF(C6=0,MAX(B6,D6,F6,H6,J6,L6)-MIN(B6,D6,F6,H6,J6,L6),IF(C6&lt;&gt;0,MAX(C6,E6,G6,I6,K6,M6)-MIN(C6,E6,G6,I6,K6,M6))))</f>
        <v>0</v>
      </c>
      <c r="S6" s="262"/>
      <c r="T6" s="958" t="str">
        <f t="shared" ref="T6:T7" si="4">IF(AND(B6=FALSE,C6=""),"",IF(AND(B6=0,C6=0),"",(IF(OR(C6="cp",C6="f",C6="jc",C6="css"),"",IF(OR(C6="",C6="aa",C6="m"),(IF(OR(B6="cp",B6="f",B6="jc",B6="css"),"",B6*24+24-MAX(D5,H5,L5)*24)),C6*24+24-MAX(M5,I5,E5)*24)))))</f>
        <v/>
      </c>
      <c r="U6" s="959" t="str">
        <f>IF(P6=0,"",IF(P6&lt;Paramétrage!$S$12,"PB",IF(AND(Q6&lt;Paramétrage!$S$12,Q6&lt;&gt;0),"PB","")))</f>
        <v/>
      </c>
      <c r="V6" s="959" t="str">
        <f t="shared" ref="V6:V12" si="5">IF(C6="",IF((N6*24)&gt;10,"PB",""),IF((O6*24)&gt;10,"PB",""))</f>
        <v/>
      </c>
      <c r="W6" s="959" t="str">
        <f t="shared" ref="W6:W12" si="6">IF((R6*24)&gt;12,"PB","")</f>
        <v/>
      </c>
      <c r="X6" s="960" t="str">
        <f t="shared" ref="X6:X8" si="7">IF(AND(N6=0,O6=0),"",(IF(OR(C6="aa",C6="cp",C6="f",C6="jc",C6="m",C6="css"),"",IF(C6="",IF(OR(D6-B6&gt;6/24,H6-F6&gt;6/24,L6-J6&gt;6/24),"PB",""),IF(OR(E6-C6&gt;6/24,I6-G6&gt;6/24,M6-K6&gt;6/24),"PB","")))))</f>
        <v/>
      </c>
      <c r="Y6" s="959" t="str">
        <f t="shared" ref="Y6:Y12" si="8">IF(T6="","",IF(T6&lt;11,"PB",""))</f>
        <v/>
      </c>
      <c r="Z6" s="836"/>
      <c r="AA6" s="837"/>
      <c r="AB6" s="953"/>
      <c r="AC6" s="934" t="str">
        <f>IF(WEEKDAY(F3)&gt;2,"",F3)</f>
        <v/>
      </c>
      <c r="AD6" s="961">
        <f>IF(AND(N(AC6)&gt;=Paramétrage!$AU$11,N(AC6)&lt;=Paramétrage!$AU$12),IF(C6="cp",1,0),0)</f>
        <v>0</v>
      </c>
      <c r="AE6" s="962">
        <f>N6</f>
        <v>0</v>
      </c>
      <c r="AF6" s="961">
        <f>IF(AND(N(AC6)&gt;=Paramétrage!$AX$11,N(AC6)&lt;=Paramétrage!$AX$12),IF(C6="cp",1,0),0)</f>
        <v>0</v>
      </c>
      <c r="AG6" s="962">
        <f>O6</f>
        <v>0</v>
      </c>
      <c r="AI6" s="962">
        <f>AE6</f>
        <v>0</v>
      </c>
      <c r="AJ6" s="962">
        <f>AG6</f>
        <v>0</v>
      </c>
      <c r="AM6" s="962">
        <f>IF(AND($B6="cp",$C6="m"),$Z6,0)</f>
        <v>0</v>
      </c>
      <c r="AN6" s="962">
        <f>IF(AND($B6="jc",$C6="m"),$Z6,0)</f>
        <v>0</v>
      </c>
      <c r="AO6" s="962">
        <f>IF(AND($B6="cp",$C6="aa"),$Z6,0)</f>
        <v>0</v>
      </c>
      <c r="AP6" s="962">
        <f>IF(AND($B6="jc",$C6="aa"),$Z6,0)</f>
        <v>0</v>
      </c>
      <c r="AR6" s="917">
        <f>IF(AND(AC6&lt;=$AR$3,B6="CP"),1,0)</f>
        <v>0</v>
      </c>
      <c r="AS6" s="917">
        <f>IF(AND(AC6&lt;=$AR$3,C6="CP"),1,0)</f>
        <v>0</v>
      </c>
      <c r="AV6" s="963" t="e">
        <f>IF(MONTH(AC6)=AV4,AG6,0)</f>
        <v>#VALUE!</v>
      </c>
      <c r="AW6" s="963">
        <f t="shared" ref="AW6:BF6" si="9">IF(MONTH(AD6)=AW4,AH6,0)</f>
        <v>0</v>
      </c>
      <c r="AX6" s="963">
        <f t="shared" si="9"/>
        <v>0</v>
      </c>
      <c r="AY6" s="963">
        <f t="shared" si="9"/>
        <v>0</v>
      </c>
      <c r="AZ6" s="963">
        <f t="shared" si="9"/>
        <v>0</v>
      </c>
      <c r="BA6" s="963">
        <f t="shared" si="9"/>
        <v>0</v>
      </c>
      <c r="BB6" s="963">
        <f t="shared" si="9"/>
        <v>0</v>
      </c>
      <c r="BC6" s="963">
        <f t="shared" si="9"/>
        <v>0</v>
      </c>
      <c r="BD6" s="963">
        <f t="shared" si="9"/>
        <v>0</v>
      </c>
      <c r="BE6" s="963">
        <f t="shared" si="9"/>
        <v>0</v>
      </c>
      <c r="BF6" s="963">
        <f t="shared" si="9"/>
        <v>0</v>
      </c>
    </row>
    <row r="7" spans="1:58" ht="14.45" customHeight="1" x14ac:dyDescent="0.3">
      <c r="A7" s="964" t="str">
        <f>IF(WEEKDAY($F$3)&gt;3,"","MARDI")</f>
        <v/>
      </c>
      <c r="B7" s="414" t="b">
        <f>IF(Paramétrage!$O$43="",FALSE,Paramétrage!$O$43)</f>
        <v>0</v>
      </c>
      <c r="C7" s="263"/>
      <c r="D7" s="415" t="b">
        <f>IF(Paramétrage!$Q$43="",FALSE,Paramétrage!$Q$43)</f>
        <v>0</v>
      </c>
      <c r="E7" s="264"/>
      <c r="F7" s="414" t="b">
        <f>IF(Paramétrage!$R$43="",FALSE,Paramétrage!$R$43)</f>
        <v>0</v>
      </c>
      <c r="G7" s="264"/>
      <c r="H7" s="416" t="b">
        <f>IF(Paramétrage!$T$43="",FALSE,Paramétrage!$T$43)</f>
        <v>0</v>
      </c>
      <c r="I7" s="263"/>
      <c r="J7" s="417" t="b">
        <f>IF(Paramétrage!$U$43="",FALSE,Paramétrage!$U$43)</f>
        <v>0</v>
      </c>
      <c r="K7" s="263"/>
      <c r="L7" s="418" t="b">
        <f>IF(Paramétrage!$W$43="",FALSE,Paramétrage!$W$43)</f>
        <v>0</v>
      </c>
      <c r="M7" s="263"/>
      <c r="N7" s="956">
        <f t="shared" si="0"/>
        <v>0</v>
      </c>
      <c r="O7" s="956">
        <f t="shared" si="1"/>
        <v>0</v>
      </c>
      <c r="P7" s="956">
        <f t="shared" ref="P7:P12" si="10">IF(OR(C7="aa",C7="cp",C7="f",C7="jc",C7="m",C7="css"),0,IF(C7="",IF(OR(F7="",F7=FALSE),0,F7-D7),IF(G7="",0,G7-E7)))</f>
        <v>0</v>
      </c>
      <c r="Q7" s="956">
        <f t="shared" si="2"/>
        <v>0</v>
      </c>
      <c r="R7" s="957">
        <f t="shared" si="3"/>
        <v>0</v>
      </c>
      <c r="S7" s="262"/>
      <c r="T7" s="958" t="str">
        <f t="shared" si="4"/>
        <v/>
      </c>
      <c r="U7" s="959" t="str">
        <f>IF(P7=0,"",IF(P7&lt;Paramétrage!$S$12,"PB",IF(AND(Q7&lt;Paramétrage!$S$12,Q7&lt;&gt;0),"PB","")))</f>
        <v/>
      </c>
      <c r="V7" s="959" t="str">
        <f t="shared" si="5"/>
        <v/>
      </c>
      <c r="W7" s="959" t="str">
        <f t="shared" si="6"/>
        <v/>
      </c>
      <c r="X7" s="960" t="str">
        <f t="shared" si="7"/>
        <v/>
      </c>
      <c r="Y7" s="959" t="str">
        <f t="shared" si="8"/>
        <v/>
      </c>
      <c r="Z7" s="836"/>
      <c r="AA7" s="837"/>
      <c r="AB7" s="953"/>
      <c r="AC7" s="965" t="str">
        <f>IF(AC6="",IF(WEEKDAY(F3)&gt;3,"",F3),AC6+1)</f>
        <v/>
      </c>
      <c r="AD7" s="961">
        <f>IF(AND(N(AC7)&gt;=Paramétrage!$AU$11,N(AC7)&lt;=Paramétrage!$AU$12),IF(C7="cp",1,0),0)</f>
        <v>0</v>
      </c>
      <c r="AE7" s="962">
        <f t="shared" ref="AE7:AE12" si="11">N7</f>
        <v>0</v>
      </c>
      <c r="AF7" s="961">
        <f>IF(AND(N(AC7)&gt;=Paramétrage!$AX$11,N(AC7)&lt;=Paramétrage!$AX$12),IF(C7="cp",1,0),0)</f>
        <v>0</v>
      </c>
      <c r="AG7" s="962">
        <f t="shared" ref="AG7:AG12" si="12">O7</f>
        <v>0</v>
      </c>
      <c r="AI7" s="962">
        <f t="shared" ref="AI7:AI12" si="13">AE7+AI6</f>
        <v>0</v>
      </c>
      <c r="AJ7" s="962">
        <f t="shared" ref="AJ7:AJ12" si="14">AG7+AJ6</f>
        <v>0</v>
      </c>
      <c r="AM7" s="962">
        <f t="shared" ref="AM7:AM10" si="15">IF(AND($B7="cp",$C7="m"),$Z7,0)</f>
        <v>0</v>
      </c>
      <c r="AN7" s="962">
        <f t="shared" ref="AN7:AN10" si="16">IF(AND($B7="jc",$C7="m"),$Z7,0)</f>
        <v>0</v>
      </c>
      <c r="AO7" s="962">
        <f t="shared" ref="AO7:AO10" si="17">IF(AND($B7="cp",$C7="aa"),$Z7,0)</f>
        <v>0</v>
      </c>
      <c r="AP7" s="962">
        <f t="shared" ref="AP7:AP10" si="18">IF(AND($B7="jc",$C7="aa"),$Z7,0)</f>
        <v>0</v>
      </c>
      <c r="AR7" s="917">
        <f>IF(AND(AC7&lt;=$AR$3,B7="CP"),1,0)</f>
        <v>0</v>
      </c>
      <c r="AS7" s="917">
        <f>IF(AND(AC7&lt;=$AR$3,C7="CP"),1,0)</f>
        <v>0</v>
      </c>
      <c r="AV7" s="954"/>
      <c r="AW7" s="963">
        <f t="shared" ref="AW7:BF7" si="19">IF(MONTH(AD7)=AW5,AH7,0)</f>
        <v>0</v>
      </c>
      <c r="AX7" s="963">
        <f t="shared" si="19"/>
        <v>0</v>
      </c>
      <c r="AY7" s="963">
        <f t="shared" si="19"/>
        <v>0</v>
      </c>
      <c r="AZ7" s="963">
        <f t="shared" si="19"/>
        <v>0</v>
      </c>
      <c r="BA7" s="963">
        <f t="shared" si="19"/>
        <v>0</v>
      </c>
      <c r="BB7" s="963">
        <f t="shared" si="19"/>
        <v>0</v>
      </c>
      <c r="BC7" s="963">
        <f t="shared" si="19"/>
        <v>0</v>
      </c>
      <c r="BD7" s="963">
        <f t="shared" si="19"/>
        <v>0</v>
      </c>
      <c r="BE7" s="963">
        <f t="shared" si="19"/>
        <v>0</v>
      </c>
      <c r="BF7" s="963">
        <f t="shared" si="19"/>
        <v>0</v>
      </c>
    </row>
    <row r="8" spans="1:58" ht="14.45" customHeight="1" x14ac:dyDescent="0.3">
      <c r="A8" s="964" t="str">
        <f>IF(WEEKDAY($F$3)&gt;4,"","MERCREDI")</f>
        <v>MERCREDI</v>
      </c>
      <c r="B8" s="414" t="b">
        <f>IF(Paramétrage!$O$44="",FALSE,Paramétrage!$O$44)</f>
        <v>0</v>
      </c>
      <c r="C8" s="263"/>
      <c r="D8" s="415" t="b">
        <f>IF(Paramétrage!$Q$44="",FALSE,Paramétrage!$Q$44)</f>
        <v>0</v>
      </c>
      <c r="E8" s="264"/>
      <c r="F8" s="414" t="b">
        <f>IF(Paramétrage!$R$44="",FALSE,Paramétrage!$R$44)</f>
        <v>0</v>
      </c>
      <c r="G8" s="264"/>
      <c r="H8" s="416" t="b">
        <f>IF(Paramétrage!$T$44="",FALSE,Paramétrage!$T$44)</f>
        <v>0</v>
      </c>
      <c r="I8" s="263"/>
      <c r="J8" s="417" t="b">
        <f>IF(Paramétrage!$U$44="",FALSE,Paramétrage!$U$44)</f>
        <v>0</v>
      </c>
      <c r="K8" s="263"/>
      <c r="L8" s="418" t="b">
        <f>IF(Paramétrage!$W$44="",FALSE,Paramétrage!$W$44)</f>
        <v>0</v>
      </c>
      <c r="M8" s="263"/>
      <c r="N8" s="956">
        <f t="shared" si="0"/>
        <v>0</v>
      </c>
      <c r="O8" s="956">
        <f t="shared" si="1"/>
        <v>0</v>
      </c>
      <c r="P8" s="956">
        <f t="shared" si="10"/>
        <v>0</v>
      </c>
      <c r="Q8" s="956">
        <f t="shared" si="2"/>
        <v>0</v>
      </c>
      <c r="R8" s="957">
        <f t="shared" si="3"/>
        <v>0</v>
      </c>
      <c r="S8" s="262"/>
      <c r="T8" s="958" t="str">
        <f>IF(AND(B8=FALSE,C8=""),"",IF(AND(B8=0,C8=0),"",(IF(OR(C8="cp",C8="f",C8="jc",C8="css"),"",IF(OR(C8="",C8="aa",C8="m"),(IF(OR(B8="cp",B8="f",B8="jc",B8="css"),"",B8*24+24-MAX(D7,H7,L7)*24)),C8*24+24-MAX(M7,I7,E7)*24)))))</f>
        <v/>
      </c>
      <c r="U8" s="959" t="str">
        <f>IF(P8=0,"",IF(P8&lt;Paramétrage!$S$12,"PB",IF(AND(Q8&lt;Paramétrage!$S$12,Q8&lt;&gt;0),"PB","")))</f>
        <v/>
      </c>
      <c r="V8" s="959" t="str">
        <f t="shared" si="5"/>
        <v/>
      </c>
      <c r="W8" s="959" t="str">
        <f t="shared" si="6"/>
        <v/>
      </c>
      <c r="X8" s="960" t="str">
        <f t="shared" si="7"/>
        <v/>
      </c>
      <c r="Y8" s="959" t="str">
        <f t="shared" si="8"/>
        <v/>
      </c>
      <c r="Z8" s="836"/>
      <c r="AA8" s="837"/>
      <c r="AB8" s="953"/>
      <c r="AC8" s="965">
        <f>IF(AC7="",IF(WEEKDAY(F3)&gt;4,"",F3),AC7+1)</f>
        <v>42614</v>
      </c>
      <c r="AD8" s="961">
        <f>IF(AND(N(AC8)&gt;=Paramétrage!$AU$11,N(AC8)&lt;=Paramétrage!$AU$12),IF(C8="cp",1,0),0)</f>
        <v>0</v>
      </c>
      <c r="AE8" s="962">
        <f t="shared" si="11"/>
        <v>0</v>
      </c>
      <c r="AF8" s="961">
        <f>IF(AND(N(AC8)&gt;=Paramétrage!$AX$11,N(AC8)&lt;=Paramétrage!$AX$12),IF(C8="cp",1,0),0)</f>
        <v>0</v>
      </c>
      <c r="AG8" s="962">
        <f t="shared" si="12"/>
        <v>0</v>
      </c>
      <c r="AI8" s="962">
        <f t="shared" si="13"/>
        <v>0</v>
      </c>
      <c r="AJ8" s="962">
        <f t="shared" si="14"/>
        <v>0</v>
      </c>
      <c r="AM8" s="962">
        <f t="shared" si="15"/>
        <v>0</v>
      </c>
      <c r="AN8" s="962">
        <f t="shared" si="16"/>
        <v>0</v>
      </c>
      <c r="AO8" s="962">
        <f t="shared" si="17"/>
        <v>0</v>
      </c>
      <c r="AP8" s="962">
        <f t="shared" si="18"/>
        <v>0</v>
      </c>
      <c r="AR8" s="917">
        <f>IF(AND(AC8&lt;=$AR$3,B8="CP"),1,0)</f>
        <v>0</v>
      </c>
      <c r="AS8" s="917">
        <f>IF(AND(AC8&lt;=$AR$3,C8="CP"),1,0)</f>
        <v>0</v>
      </c>
      <c r="AV8" s="954"/>
      <c r="AW8" s="963">
        <f t="shared" ref="AW8:BF8" si="20">IF(MONTH(AD8)=AW6,AH8,0)</f>
        <v>0</v>
      </c>
      <c r="AX8" s="963">
        <f t="shared" si="20"/>
        <v>0</v>
      </c>
      <c r="AY8" s="963">
        <f t="shared" si="20"/>
        <v>0</v>
      </c>
      <c r="AZ8" s="963">
        <f t="shared" si="20"/>
        <v>0</v>
      </c>
      <c r="BA8" s="963">
        <f t="shared" si="20"/>
        <v>0</v>
      </c>
      <c r="BB8" s="963">
        <f t="shared" si="20"/>
        <v>0</v>
      </c>
      <c r="BC8" s="963">
        <f t="shared" si="20"/>
        <v>0</v>
      </c>
      <c r="BD8" s="963">
        <f t="shared" si="20"/>
        <v>0</v>
      </c>
      <c r="BE8" s="963">
        <f t="shared" si="20"/>
        <v>0</v>
      </c>
      <c r="BF8" s="963">
        <f t="shared" si="20"/>
        <v>0</v>
      </c>
    </row>
    <row r="9" spans="1:58" ht="14.45" customHeight="1" x14ac:dyDescent="0.3">
      <c r="A9" s="964" t="str">
        <f>IF(WEEKDAY($F$3)&gt;5,"","JEUDI")</f>
        <v>JEUDI</v>
      </c>
      <c r="B9" s="414" t="b">
        <f>IF(Paramétrage!$O$45="",FALSE,Paramétrage!$O$45)</f>
        <v>0</v>
      </c>
      <c r="C9" s="263"/>
      <c r="D9" s="415" t="b">
        <f>IF(Paramétrage!$Q$45="",FALSE,Paramétrage!$Q$45)</f>
        <v>0</v>
      </c>
      <c r="E9" s="264"/>
      <c r="F9" s="414" t="b">
        <f>IF(Paramétrage!$R$45="",FALSE,Paramétrage!$R$45)</f>
        <v>0</v>
      </c>
      <c r="G9" s="264"/>
      <c r="H9" s="416" t="b">
        <f>IF(Paramétrage!$T$45="",FALSE,Paramétrage!$T$45)</f>
        <v>0</v>
      </c>
      <c r="I9" s="263"/>
      <c r="J9" s="417" t="b">
        <f>IF(Paramétrage!$U$45="",FALSE,Paramétrage!$U$45)</f>
        <v>0</v>
      </c>
      <c r="K9" s="263"/>
      <c r="L9" s="418" t="b">
        <f>IF(Paramétrage!$W$45="",FALSE,Paramétrage!$W$45)</f>
        <v>0</v>
      </c>
      <c r="M9" s="263"/>
      <c r="N9" s="956">
        <f>IF(OR(B9="aa",B9="cp",B9="f",B9="jc",B9="m",B9="css"),0,(L9-J9)+(H9-F9)+(D9-B9))</f>
        <v>0</v>
      </c>
      <c r="O9" s="956">
        <f>SUM(AM9:AP9)+IF(OR(C9="m",C9="aa"),N9,IF(C9="css",0,IF(C9="cp",0,IF(C9="jc",0,IF(C9="f",0,E9-C9+I9-G9+M9-K9)))))</f>
        <v>0</v>
      </c>
      <c r="P9" s="956">
        <f t="shared" si="10"/>
        <v>0</v>
      </c>
      <c r="Q9" s="956">
        <f t="shared" si="2"/>
        <v>0</v>
      </c>
      <c r="R9" s="957">
        <f>IF(OR(C9="aa",C9="cp",C9="f",C9="jc",C9="m",C9="css"),0,IF(C9=0,MAX(B9,D9,F9,H9,J9,L9)-MIN(B9,D9,F9,H9,J9,L9),IF(C9&lt;&gt;0,MAX(C9,E9,G9,I9,K9,M9)-MIN(C9,E9,G9,I9,K9,M9))))</f>
        <v>0</v>
      </c>
      <c r="S9" s="262"/>
      <c r="T9" s="958" t="str">
        <f t="shared" ref="T9:T12" si="21">IF(AND(B9=FALSE,C9=""),"",IF(AND(B9=0,C9=0),"",(IF(OR(C9="cp",C9="f",C9="jc",C9="css"),"",IF(OR(C9="",C9="aa",C9="m"),(IF(OR(B9="cp",B9="f",B9="jc",B9="css"),"",B9*24+24-MAX(D8,H8,L8)*24)),C9*24+24-MAX(M8,I8,E8)*24)))))</f>
        <v/>
      </c>
      <c r="U9" s="959" t="str">
        <f>IF(P9=0,"",IF(P9&lt;Paramétrage!$S$12,"PB",IF(AND(Q9&lt;Paramétrage!$S$12,Q9&lt;&gt;0),"PB","")))</f>
        <v/>
      </c>
      <c r="V9" s="959" t="str">
        <f t="shared" si="5"/>
        <v/>
      </c>
      <c r="W9" s="959" t="str">
        <f t="shared" si="6"/>
        <v/>
      </c>
      <c r="X9" s="960" t="str">
        <f>IF(AND(N9=0,O9=0),"",(IF(OR(C9="aa",C9="cp",C9="f",C9="jc",C9="m",C9="css"),"",IF(C9="",IF(OR(D9-B9&gt;6/24,H9-F9&gt;6/24,L9-J9&gt;6/24),"PB",""),IF(OR(E9-C9&gt;6/24,I9-G9&gt;6/24,M9-K9&gt;6/24),"PB","")))))</f>
        <v/>
      </c>
      <c r="Y9" s="959" t="str">
        <f t="shared" si="8"/>
        <v/>
      </c>
      <c r="Z9" s="836"/>
      <c r="AA9" s="837"/>
      <c r="AB9" s="953"/>
      <c r="AC9" s="965">
        <f>IF(AC8="",IF(WEEKDAY(F3)&gt;5,"",F3),AC8+1)</f>
        <v>42615</v>
      </c>
      <c r="AD9" s="961">
        <f>IF(AND(N(AC9)&gt;=Paramétrage!$AU$11,N(AC9)&lt;=Paramétrage!$AU$12),IF(C9="cp",1,0),0)</f>
        <v>0</v>
      </c>
      <c r="AE9" s="962">
        <f t="shared" si="11"/>
        <v>0</v>
      </c>
      <c r="AF9" s="961">
        <f>IF(AND(N(AC9)&gt;=Paramétrage!$AX$11,N(AC9)&lt;=Paramétrage!$AX$12),IF(C9="cp",1,0),0)</f>
        <v>0</v>
      </c>
      <c r="AG9" s="962">
        <f t="shared" si="12"/>
        <v>0</v>
      </c>
      <c r="AI9" s="962">
        <f t="shared" si="13"/>
        <v>0</v>
      </c>
      <c r="AJ9" s="962">
        <f t="shared" si="14"/>
        <v>0</v>
      </c>
      <c r="AM9" s="962">
        <f t="shared" si="15"/>
        <v>0</v>
      </c>
      <c r="AN9" s="962">
        <f t="shared" si="16"/>
        <v>0</v>
      </c>
      <c r="AO9" s="962">
        <f t="shared" si="17"/>
        <v>0</v>
      </c>
      <c r="AP9" s="962">
        <f t="shared" si="18"/>
        <v>0</v>
      </c>
      <c r="AR9" s="917">
        <f>IF(AND(AC9&lt;=$AR$3,B9="CP"),1,0)</f>
        <v>0</v>
      </c>
      <c r="AS9" s="917">
        <f>IF(AND(AC9&lt;=$AR$3,C9="CP"),1,0)</f>
        <v>0</v>
      </c>
      <c r="AV9" s="954"/>
      <c r="AW9" s="963">
        <f t="shared" ref="AW9:BF9" si="22">IF(MONTH(AD9)=AW7,AH9,0)</f>
        <v>0</v>
      </c>
      <c r="AX9" s="963">
        <f t="shared" si="22"/>
        <v>0</v>
      </c>
      <c r="AY9" s="963">
        <f t="shared" si="22"/>
        <v>0</v>
      </c>
      <c r="AZ9" s="963">
        <f t="shared" si="22"/>
        <v>0</v>
      </c>
      <c r="BA9" s="963">
        <f t="shared" si="22"/>
        <v>0</v>
      </c>
      <c r="BB9" s="963">
        <f t="shared" si="22"/>
        <v>0</v>
      </c>
      <c r="BC9" s="963">
        <f t="shared" si="22"/>
        <v>0</v>
      </c>
      <c r="BD9" s="963">
        <f t="shared" si="22"/>
        <v>0</v>
      </c>
      <c r="BE9" s="963">
        <f t="shared" si="22"/>
        <v>0</v>
      </c>
      <c r="BF9" s="963">
        <f t="shared" si="22"/>
        <v>0</v>
      </c>
    </row>
    <row r="10" spans="1:58" ht="14.45" customHeight="1" x14ac:dyDescent="0.3">
      <c r="A10" s="964" t="str">
        <f>IF(WEEKDAY($F$3)&gt;6,"","VENDREDI")</f>
        <v>VENDREDI</v>
      </c>
      <c r="B10" s="414" t="b">
        <f>IF(Paramétrage!$O$46="",FALSE,Paramétrage!$O$46)</f>
        <v>0</v>
      </c>
      <c r="C10" s="263"/>
      <c r="D10" s="415" t="b">
        <f>IF(Paramétrage!$Q$46="",FALSE,Paramétrage!$Q$46)</f>
        <v>0</v>
      </c>
      <c r="E10" s="264"/>
      <c r="F10" s="414" t="b">
        <f>IF(Paramétrage!$R$46="",FALSE,Paramétrage!$R$46)</f>
        <v>0</v>
      </c>
      <c r="G10" s="264"/>
      <c r="H10" s="416" t="b">
        <f>IF(Paramétrage!$T$46="",FALSE,Paramétrage!$T$46)</f>
        <v>0</v>
      </c>
      <c r="I10" s="263"/>
      <c r="J10" s="417" t="b">
        <f>IF(Paramétrage!$U$46="",FALSE,Paramétrage!$U$46)</f>
        <v>0</v>
      </c>
      <c r="K10" s="263"/>
      <c r="L10" s="418" t="b">
        <f>IF(Paramétrage!$W$46="",FALSE,Paramétrage!$W$46)</f>
        <v>0</v>
      </c>
      <c r="M10" s="263"/>
      <c r="N10" s="956">
        <f>IF(OR(B10="aa",B10="cp",B10="f",B10="jc",B10="m",B10="css"),0,(L10-J10)+(H10-F10)+(D10-B10))</f>
        <v>0</v>
      </c>
      <c r="O10" s="956">
        <f>SUM(AM10:AP10)+IF(OR(C10="m",C10="aa"),N10,IF(C10="css",0,IF(C10="cp",0,IF(C10="jc",0,IF(C10="f",0,E10-C10+I10-G10+M10-K10)))))</f>
        <v>0</v>
      </c>
      <c r="P10" s="956">
        <f t="shared" si="10"/>
        <v>0</v>
      </c>
      <c r="Q10" s="956">
        <f t="shared" si="2"/>
        <v>0</v>
      </c>
      <c r="R10" s="957">
        <f>IF(OR(C10="aa",C10="cp",C10="f",C10="jc",C10="m",C10="css"),0,IF(C10=0,MAX(B10,D10,F10,H10,J10,L10)-MIN(B10,D10,F10,H10,J10,L10),IF(C10&lt;&gt;0,MAX(C10,E10,G10,I10,K10,M10)-MIN(C10,E10,G10,I10,K10,M10))))</f>
        <v>0</v>
      </c>
      <c r="S10" s="262"/>
      <c r="T10" s="958" t="str">
        <f t="shared" si="21"/>
        <v/>
      </c>
      <c r="U10" s="959" t="str">
        <f>IF(P10=0,"",IF(P10&lt;Paramétrage!$S$12,"PB",IF(AND(Q10&lt;Paramétrage!$S$12,Q10&lt;&gt;0),"PB","")))</f>
        <v/>
      </c>
      <c r="V10" s="959" t="str">
        <f t="shared" si="5"/>
        <v/>
      </c>
      <c r="W10" s="959" t="str">
        <f t="shared" si="6"/>
        <v/>
      </c>
      <c r="X10" s="960" t="str">
        <f>IF(AND(N10=0,O10=0),"",(IF(OR(C10="aa",C10="cp",C10="f",C10="jc",C10="m",C10="css"),"",IF(C10="",IF(OR(D10-B10&gt;6/24,H10-F10&gt;6/24,L10-J10&gt;6/24),"PB",""),IF(OR(E10-C10&gt;6/24,I10-G10&gt;6/24,M10-K10&gt;6/24),"PB","")))))</f>
        <v/>
      </c>
      <c r="Y10" s="959" t="str">
        <f t="shared" si="8"/>
        <v/>
      </c>
      <c r="Z10" s="836"/>
      <c r="AA10" s="837"/>
      <c r="AB10" s="953"/>
      <c r="AC10" s="965">
        <f>IF(AC9="",IF(WEEKDAY(F3)&gt;6,"",F3),AC9+1)</f>
        <v>42616</v>
      </c>
      <c r="AD10" s="961">
        <f>IF(AND(N(AC10)&gt;=Paramétrage!$AU$11,N(AC10)&lt;=Paramétrage!$AU$12),IF(C10="cp",1,0),0)</f>
        <v>0</v>
      </c>
      <c r="AE10" s="962">
        <f t="shared" si="11"/>
        <v>0</v>
      </c>
      <c r="AF10" s="961">
        <f>IF(AND(N(AC10)&gt;=Paramétrage!$AX$11,N(AC10)&lt;=Paramétrage!$AX$12),IF(C10="cp",1,0),0)</f>
        <v>0</v>
      </c>
      <c r="AG10" s="962">
        <f t="shared" si="12"/>
        <v>0</v>
      </c>
      <c r="AI10" s="962">
        <f t="shared" si="13"/>
        <v>0</v>
      </c>
      <c r="AJ10" s="962">
        <f t="shared" si="14"/>
        <v>0</v>
      </c>
      <c r="AM10" s="962">
        <f t="shared" si="15"/>
        <v>0</v>
      </c>
      <c r="AN10" s="962">
        <f t="shared" si="16"/>
        <v>0</v>
      </c>
      <c r="AO10" s="962">
        <f t="shared" si="17"/>
        <v>0</v>
      </c>
      <c r="AP10" s="962">
        <f t="shared" si="18"/>
        <v>0</v>
      </c>
      <c r="AR10" s="917">
        <f>IF(AND(AC10&lt;=$AR$3,B10="CP"),1,0)</f>
        <v>0</v>
      </c>
      <c r="AS10" s="917">
        <f>IF(AND(AC10&lt;=$AR$3,C10="CP"),1,0)</f>
        <v>0</v>
      </c>
      <c r="AV10" s="954"/>
      <c r="AW10" s="963">
        <f t="shared" ref="AW10:BF10" si="23">IF(MONTH(AD10)=AW8,AH10,0)</f>
        <v>0</v>
      </c>
      <c r="AX10" s="963">
        <f t="shared" si="23"/>
        <v>0</v>
      </c>
      <c r="AY10" s="963">
        <f t="shared" si="23"/>
        <v>0</v>
      </c>
      <c r="AZ10" s="963">
        <f t="shared" si="23"/>
        <v>0</v>
      </c>
      <c r="BA10" s="963">
        <f t="shared" si="23"/>
        <v>0</v>
      </c>
      <c r="BB10" s="963">
        <f t="shared" si="23"/>
        <v>0</v>
      </c>
      <c r="BC10" s="963">
        <f t="shared" si="23"/>
        <v>0</v>
      </c>
      <c r="BD10" s="963">
        <f t="shared" si="23"/>
        <v>0</v>
      </c>
      <c r="BE10" s="963">
        <f t="shared" si="23"/>
        <v>0</v>
      </c>
      <c r="BF10" s="963">
        <f t="shared" si="23"/>
        <v>0</v>
      </c>
    </row>
    <row r="11" spans="1:58" ht="14.45" customHeight="1" x14ac:dyDescent="0.3">
      <c r="A11" s="964" t="str">
        <f>IF(WEEKDAY($F$3)&gt;7,"","SAMEDI")</f>
        <v>SAMEDI</v>
      </c>
      <c r="B11" s="414" t="b">
        <f>IF(Paramétrage!$O$47="",FALSE,Paramétrage!$O$47)</f>
        <v>0</v>
      </c>
      <c r="C11" s="263"/>
      <c r="D11" s="415" t="b">
        <f>IF(Paramétrage!$Q$47="",FALSE,Paramétrage!$Q$47)</f>
        <v>0</v>
      </c>
      <c r="E11" s="264"/>
      <c r="F11" s="414" t="b">
        <f>IF(Paramétrage!$R$47="",FALSE,Paramétrage!$R$47)</f>
        <v>0</v>
      </c>
      <c r="G11" s="264"/>
      <c r="H11" s="416" t="b">
        <f>IF(Paramétrage!$T$47="",FALSE,Paramétrage!$T$47)</f>
        <v>0</v>
      </c>
      <c r="I11" s="263"/>
      <c r="J11" s="417" t="b">
        <f>IF(Paramétrage!$U$47="",FALSE,Paramétrage!$U$47)</f>
        <v>0</v>
      </c>
      <c r="K11" s="263"/>
      <c r="L11" s="418" t="b">
        <f>IF(Paramétrage!$W$47="",FALSE,Paramétrage!$W$47)</f>
        <v>0</v>
      </c>
      <c r="M11" s="263"/>
      <c r="N11" s="956">
        <f>IF(OR(B11="aa",B11="cp",B11="f",B11="jc",B11="m",B11="css"),0,(L11-J11)+(H11-F11)+(D11-B11))</f>
        <v>0</v>
      </c>
      <c r="O11" s="956">
        <f>IF(OR(C11="m",C11="aa"),N11,IF(C11="cp",0,IF(OR(C11="css",C11="jc"),0,IF(C11="f",0,E11-C11+I11-G11+M11-K11))))</f>
        <v>0</v>
      </c>
      <c r="P11" s="956">
        <f t="shared" si="10"/>
        <v>0</v>
      </c>
      <c r="Q11" s="956">
        <f t="shared" si="2"/>
        <v>0</v>
      </c>
      <c r="R11" s="957">
        <f>IF(OR(C11="aa",C11="cp",C11="f",C11="jc",C11="m",C11="css"),0,IF(C11=0,MAX(B11,D11,F11,H11,J11,L11)-MIN(B11,D11,F11,H11,J11,L11),IF(C11&lt;&gt;0,MAX(C11,E11,G11,I11,K11,M11)-MIN(C11,E11,G11,I11,K11,M11))))</f>
        <v>0</v>
      </c>
      <c r="S11" s="262"/>
      <c r="T11" s="958" t="str">
        <f t="shared" si="21"/>
        <v/>
      </c>
      <c r="U11" s="959" t="str">
        <f>IF(P11=0,"",IF(P11&lt;Paramétrage!$S$12,"PB",IF(AND(Q11&lt;Paramétrage!$S$12,Q11&lt;&gt;0),"PB","")))</f>
        <v/>
      </c>
      <c r="V11" s="959" t="str">
        <f t="shared" si="5"/>
        <v/>
      </c>
      <c r="W11" s="959" t="str">
        <f t="shared" si="6"/>
        <v/>
      </c>
      <c r="X11" s="960" t="str">
        <f>IF(AND(N11=0,O11=0),"",(IF(OR(C11="aa",C11="cp",C11="f",C11="jc",C11="m",C11="css"),"",IF(C11="",IF(OR(D11-B11&gt;6/24,H11-F11&gt;6/24,L11-J11&gt;6/24),"PB",""),IF(OR(E11-C11&gt;6/24,I11-G11&gt;6/24,M11-K11&gt;6/24),"PB","")))))</f>
        <v/>
      </c>
      <c r="Y11" s="959" t="str">
        <f t="shared" si="8"/>
        <v/>
      </c>
      <c r="Z11" s="836"/>
      <c r="AA11" s="837"/>
      <c r="AB11" s="953"/>
      <c r="AC11" s="965">
        <f>IF(AC10="",IF(WEEKDAY(F3)&gt;7,"",F3),AC10+1)</f>
        <v>42617</v>
      </c>
      <c r="AD11" s="961">
        <f>IF(AND(N(AC11)&gt;=Paramétrage!$AU$11,N(AC11)&lt;=Paramétrage!$AU$12),IF(C11="cp",1,0),0)</f>
        <v>0</v>
      </c>
      <c r="AE11" s="962">
        <f t="shared" si="11"/>
        <v>0</v>
      </c>
      <c r="AF11" s="961">
        <f>IF(AND(N(AC11)&gt;=Paramétrage!$AX$11,N(AC11)&lt;=Paramétrage!$AX$12),IF(C11="cp",1,0),0)</f>
        <v>0</v>
      </c>
      <c r="AG11" s="962">
        <f t="shared" si="12"/>
        <v>0</v>
      </c>
      <c r="AI11" s="962">
        <f t="shared" si="13"/>
        <v>0</v>
      </c>
      <c r="AJ11" s="962">
        <f t="shared" si="14"/>
        <v>0</v>
      </c>
      <c r="AM11" s="962"/>
      <c r="AN11" s="962"/>
      <c r="AO11" s="962"/>
      <c r="AP11" s="962"/>
      <c r="AV11" s="954"/>
      <c r="AW11" s="963">
        <f t="shared" ref="AW11:BF11" si="24">IF(MONTH(AD11)=AW9,AH11,0)</f>
        <v>0</v>
      </c>
      <c r="AX11" s="963">
        <f t="shared" si="24"/>
        <v>0</v>
      </c>
      <c r="AY11" s="963">
        <f t="shared" si="24"/>
        <v>0</v>
      </c>
      <c r="AZ11" s="963">
        <f t="shared" si="24"/>
        <v>0</v>
      </c>
      <c r="BA11" s="963">
        <f t="shared" si="24"/>
        <v>0</v>
      </c>
      <c r="BB11" s="963">
        <f t="shared" si="24"/>
        <v>0</v>
      </c>
      <c r="BC11" s="963">
        <f t="shared" si="24"/>
        <v>0</v>
      </c>
      <c r="BD11" s="963">
        <f t="shared" si="24"/>
        <v>0</v>
      </c>
      <c r="BE11" s="963">
        <f t="shared" si="24"/>
        <v>0</v>
      </c>
      <c r="BF11" s="963">
        <f t="shared" si="24"/>
        <v>0</v>
      </c>
    </row>
    <row r="12" spans="1:58" ht="14.45" customHeight="1" thickBot="1" x14ac:dyDescent="0.35">
      <c r="A12" s="966" t="s">
        <v>20</v>
      </c>
      <c r="B12" s="414" t="b">
        <f>IF(Paramétrage!$O$48="",FALSE,Paramétrage!$O$48)</f>
        <v>0</v>
      </c>
      <c r="C12" s="263"/>
      <c r="D12" s="415" t="b">
        <f>IF(Paramétrage!$Q$48="",FALSE,Paramétrage!$Q$48)</f>
        <v>0</v>
      </c>
      <c r="E12" s="264"/>
      <c r="F12" s="414" t="b">
        <f>IF(Paramétrage!$R$48="",FALSE,Paramétrage!$R$48)</f>
        <v>0</v>
      </c>
      <c r="G12" s="264"/>
      <c r="H12" s="416" t="b">
        <f>IF(Paramétrage!$T$48="",FALSE,Paramétrage!$T$48)</f>
        <v>0</v>
      </c>
      <c r="I12" s="263"/>
      <c r="J12" s="417" t="b">
        <f>IF(Paramétrage!$U$48="",FALSE,Paramétrage!$U$48)</f>
        <v>0</v>
      </c>
      <c r="K12" s="263"/>
      <c r="L12" s="418" t="b">
        <f>IF(Paramétrage!$W$48="",FALSE,Paramétrage!$W$48)</f>
        <v>0</v>
      </c>
      <c r="M12" s="263"/>
      <c r="N12" s="956">
        <f>IF(OR(B12="aa",B12="m"),M12,IF(B12="cp",0,IF(B12="jc",0,IF(B12="f",0,(D12-B12)*Paramétrage!$S$13+(H12-F12)*Paramétrage!$S$13+(L12-J12)*Paramétrage!$S$13+(D12-B12+H12-F12+L12-J12)))))</f>
        <v>0</v>
      </c>
      <c r="O12" s="956">
        <f>IF(OR(C12="aa",C12="m"),N12,IF(C12="cp",0,IF(C12="jc",0,IF(C12="f",0,(E12-C12)*Paramétrage!$S$13+(I12-G12)*Paramétrage!$S$13+(M12-K12)*Paramétrage!$S$13+(E12-C12+I12-G12+M12-K12)))))</f>
        <v>0</v>
      </c>
      <c r="P12" s="956">
        <f t="shared" si="10"/>
        <v>0</v>
      </c>
      <c r="Q12" s="956">
        <f t="shared" si="2"/>
        <v>0</v>
      </c>
      <c r="R12" s="957">
        <f t="shared" ref="R12" si="25">IF(OR(C12="aa",C12="cp",C12="f",C12="jc",C12="m",C12=0),MAX(B12,D12,F12,H12,J12,L12)-MIN(B12,D12,F12,H12,J12,L12),IF(C12&lt;&gt;0,MAX(C12,E12,G12,I12,K12,M12)-MIN(C12,E12,G12,I12,K12,M12)))</f>
        <v>0</v>
      </c>
      <c r="S12" s="262"/>
      <c r="T12" s="958" t="str">
        <f t="shared" si="21"/>
        <v/>
      </c>
      <c r="U12" s="959" t="str">
        <f>IF(P12=0,"",IF(P12&lt;Paramétrage!$S$12,"PB",IF(AND(Q12&lt;Paramétrage!$S$12,Q12&lt;&gt;0),"PB","")))</f>
        <v/>
      </c>
      <c r="V12" s="959" t="str">
        <f t="shared" si="5"/>
        <v/>
      </c>
      <c r="W12" s="959" t="str">
        <f t="shared" si="6"/>
        <v/>
      </c>
      <c r="X12" s="960" t="str">
        <f t="shared" ref="X12" si="26">IF(AND(N12=0,O12=0),"",(IF(OR(C12="aa",C12="cp",C12="f",C12="jc",C12="m"),"",IF(C12="",IF(OR(D12-B12&gt;6/24,H12-F12&gt;6/24,L12-J12&gt;6/24),"PB",""),IF(OR(E12-C12&gt;6/24,I12-G12&gt;6/24,M12-K12&gt;6/24),"PB","")))))</f>
        <v/>
      </c>
      <c r="Y12" s="959" t="str">
        <f t="shared" si="8"/>
        <v/>
      </c>
      <c r="Z12" s="836"/>
      <c r="AA12" s="837"/>
      <c r="AB12" s="967"/>
      <c r="AC12" s="965">
        <f>1+AC11</f>
        <v>42618</v>
      </c>
      <c r="AD12" s="961">
        <f>IF(AND(N(AC12)&gt;=Paramétrage!$AU$11,N(AC12)&lt;=Paramétrage!$AU$12),IF(C12="cp",1,0),0)</f>
        <v>0</v>
      </c>
      <c r="AE12" s="962">
        <f t="shared" si="11"/>
        <v>0</v>
      </c>
      <c r="AF12" s="961">
        <f>IF(AND(N(AC12)&gt;=Paramétrage!$AX$11,N(AC12)&lt;=Paramétrage!$AX$12),IF(C12="cp",1,0),0)</f>
        <v>0</v>
      </c>
      <c r="AG12" s="962">
        <f t="shared" si="12"/>
        <v>0</v>
      </c>
      <c r="AH12" s="968"/>
      <c r="AI12" s="962">
        <f t="shared" si="13"/>
        <v>0</v>
      </c>
      <c r="AJ12" s="962">
        <f t="shared" si="14"/>
        <v>0</v>
      </c>
      <c r="AM12" s="962"/>
      <c r="AN12" s="962"/>
      <c r="AO12" s="962"/>
      <c r="AP12" s="962"/>
      <c r="AV12" s="954"/>
      <c r="AW12" s="963">
        <f t="shared" ref="AW12:BF12" si="27">IF(MONTH(AD12)=AW10,AH12,0)</f>
        <v>0</v>
      </c>
      <c r="AX12" s="963">
        <f t="shared" si="27"/>
        <v>0</v>
      </c>
      <c r="AY12" s="963">
        <f t="shared" si="27"/>
        <v>0</v>
      </c>
      <c r="AZ12" s="963">
        <f t="shared" si="27"/>
        <v>0</v>
      </c>
      <c r="BA12" s="963">
        <f t="shared" si="27"/>
        <v>0</v>
      </c>
      <c r="BB12" s="963">
        <f t="shared" si="27"/>
        <v>0</v>
      </c>
      <c r="BC12" s="963">
        <f t="shared" si="27"/>
        <v>0</v>
      </c>
      <c r="BD12" s="963">
        <f t="shared" si="27"/>
        <v>0</v>
      </c>
      <c r="BE12" s="963">
        <f t="shared" si="27"/>
        <v>0</v>
      </c>
      <c r="BF12" s="963">
        <f t="shared" si="27"/>
        <v>0</v>
      </c>
    </row>
    <row r="13" spans="1:58" x14ac:dyDescent="0.25">
      <c r="A13" s="969" t="s">
        <v>78</v>
      </c>
      <c r="B13" s="970"/>
      <c r="C13" s="970"/>
      <c r="D13" s="970"/>
      <c r="E13" s="970"/>
      <c r="F13" s="970"/>
      <c r="G13" s="970"/>
      <c r="H13" s="970"/>
      <c r="I13" s="970"/>
      <c r="J13" s="970"/>
      <c r="K13" s="971"/>
      <c r="L13" s="970"/>
      <c r="M13" s="970"/>
      <c r="N13" s="972">
        <f>SUM(N6:N12)</f>
        <v>0</v>
      </c>
      <c r="O13" s="972">
        <f>SUM(O6:O12)</f>
        <v>0</v>
      </c>
      <c r="P13" s="972">
        <f>SUM(P6:P12)</f>
        <v>0</v>
      </c>
      <c r="Q13" s="972">
        <f>SUM(Q6:Q12)</f>
        <v>0</v>
      </c>
      <c r="R13" s="972"/>
      <c r="S13" s="972"/>
      <c r="T13" s="973"/>
      <c r="U13" s="974"/>
      <c r="V13" s="975" t="str">
        <f>IF((O13*24)&gt;48,"PB","")</f>
        <v/>
      </c>
      <c r="W13" s="974"/>
      <c r="X13" s="972"/>
      <c r="Y13" s="974"/>
      <c r="Z13" s="976" t="s">
        <v>59</v>
      </c>
      <c r="AA13" s="977">
        <f>+O13-N13</f>
        <v>0</v>
      </c>
      <c r="AB13" s="967"/>
      <c r="AC13" s="965"/>
      <c r="AF13" s="961"/>
      <c r="AV13" s="954"/>
      <c r="AW13" s="963">
        <f t="shared" ref="AW13:BF13" si="28">IF(MONTH(AD13)=AW11,AH13,0)</f>
        <v>0</v>
      </c>
      <c r="AX13" s="963">
        <f t="shared" si="28"/>
        <v>0</v>
      </c>
      <c r="AY13" s="963">
        <f t="shared" si="28"/>
        <v>0</v>
      </c>
      <c r="AZ13" s="963">
        <f t="shared" si="28"/>
        <v>0</v>
      </c>
      <c r="BA13" s="963">
        <f t="shared" si="28"/>
        <v>0</v>
      </c>
      <c r="BB13" s="963">
        <f t="shared" si="28"/>
        <v>0</v>
      </c>
      <c r="BC13" s="963">
        <f t="shared" si="28"/>
        <v>0</v>
      </c>
      <c r="BD13" s="963">
        <f t="shared" si="28"/>
        <v>0</v>
      </c>
      <c r="BE13" s="963">
        <f t="shared" si="28"/>
        <v>0</v>
      </c>
      <c r="BF13" s="963">
        <f t="shared" si="28"/>
        <v>0</v>
      </c>
    </row>
    <row r="14" spans="1:58" x14ac:dyDescent="0.25">
      <c r="A14" s="969"/>
      <c r="B14" s="970"/>
      <c r="C14" s="970"/>
      <c r="D14" s="970"/>
      <c r="E14" s="970"/>
      <c r="F14" s="970"/>
      <c r="G14" s="970"/>
      <c r="H14" s="970"/>
      <c r="I14" s="970"/>
      <c r="J14" s="970"/>
      <c r="K14" s="971"/>
      <c r="L14" s="970"/>
      <c r="M14" s="970"/>
      <c r="N14" s="973"/>
      <c r="O14" s="973"/>
      <c r="P14" s="973"/>
      <c r="Q14" s="973"/>
      <c r="R14" s="973"/>
      <c r="S14" s="972"/>
      <c r="T14" s="973"/>
      <c r="U14" s="974"/>
      <c r="V14" s="978"/>
      <c r="W14" s="974"/>
      <c r="X14" s="973"/>
      <c r="Y14" s="974"/>
      <c r="Z14" s="976"/>
      <c r="AA14" s="977"/>
      <c r="AB14" s="953"/>
      <c r="AC14" s="965"/>
      <c r="AF14" s="961"/>
      <c r="AV14" s="954"/>
      <c r="AW14" s="963">
        <f t="shared" ref="AW14:BF14" si="29">IF(MONTH(AD14)=AW12,AH14,0)</f>
        <v>0</v>
      </c>
      <c r="AX14" s="963">
        <f t="shared" si="29"/>
        <v>0</v>
      </c>
      <c r="AY14" s="963">
        <f t="shared" si="29"/>
        <v>0</v>
      </c>
      <c r="AZ14" s="963">
        <f t="shared" si="29"/>
        <v>0</v>
      </c>
      <c r="BA14" s="963">
        <f t="shared" si="29"/>
        <v>0</v>
      </c>
      <c r="BB14" s="963">
        <f t="shared" si="29"/>
        <v>0</v>
      </c>
      <c r="BC14" s="963">
        <f t="shared" si="29"/>
        <v>0</v>
      </c>
      <c r="BD14" s="963">
        <f t="shared" si="29"/>
        <v>0</v>
      </c>
      <c r="BE14" s="963">
        <f t="shared" si="29"/>
        <v>0</v>
      </c>
      <c r="BF14" s="963">
        <f t="shared" si="29"/>
        <v>0</v>
      </c>
    </row>
    <row r="15" spans="1:58" ht="16.5" x14ac:dyDescent="0.3">
      <c r="A15" s="969"/>
      <c r="B15" s="969"/>
      <c r="C15" s="969"/>
      <c r="D15" s="969"/>
      <c r="E15" s="969"/>
      <c r="F15" s="928">
        <f>+I3+1</f>
        <v>42619</v>
      </c>
      <c r="G15" s="928"/>
      <c r="H15" s="929" t="s">
        <v>58</v>
      </c>
      <c r="I15" s="928">
        <f>+F15+6</f>
        <v>42625</v>
      </c>
      <c r="J15" s="930"/>
      <c r="K15" s="969"/>
      <c r="L15" s="969"/>
      <c r="M15" s="969"/>
      <c r="N15" s="973"/>
      <c r="O15" s="979"/>
      <c r="P15" s="980"/>
      <c r="Q15" s="980"/>
      <c r="R15" s="980"/>
      <c r="S15" s="981"/>
      <c r="T15" s="980"/>
      <c r="U15" s="980"/>
      <c r="V15" s="980"/>
      <c r="W15" s="980"/>
      <c r="X15" s="980"/>
      <c r="Y15" s="980"/>
      <c r="Z15" s="982"/>
      <c r="AA15" s="932"/>
      <c r="AB15" s="953"/>
      <c r="AC15" s="965"/>
      <c r="AD15" s="983"/>
      <c r="AF15" s="961"/>
      <c r="AV15" s="954"/>
      <c r="AW15" s="963">
        <f t="shared" ref="AW15:BF15" si="30">IF(MONTH(AD15)=AW13,AH15,0)</f>
        <v>0</v>
      </c>
      <c r="AX15" s="963">
        <f t="shared" si="30"/>
        <v>0</v>
      </c>
      <c r="AY15" s="963">
        <f t="shared" si="30"/>
        <v>0</v>
      </c>
      <c r="AZ15" s="963">
        <f t="shared" si="30"/>
        <v>0</v>
      </c>
      <c r="BA15" s="963">
        <f t="shared" si="30"/>
        <v>0</v>
      </c>
      <c r="BB15" s="963">
        <f t="shared" si="30"/>
        <v>0</v>
      </c>
      <c r="BC15" s="963">
        <f t="shared" si="30"/>
        <v>0</v>
      </c>
      <c r="BD15" s="963">
        <f t="shared" si="30"/>
        <v>0</v>
      </c>
      <c r="BE15" s="963">
        <f t="shared" si="30"/>
        <v>0</v>
      </c>
      <c r="BF15" s="963">
        <f t="shared" si="30"/>
        <v>0</v>
      </c>
    </row>
    <row r="16" spans="1:58" ht="16.5" customHeight="1" x14ac:dyDescent="0.25">
      <c r="A16" s="984"/>
      <c r="B16" s="985" t="s">
        <v>17</v>
      </c>
      <c r="C16" s="986"/>
      <c r="D16" s="985" t="s">
        <v>18</v>
      </c>
      <c r="E16" s="986"/>
      <c r="F16" s="938" t="s">
        <v>17</v>
      </c>
      <c r="G16" s="938"/>
      <c r="H16" s="938" t="s">
        <v>18</v>
      </c>
      <c r="I16" s="938"/>
      <c r="J16" s="938" t="s">
        <v>17</v>
      </c>
      <c r="K16" s="938"/>
      <c r="L16" s="938" t="s">
        <v>18</v>
      </c>
      <c r="M16" s="938"/>
      <c r="N16" s="939" t="s">
        <v>61</v>
      </c>
      <c r="O16" s="939" t="s">
        <v>62</v>
      </c>
      <c r="P16" s="939" t="s">
        <v>60</v>
      </c>
      <c r="Q16" s="939" t="s">
        <v>63</v>
      </c>
      <c r="R16" s="939" t="s">
        <v>64</v>
      </c>
      <c r="S16" s="940" t="s">
        <v>223</v>
      </c>
      <c r="T16" s="939" t="s">
        <v>70</v>
      </c>
      <c r="U16" s="941" t="s">
        <v>65</v>
      </c>
      <c r="V16" s="942"/>
      <c r="W16" s="942"/>
      <c r="X16" s="942"/>
      <c r="Y16" s="943"/>
      <c r="Z16" s="987" t="s">
        <v>22</v>
      </c>
      <c r="AA16" s="988"/>
      <c r="AB16" s="953"/>
      <c r="AF16" s="961"/>
      <c r="AV16" s="954"/>
      <c r="AW16" s="963">
        <f t="shared" ref="AW16:BF16" si="31">IF(MONTH(AD16)=AW14,AH16,0)</f>
        <v>0</v>
      </c>
      <c r="AX16" s="963">
        <f t="shared" si="31"/>
        <v>0</v>
      </c>
      <c r="AY16" s="963">
        <f t="shared" si="31"/>
        <v>0</v>
      </c>
      <c r="AZ16" s="963">
        <f t="shared" si="31"/>
        <v>0</v>
      </c>
      <c r="BA16" s="963">
        <f t="shared" si="31"/>
        <v>0</v>
      </c>
      <c r="BB16" s="963">
        <f t="shared" si="31"/>
        <v>0</v>
      </c>
      <c r="BC16" s="963">
        <f t="shared" si="31"/>
        <v>0</v>
      </c>
      <c r="BD16" s="963">
        <f t="shared" si="31"/>
        <v>0</v>
      </c>
      <c r="BE16" s="963">
        <f t="shared" si="31"/>
        <v>0</v>
      </c>
      <c r="BF16" s="963">
        <f t="shared" si="31"/>
        <v>0</v>
      </c>
    </row>
    <row r="17" spans="1:58" ht="26.25" thickBot="1" x14ac:dyDescent="0.4">
      <c r="A17" s="937" t="str">
        <f>"S"&amp;_xlfn.ISOWEEKNUM(F15)</f>
        <v>S37</v>
      </c>
      <c r="B17" s="949" t="s">
        <v>0</v>
      </c>
      <c r="C17" s="950" t="s">
        <v>1</v>
      </c>
      <c r="D17" s="949" t="s">
        <v>0</v>
      </c>
      <c r="E17" s="950" t="s">
        <v>1</v>
      </c>
      <c r="F17" s="949" t="s">
        <v>0</v>
      </c>
      <c r="G17" s="950" t="s">
        <v>1</v>
      </c>
      <c r="H17" s="949" t="s">
        <v>0</v>
      </c>
      <c r="I17" s="950" t="s">
        <v>1</v>
      </c>
      <c r="J17" s="949" t="s">
        <v>0</v>
      </c>
      <c r="K17" s="950" t="s">
        <v>1</v>
      </c>
      <c r="L17" s="949" t="s">
        <v>0</v>
      </c>
      <c r="M17" s="950" t="s">
        <v>1</v>
      </c>
      <c r="N17" s="951"/>
      <c r="O17" s="951"/>
      <c r="P17" s="951"/>
      <c r="Q17" s="951"/>
      <c r="R17" s="951"/>
      <c r="S17" s="951"/>
      <c r="T17" s="939"/>
      <c r="U17" s="952" t="s">
        <v>66</v>
      </c>
      <c r="V17" s="952" t="s">
        <v>67</v>
      </c>
      <c r="W17" s="952" t="s">
        <v>68</v>
      </c>
      <c r="X17" s="952" t="s">
        <v>137</v>
      </c>
      <c r="Y17" s="952" t="s">
        <v>69</v>
      </c>
      <c r="Z17" s="989"/>
      <c r="AA17" s="990"/>
      <c r="AB17" s="953"/>
      <c r="AF17" s="961"/>
      <c r="AM17" s="917" t="s">
        <v>274</v>
      </c>
      <c r="AV17" s="954"/>
      <c r="AW17" s="963">
        <f t="shared" ref="AW17:BE17" si="32">IF(MONTH(AD17)=AW15,AH17,0)</f>
        <v>0</v>
      </c>
      <c r="AX17" s="963">
        <f t="shared" si="32"/>
        <v>0</v>
      </c>
      <c r="AY17" s="963">
        <f t="shared" si="32"/>
        <v>0</v>
      </c>
      <c r="AZ17" s="963">
        <f t="shared" si="32"/>
        <v>0</v>
      </c>
      <c r="BA17" s="963">
        <f t="shared" si="32"/>
        <v>0</v>
      </c>
      <c r="BB17" s="963">
        <f t="shared" si="32"/>
        <v>0</v>
      </c>
      <c r="BC17" s="963">
        <f t="shared" si="32"/>
        <v>0</v>
      </c>
      <c r="BD17" s="963">
        <f t="shared" si="32"/>
        <v>0</v>
      </c>
      <c r="BE17" s="963">
        <f t="shared" si="32"/>
        <v>0</v>
      </c>
      <c r="BF17" s="963" t="e">
        <f>IF(MONTH(AM17)=BF15,AQ17,0)</f>
        <v>#VALUE!</v>
      </c>
    </row>
    <row r="18" spans="1:58" ht="14.45" customHeight="1" x14ac:dyDescent="0.3">
      <c r="A18" s="991">
        <f>WEEKDAY(F15)+1</f>
        <v>3</v>
      </c>
      <c r="B18" s="414" t="b">
        <f>IF(Paramétrage!$O$42="",FALSE,Paramétrage!$O$42)</f>
        <v>0</v>
      </c>
      <c r="C18" s="263"/>
      <c r="D18" s="415" t="b">
        <f>IF(Paramétrage!$Q$42="",FALSE,Paramétrage!$Q$42)</f>
        <v>0</v>
      </c>
      <c r="E18" s="264"/>
      <c r="F18" s="414" t="b">
        <f>IF(Paramétrage!$R$42="",FALSE,Paramétrage!$R$42)</f>
        <v>0</v>
      </c>
      <c r="G18" s="264"/>
      <c r="H18" s="416" t="b">
        <f>IF(Paramétrage!$T$42="",FALSE,Paramétrage!$T$42)</f>
        <v>0</v>
      </c>
      <c r="I18" s="263"/>
      <c r="J18" s="417" t="b">
        <f>IF(Paramétrage!$U$42="",FALSE,Paramétrage!$U$42)</f>
        <v>0</v>
      </c>
      <c r="K18" s="263"/>
      <c r="L18" s="418" t="b">
        <f>IF(Paramétrage!$W$42="",FALSE,Paramétrage!$W$42)</f>
        <v>0</v>
      </c>
      <c r="M18" s="263"/>
      <c r="N18" s="956">
        <f t="shared" ref="N18:N20" si="33">IF(OR(B18="aa",B18="cp",B18="f",B18="jc",B18="m",B18="css"),0,(L18-J18)+(H18-F18)+(D18-B18))</f>
        <v>0</v>
      </c>
      <c r="O18" s="956">
        <f t="shared" ref="O18:O20" si="34">SUM(AM18:AP18)+IF(OR(C18="m",C18="aa"),N18,IF(C18="css",0,IF(C18="cp",0,IF(C18="jc",0,IF(C18="f",0,E18-C18+I18-G18+M18-K18)))))</f>
        <v>0</v>
      </c>
      <c r="P18" s="956">
        <f>IF(OR(C18="aa",C18="cp",C18="f",C18="jc",C18="m",C18="css"),0,IF(C18="",IF(OR(F18="",F18=FALSE),0,F18-D18),IF(G18="",0,G18-E18)))</f>
        <v>0</v>
      </c>
      <c r="Q18" s="956">
        <f t="shared" ref="Q18:Q24" si="35">IF(P18=0,0,IF(G18="",IF(OR(J18="",J18=FALSE),0,J18-H18),IF(K18="",0,K18-I18)))</f>
        <v>0</v>
      </c>
      <c r="R18" s="957">
        <f t="shared" ref="R18:R20" si="36">IF(OR(C18="aa",C18="cp",C18="f",C18="jc",C18="m",C18="css"),0,IF(C18=0,MAX(B18,D18,F18,H18,J18,L18)-MIN(B18,D18,F18,H18,J18,L18),IF(C18&lt;&gt;0,MAX(C18,E18,G18,I18,K18,M18)-MIN(C18,E18,G18,I18,K18,M18))))</f>
        <v>0</v>
      </c>
      <c r="S18" s="262"/>
      <c r="T18" s="958" t="str">
        <f t="shared" ref="T18:T19" si="37">IF(AND(B18=FALSE,C18=""),"",IF(AND(B18=0,C18=0),"",(IF(OR(C18="cp",C18="f",C18="jc",C18="css"),"",IF(OR(C18="",C18="aa",C18="m"),(IF(OR(B18="cp",B18="f",B18="jc",B18="css"),"",B18*24+24-MAX(D17,H17,L17)*24)),C18*24+24-MAX(M17,I17,E17)*24)))))</f>
        <v/>
      </c>
      <c r="U18" s="959" t="str">
        <f>IF(P18=0,"",IF(P18&lt;Paramétrage!$S$12,"PB",IF(AND(Q18&lt;Paramétrage!$S$12,Q18&lt;&gt;0),"PB","")))</f>
        <v/>
      </c>
      <c r="V18" s="959" t="str">
        <f t="shared" ref="V18:V24" si="38">IF(C18="",IF((N18*24)&gt;10,"PB",""),IF((O18*24)&gt;10,"PB",""))</f>
        <v/>
      </c>
      <c r="W18" s="959" t="str">
        <f t="shared" ref="W18:W24" si="39">IF((R18*24)&gt;12,"PB","")</f>
        <v/>
      </c>
      <c r="X18" s="960" t="str">
        <f t="shared" ref="X18:X20" si="40">IF(AND(N18=0,O18=0),"",(IF(OR(C18="aa",C18="cp",C18="f",C18="jc",C18="m",C18="css"),"",IF(C18="",IF(OR(D18-B18&gt;6/24,H18-F18&gt;6/24,L18-J18&gt;6/24),"PB",""),IF(OR(E18-C18&gt;6/24,I18-G18&gt;6/24,M18-K18&gt;6/24),"PB","")))))</f>
        <v/>
      </c>
      <c r="Y18" s="959" t="str">
        <f t="shared" ref="Y18:Y24" si="41">IF(T18="","",IF(T18&lt;11,"PB",""))</f>
        <v/>
      </c>
      <c r="Z18" s="838"/>
      <c r="AA18" s="837"/>
      <c r="AB18" s="953"/>
      <c r="AC18" s="934">
        <f>AC12+1</f>
        <v>42619</v>
      </c>
      <c r="AD18" s="961">
        <f>IF(AND(N(AC18)&gt;=Paramétrage!$AU$11,N(AC18)&lt;=Paramétrage!$AU$12),IF(C18="cp",1,0),0)</f>
        <v>0</v>
      </c>
      <c r="AE18" s="962">
        <f t="shared" ref="AE18:AE24" si="42">N18</f>
        <v>0</v>
      </c>
      <c r="AF18" s="961">
        <f>IF(AND(N(AC18)&gt;=Paramétrage!$AX$11,N(AC18)&lt;=Paramétrage!$AX$12),IF(C18="cp",1,0),0)</f>
        <v>0</v>
      </c>
      <c r="AG18" s="962">
        <f t="shared" ref="AG18:AG24" si="43">O18</f>
        <v>0</v>
      </c>
      <c r="AI18" s="962">
        <f>AE18+AI12</f>
        <v>0</v>
      </c>
      <c r="AJ18" s="962">
        <f>AG18+AJ12</f>
        <v>0</v>
      </c>
      <c r="AK18" s="968"/>
      <c r="AM18" s="962">
        <f>IF(AND($B18="cp",$C18="m"),$Z18,0)</f>
        <v>0</v>
      </c>
      <c r="AN18" s="962">
        <f>IF(AND($B18="jc",$C18="m"),$Z18,0)</f>
        <v>0</v>
      </c>
      <c r="AO18" s="962">
        <f>IF(AND($B18="cp",$C18="aa"),$Z18,0)</f>
        <v>0</v>
      </c>
      <c r="AP18" s="962">
        <f>IF(AND($B18="jc",$C18="aa"),$Z18,0)</f>
        <v>0</v>
      </c>
      <c r="AR18" s="917">
        <f>IF(AND(AC18&lt;=$AR$3,B18="CP"),1,0)</f>
        <v>0</v>
      </c>
      <c r="AS18" s="917">
        <f>IF(AND(AC18&lt;=$AR$3,C18="CP"),1,0)</f>
        <v>0</v>
      </c>
      <c r="AV18" s="954"/>
      <c r="AW18" s="963">
        <f t="shared" ref="AW18:BF18" si="44">IF(MONTH(AD18)=AW16,AH18,0)</f>
        <v>0</v>
      </c>
      <c r="AX18" s="963">
        <f t="shared" si="44"/>
        <v>0</v>
      </c>
      <c r="AY18" s="963">
        <f t="shared" si="44"/>
        <v>0</v>
      </c>
      <c r="AZ18" s="963">
        <f t="shared" si="44"/>
        <v>0</v>
      </c>
      <c r="BA18" s="963">
        <f t="shared" si="44"/>
        <v>0</v>
      </c>
      <c r="BB18" s="963">
        <f t="shared" si="44"/>
        <v>0</v>
      </c>
      <c r="BC18" s="963">
        <f t="shared" si="44"/>
        <v>0</v>
      </c>
      <c r="BD18" s="963">
        <f t="shared" si="44"/>
        <v>0</v>
      </c>
      <c r="BE18" s="963">
        <f t="shared" si="44"/>
        <v>0</v>
      </c>
      <c r="BF18" s="963">
        <f t="shared" si="44"/>
        <v>0</v>
      </c>
    </row>
    <row r="19" spans="1:58" ht="14.45" customHeight="1" x14ac:dyDescent="0.3">
      <c r="A19" s="992">
        <f>WEEKDAY(A18)+2</f>
        <v>4</v>
      </c>
      <c r="B19" s="414" t="b">
        <f>IF(Paramétrage!$O$43="",FALSE,Paramétrage!$O$43)</f>
        <v>0</v>
      </c>
      <c r="C19" s="263"/>
      <c r="D19" s="415" t="b">
        <f>IF(Paramétrage!$Q$43="",FALSE,Paramétrage!$Q$43)</f>
        <v>0</v>
      </c>
      <c r="E19" s="264"/>
      <c r="F19" s="414" t="b">
        <f>IF(Paramétrage!$R$43="",FALSE,Paramétrage!$R$43)</f>
        <v>0</v>
      </c>
      <c r="G19" s="264"/>
      <c r="H19" s="416" t="b">
        <f>IF(Paramétrage!$T$43="",FALSE,Paramétrage!$T$43)</f>
        <v>0</v>
      </c>
      <c r="I19" s="263"/>
      <c r="J19" s="417" t="b">
        <f>IF(Paramétrage!$U$43="",FALSE,Paramétrage!$U$43)</f>
        <v>0</v>
      </c>
      <c r="K19" s="263"/>
      <c r="L19" s="418" t="b">
        <f>IF(Paramétrage!$W$43="",FALSE,Paramétrage!$W$43)</f>
        <v>0</v>
      </c>
      <c r="M19" s="263"/>
      <c r="N19" s="956">
        <f t="shared" si="33"/>
        <v>0</v>
      </c>
      <c r="O19" s="956">
        <f t="shared" si="34"/>
        <v>0</v>
      </c>
      <c r="P19" s="956">
        <f t="shared" ref="P19:P24" si="45">IF(OR(C19="aa",C19="cp",C19="f",C19="jc",C19="m",C19="css"),0,IF(C19="",IF(OR(F19="",F19=FALSE),0,F19-D19),IF(G19="",0,G19-E19)))</f>
        <v>0</v>
      </c>
      <c r="Q19" s="956">
        <f t="shared" si="35"/>
        <v>0</v>
      </c>
      <c r="R19" s="957">
        <f t="shared" si="36"/>
        <v>0</v>
      </c>
      <c r="S19" s="262"/>
      <c r="T19" s="958" t="str">
        <f t="shared" si="37"/>
        <v/>
      </c>
      <c r="U19" s="959" t="str">
        <f>IF(P19=0,"",IF(P19&lt;Paramétrage!$S$12,"PB",IF(AND(Q19&lt;Paramétrage!$S$12,Q19&lt;&gt;0),"PB","")))</f>
        <v/>
      </c>
      <c r="V19" s="959" t="str">
        <f t="shared" si="38"/>
        <v/>
      </c>
      <c r="W19" s="959" t="str">
        <f t="shared" si="39"/>
        <v/>
      </c>
      <c r="X19" s="960" t="str">
        <f t="shared" si="40"/>
        <v/>
      </c>
      <c r="Y19" s="959" t="str">
        <f t="shared" si="41"/>
        <v/>
      </c>
      <c r="Z19" s="836"/>
      <c r="AA19" s="837"/>
      <c r="AB19" s="953"/>
      <c r="AC19" s="934">
        <f t="shared" ref="AC19:AC24" si="46">AC18+1</f>
        <v>42620</v>
      </c>
      <c r="AD19" s="961">
        <f>IF(AND(N(AC19)&gt;=Paramétrage!$AU$11,N(AC19)&lt;=Paramétrage!$AU$12),IF(C19="cp",1,0),0)</f>
        <v>0</v>
      </c>
      <c r="AE19" s="962">
        <f t="shared" si="42"/>
        <v>0</v>
      </c>
      <c r="AF19" s="961">
        <f>IF(AND(N(AC19)&gt;=Paramétrage!$AX$11,N(AC19)&lt;=Paramétrage!$AX$12),IF(C19="cp",1,0),0)</f>
        <v>0</v>
      </c>
      <c r="AG19" s="962">
        <f t="shared" si="43"/>
        <v>0</v>
      </c>
      <c r="AI19" s="962">
        <f t="shared" ref="AI19:AI24" si="47">AE19+AI18</f>
        <v>0</v>
      </c>
      <c r="AJ19" s="962">
        <f t="shared" ref="AJ19:AJ24" si="48">AG19+AJ18</f>
        <v>0</v>
      </c>
      <c r="AM19" s="962">
        <f t="shared" ref="AM19:AM22" si="49">IF(AND($B19="cp",$C19="m"),$Z19,0)</f>
        <v>0</v>
      </c>
      <c r="AN19" s="962">
        <f t="shared" ref="AN19:AN22" si="50">IF(AND($B19="jc",$C19="m"),$Z19,0)</f>
        <v>0</v>
      </c>
      <c r="AO19" s="962">
        <f t="shared" ref="AO19:AO22" si="51">IF(AND($B19="cp",$C19="aa"),$Z19,0)</f>
        <v>0</v>
      </c>
      <c r="AP19" s="962">
        <f t="shared" ref="AP19:AP22" si="52">IF(AND($B19="jc",$C19="aa"),$Z19,0)</f>
        <v>0</v>
      </c>
      <c r="AR19" s="917">
        <f>IF(AND(AC19&lt;=$AR$3,B19="CP"),1,0)</f>
        <v>0</v>
      </c>
      <c r="AS19" s="917">
        <f>IF(AND(AC19&lt;=$AR$3,C19="CP"),1,0)</f>
        <v>0</v>
      </c>
      <c r="AV19" s="954"/>
      <c r="AW19" s="963">
        <f t="shared" ref="AW19:BF19" si="53">IF(MONTH(AD19)=AW17,AH19,0)</f>
        <v>0</v>
      </c>
      <c r="AX19" s="963">
        <f t="shared" si="53"/>
        <v>0</v>
      </c>
      <c r="AY19" s="963">
        <f t="shared" si="53"/>
        <v>0</v>
      </c>
      <c r="AZ19" s="963">
        <f t="shared" si="53"/>
        <v>0</v>
      </c>
      <c r="BA19" s="963">
        <f t="shared" si="53"/>
        <v>0</v>
      </c>
      <c r="BB19" s="963">
        <f t="shared" si="53"/>
        <v>0</v>
      </c>
      <c r="BC19" s="963">
        <f t="shared" si="53"/>
        <v>0</v>
      </c>
      <c r="BD19" s="963">
        <f t="shared" si="53"/>
        <v>0</v>
      </c>
      <c r="BE19" s="963">
        <f t="shared" si="53"/>
        <v>0</v>
      </c>
      <c r="BF19" s="963" t="e">
        <f t="shared" si="53"/>
        <v>#VALUE!</v>
      </c>
    </row>
    <row r="20" spans="1:58" ht="14.45" customHeight="1" x14ac:dyDescent="0.3">
      <c r="A20" s="992">
        <f>WEEKDAY(A19)+2</f>
        <v>5</v>
      </c>
      <c r="B20" s="414" t="b">
        <f>IF(Paramétrage!$O$44="",FALSE,Paramétrage!$O$44)</f>
        <v>0</v>
      </c>
      <c r="C20" s="263"/>
      <c r="D20" s="415" t="b">
        <f>IF(Paramétrage!$Q$44="",FALSE,Paramétrage!$Q$44)</f>
        <v>0</v>
      </c>
      <c r="E20" s="264"/>
      <c r="F20" s="414" t="b">
        <f>IF(Paramétrage!$R$44="",FALSE,Paramétrage!$R$44)</f>
        <v>0</v>
      </c>
      <c r="G20" s="264"/>
      <c r="H20" s="416" t="b">
        <f>IF(Paramétrage!$T$44="",FALSE,Paramétrage!$T$44)</f>
        <v>0</v>
      </c>
      <c r="I20" s="263"/>
      <c r="J20" s="417" t="b">
        <f>IF(Paramétrage!$U$44="",FALSE,Paramétrage!$U$44)</f>
        <v>0</v>
      </c>
      <c r="K20" s="263"/>
      <c r="L20" s="418" t="b">
        <f>IF(Paramétrage!$W$44="",FALSE,Paramétrage!$W$44)</f>
        <v>0</v>
      </c>
      <c r="M20" s="263"/>
      <c r="N20" s="956">
        <f t="shared" si="33"/>
        <v>0</v>
      </c>
      <c r="O20" s="956">
        <f t="shared" si="34"/>
        <v>0</v>
      </c>
      <c r="P20" s="956">
        <f t="shared" si="45"/>
        <v>0</v>
      </c>
      <c r="Q20" s="956">
        <f t="shared" si="35"/>
        <v>0</v>
      </c>
      <c r="R20" s="957">
        <f t="shared" si="36"/>
        <v>0</v>
      </c>
      <c r="S20" s="262"/>
      <c r="T20" s="958" t="str">
        <f>IF(AND(B20=FALSE,C20=""),"",IF(AND(B20=0,C20=0),"",(IF(OR(C20="cp",C20="f",C20="jc",C20="css"),"",IF(OR(C20="",C20="aa",C20="m"),(IF(OR(B20="cp",B20="f",B20="jc",B20="css"),"",B20*24+24-MAX(D19,H19,L19)*24)),C20*24+24-MAX(M19,I19,E19)*24)))))</f>
        <v/>
      </c>
      <c r="U20" s="959" t="str">
        <f>IF(P20=0,"",IF(P20&lt;Paramétrage!$S$12,"PB",IF(AND(Q20&lt;Paramétrage!$S$12,Q20&lt;&gt;0),"PB","")))</f>
        <v/>
      </c>
      <c r="V20" s="959" t="str">
        <f t="shared" si="38"/>
        <v/>
      </c>
      <c r="W20" s="959" t="str">
        <f t="shared" si="39"/>
        <v/>
      </c>
      <c r="X20" s="960" t="str">
        <f t="shared" si="40"/>
        <v/>
      </c>
      <c r="Y20" s="959" t="str">
        <f t="shared" si="41"/>
        <v/>
      </c>
      <c r="Z20" s="836"/>
      <c r="AA20" s="837"/>
      <c r="AB20" s="953"/>
      <c r="AC20" s="934">
        <f t="shared" si="46"/>
        <v>42621</v>
      </c>
      <c r="AD20" s="961">
        <f>IF(AND(N(AC20)&gt;=Paramétrage!$AU$11,N(AC20)&lt;=Paramétrage!$AU$12),IF(C20="cp",1,0),0)</f>
        <v>0</v>
      </c>
      <c r="AE20" s="962">
        <f t="shared" si="42"/>
        <v>0</v>
      </c>
      <c r="AF20" s="961">
        <f>IF(AND(N(AC20)&gt;=Paramétrage!$AX$11,N(AC20)&lt;=Paramétrage!$AX$12),IF(C20="cp",1,0),0)</f>
        <v>0</v>
      </c>
      <c r="AG20" s="962">
        <f t="shared" si="43"/>
        <v>0</v>
      </c>
      <c r="AI20" s="962">
        <f t="shared" si="47"/>
        <v>0</v>
      </c>
      <c r="AJ20" s="962">
        <f t="shared" si="48"/>
        <v>0</v>
      </c>
      <c r="AM20" s="962">
        <f t="shared" si="49"/>
        <v>0</v>
      </c>
      <c r="AN20" s="962">
        <f t="shared" si="50"/>
        <v>0</v>
      </c>
      <c r="AO20" s="962">
        <f t="shared" si="51"/>
        <v>0</v>
      </c>
      <c r="AP20" s="962">
        <f t="shared" si="52"/>
        <v>0</v>
      </c>
      <c r="AR20" s="917">
        <f>IF(AND(AC20&lt;=$AR$3,B20="CP"),1,0)</f>
        <v>0</v>
      </c>
      <c r="AS20" s="917">
        <f>IF(AND(AC20&lt;=$AR$3,C20="CP"),1,0)</f>
        <v>0</v>
      </c>
      <c r="AV20" s="954"/>
      <c r="AW20" s="963">
        <f t="shared" ref="AW20:BF20" si="54">IF(MONTH(AD20)=AW18,AH20,0)</f>
        <v>0</v>
      </c>
      <c r="AX20" s="963">
        <f t="shared" si="54"/>
        <v>0</v>
      </c>
      <c r="AY20" s="963">
        <f t="shared" si="54"/>
        <v>0</v>
      </c>
      <c r="AZ20" s="963">
        <f t="shared" si="54"/>
        <v>0</v>
      </c>
      <c r="BA20" s="963">
        <f t="shared" si="54"/>
        <v>0</v>
      </c>
      <c r="BB20" s="963">
        <f t="shared" si="54"/>
        <v>0</v>
      </c>
      <c r="BC20" s="963">
        <f t="shared" si="54"/>
        <v>0</v>
      </c>
      <c r="BD20" s="963">
        <f t="shared" si="54"/>
        <v>0</v>
      </c>
      <c r="BE20" s="963">
        <f t="shared" si="54"/>
        <v>0</v>
      </c>
      <c r="BF20" s="963">
        <f t="shared" si="54"/>
        <v>0</v>
      </c>
    </row>
    <row r="21" spans="1:58" ht="14.45" customHeight="1" x14ac:dyDescent="0.3">
      <c r="A21" s="992">
        <f>WEEKDAY(A20)+2</f>
        <v>6</v>
      </c>
      <c r="B21" s="414" t="b">
        <f>IF(Paramétrage!$O$45="",FALSE,Paramétrage!$O$45)</f>
        <v>0</v>
      </c>
      <c r="C21" s="263"/>
      <c r="D21" s="415" t="b">
        <f>IF(Paramétrage!$Q$45="",FALSE,Paramétrage!$Q$45)</f>
        <v>0</v>
      </c>
      <c r="E21" s="264"/>
      <c r="F21" s="414" t="b">
        <f>IF(Paramétrage!$R$45="",FALSE,Paramétrage!$R$45)</f>
        <v>0</v>
      </c>
      <c r="G21" s="264"/>
      <c r="H21" s="416" t="b">
        <f>IF(Paramétrage!$T$45="",FALSE,Paramétrage!$T$45)</f>
        <v>0</v>
      </c>
      <c r="I21" s="263"/>
      <c r="J21" s="417" t="b">
        <f>IF(Paramétrage!$U$45="",FALSE,Paramétrage!$U$45)</f>
        <v>0</v>
      </c>
      <c r="K21" s="263"/>
      <c r="L21" s="418" t="b">
        <f>IF(Paramétrage!$W$45="",FALSE,Paramétrage!$W$45)</f>
        <v>0</v>
      </c>
      <c r="M21" s="263"/>
      <c r="N21" s="956">
        <f>IF(OR(B21="aa",B21="cp",B21="f",B21="jc",B21="m",B21="css"),0,(L21-J21)+(H21-F21)+(D21-B21))</f>
        <v>0</v>
      </c>
      <c r="O21" s="956">
        <f>SUM(AM21:AP21)+IF(OR(C21="m",C21="aa"),N21,IF(C21="css",0,IF(C21="cp",0,IF(C21="jc",0,IF(C21="f",0,E21-C21+I21-G21+M21-K21)))))</f>
        <v>0</v>
      </c>
      <c r="P21" s="956">
        <f t="shared" si="45"/>
        <v>0</v>
      </c>
      <c r="Q21" s="956">
        <f t="shared" si="35"/>
        <v>0</v>
      </c>
      <c r="R21" s="957">
        <f>IF(OR(C21="aa",C21="cp",C21="f",C21="jc",C21="m",C21="css"),0,IF(C21=0,MAX(B21,D21,F21,H21,J21,L21)-MIN(B21,D21,F21,H21,J21,L21),IF(C21&lt;&gt;0,MAX(C21,E21,G21,I21,K21,M21)-MIN(C21,E21,G21,I21,K21,M21))))</f>
        <v>0</v>
      </c>
      <c r="S21" s="262"/>
      <c r="T21" s="958" t="str">
        <f t="shared" ref="T21:T24" si="55">IF(AND(B21=FALSE,C21=""),"",IF(AND(B21=0,C21=0),"",(IF(OR(C21="cp",C21="f",C21="jc",C21="css"),"",IF(OR(C21="",C21="aa",C21="m"),(IF(OR(B21="cp",B21="f",B21="jc",B21="css"),"",B21*24+24-MAX(D20,H20,L20)*24)),C21*24+24-MAX(M20,I20,E20)*24)))))</f>
        <v/>
      </c>
      <c r="U21" s="959" t="str">
        <f>IF(P21=0,"",IF(P21&lt;Paramétrage!$S$12,"PB",IF(AND(Q21&lt;Paramétrage!$S$12,Q21&lt;&gt;0),"PB","")))</f>
        <v/>
      </c>
      <c r="V21" s="959" t="str">
        <f t="shared" si="38"/>
        <v/>
      </c>
      <c r="W21" s="959" t="str">
        <f t="shared" si="39"/>
        <v/>
      </c>
      <c r="X21" s="960" t="str">
        <f>IF(AND(N21=0,O21=0),"",(IF(OR(C21="aa",C21="cp",C21="f",C21="jc",C21="m",C21="css"),"",IF(C21="",IF(OR(D21-B21&gt;6/24,H21-F21&gt;6/24,L21-J21&gt;6/24),"PB",""),IF(OR(E21-C21&gt;6/24,I21-G21&gt;6/24,M21-K21&gt;6/24),"PB","")))))</f>
        <v/>
      </c>
      <c r="Y21" s="959" t="str">
        <f t="shared" si="41"/>
        <v/>
      </c>
      <c r="Z21" s="836"/>
      <c r="AA21" s="837"/>
      <c r="AB21" s="953"/>
      <c r="AC21" s="934">
        <f t="shared" si="46"/>
        <v>42622</v>
      </c>
      <c r="AD21" s="961">
        <f>IF(AND(N(AC21)&gt;=Paramétrage!$AU$11,N(AC21)&lt;=Paramétrage!$AU$12),IF(C21="cp",1,0),0)</f>
        <v>0</v>
      </c>
      <c r="AE21" s="962">
        <f t="shared" si="42"/>
        <v>0</v>
      </c>
      <c r="AF21" s="961">
        <f>IF(AND(N(AC21)&gt;=Paramétrage!$AX$11,N(AC21)&lt;=Paramétrage!$AX$12),IF(C21="cp",1,0),0)</f>
        <v>0</v>
      </c>
      <c r="AG21" s="962">
        <f t="shared" si="43"/>
        <v>0</v>
      </c>
      <c r="AI21" s="962">
        <f t="shared" si="47"/>
        <v>0</v>
      </c>
      <c r="AJ21" s="962">
        <f t="shared" si="48"/>
        <v>0</v>
      </c>
      <c r="AM21" s="962">
        <f t="shared" si="49"/>
        <v>0</v>
      </c>
      <c r="AN21" s="962">
        <f t="shared" si="50"/>
        <v>0</v>
      </c>
      <c r="AO21" s="962">
        <f t="shared" si="51"/>
        <v>0</v>
      </c>
      <c r="AP21" s="962">
        <f t="shared" si="52"/>
        <v>0</v>
      </c>
      <c r="AR21" s="917">
        <f>IF(AND(AC21&lt;=$AR$3,B21="CP"),1,0)</f>
        <v>0</v>
      </c>
      <c r="AS21" s="917">
        <f>IF(AND(AC21&lt;=$AR$3,C21="CP"),1,0)</f>
        <v>0</v>
      </c>
      <c r="AV21" s="954"/>
      <c r="AW21" s="963">
        <f t="shared" ref="AW21:BF21" si="56">IF(MONTH(AD21)=AW19,AH21,0)</f>
        <v>0</v>
      </c>
      <c r="AX21" s="963">
        <f t="shared" si="56"/>
        <v>0</v>
      </c>
      <c r="AY21" s="963">
        <f t="shared" si="56"/>
        <v>0</v>
      </c>
      <c r="AZ21" s="963">
        <f t="shared" si="56"/>
        <v>0</v>
      </c>
      <c r="BA21" s="963">
        <f t="shared" si="56"/>
        <v>0</v>
      </c>
      <c r="BB21" s="963">
        <f t="shared" si="56"/>
        <v>0</v>
      </c>
      <c r="BC21" s="963">
        <f t="shared" si="56"/>
        <v>0</v>
      </c>
      <c r="BD21" s="963">
        <f t="shared" si="56"/>
        <v>0</v>
      </c>
      <c r="BE21" s="963">
        <f t="shared" si="56"/>
        <v>0</v>
      </c>
      <c r="BF21" s="963" t="e">
        <f t="shared" si="56"/>
        <v>#VALUE!</v>
      </c>
    </row>
    <row r="22" spans="1:58" ht="14.45" customHeight="1" x14ac:dyDescent="0.3">
      <c r="A22" s="992">
        <f>WEEKDAY(A21)+2</f>
        <v>7</v>
      </c>
      <c r="B22" s="414" t="b">
        <f>IF(Paramétrage!$O$46="",FALSE,Paramétrage!$O$46)</f>
        <v>0</v>
      </c>
      <c r="C22" s="263"/>
      <c r="D22" s="415" t="b">
        <f>IF(Paramétrage!$Q$46="",FALSE,Paramétrage!$Q$46)</f>
        <v>0</v>
      </c>
      <c r="E22" s="264"/>
      <c r="F22" s="414" t="b">
        <f>IF(Paramétrage!$R$46="",FALSE,Paramétrage!$R$46)</f>
        <v>0</v>
      </c>
      <c r="G22" s="264"/>
      <c r="H22" s="416" t="b">
        <f>IF(Paramétrage!$T$46="",FALSE,Paramétrage!$T$46)</f>
        <v>0</v>
      </c>
      <c r="I22" s="263"/>
      <c r="J22" s="417" t="b">
        <f>IF(Paramétrage!$U$46="",FALSE,Paramétrage!$U$46)</f>
        <v>0</v>
      </c>
      <c r="K22" s="263"/>
      <c r="L22" s="418" t="b">
        <f>IF(Paramétrage!$W$46="",FALSE,Paramétrage!$W$46)</f>
        <v>0</v>
      </c>
      <c r="M22" s="263"/>
      <c r="N22" s="956">
        <f>IF(OR(B22="aa",B22="cp",B22="f",B22="jc",B22="m",B22="css"),0,(L22-J22)+(H22-F22)+(D22-B22))</f>
        <v>0</v>
      </c>
      <c r="O22" s="956">
        <f>SUM(AM22:AP22)+IF(OR(C22="m",C22="aa"),N22,IF(C22="css",0,IF(C22="cp",0,IF(C22="jc",0,IF(C22="f",0,E22-C22+I22-G22+M22-K22)))))</f>
        <v>0</v>
      </c>
      <c r="P22" s="956">
        <f t="shared" si="45"/>
        <v>0</v>
      </c>
      <c r="Q22" s="956">
        <f t="shared" si="35"/>
        <v>0</v>
      </c>
      <c r="R22" s="957">
        <f>IF(OR(C22="aa",C22="cp",C22="f",C22="jc",C22="m",C22="css"),0,IF(C22=0,MAX(B22,D22,F22,H22,J22,L22)-MIN(B22,D22,F22,H22,J22,L22),IF(C22&lt;&gt;0,MAX(C22,E22,G22,I22,K22,M22)-MIN(C22,E22,G22,I22,K22,M22))))</f>
        <v>0</v>
      </c>
      <c r="S22" s="262"/>
      <c r="T22" s="958" t="str">
        <f t="shared" si="55"/>
        <v/>
      </c>
      <c r="U22" s="959" t="str">
        <f>IF(P22=0,"",IF(P22&lt;Paramétrage!$S$12,"PB",IF(AND(Q22&lt;Paramétrage!$S$12,Q22&lt;&gt;0),"PB","")))</f>
        <v/>
      </c>
      <c r="V22" s="959" t="str">
        <f t="shared" si="38"/>
        <v/>
      </c>
      <c r="W22" s="959" t="str">
        <f t="shared" si="39"/>
        <v/>
      </c>
      <c r="X22" s="960" t="str">
        <f>IF(AND(N22=0,O22=0),"",(IF(OR(C22="aa",C22="cp",C22="f",C22="jc",C22="m",C22="css"),"",IF(C22="",IF(OR(D22-B22&gt;6/24,H22-F22&gt;6/24,L22-J22&gt;6/24),"PB",""),IF(OR(E22-C22&gt;6/24,I22-G22&gt;6/24,M22-K22&gt;6/24),"PB","")))))</f>
        <v/>
      </c>
      <c r="Y22" s="959" t="str">
        <f t="shared" si="41"/>
        <v/>
      </c>
      <c r="Z22" s="836"/>
      <c r="AA22" s="837"/>
      <c r="AB22" s="953"/>
      <c r="AC22" s="934">
        <f t="shared" si="46"/>
        <v>42623</v>
      </c>
      <c r="AD22" s="961">
        <f>IF(AND(N(AC22)&gt;=Paramétrage!$AU$11,N(AC22)&lt;=Paramétrage!$AU$12),IF(C22="cp",1,0),0)</f>
        <v>0</v>
      </c>
      <c r="AE22" s="962">
        <f t="shared" si="42"/>
        <v>0</v>
      </c>
      <c r="AF22" s="961">
        <f>IF(AND(N(AC22)&gt;=Paramétrage!$AX$11,N(AC22)&lt;=Paramétrage!$AX$12),IF(C22="cp",1,0),0)</f>
        <v>0</v>
      </c>
      <c r="AG22" s="962">
        <f t="shared" si="43"/>
        <v>0</v>
      </c>
      <c r="AI22" s="962">
        <f t="shared" si="47"/>
        <v>0</v>
      </c>
      <c r="AJ22" s="962">
        <f t="shared" si="48"/>
        <v>0</v>
      </c>
      <c r="AM22" s="962">
        <f t="shared" si="49"/>
        <v>0</v>
      </c>
      <c r="AN22" s="962">
        <f t="shared" si="50"/>
        <v>0</v>
      </c>
      <c r="AO22" s="962">
        <f t="shared" si="51"/>
        <v>0</v>
      </c>
      <c r="AP22" s="962">
        <f t="shared" si="52"/>
        <v>0</v>
      </c>
      <c r="AR22" s="917">
        <f>IF(AND(AC22&lt;=$AR$3,B22="CP"),1,0)</f>
        <v>0</v>
      </c>
      <c r="AS22" s="917">
        <f>IF(AND(AC22&lt;=$AR$3,C22="CP"),1,0)</f>
        <v>0</v>
      </c>
      <c r="AV22" s="954"/>
      <c r="AW22" s="963">
        <f t="shared" ref="AW22:BF22" si="57">IF(MONTH(AD22)=AW20,AH22,0)</f>
        <v>0</v>
      </c>
      <c r="AX22" s="963">
        <f t="shared" si="57"/>
        <v>0</v>
      </c>
      <c r="AY22" s="963">
        <f t="shared" si="57"/>
        <v>0</v>
      </c>
      <c r="AZ22" s="963">
        <f t="shared" si="57"/>
        <v>0</v>
      </c>
      <c r="BA22" s="963">
        <f t="shared" si="57"/>
        <v>0</v>
      </c>
      <c r="BB22" s="963">
        <f t="shared" si="57"/>
        <v>0</v>
      </c>
      <c r="BC22" s="963">
        <f t="shared" si="57"/>
        <v>0</v>
      </c>
      <c r="BD22" s="963">
        <f t="shared" si="57"/>
        <v>0</v>
      </c>
      <c r="BE22" s="963">
        <f t="shared" si="57"/>
        <v>0</v>
      </c>
      <c r="BF22" s="963">
        <f t="shared" si="57"/>
        <v>0</v>
      </c>
    </row>
    <row r="23" spans="1:58" ht="14.45" customHeight="1" x14ac:dyDescent="0.3">
      <c r="A23" s="992">
        <f>WEEKDAY(A22)+2</f>
        <v>8</v>
      </c>
      <c r="B23" s="414" t="b">
        <f>IF(Paramétrage!$O$47="",FALSE,Paramétrage!$O$47)</f>
        <v>0</v>
      </c>
      <c r="C23" s="263"/>
      <c r="D23" s="415" t="b">
        <f>IF(Paramétrage!$Q$47="",FALSE,Paramétrage!$Q$47)</f>
        <v>0</v>
      </c>
      <c r="E23" s="264"/>
      <c r="F23" s="414" t="b">
        <f>IF(Paramétrage!$R$47="",FALSE,Paramétrage!$R$47)</f>
        <v>0</v>
      </c>
      <c r="G23" s="264"/>
      <c r="H23" s="416" t="b">
        <f>IF(Paramétrage!$T$47="",FALSE,Paramétrage!$T$47)</f>
        <v>0</v>
      </c>
      <c r="I23" s="263"/>
      <c r="J23" s="417" t="b">
        <f>IF(Paramétrage!$U$47="",FALSE,Paramétrage!$U$47)</f>
        <v>0</v>
      </c>
      <c r="K23" s="263"/>
      <c r="L23" s="418" t="b">
        <f>IF(Paramétrage!$W$47="",FALSE,Paramétrage!$W$47)</f>
        <v>0</v>
      </c>
      <c r="M23" s="263"/>
      <c r="N23" s="956">
        <f>IF(OR(B23="aa",B23="cp",B23="f",B23="jc",B23="m",B23="css"),0,(L23-J23)+(H23-F23)+(D23-B23))</f>
        <v>0</v>
      </c>
      <c r="O23" s="956">
        <f>IF(OR(C23="m",C23="aa"),N23,IF(C23="cp",0,IF(OR(C23="css",C23="jc"),0,IF(C23="f",0,E23-C23+I23-G23+M23-K23))))</f>
        <v>0</v>
      </c>
      <c r="P23" s="956">
        <f t="shared" si="45"/>
        <v>0</v>
      </c>
      <c r="Q23" s="956">
        <f t="shared" si="35"/>
        <v>0</v>
      </c>
      <c r="R23" s="957">
        <f>IF(OR(C23="aa",C23="cp",C23="f",C23="jc",C23="m",C23="css"),0,IF(C23=0,MAX(B23,D23,F23,H23,J23,L23)-MIN(B23,D23,F23,H23,J23,L23),IF(C23&lt;&gt;0,MAX(C23,E23,G23,I23,K23,M23)-MIN(C23,E23,G23,I23,K23,M23))))</f>
        <v>0</v>
      </c>
      <c r="S23" s="262"/>
      <c r="T23" s="958" t="str">
        <f t="shared" si="55"/>
        <v/>
      </c>
      <c r="U23" s="959" t="str">
        <f>IF(P23=0,"",IF(P23&lt;Paramétrage!$S$12,"PB",IF(AND(Q23&lt;Paramétrage!$S$12,Q23&lt;&gt;0),"PB","")))</f>
        <v/>
      </c>
      <c r="V23" s="959" t="str">
        <f t="shared" si="38"/>
        <v/>
      </c>
      <c r="W23" s="959" t="str">
        <f t="shared" si="39"/>
        <v/>
      </c>
      <c r="X23" s="960" t="str">
        <f>IF(AND(N23=0,O23=0),"",(IF(OR(C23="aa",C23="cp",C23="f",C23="jc",C23="m",C23="css"),"",IF(C23="",IF(OR(D23-B23&gt;6/24,H23-F23&gt;6/24,L23-J23&gt;6/24),"PB",""),IF(OR(E23-C23&gt;6/24,I23-G23&gt;6/24,M23-K23&gt;6/24),"PB","")))))</f>
        <v/>
      </c>
      <c r="Y23" s="959" t="str">
        <f t="shared" si="41"/>
        <v/>
      </c>
      <c r="Z23" s="836"/>
      <c r="AA23" s="837"/>
      <c r="AB23" s="953"/>
      <c r="AC23" s="934">
        <f t="shared" si="46"/>
        <v>42624</v>
      </c>
      <c r="AD23" s="961">
        <f>IF(AND(N(AC23)&gt;=Paramétrage!$AU$11,N(AC23)&lt;=Paramétrage!$AU$12),IF(C23="cp",1,0),0)</f>
        <v>0</v>
      </c>
      <c r="AE23" s="962">
        <f t="shared" si="42"/>
        <v>0</v>
      </c>
      <c r="AF23" s="961">
        <f>IF(AND(N(AC23)&gt;=Paramétrage!$AX$11,N(AC23)&lt;=Paramétrage!$AX$12),IF(C23="cp",1,0),0)</f>
        <v>0</v>
      </c>
      <c r="AG23" s="962">
        <f t="shared" si="43"/>
        <v>0</v>
      </c>
      <c r="AI23" s="962">
        <f t="shared" si="47"/>
        <v>0</v>
      </c>
      <c r="AJ23" s="962">
        <f t="shared" si="48"/>
        <v>0</v>
      </c>
      <c r="AM23" s="962"/>
      <c r="AN23" s="962"/>
      <c r="AO23" s="962"/>
      <c r="AP23" s="962"/>
      <c r="AV23" s="954"/>
      <c r="AW23" s="963">
        <f t="shared" ref="AW23:BF23" si="58">IF(MONTH(AD23)=AW21,AH23,0)</f>
        <v>0</v>
      </c>
      <c r="AX23" s="963">
        <f t="shared" si="58"/>
        <v>0</v>
      </c>
      <c r="AY23" s="963">
        <f t="shared" si="58"/>
        <v>0</v>
      </c>
      <c r="AZ23" s="963">
        <f t="shared" si="58"/>
        <v>0</v>
      </c>
      <c r="BA23" s="963">
        <f t="shared" si="58"/>
        <v>0</v>
      </c>
      <c r="BB23" s="963">
        <f t="shared" si="58"/>
        <v>0</v>
      </c>
      <c r="BC23" s="963">
        <f t="shared" si="58"/>
        <v>0</v>
      </c>
      <c r="BD23" s="963">
        <f t="shared" si="58"/>
        <v>0</v>
      </c>
      <c r="BE23" s="963">
        <f t="shared" si="58"/>
        <v>0</v>
      </c>
      <c r="BF23" s="963" t="e">
        <f t="shared" si="58"/>
        <v>#VALUE!</v>
      </c>
    </row>
    <row r="24" spans="1:58" ht="14.45" customHeight="1" thickBot="1" x14ac:dyDescent="0.35">
      <c r="A24" s="993">
        <f>WEEKDAY(A18)</f>
        <v>2</v>
      </c>
      <c r="B24" s="414" t="b">
        <f>IF(Paramétrage!$O$48="",FALSE,Paramétrage!$O$48)</f>
        <v>0</v>
      </c>
      <c r="C24" s="263"/>
      <c r="D24" s="415" t="b">
        <f>IF(Paramétrage!$Q$48="",FALSE,Paramétrage!$Q$48)</f>
        <v>0</v>
      </c>
      <c r="E24" s="264"/>
      <c r="F24" s="414" t="b">
        <f>IF(Paramétrage!$R$48="",FALSE,Paramétrage!$R$48)</f>
        <v>0</v>
      </c>
      <c r="G24" s="264"/>
      <c r="H24" s="416" t="b">
        <f>IF(Paramétrage!$T$48="",FALSE,Paramétrage!$T$48)</f>
        <v>0</v>
      </c>
      <c r="I24" s="263"/>
      <c r="J24" s="417" t="b">
        <f>IF(Paramétrage!$U$48="",FALSE,Paramétrage!$U$48)</f>
        <v>0</v>
      </c>
      <c r="K24" s="263"/>
      <c r="L24" s="418" t="b">
        <f>IF(Paramétrage!$W$48="",FALSE,Paramétrage!$W$48)</f>
        <v>0</v>
      </c>
      <c r="M24" s="263"/>
      <c r="N24" s="956">
        <f>IF(OR(B24="aa",B24="m"),M24,IF(B24="cp",0,IF(B24="jc",0,IF(B24="f",0,(D24-B24)*Paramétrage!$S$13+(H24-F24)*Paramétrage!$S$13+(L24-J24)*Paramétrage!$S$13+(D24-B24+H24-F24+L24-J24)))))</f>
        <v>0</v>
      </c>
      <c r="O24" s="956">
        <f>IF(OR(C24="aa",C24="m"),N24,IF(C24="cp",0,IF(C24="jc",0,IF(C24="f",0,(E24-C24)*Paramétrage!$S$13+(I24-G24)*Paramétrage!$S$13+(M24-K24)*Paramétrage!$S$13+(E24-C24+I24-G24+M24-K24)))))</f>
        <v>0</v>
      </c>
      <c r="P24" s="956">
        <f t="shared" si="45"/>
        <v>0</v>
      </c>
      <c r="Q24" s="956">
        <f t="shared" si="35"/>
        <v>0</v>
      </c>
      <c r="R24" s="957">
        <f t="shared" ref="R24" si="59">IF(OR(C24="aa",C24="cp",C24="f",C24="jc",C24="m",C24=0),MAX(B24,D24,F24,H24,J24,L24)-MIN(B24,D24,F24,H24,J24,L24),IF(C24&lt;&gt;0,MAX(C24,E24,G24,I24,K24,M24)-MIN(C24,E24,G24,I24,K24,M24)))</f>
        <v>0</v>
      </c>
      <c r="S24" s="262"/>
      <c r="T24" s="958" t="str">
        <f t="shared" si="55"/>
        <v/>
      </c>
      <c r="U24" s="959" t="str">
        <f>IF(P24=0,"",IF(P24&lt;Paramétrage!$S$12,"PB",IF(AND(Q24&lt;Paramétrage!$S$12,Q24&lt;&gt;0),"PB","")))</f>
        <v/>
      </c>
      <c r="V24" s="959" t="str">
        <f t="shared" si="38"/>
        <v/>
      </c>
      <c r="W24" s="959" t="str">
        <f t="shared" si="39"/>
        <v/>
      </c>
      <c r="X24" s="960" t="str">
        <f t="shared" ref="X24" si="60">IF(AND(N24=0,O24=0),"",(IF(OR(C24="aa",C24="cp",C24="f",C24="jc",C24="m"),"",IF(C24="",IF(OR(D24-B24&gt;6/24,H24-F24&gt;6/24,L24-J24&gt;6/24),"PB",""),IF(OR(E24-C24&gt;6/24,I24-G24&gt;6/24,M24-K24&gt;6/24),"PB","")))))</f>
        <v/>
      </c>
      <c r="Y24" s="959" t="str">
        <f t="shared" si="41"/>
        <v/>
      </c>
      <c r="Z24" s="836"/>
      <c r="AA24" s="837"/>
      <c r="AB24" s="967"/>
      <c r="AC24" s="934">
        <f t="shared" si="46"/>
        <v>42625</v>
      </c>
      <c r="AD24" s="961">
        <f>IF(AND(N(AC24)&gt;=Paramétrage!$AU$11,N(AC24)&lt;=Paramétrage!$AU$12),IF(C24="cp",1,0),0)</f>
        <v>0</v>
      </c>
      <c r="AE24" s="962">
        <f t="shared" si="42"/>
        <v>0</v>
      </c>
      <c r="AF24" s="961">
        <f>IF(AND(N(AC24)&gt;=Paramétrage!$AX$11,N(AC24)&lt;=Paramétrage!$AX$12),IF(C24="cp",1,0),0)</f>
        <v>0</v>
      </c>
      <c r="AG24" s="962">
        <f t="shared" si="43"/>
        <v>0</v>
      </c>
      <c r="AI24" s="962">
        <f t="shared" si="47"/>
        <v>0</v>
      </c>
      <c r="AJ24" s="962">
        <f t="shared" si="48"/>
        <v>0</v>
      </c>
      <c r="AM24" s="962"/>
      <c r="AN24" s="962"/>
      <c r="AO24" s="962"/>
      <c r="AP24" s="962"/>
      <c r="AV24" s="954"/>
      <c r="AW24" s="963">
        <f t="shared" ref="AW24:BF24" si="61">IF(MONTH(AD24)=AW22,AH24,0)</f>
        <v>0</v>
      </c>
      <c r="AX24" s="963">
        <f t="shared" si="61"/>
        <v>0</v>
      </c>
      <c r="AY24" s="963">
        <f t="shared" si="61"/>
        <v>0</v>
      </c>
      <c r="AZ24" s="963">
        <f t="shared" si="61"/>
        <v>0</v>
      </c>
      <c r="BA24" s="963">
        <f t="shared" si="61"/>
        <v>0</v>
      </c>
      <c r="BB24" s="963">
        <f t="shared" si="61"/>
        <v>0</v>
      </c>
      <c r="BC24" s="963">
        <f t="shared" si="61"/>
        <v>0</v>
      </c>
      <c r="BD24" s="963">
        <f t="shared" si="61"/>
        <v>0</v>
      </c>
      <c r="BE24" s="963">
        <f t="shared" si="61"/>
        <v>0</v>
      </c>
      <c r="BF24" s="963">
        <f t="shared" si="61"/>
        <v>0</v>
      </c>
    </row>
    <row r="25" spans="1:58" x14ac:dyDescent="0.25">
      <c r="A25" s="969" t="s">
        <v>78</v>
      </c>
      <c r="B25" s="970"/>
      <c r="C25" s="970"/>
      <c r="D25" s="970"/>
      <c r="E25" s="970"/>
      <c r="F25" s="970"/>
      <c r="G25" s="970"/>
      <c r="H25" s="970"/>
      <c r="I25" s="970"/>
      <c r="J25" s="970"/>
      <c r="K25" s="971"/>
      <c r="L25" s="970"/>
      <c r="M25" s="970"/>
      <c r="N25" s="972">
        <f>SUM(N18:N24)</f>
        <v>0</v>
      </c>
      <c r="O25" s="972">
        <f>SUM(O18:O24)</f>
        <v>0</v>
      </c>
      <c r="P25" s="972">
        <f>SUM(P18:P24)</f>
        <v>0</v>
      </c>
      <c r="Q25" s="972">
        <f>SUM(Q18:Q24)</f>
        <v>0</v>
      </c>
      <c r="R25" s="972"/>
      <c r="S25" s="972"/>
      <c r="T25" s="973"/>
      <c r="U25" s="974"/>
      <c r="V25" s="975" t="str">
        <f>IF((O25*24)&gt;48,"PB","")</f>
        <v/>
      </c>
      <c r="W25" s="974"/>
      <c r="X25" s="972"/>
      <c r="Y25" s="974"/>
      <c r="Z25" s="976" t="s">
        <v>59</v>
      </c>
      <c r="AA25" s="977">
        <f>+O25-N25</f>
        <v>0</v>
      </c>
      <c r="AB25" s="953"/>
      <c r="AF25" s="961"/>
      <c r="AV25" s="954"/>
      <c r="AW25" s="963">
        <f t="shared" ref="AW25:BF25" si="62">IF(MONTH(AD25)=AW23,AH25,0)</f>
        <v>0</v>
      </c>
      <c r="AX25" s="963">
        <f t="shared" si="62"/>
        <v>0</v>
      </c>
      <c r="AY25" s="963">
        <f t="shared" si="62"/>
        <v>0</v>
      </c>
      <c r="AZ25" s="963">
        <f t="shared" si="62"/>
        <v>0</v>
      </c>
      <c r="BA25" s="963">
        <f t="shared" si="62"/>
        <v>0</v>
      </c>
      <c r="BB25" s="963">
        <f t="shared" si="62"/>
        <v>0</v>
      </c>
      <c r="BC25" s="963">
        <f t="shared" si="62"/>
        <v>0</v>
      </c>
      <c r="BD25" s="963">
        <f t="shared" si="62"/>
        <v>0</v>
      </c>
      <c r="BE25" s="963">
        <f t="shared" si="62"/>
        <v>0</v>
      </c>
      <c r="BF25" s="963" t="e">
        <f t="shared" si="62"/>
        <v>#VALUE!</v>
      </c>
    </row>
    <row r="26" spans="1:58" x14ac:dyDescent="0.25">
      <c r="A26" s="969"/>
      <c r="B26" s="969"/>
      <c r="C26" s="969"/>
      <c r="D26" s="969"/>
      <c r="E26" s="969"/>
      <c r="F26" s="994"/>
      <c r="G26" s="994"/>
      <c r="H26" s="994"/>
      <c r="I26" s="994"/>
      <c r="J26" s="994"/>
      <c r="K26" s="969"/>
      <c r="L26" s="969"/>
      <c r="M26" s="969"/>
      <c r="N26" s="973"/>
      <c r="O26" s="969"/>
      <c r="P26" s="980"/>
      <c r="Q26" s="980"/>
      <c r="R26" s="980"/>
      <c r="S26" s="981"/>
      <c r="T26" s="980"/>
      <c r="U26" s="980"/>
      <c r="V26" s="980"/>
      <c r="W26" s="980"/>
      <c r="X26" s="980"/>
      <c r="Y26" s="980"/>
      <c r="Z26" s="976"/>
      <c r="AA26" s="977"/>
      <c r="AB26" s="953"/>
      <c r="AF26" s="961"/>
      <c r="AV26" s="954"/>
      <c r="AW26" s="963">
        <f t="shared" ref="AW26:BF26" si="63">IF(MONTH(AD26)=AW24,AH26,0)</f>
        <v>0</v>
      </c>
      <c r="AX26" s="963">
        <f t="shared" si="63"/>
        <v>0</v>
      </c>
      <c r="AY26" s="963">
        <f t="shared" si="63"/>
        <v>0</v>
      </c>
      <c r="AZ26" s="963">
        <f t="shared" si="63"/>
        <v>0</v>
      </c>
      <c r="BA26" s="963">
        <f t="shared" si="63"/>
        <v>0</v>
      </c>
      <c r="BB26" s="963">
        <f t="shared" si="63"/>
        <v>0</v>
      </c>
      <c r="BC26" s="963">
        <f t="shared" si="63"/>
        <v>0</v>
      </c>
      <c r="BD26" s="963">
        <f t="shared" si="63"/>
        <v>0</v>
      </c>
      <c r="BE26" s="963">
        <f t="shared" si="63"/>
        <v>0</v>
      </c>
      <c r="BF26" s="963">
        <f t="shared" si="63"/>
        <v>0</v>
      </c>
    </row>
    <row r="27" spans="1:58" ht="16.5" x14ac:dyDescent="0.3">
      <c r="A27" s="969"/>
      <c r="B27" s="969"/>
      <c r="C27" s="969"/>
      <c r="D27" s="969"/>
      <c r="E27" s="969"/>
      <c r="F27" s="928">
        <f>+F15+7</f>
        <v>42626</v>
      </c>
      <c r="G27" s="928"/>
      <c r="H27" s="929" t="s">
        <v>58</v>
      </c>
      <c r="I27" s="928">
        <f>+F27+6</f>
        <v>42632</v>
      </c>
      <c r="J27" s="930"/>
      <c r="K27" s="969"/>
      <c r="L27" s="969"/>
      <c r="M27" s="969"/>
      <c r="N27" s="973"/>
      <c r="O27" s="969"/>
      <c r="P27" s="980"/>
      <c r="Q27" s="980"/>
      <c r="R27" s="980"/>
      <c r="S27" s="981"/>
      <c r="T27" s="980"/>
      <c r="U27" s="980"/>
      <c r="V27" s="980"/>
      <c r="W27" s="980"/>
      <c r="X27" s="980"/>
      <c r="Y27" s="980"/>
      <c r="Z27" s="976"/>
      <c r="AA27" s="995"/>
      <c r="AB27" s="953"/>
      <c r="AF27" s="961"/>
      <c r="AV27" s="954"/>
      <c r="AW27" s="963">
        <f t="shared" ref="AW27:BF27" si="64">IF(MONTH(AD27)=AW25,AH27,0)</f>
        <v>0</v>
      </c>
      <c r="AX27" s="963">
        <f t="shared" si="64"/>
        <v>0</v>
      </c>
      <c r="AY27" s="963">
        <f t="shared" si="64"/>
        <v>0</v>
      </c>
      <c r="AZ27" s="963">
        <f t="shared" si="64"/>
        <v>0</v>
      </c>
      <c r="BA27" s="963">
        <f t="shared" si="64"/>
        <v>0</v>
      </c>
      <c r="BB27" s="963">
        <f t="shared" si="64"/>
        <v>0</v>
      </c>
      <c r="BC27" s="963">
        <f t="shared" si="64"/>
        <v>0</v>
      </c>
      <c r="BD27" s="963">
        <f t="shared" si="64"/>
        <v>0</v>
      </c>
      <c r="BE27" s="963">
        <f t="shared" si="64"/>
        <v>0</v>
      </c>
      <c r="BF27" s="963" t="e">
        <f t="shared" si="64"/>
        <v>#VALUE!</v>
      </c>
    </row>
    <row r="28" spans="1:58" ht="14.45" customHeight="1" x14ac:dyDescent="0.25">
      <c r="A28" s="994"/>
      <c r="B28" s="938" t="s">
        <v>17</v>
      </c>
      <c r="C28" s="938"/>
      <c r="D28" s="938" t="s">
        <v>18</v>
      </c>
      <c r="E28" s="938"/>
      <c r="F28" s="938" t="s">
        <v>17</v>
      </c>
      <c r="G28" s="938"/>
      <c r="H28" s="938" t="s">
        <v>18</v>
      </c>
      <c r="I28" s="938"/>
      <c r="J28" s="938" t="s">
        <v>17</v>
      </c>
      <c r="K28" s="938"/>
      <c r="L28" s="938" t="s">
        <v>18</v>
      </c>
      <c r="M28" s="938"/>
      <c r="N28" s="939" t="s">
        <v>61</v>
      </c>
      <c r="O28" s="939" t="s">
        <v>62</v>
      </c>
      <c r="P28" s="939" t="s">
        <v>60</v>
      </c>
      <c r="Q28" s="939" t="s">
        <v>63</v>
      </c>
      <c r="R28" s="939" t="s">
        <v>64</v>
      </c>
      <c r="S28" s="940" t="s">
        <v>223</v>
      </c>
      <c r="T28" s="939" t="s">
        <v>70</v>
      </c>
      <c r="U28" s="941" t="s">
        <v>65</v>
      </c>
      <c r="V28" s="942"/>
      <c r="W28" s="942"/>
      <c r="X28" s="942"/>
      <c r="Y28" s="943"/>
      <c r="Z28" s="944" t="s">
        <v>22</v>
      </c>
      <c r="AA28" s="944"/>
      <c r="AB28" s="953"/>
      <c r="AF28" s="961"/>
      <c r="AV28" s="954"/>
      <c r="AW28" s="963">
        <f t="shared" ref="AW28:BF28" si="65">IF(MONTH(AD28)=AW26,AH28,0)</f>
        <v>0</v>
      </c>
      <c r="AX28" s="963">
        <f t="shared" si="65"/>
        <v>0</v>
      </c>
      <c r="AY28" s="963">
        <f t="shared" si="65"/>
        <v>0</v>
      </c>
      <c r="AZ28" s="963">
        <f t="shared" si="65"/>
        <v>0</v>
      </c>
      <c r="BA28" s="963">
        <f t="shared" si="65"/>
        <v>0</v>
      </c>
      <c r="BB28" s="963">
        <f t="shared" si="65"/>
        <v>0</v>
      </c>
      <c r="BC28" s="963">
        <f t="shared" si="65"/>
        <v>0</v>
      </c>
      <c r="BD28" s="963">
        <f t="shared" si="65"/>
        <v>0</v>
      </c>
      <c r="BE28" s="963">
        <f t="shared" si="65"/>
        <v>0</v>
      </c>
      <c r="BF28" s="963">
        <f t="shared" si="65"/>
        <v>0</v>
      </c>
    </row>
    <row r="29" spans="1:58" ht="26.25" thickBot="1" x14ac:dyDescent="0.4">
      <c r="A29" s="937" t="str">
        <f>"S"&amp;_xlfn.ISOWEEKNUM(F27)</f>
        <v>S38</v>
      </c>
      <c r="B29" s="949" t="s">
        <v>0</v>
      </c>
      <c r="C29" s="950" t="s">
        <v>1</v>
      </c>
      <c r="D29" s="949" t="s">
        <v>0</v>
      </c>
      <c r="E29" s="950" t="s">
        <v>1</v>
      </c>
      <c r="F29" s="949" t="s">
        <v>0</v>
      </c>
      <c r="G29" s="950" t="s">
        <v>1</v>
      </c>
      <c r="H29" s="949" t="s">
        <v>0</v>
      </c>
      <c r="I29" s="950" t="s">
        <v>1</v>
      </c>
      <c r="J29" s="949" t="s">
        <v>0</v>
      </c>
      <c r="K29" s="950" t="s">
        <v>1</v>
      </c>
      <c r="L29" s="949" t="s">
        <v>0</v>
      </c>
      <c r="M29" s="950" t="s">
        <v>1</v>
      </c>
      <c r="N29" s="951"/>
      <c r="O29" s="951"/>
      <c r="P29" s="951"/>
      <c r="Q29" s="951"/>
      <c r="R29" s="951"/>
      <c r="S29" s="951"/>
      <c r="T29" s="939"/>
      <c r="U29" s="952" t="s">
        <v>66</v>
      </c>
      <c r="V29" s="952" t="s">
        <v>67</v>
      </c>
      <c r="W29" s="952" t="s">
        <v>68</v>
      </c>
      <c r="X29" s="952" t="s">
        <v>137</v>
      </c>
      <c r="Y29" s="952" t="s">
        <v>69</v>
      </c>
      <c r="Z29" s="944"/>
      <c r="AA29" s="944"/>
      <c r="AB29" s="953"/>
      <c r="AF29" s="961"/>
      <c r="AM29" s="917" t="s">
        <v>274</v>
      </c>
      <c r="AV29" s="954"/>
      <c r="AW29" s="963">
        <f t="shared" ref="AW29:BF29" si="66">IF(MONTH(AD29)=AW27,AH29,0)</f>
        <v>0</v>
      </c>
      <c r="AX29" s="963">
        <f t="shared" si="66"/>
        <v>0</v>
      </c>
      <c r="AY29" s="963">
        <f t="shared" si="66"/>
        <v>0</v>
      </c>
      <c r="AZ29" s="963">
        <f t="shared" si="66"/>
        <v>0</v>
      </c>
      <c r="BA29" s="963">
        <f t="shared" si="66"/>
        <v>0</v>
      </c>
      <c r="BB29" s="963">
        <f t="shared" si="66"/>
        <v>0</v>
      </c>
      <c r="BC29" s="963">
        <f t="shared" si="66"/>
        <v>0</v>
      </c>
      <c r="BD29" s="963">
        <f t="shared" si="66"/>
        <v>0</v>
      </c>
      <c r="BE29" s="963">
        <f t="shared" si="66"/>
        <v>0</v>
      </c>
      <c r="BF29" s="963" t="e">
        <f t="shared" si="66"/>
        <v>#VALUE!</v>
      </c>
    </row>
    <row r="30" spans="1:58" ht="14.45" customHeight="1" x14ac:dyDescent="0.3">
      <c r="A30" s="955" t="s">
        <v>12</v>
      </c>
      <c r="B30" s="414" t="b">
        <f>IF(Paramétrage!$O$42="",FALSE,Paramétrage!$O$42)</f>
        <v>0</v>
      </c>
      <c r="C30" s="263"/>
      <c r="D30" s="415" t="b">
        <f>IF(Paramétrage!$Q$42="",FALSE,Paramétrage!$Q$42)</f>
        <v>0</v>
      </c>
      <c r="E30" s="264"/>
      <c r="F30" s="414" t="b">
        <f>IF(Paramétrage!$R$42="",FALSE,Paramétrage!$R$42)</f>
        <v>0</v>
      </c>
      <c r="G30" s="264"/>
      <c r="H30" s="416" t="b">
        <f>IF(Paramétrage!$T$42="",FALSE,Paramétrage!$T$42)</f>
        <v>0</v>
      </c>
      <c r="I30" s="263"/>
      <c r="J30" s="417" t="b">
        <f>IF(Paramétrage!$U$42="",FALSE,Paramétrage!$U$42)</f>
        <v>0</v>
      </c>
      <c r="K30" s="263"/>
      <c r="L30" s="418" t="b">
        <f>IF(Paramétrage!$W$42="",FALSE,Paramétrage!$W$42)</f>
        <v>0</v>
      </c>
      <c r="M30" s="263"/>
      <c r="N30" s="956">
        <f t="shared" ref="N30:N32" si="67">IF(OR(B30="aa",B30="cp",B30="f",B30="jc",B30="m",B30="css"),0,(L30-J30)+(H30-F30)+(D30-B30))</f>
        <v>0</v>
      </c>
      <c r="O30" s="956">
        <f t="shared" ref="O30:O32" si="68">SUM(AM30:AP30)+IF(OR(C30="m",C30="aa"),N30,IF(C30="css",0,IF(C30="cp",0,IF(C30="jc",0,IF(C30="f",0,E30-C30+I30-G30+M30-K30)))))</f>
        <v>0</v>
      </c>
      <c r="P30" s="956">
        <f>IF(OR(C30="aa",C30="cp",C30="f",C30="jc",C30="m",C30="css"),0,IF(C30="",IF(OR(F30="",F30=FALSE),0,F30-D30),IF(G30="",0,G30-E30)))</f>
        <v>0</v>
      </c>
      <c r="Q30" s="956">
        <f t="shared" ref="Q30:Q36" si="69">IF(P30=0,0,IF(G30="",IF(OR(J30="",J30=FALSE),0,J30-H30),IF(K30="",0,K30-I30)))</f>
        <v>0</v>
      </c>
      <c r="R30" s="957">
        <f t="shared" ref="R30:R32" si="70">IF(OR(C30="aa",C30="cp",C30="f",C30="jc",C30="m",C30="css"),0,IF(C30=0,MAX(B30,D30,F30,H30,J30,L30)-MIN(B30,D30,F30,H30,J30,L30),IF(C30&lt;&gt;0,MAX(C30,E30,G30,I30,K30,M30)-MIN(C30,E30,G30,I30,K30,M30))))</f>
        <v>0</v>
      </c>
      <c r="S30" s="262"/>
      <c r="T30" s="958" t="str">
        <f t="shared" ref="T30:T31" si="71">IF(AND(B30=FALSE,C30=""),"",IF(AND(B30=0,C30=0),"",(IF(OR(C30="cp",C30="f",C30="jc",C30="css"),"",IF(OR(C30="",C30="aa",C30="m"),(IF(OR(B30="cp",B30="f",B30="jc",B30="css"),"",B30*24+24-MAX(D29,H29,L29)*24)),C30*24+24-MAX(M29,I29,E29)*24)))))</f>
        <v/>
      </c>
      <c r="U30" s="959" t="str">
        <f>IF(P30=0,"",IF(P30&lt;Paramétrage!$S$12,"PB",IF(AND(Q30&lt;Paramétrage!$S$12,Q30&lt;&gt;0),"PB","")))</f>
        <v/>
      </c>
      <c r="V30" s="959" t="str">
        <f t="shared" ref="V30:V36" si="72">IF(C30="",IF((N30*24)&gt;10,"PB",""),IF((O30*24)&gt;10,"PB",""))</f>
        <v/>
      </c>
      <c r="W30" s="959" t="str">
        <f t="shared" ref="W30:W36" si="73">IF((R30*24)&gt;12,"PB","")</f>
        <v/>
      </c>
      <c r="X30" s="960" t="str">
        <f t="shared" ref="X30:X32" si="74">IF(AND(N30=0,O30=0),"",(IF(OR(C30="aa",C30="cp",C30="f",C30="jc",C30="m",C30="css"),"",IF(C30="",IF(OR(D30-B30&gt;6/24,H30-F30&gt;6/24,L30-J30&gt;6/24),"PB",""),IF(OR(E30-C30&gt;6/24,I30-G30&gt;6/24,M30-K30&gt;6/24),"PB","")))))</f>
        <v/>
      </c>
      <c r="Y30" s="959" t="str">
        <f t="shared" ref="Y30:Y36" si="75">IF(T30="","",IF(T30&lt;11,"PB",""))</f>
        <v/>
      </c>
      <c r="Z30" s="836"/>
      <c r="AA30" s="837"/>
      <c r="AB30" s="953"/>
      <c r="AC30" s="934">
        <f>AC24+1</f>
        <v>42626</v>
      </c>
      <c r="AD30" s="961">
        <f>IF(AND(N(AC30)&gt;=Paramétrage!$AU$11,N(AC30)&lt;=Paramétrage!$AU$12),IF(C30="cp",1,0),0)</f>
        <v>0</v>
      </c>
      <c r="AE30" s="962">
        <f t="shared" ref="AE30:AE36" si="76">N30</f>
        <v>0</v>
      </c>
      <c r="AF30" s="961">
        <f>IF(AND(N(AC30)&gt;=Paramétrage!$AX$11,N(AC30)&lt;=Paramétrage!$AX$12),IF(C30="cp",1,0),0)</f>
        <v>0</v>
      </c>
      <c r="AG30" s="962">
        <f>O30</f>
        <v>0</v>
      </c>
      <c r="AI30" s="962">
        <f>AE30+AI24</f>
        <v>0</v>
      </c>
      <c r="AJ30" s="962">
        <f>AG30+AJ24</f>
        <v>0</v>
      </c>
      <c r="AM30" s="962">
        <f>IF(AND($B30="cp",$C30="m"),$Z30,0)</f>
        <v>0</v>
      </c>
      <c r="AN30" s="962">
        <f>IF(AND($B30="jc",$C30="m"),$Z30,0)</f>
        <v>0</v>
      </c>
      <c r="AO30" s="962">
        <f>IF(AND($B30="cp",$C30="aa"),$Z30,0)</f>
        <v>0</v>
      </c>
      <c r="AP30" s="962">
        <f>IF(AND($B30="jc",$C30="aa"),$Z30,0)</f>
        <v>0</v>
      </c>
      <c r="AR30" s="917">
        <f>IF(AND(AC30&lt;=$AR$3,B30="CP"),1,0)</f>
        <v>0</v>
      </c>
      <c r="AS30" s="917">
        <f>IF(AND(AC30&lt;=$AR$3,C30="CP"),1,0)</f>
        <v>0</v>
      </c>
      <c r="AV30" s="954"/>
      <c r="AW30" s="963">
        <f t="shared" ref="AW30:BF30" si="77">IF(MONTH(AD30)=AW28,AH30,0)</f>
        <v>0</v>
      </c>
      <c r="AX30" s="963">
        <f t="shared" si="77"/>
        <v>0</v>
      </c>
      <c r="AY30" s="963">
        <f t="shared" si="77"/>
        <v>0</v>
      </c>
      <c r="AZ30" s="963">
        <f t="shared" si="77"/>
        <v>0</v>
      </c>
      <c r="BA30" s="963">
        <f t="shared" si="77"/>
        <v>0</v>
      </c>
      <c r="BB30" s="963">
        <f t="shared" si="77"/>
        <v>0</v>
      </c>
      <c r="BC30" s="963">
        <f t="shared" si="77"/>
        <v>0</v>
      </c>
      <c r="BD30" s="963">
        <f t="shared" si="77"/>
        <v>0</v>
      </c>
      <c r="BE30" s="963">
        <f t="shared" si="77"/>
        <v>0</v>
      </c>
      <c r="BF30" s="963">
        <f t="shared" si="77"/>
        <v>0</v>
      </c>
    </row>
    <row r="31" spans="1:58" ht="14.45" customHeight="1" x14ac:dyDescent="0.3">
      <c r="A31" s="964" t="s">
        <v>13</v>
      </c>
      <c r="B31" s="414" t="b">
        <f>IF(Paramétrage!$O$43="",FALSE,Paramétrage!$O$43)</f>
        <v>0</v>
      </c>
      <c r="C31" s="263"/>
      <c r="D31" s="415" t="b">
        <f>IF(Paramétrage!$Q$43="",FALSE,Paramétrage!$Q$43)</f>
        <v>0</v>
      </c>
      <c r="E31" s="264"/>
      <c r="F31" s="414" t="b">
        <f>IF(Paramétrage!$R$43="",FALSE,Paramétrage!$R$43)</f>
        <v>0</v>
      </c>
      <c r="G31" s="264"/>
      <c r="H31" s="416" t="b">
        <f>IF(Paramétrage!$T$43="",FALSE,Paramétrage!$T$43)</f>
        <v>0</v>
      </c>
      <c r="I31" s="263"/>
      <c r="J31" s="417" t="b">
        <f>IF(Paramétrage!$U$43="",FALSE,Paramétrage!$U$43)</f>
        <v>0</v>
      </c>
      <c r="K31" s="263"/>
      <c r="L31" s="418" t="b">
        <f>IF(Paramétrage!$W$43="",FALSE,Paramétrage!$W$43)</f>
        <v>0</v>
      </c>
      <c r="M31" s="263"/>
      <c r="N31" s="956">
        <f t="shared" si="67"/>
        <v>0</v>
      </c>
      <c r="O31" s="956">
        <f t="shared" si="68"/>
        <v>0</v>
      </c>
      <c r="P31" s="956">
        <f t="shared" ref="P31:P36" si="78">IF(OR(C31="aa",C31="cp",C31="f",C31="jc",C31="m",C31="css"),0,IF(C31="",IF(OR(F31="",F31=FALSE),0,F31-D31),IF(G31="",0,G31-E31)))</f>
        <v>0</v>
      </c>
      <c r="Q31" s="956">
        <f t="shared" si="69"/>
        <v>0</v>
      </c>
      <c r="R31" s="957">
        <f t="shared" si="70"/>
        <v>0</v>
      </c>
      <c r="S31" s="262"/>
      <c r="T31" s="958" t="str">
        <f t="shared" si="71"/>
        <v/>
      </c>
      <c r="U31" s="959" t="str">
        <f>IF(P31=0,"",IF(P31&lt;Paramétrage!$S$12,"PB",IF(AND(Q31&lt;Paramétrage!$S$12,Q31&lt;&gt;0),"PB","")))</f>
        <v/>
      </c>
      <c r="V31" s="959" t="str">
        <f t="shared" si="72"/>
        <v/>
      </c>
      <c r="W31" s="959" t="str">
        <f t="shared" si="73"/>
        <v/>
      </c>
      <c r="X31" s="960" t="str">
        <f t="shared" si="74"/>
        <v/>
      </c>
      <c r="Y31" s="959" t="str">
        <f t="shared" si="75"/>
        <v/>
      </c>
      <c r="Z31" s="836"/>
      <c r="AA31" s="837"/>
      <c r="AB31" s="953"/>
      <c r="AC31" s="934">
        <f t="shared" ref="AC31:AC36" si="79">AC30+1</f>
        <v>42627</v>
      </c>
      <c r="AD31" s="961">
        <f>IF(AND(N(AC31)&gt;=Paramétrage!$AU$11,N(AC31)&lt;=Paramétrage!$AU$12),IF(C31="cp",1,0),0)</f>
        <v>0</v>
      </c>
      <c r="AE31" s="962">
        <f t="shared" si="76"/>
        <v>0</v>
      </c>
      <c r="AF31" s="961">
        <f>IF(AND(N(AC31)&gt;=Paramétrage!$AX$11,N(AC31)&lt;=Paramétrage!$AX$12),IF(C31="cp",1,0),0)</f>
        <v>0</v>
      </c>
      <c r="AG31" s="962">
        <f t="shared" ref="AG31:AG36" si="80">O31</f>
        <v>0</v>
      </c>
      <c r="AI31" s="962">
        <f t="shared" ref="AI31:AI36" si="81">AE31+AI30</f>
        <v>0</v>
      </c>
      <c r="AJ31" s="962">
        <f t="shared" ref="AJ31:AJ36" si="82">AG31+AJ30</f>
        <v>0</v>
      </c>
      <c r="AM31" s="962">
        <f t="shared" ref="AM31:AM34" si="83">IF(AND($B31="cp",$C31="m"),$Z31,0)</f>
        <v>0</v>
      </c>
      <c r="AN31" s="962">
        <f t="shared" ref="AN31:AN34" si="84">IF(AND($B31="jc",$C31="m"),$Z31,0)</f>
        <v>0</v>
      </c>
      <c r="AO31" s="962">
        <f t="shared" ref="AO31:AO34" si="85">IF(AND($B31="cp",$C31="aa"),$Z31,0)</f>
        <v>0</v>
      </c>
      <c r="AP31" s="962">
        <f t="shared" ref="AP31:AP34" si="86">IF(AND($B31="jc",$C31="aa"),$Z31,0)</f>
        <v>0</v>
      </c>
      <c r="AR31" s="917">
        <f>IF(AND(AC31&lt;=$AR$3,B31="CP"),1,0)</f>
        <v>0</v>
      </c>
      <c r="AS31" s="917">
        <f>IF(AND(AC31&lt;=$AR$3,C31="CP"),1,0)</f>
        <v>0</v>
      </c>
      <c r="AV31" s="954"/>
      <c r="AW31" s="963">
        <f t="shared" ref="AW31:BF31" si="87">IF(MONTH(AD31)=AW29,AH31,0)</f>
        <v>0</v>
      </c>
      <c r="AX31" s="963">
        <f t="shared" si="87"/>
        <v>0</v>
      </c>
      <c r="AY31" s="963">
        <f t="shared" si="87"/>
        <v>0</v>
      </c>
      <c r="AZ31" s="963">
        <f t="shared" si="87"/>
        <v>0</v>
      </c>
      <c r="BA31" s="963">
        <f t="shared" si="87"/>
        <v>0</v>
      </c>
      <c r="BB31" s="963">
        <f t="shared" si="87"/>
        <v>0</v>
      </c>
      <c r="BC31" s="963">
        <f t="shared" si="87"/>
        <v>0</v>
      </c>
      <c r="BD31" s="963">
        <f t="shared" si="87"/>
        <v>0</v>
      </c>
      <c r="BE31" s="963">
        <f t="shared" si="87"/>
        <v>0</v>
      </c>
      <c r="BF31" s="963" t="e">
        <f t="shared" si="87"/>
        <v>#VALUE!</v>
      </c>
    </row>
    <row r="32" spans="1:58" ht="14.45" customHeight="1" x14ac:dyDescent="0.3">
      <c r="A32" s="964" t="s">
        <v>14</v>
      </c>
      <c r="B32" s="414" t="b">
        <f>IF(Paramétrage!$O$44="",FALSE,Paramétrage!$O$44)</f>
        <v>0</v>
      </c>
      <c r="C32" s="263"/>
      <c r="D32" s="415" t="b">
        <f>IF(Paramétrage!$Q$44="",FALSE,Paramétrage!$Q$44)</f>
        <v>0</v>
      </c>
      <c r="E32" s="264"/>
      <c r="F32" s="414" t="b">
        <f>IF(Paramétrage!$R$44="",FALSE,Paramétrage!$R$44)</f>
        <v>0</v>
      </c>
      <c r="G32" s="264"/>
      <c r="H32" s="416" t="b">
        <f>IF(Paramétrage!$T$44="",FALSE,Paramétrage!$T$44)</f>
        <v>0</v>
      </c>
      <c r="I32" s="263"/>
      <c r="J32" s="417" t="b">
        <f>IF(Paramétrage!$U$44="",FALSE,Paramétrage!$U$44)</f>
        <v>0</v>
      </c>
      <c r="K32" s="263"/>
      <c r="L32" s="418" t="b">
        <f>IF(Paramétrage!$W$44="",FALSE,Paramétrage!$W$44)</f>
        <v>0</v>
      </c>
      <c r="M32" s="263"/>
      <c r="N32" s="956">
        <f t="shared" si="67"/>
        <v>0</v>
      </c>
      <c r="O32" s="956">
        <f t="shared" si="68"/>
        <v>0</v>
      </c>
      <c r="P32" s="956">
        <f t="shared" si="78"/>
        <v>0</v>
      </c>
      <c r="Q32" s="956">
        <f t="shared" si="69"/>
        <v>0</v>
      </c>
      <c r="R32" s="957">
        <f t="shared" si="70"/>
        <v>0</v>
      </c>
      <c r="S32" s="262"/>
      <c r="T32" s="958" t="str">
        <f>IF(AND(B32=FALSE,C32=""),"",IF(AND(B32=0,C32=0),"",(IF(OR(C32="cp",C32="f",C32="jc",C32="css"),"",IF(OR(C32="",C32="aa",C32="m"),(IF(OR(B32="cp",B32="f",B32="jc",B32="css"),"",B32*24+24-MAX(D31,H31,L31)*24)),C32*24+24-MAX(M31,I31,E31)*24)))))</f>
        <v/>
      </c>
      <c r="U32" s="959" t="str">
        <f>IF(P32=0,"",IF(P32&lt;Paramétrage!$S$12,"PB",IF(AND(Q32&lt;Paramétrage!$S$12,Q32&lt;&gt;0),"PB","")))</f>
        <v/>
      </c>
      <c r="V32" s="959" t="str">
        <f t="shared" si="72"/>
        <v/>
      </c>
      <c r="W32" s="959" t="str">
        <f t="shared" si="73"/>
        <v/>
      </c>
      <c r="X32" s="960" t="str">
        <f t="shared" si="74"/>
        <v/>
      </c>
      <c r="Y32" s="959" t="str">
        <f t="shared" si="75"/>
        <v/>
      </c>
      <c r="Z32" s="836"/>
      <c r="AA32" s="837"/>
      <c r="AB32" s="953"/>
      <c r="AC32" s="934">
        <f t="shared" si="79"/>
        <v>42628</v>
      </c>
      <c r="AD32" s="961">
        <f>IF(AND(N(AC32)&gt;=Paramétrage!$AU$11,N(AC32)&lt;=Paramétrage!$AU$12),IF(C32="cp",1,0),0)</f>
        <v>0</v>
      </c>
      <c r="AE32" s="962">
        <f t="shared" si="76"/>
        <v>0</v>
      </c>
      <c r="AF32" s="961">
        <f>IF(AND(N(AC32)&gt;=Paramétrage!$AX$11,N(AC32)&lt;=Paramétrage!$AX$12),IF(C32="cp",1,0),0)</f>
        <v>0</v>
      </c>
      <c r="AG32" s="962">
        <f t="shared" si="80"/>
        <v>0</v>
      </c>
      <c r="AI32" s="962">
        <f t="shared" si="81"/>
        <v>0</v>
      </c>
      <c r="AJ32" s="962">
        <f t="shared" si="82"/>
        <v>0</v>
      </c>
      <c r="AM32" s="962">
        <f t="shared" si="83"/>
        <v>0</v>
      </c>
      <c r="AN32" s="962">
        <f t="shared" si="84"/>
        <v>0</v>
      </c>
      <c r="AO32" s="962">
        <f t="shared" si="85"/>
        <v>0</v>
      </c>
      <c r="AP32" s="962">
        <f t="shared" si="86"/>
        <v>0</v>
      </c>
      <c r="AR32" s="917">
        <f>IF(AND(AC32&lt;=$AR$3,B32="CP"),1,0)</f>
        <v>0</v>
      </c>
      <c r="AS32" s="917">
        <f>IF(AND(AC32&lt;=$AR$3,C32="CP"),1,0)</f>
        <v>0</v>
      </c>
      <c r="AV32" s="954"/>
      <c r="AW32" s="963">
        <f t="shared" ref="AW32:BF32" si="88">IF(MONTH(AD32)=AW30,AH32,0)</f>
        <v>0</v>
      </c>
      <c r="AX32" s="963">
        <f t="shared" si="88"/>
        <v>0</v>
      </c>
      <c r="AY32" s="963">
        <f t="shared" si="88"/>
        <v>0</v>
      </c>
      <c r="AZ32" s="963">
        <f t="shared" si="88"/>
        <v>0</v>
      </c>
      <c r="BA32" s="963">
        <f t="shared" si="88"/>
        <v>0</v>
      </c>
      <c r="BB32" s="963">
        <f t="shared" si="88"/>
        <v>0</v>
      </c>
      <c r="BC32" s="963">
        <f t="shared" si="88"/>
        <v>0</v>
      </c>
      <c r="BD32" s="963">
        <f t="shared" si="88"/>
        <v>0</v>
      </c>
      <c r="BE32" s="963">
        <f t="shared" si="88"/>
        <v>0</v>
      </c>
      <c r="BF32" s="963">
        <f t="shared" si="88"/>
        <v>0</v>
      </c>
    </row>
    <row r="33" spans="1:58" ht="14.45" customHeight="1" x14ac:dyDescent="0.3">
      <c r="A33" s="964" t="s">
        <v>15</v>
      </c>
      <c r="B33" s="414" t="b">
        <f>IF(Paramétrage!$O$45="",FALSE,Paramétrage!$O$45)</f>
        <v>0</v>
      </c>
      <c r="C33" s="263"/>
      <c r="D33" s="415" t="b">
        <f>IF(Paramétrage!$Q$45="",FALSE,Paramétrage!$Q$45)</f>
        <v>0</v>
      </c>
      <c r="E33" s="264"/>
      <c r="F33" s="414" t="b">
        <f>IF(Paramétrage!$R$45="",FALSE,Paramétrage!$R$45)</f>
        <v>0</v>
      </c>
      <c r="G33" s="264"/>
      <c r="H33" s="416" t="b">
        <f>IF(Paramétrage!$T$45="",FALSE,Paramétrage!$T$45)</f>
        <v>0</v>
      </c>
      <c r="I33" s="263"/>
      <c r="J33" s="417" t="b">
        <f>IF(Paramétrage!$U$45="",FALSE,Paramétrage!$U$45)</f>
        <v>0</v>
      </c>
      <c r="K33" s="263"/>
      <c r="L33" s="418" t="b">
        <f>IF(Paramétrage!$W$45="",FALSE,Paramétrage!$W$45)</f>
        <v>0</v>
      </c>
      <c r="M33" s="263"/>
      <c r="N33" s="956">
        <f>IF(OR(B33="aa",B33="cp",B33="f",B33="jc",B33="m",B33="css"),0,(L33-J33)+(H33-F33)+(D33-B33))</f>
        <v>0</v>
      </c>
      <c r="O33" s="956">
        <f>SUM(AM33:AP33)+IF(OR(C33="m",C33="aa"),N33,IF(C33="css",0,IF(C33="cp",0,IF(C33="jc",0,IF(C33="f",0,E33-C33+I33-G33+M33-K33)))))</f>
        <v>0</v>
      </c>
      <c r="P33" s="956">
        <f t="shared" si="78"/>
        <v>0</v>
      </c>
      <c r="Q33" s="956">
        <f t="shared" si="69"/>
        <v>0</v>
      </c>
      <c r="R33" s="957">
        <f>IF(OR(C33="aa",C33="cp",C33="f",C33="jc",C33="m",C33="css"),0,IF(C33=0,MAX(B33,D33,F33,H33,J33,L33)-MIN(B33,D33,F33,H33,J33,L33),IF(C33&lt;&gt;0,MAX(C33,E33,G33,I33,K33,M33)-MIN(C33,E33,G33,I33,K33,M33))))</f>
        <v>0</v>
      </c>
      <c r="S33" s="262"/>
      <c r="T33" s="958" t="str">
        <f t="shared" ref="T33:T36" si="89">IF(AND(B33=FALSE,C33=""),"",IF(AND(B33=0,C33=0),"",(IF(OR(C33="cp",C33="f",C33="jc",C33="css"),"",IF(OR(C33="",C33="aa",C33="m"),(IF(OR(B33="cp",B33="f",B33="jc",B33="css"),"",B33*24+24-MAX(D32,H32,L32)*24)),C33*24+24-MAX(M32,I32,E32)*24)))))</f>
        <v/>
      </c>
      <c r="U33" s="959" t="str">
        <f>IF(P33=0,"",IF(P33&lt;Paramétrage!$S$12,"PB",IF(AND(Q33&lt;Paramétrage!$S$12,Q33&lt;&gt;0),"PB","")))</f>
        <v/>
      </c>
      <c r="V33" s="959" t="str">
        <f t="shared" si="72"/>
        <v/>
      </c>
      <c r="W33" s="959" t="str">
        <f t="shared" si="73"/>
        <v/>
      </c>
      <c r="X33" s="960" t="str">
        <f>IF(AND(N33=0,O33=0),"",(IF(OR(C33="aa",C33="cp",C33="f",C33="jc",C33="m",C33="css"),"",IF(C33="",IF(OR(D33-B33&gt;6/24,H33-F33&gt;6/24,L33-J33&gt;6/24),"PB",""),IF(OR(E33-C33&gt;6/24,I33-G33&gt;6/24,M33-K33&gt;6/24),"PB","")))))</f>
        <v/>
      </c>
      <c r="Y33" s="959" t="str">
        <f t="shared" si="75"/>
        <v/>
      </c>
      <c r="Z33" s="836"/>
      <c r="AA33" s="837"/>
      <c r="AB33" s="953"/>
      <c r="AC33" s="934">
        <f t="shared" si="79"/>
        <v>42629</v>
      </c>
      <c r="AD33" s="961">
        <f>IF(AND(N(AC33)&gt;=Paramétrage!$AU$11,N(AC33)&lt;=Paramétrage!$AU$12),IF(C33="cp",1,0),0)</f>
        <v>0</v>
      </c>
      <c r="AE33" s="962">
        <f t="shared" si="76"/>
        <v>0</v>
      </c>
      <c r="AF33" s="961">
        <f>IF(AND(N(AC33)&gt;=Paramétrage!$AX$11,N(AC33)&lt;=Paramétrage!$AX$12),IF(C33="cp",1,0),0)</f>
        <v>0</v>
      </c>
      <c r="AG33" s="962">
        <f t="shared" si="80"/>
        <v>0</v>
      </c>
      <c r="AI33" s="962">
        <f t="shared" si="81"/>
        <v>0</v>
      </c>
      <c r="AJ33" s="962">
        <f t="shared" si="82"/>
        <v>0</v>
      </c>
      <c r="AM33" s="962">
        <f t="shared" si="83"/>
        <v>0</v>
      </c>
      <c r="AN33" s="962">
        <f t="shared" si="84"/>
        <v>0</v>
      </c>
      <c r="AO33" s="962">
        <f t="shared" si="85"/>
        <v>0</v>
      </c>
      <c r="AP33" s="962">
        <f t="shared" si="86"/>
        <v>0</v>
      </c>
      <c r="AR33" s="917">
        <f>IF(AND(AC33&lt;=$AR$3,B33="CP"),1,0)</f>
        <v>0</v>
      </c>
      <c r="AS33" s="917">
        <f>IF(AND(AC33&lt;=$AR$3,C33="CP"),1,0)</f>
        <v>0</v>
      </c>
      <c r="AV33" s="954"/>
      <c r="AW33" s="963">
        <f t="shared" ref="AW33:BF33" si="90">IF(MONTH(AD33)=AW31,AH33,0)</f>
        <v>0</v>
      </c>
      <c r="AX33" s="963">
        <f t="shared" si="90"/>
        <v>0</v>
      </c>
      <c r="AY33" s="963">
        <f t="shared" si="90"/>
        <v>0</v>
      </c>
      <c r="AZ33" s="963">
        <f t="shared" si="90"/>
        <v>0</v>
      </c>
      <c r="BA33" s="963">
        <f t="shared" si="90"/>
        <v>0</v>
      </c>
      <c r="BB33" s="963">
        <f t="shared" si="90"/>
        <v>0</v>
      </c>
      <c r="BC33" s="963">
        <f t="shared" si="90"/>
        <v>0</v>
      </c>
      <c r="BD33" s="963">
        <f t="shared" si="90"/>
        <v>0</v>
      </c>
      <c r="BE33" s="963">
        <f t="shared" si="90"/>
        <v>0</v>
      </c>
      <c r="BF33" s="963" t="e">
        <f t="shared" si="90"/>
        <v>#VALUE!</v>
      </c>
    </row>
    <row r="34" spans="1:58" ht="14.45" customHeight="1" x14ac:dyDescent="0.3">
      <c r="A34" s="964" t="s">
        <v>16</v>
      </c>
      <c r="B34" s="414" t="b">
        <f>IF(Paramétrage!$O$46="",FALSE,Paramétrage!$O$46)</f>
        <v>0</v>
      </c>
      <c r="C34" s="263"/>
      <c r="D34" s="415" t="b">
        <f>IF(Paramétrage!$Q$46="",FALSE,Paramétrage!$Q$46)</f>
        <v>0</v>
      </c>
      <c r="E34" s="264"/>
      <c r="F34" s="414" t="b">
        <f>IF(Paramétrage!$R$46="",FALSE,Paramétrage!$R$46)</f>
        <v>0</v>
      </c>
      <c r="G34" s="264"/>
      <c r="H34" s="416" t="b">
        <f>IF(Paramétrage!$T$46="",FALSE,Paramétrage!$T$46)</f>
        <v>0</v>
      </c>
      <c r="I34" s="263"/>
      <c r="J34" s="417" t="b">
        <f>IF(Paramétrage!$U$46="",FALSE,Paramétrage!$U$46)</f>
        <v>0</v>
      </c>
      <c r="K34" s="263"/>
      <c r="L34" s="418" t="b">
        <f>IF(Paramétrage!$W$46="",FALSE,Paramétrage!$W$46)</f>
        <v>0</v>
      </c>
      <c r="M34" s="263"/>
      <c r="N34" s="956">
        <f>IF(OR(B34="aa",B34="cp",B34="f",B34="jc",B34="m",B34="css"),0,(L34-J34)+(H34-F34)+(D34-B34))</f>
        <v>0</v>
      </c>
      <c r="O34" s="956">
        <f>SUM(AM34:AP34)+IF(OR(C34="m",C34="aa"),N34,IF(C34="css",0,IF(C34="cp",0,IF(C34="jc",0,IF(C34="f",0,E34-C34+I34-G34+M34-K34)))))</f>
        <v>0</v>
      </c>
      <c r="P34" s="956">
        <f t="shared" si="78"/>
        <v>0</v>
      </c>
      <c r="Q34" s="956">
        <f t="shared" si="69"/>
        <v>0</v>
      </c>
      <c r="R34" s="957">
        <f>IF(OR(C34="aa",C34="cp",C34="f",C34="jc",C34="m",C34="css"),0,IF(C34=0,MAX(B34,D34,F34,H34,J34,L34)-MIN(B34,D34,F34,H34,J34,L34),IF(C34&lt;&gt;0,MAX(C34,E34,G34,I34,K34,M34)-MIN(C34,E34,G34,I34,K34,M34))))</f>
        <v>0</v>
      </c>
      <c r="S34" s="262"/>
      <c r="T34" s="958" t="str">
        <f t="shared" si="89"/>
        <v/>
      </c>
      <c r="U34" s="959" t="str">
        <f>IF(P34=0,"",IF(P34&lt;Paramétrage!$S$12,"PB",IF(AND(Q34&lt;Paramétrage!$S$12,Q34&lt;&gt;0),"PB","")))</f>
        <v/>
      </c>
      <c r="V34" s="959" t="str">
        <f t="shared" si="72"/>
        <v/>
      </c>
      <c r="W34" s="959" t="str">
        <f t="shared" si="73"/>
        <v/>
      </c>
      <c r="X34" s="960" t="str">
        <f>IF(AND(N34=0,O34=0),"",(IF(OR(C34="aa",C34="cp",C34="f",C34="jc",C34="m",C34="css"),"",IF(C34="",IF(OR(D34-B34&gt;6/24,H34-F34&gt;6/24,L34-J34&gt;6/24),"PB",""),IF(OR(E34-C34&gt;6/24,I34-G34&gt;6/24,M34-K34&gt;6/24),"PB","")))))</f>
        <v/>
      </c>
      <c r="Y34" s="959" t="str">
        <f t="shared" si="75"/>
        <v/>
      </c>
      <c r="Z34" s="836"/>
      <c r="AA34" s="837"/>
      <c r="AB34" s="953"/>
      <c r="AC34" s="934">
        <f t="shared" si="79"/>
        <v>42630</v>
      </c>
      <c r="AD34" s="961">
        <f>IF(AND(N(AC34)&gt;=Paramétrage!$AU$11,N(AC34)&lt;=Paramétrage!$AU$12),IF(C34="cp",1,0),0)</f>
        <v>0</v>
      </c>
      <c r="AE34" s="962">
        <f t="shared" si="76"/>
        <v>0</v>
      </c>
      <c r="AF34" s="961">
        <f>IF(AND(N(AC34)&gt;=Paramétrage!$AX$11,N(AC34)&lt;=Paramétrage!$AX$12),IF(C34="cp",1,0),0)</f>
        <v>0</v>
      </c>
      <c r="AG34" s="962">
        <f t="shared" si="80"/>
        <v>0</v>
      </c>
      <c r="AI34" s="962">
        <f t="shared" si="81"/>
        <v>0</v>
      </c>
      <c r="AJ34" s="962">
        <f t="shared" si="82"/>
        <v>0</v>
      </c>
      <c r="AM34" s="962">
        <f t="shared" si="83"/>
        <v>0</v>
      </c>
      <c r="AN34" s="962">
        <f t="shared" si="84"/>
        <v>0</v>
      </c>
      <c r="AO34" s="962">
        <f t="shared" si="85"/>
        <v>0</v>
      </c>
      <c r="AP34" s="962">
        <f t="shared" si="86"/>
        <v>0</v>
      </c>
      <c r="AR34" s="917">
        <f>IF(AND(AC34&lt;=$AR$3,B34="CP"),1,0)</f>
        <v>0</v>
      </c>
      <c r="AS34" s="917">
        <f>IF(AND(AC34&lt;=$AR$3,C34="CP"),1,0)</f>
        <v>0</v>
      </c>
      <c r="AV34" s="954"/>
      <c r="AW34" s="963">
        <f t="shared" ref="AW34:BF34" si="91">IF(MONTH(AD34)=AW32,AH34,0)</f>
        <v>0</v>
      </c>
      <c r="AX34" s="963">
        <f t="shared" si="91"/>
        <v>0</v>
      </c>
      <c r="AY34" s="963">
        <f t="shared" si="91"/>
        <v>0</v>
      </c>
      <c r="AZ34" s="963">
        <f t="shared" si="91"/>
        <v>0</v>
      </c>
      <c r="BA34" s="963">
        <f t="shared" si="91"/>
        <v>0</v>
      </c>
      <c r="BB34" s="963">
        <f t="shared" si="91"/>
        <v>0</v>
      </c>
      <c r="BC34" s="963">
        <f t="shared" si="91"/>
        <v>0</v>
      </c>
      <c r="BD34" s="963">
        <f t="shared" si="91"/>
        <v>0</v>
      </c>
      <c r="BE34" s="963">
        <f t="shared" si="91"/>
        <v>0</v>
      </c>
      <c r="BF34" s="963">
        <f t="shared" si="91"/>
        <v>0</v>
      </c>
    </row>
    <row r="35" spans="1:58" ht="14.45" customHeight="1" x14ac:dyDescent="0.3">
      <c r="A35" s="964" t="s">
        <v>19</v>
      </c>
      <c r="B35" s="414" t="b">
        <f>IF(Paramétrage!$O$47="",FALSE,Paramétrage!$O$47)</f>
        <v>0</v>
      </c>
      <c r="C35" s="263"/>
      <c r="D35" s="415" t="b">
        <f>IF(Paramétrage!$Q$47="",FALSE,Paramétrage!$Q$47)</f>
        <v>0</v>
      </c>
      <c r="E35" s="264"/>
      <c r="F35" s="414" t="b">
        <f>IF(Paramétrage!$R$47="",FALSE,Paramétrage!$R$47)</f>
        <v>0</v>
      </c>
      <c r="G35" s="264"/>
      <c r="H35" s="416" t="b">
        <f>IF(Paramétrage!$T$47="",FALSE,Paramétrage!$T$47)</f>
        <v>0</v>
      </c>
      <c r="I35" s="263"/>
      <c r="J35" s="417" t="b">
        <f>IF(Paramétrage!$U$47="",FALSE,Paramétrage!$U$47)</f>
        <v>0</v>
      </c>
      <c r="K35" s="263"/>
      <c r="L35" s="418" t="b">
        <f>IF(Paramétrage!$W$47="",FALSE,Paramétrage!$W$47)</f>
        <v>0</v>
      </c>
      <c r="M35" s="263"/>
      <c r="N35" s="956">
        <f>IF(OR(B35="aa",B35="cp",B35="f",B35="jc",B35="m",B35="css"),0,(L35-J35)+(H35-F35)+(D35-B35))</f>
        <v>0</v>
      </c>
      <c r="O35" s="956">
        <f>IF(OR(C35="m",C35="aa"),N35,IF(C35="cp",0,IF(OR(C35="css",C35="jc"),0,IF(C35="f",0,E35-C35+I35-G35+M35-K35))))</f>
        <v>0</v>
      </c>
      <c r="P35" s="956">
        <f t="shared" si="78"/>
        <v>0</v>
      </c>
      <c r="Q35" s="956">
        <f t="shared" si="69"/>
        <v>0</v>
      </c>
      <c r="R35" s="957">
        <f>IF(OR(C35="aa",C35="cp",C35="f",C35="jc",C35="m",C35="css"),0,IF(C35=0,MAX(B35,D35,F35,H35,J35,L35)-MIN(B35,D35,F35,H35,J35,L35),IF(C35&lt;&gt;0,MAX(C35,E35,G35,I35,K35,M35)-MIN(C35,E35,G35,I35,K35,M35))))</f>
        <v>0</v>
      </c>
      <c r="S35" s="262"/>
      <c r="T35" s="958" t="str">
        <f t="shared" si="89"/>
        <v/>
      </c>
      <c r="U35" s="959" t="str">
        <f>IF(P35=0,"",IF(P35&lt;Paramétrage!$S$12,"PB",IF(AND(Q35&lt;Paramétrage!$S$12,Q35&lt;&gt;0),"PB","")))</f>
        <v/>
      </c>
      <c r="V35" s="959" t="str">
        <f t="shared" si="72"/>
        <v/>
      </c>
      <c r="W35" s="959" t="str">
        <f t="shared" si="73"/>
        <v/>
      </c>
      <c r="X35" s="960" t="str">
        <f>IF(AND(N35=0,O35=0),"",(IF(OR(C35="aa",C35="cp",C35="f",C35="jc",C35="m",C35="css"),"",IF(C35="",IF(OR(D35-B35&gt;6/24,H35-F35&gt;6/24,L35-J35&gt;6/24),"PB",""),IF(OR(E35-C35&gt;6/24,I35-G35&gt;6/24,M35-K35&gt;6/24),"PB","")))))</f>
        <v/>
      </c>
      <c r="Y35" s="959" t="str">
        <f t="shared" si="75"/>
        <v/>
      </c>
      <c r="Z35" s="836"/>
      <c r="AA35" s="837"/>
      <c r="AB35" s="953"/>
      <c r="AC35" s="934">
        <f t="shared" si="79"/>
        <v>42631</v>
      </c>
      <c r="AD35" s="961">
        <f>IF(AND(N(AC35)&gt;=Paramétrage!$AU$11,N(AC35)&lt;=Paramétrage!$AU$12),IF(C35="cp",1,0),0)</f>
        <v>0</v>
      </c>
      <c r="AE35" s="962">
        <f t="shared" si="76"/>
        <v>0</v>
      </c>
      <c r="AF35" s="961">
        <f>IF(AND(N(AC35)&gt;=Paramétrage!$AX$11,N(AC35)&lt;=Paramétrage!$AX$12),IF(C35="cp",1,0),0)</f>
        <v>0</v>
      </c>
      <c r="AG35" s="962">
        <f t="shared" si="80"/>
        <v>0</v>
      </c>
      <c r="AI35" s="962">
        <f t="shared" si="81"/>
        <v>0</v>
      </c>
      <c r="AJ35" s="962">
        <f t="shared" si="82"/>
        <v>0</v>
      </c>
      <c r="AM35" s="962"/>
      <c r="AN35" s="962"/>
      <c r="AO35" s="962"/>
      <c r="AP35" s="962"/>
      <c r="AV35" s="954"/>
      <c r="AW35" s="963">
        <f t="shared" ref="AW35:BF35" si="92">IF(MONTH(AD35)=AW33,AH35,0)</f>
        <v>0</v>
      </c>
      <c r="AX35" s="963">
        <f t="shared" si="92"/>
        <v>0</v>
      </c>
      <c r="AY35" s="963">
        <f t="shared" si="92"/>
        <v>0</v>
      </c>
      <c r="AZ35" s="963">
        <f t="shared" si="92"/>
        <v>0</v>
      </c>
      <c r="BA35" s="963">
        <f t="shared" si="92"/>
        <v>0</v>
      </c>
      <c r="BB35" s="963">
        <f t="shared" si="92"/>
        <v>0</v>
      </c>
      <c r="BC35" s="963">
        <f t="shared" si="92"/>
        <v>0</v>
      </c>
      <c r="BD35" s="963">
        <f t="shared" si="92"/>
        <v>0</v>
      </c>
      <c r="BE35" s="963">
        <f t="shared" si="92"/>
        <v>0</v>
      </c>
      <c r="BF35" s="963" t="e">
        <f t="shared" si="92"/>
        <v>#VALUE!</v>
      </c>
    </row>
    <row r="36" spans="1:58" ht="14.45" customHeight="1" thickBot="1" x14ac:dyDescent="0.35">
      <c r="A36" s="966" t="s">
        <v>20</v>
      </c>
      <c r="B36" s="414" t="b">
        <f>IF(Paramétrage!$O$48="",FALSE,Paramétrage!$O$48)</f>
        <v>0</v>
      </c>
      <c r="C36" s="263"/>
      <c r="D36" s="415" t="b">
        <f>IF(Paramétrage!$Q$48="",FALSE,Paramétrage!$Q$48)</f>
        <v>0</v>
      </c>
      <c r="E36" s="264"/>
      <c r="F36" s="414" t="b">
        <f>IF(Paramétrage!$R$48="",FALSE,Paramétrage!$R$48)</f>
        <v>0</v>
      </c>
      <c r="G36" s="264"/>
      <c r="H36" s="416" t="b">
        <f>IF(Paramétrage!$T$48="",FALSE,Paramétrage!$T$48)</f>
        <v>0</v>
      </c>
      <c r="I36" s="263"/>
      <c r="J36" s="417" t="b">
        <f>IF(Paramétrage!$U$48="",FALSE,Paramétrage!$U$48)</f>
        <v>0</v>
      </c>
      <c r="K36" s="263"/>
      <c r="L36" s="418" t="b">
        <f>IF(Paramétrage!$W$48="",FALSE,Paramétrage!$W$48)</f>
        <v>0</v>
      </c>
      <c r="M36" s="263"/>
      <c r="N36" s="956">
        <f>IF(OR(B36="aa",B36="m"),M36,IF(B36="cp",0,IF(B36="jc",0,IF(B36="f",0,(D36-B36)*Paramétrage!$S$13+(H36-F36)*Paramétrage!$S$13+(L36-J36)*Paramétrage!$S$13+(D36-B36+H36-F36+L36-J36)))))</f>
        <v>0</v>
      </c>
      <c r="O36" s="956">
        <f>IF(OR(C36="aa",C36="m"),N36,IF(C36="cp",0,IF(C36="jc",0,IF(C36="f",0,(E36-C36)*Paramétrage!$S$13+(I36-G36)*Paramétrage!$S$13+(M36-K36)*Paramétrage!$S$13+(E36-C36+I36-G36+M36-K36)))))</f>
        <v>0</v>
      </c>
      <c r="P36" s="956">
        <f t="shared" si="78"/>
        <v>0</v>
      </c>
      <c r="Q36" s="956">
        <f t="shared" si="69"/>
        <v>0</v>
      </c>
      <c r="R36" s="957">
        <f t="shared" ref="R36" si="93">IF(OR(C36="aa",C36="cp",C36="f",C36="jc",C36="m",C36=0),MAX(B36,D36,F36,H36,J36,L36)-MIN(B36,D36,F36,H36,J36,L36),IF(C36&lt;&gt;0,MAX(C36,E36,G36,I36,K36,M36)-MIN(C36,E36,G36,I36,K36,M36)))</f>
        <v>0</v>
      </c>
      <c r="S36" s="262"/>
      <c r="T36" s="958" t="str">
        <f t="shared" si="89"/>
        <v/>
      </c>
      <c r="U36" s="959" t="str">
        <f>IF(P36=0,"",IF(P36&lt;Paramétrage!$S$12,"PB",IF(AND(Q36&lt;Paramétrage!$S$12,Q36&lt;&gt;0),"PB","")))</f>
        <v/>
      </c>
      <c r="V36" s="959" t="str">
        <f t="shared" si="72"/>
        <v/>
      </c>
      <c r="W36" s="959" t="str">
        <f t="shared" si="73"/>
        <v/>
      </c>
      <c r="X36" s="960" t="str">
        <f t="shared" ref="X36" si="94">IF(AND(N36=0,O36=0),"",(IF(OR(C36="aa",C36="cp",C36="f",C36="jc",C36="m"),"",IF(C36="",IF(OR(D36-B36&gt;6/24,H36-F36&gt;6/24,L36-J36&gt;6/24),"PB",""),IF(OR(E36-C36&gt;6/24,I36-G36&gt;6/24,M36-K36&gt;6/24),"PB","")))))</f>
        <v/>
      </c>
      <c r="Y36" s="959" t="str">
        <f t="shared" si="75"/>
        <v/>
      </c>
      <c r="Z36" s="836"/>
      <c r="AA36" s="837"/>
      <c r="AB36" s="967"/>
      <c r="AC36" s="934">
        <f t="shared" si="79"/>
        <v>42632</v>
      </c>
      <c r="AD36" s="961">
        <f>IF(AND(N(AC36)&gt;=Paramétrage!$AU$11,N(AC36)&lt;=Paramétrage!$AU$12),IF(C36="cp",1,0),0)</f>
        <v>0</v>
      </c>
      <c r="AE36" s="962">
        <f t="shared" si="76"/>
        <v>0</v>
      </c>
      <c r="AF36" s="961">
        <f>IF(AND(N(AC36)&gt;=Paramétrage!$AX$11,N(AC36)&lt;=Paramétrage!$AX$12),IF(C36="cp",1,0),0)</f>
        <v>0</v>
      </c>
      <c r="AG36" s="962">
        <f t="shared" si="80"/>
        <v>0</v>
      </c>
      <c r="AI36" s="962">
        <f t="shared" si="81"/>
        <v>0</v>
      </c>
      <c r="AJ36" s="962">
        <f t="shared" si="82"/>
        <v>0</v>
      </c>
      <c r="AM36" s="962"/>
      <c r="AN36" s="962"/>
      <c r="AO36" s="962"/>
      <c r="AP36" s="962"/>
      <c r="AV36" s="954"/>
      <c r="AW36" s="963">
        <f t="shared" ref="AW36:BF36" si="95">IF(MONTH(AD36)=AW34,AH36,0)</f>
        <v>0</v>
      </c>
      <c r="AX36" s="963">
        <f t="shared" si="95"/>
        <v>0</v>
      </c>
      <c r="AY36" s="963">
        <f t="shared" si="95"/>
        <v>0</v>
      </c>
      <c r="AZ36" s="963">
        <f t="shared" si="95"/>
        <v>0</v>
      </c>
      <c r="BA36" s="963">
        <f t="shared" si="95"/>
        <v>0</v>
      </c>
      <c r="BB36" s="963">
        <f t="shared" si="95"/>
        <v>0</v>
      </c>
      <c r="BC36" s="963">
        <f t="shared" si="95"/>
        <v>0</v>
      </c>
      <c r="BD36" s="963">
        <f t="shared" si="95"/>
        <v>0</v>
      </c>
      <c r="BE36" s="963">
        <f t="shared" si="95"/>
        <v>0</v>
      </c>
      <c r="BF36" s="963">
        <f t="shared" si="95"/>
        <v>0</v>
      </c>
    </row>
    <row r="37" spans="1:58" x14ac:dyDescent="0.25">
      <c r="A37" s="969" t="s">
        <v>78</v>
      </c>
      <c r="B37" s="970"/>
      <c r="C37" s="970"/>
      <c r="D37" s="970"/>
      <c r="E37" s="970"/>
      <c r="F37" s="970"/>
      <c r="G37" s="970"/>
      <c r="H37" s="970"/>
      <c r="I37" s="970"/>
      <c r="J37" s="970"/>
      <c r="K37" s="971"/>
      <c r="L37" s="970"/>
      <c r="M37" s="970"/>
      <c r="N37" s="972">
        <f>SUM(N30:N36)</f>
        <v>0</v>
      </c>
      <c r="O37" s="972">
        <f>SUM(O30:O36)</f>
        <v>0</v>
      </c>
      <c r="P37" s="972">
        <f>SUM(P30:P36)</f>
        <v>0</v>
      </c>
      <c r="Q37" s="972">
        <f>SUM(Q30:Q36)</f>
        <v>0</v>
      </c>
      <c r="R37" s="972"/>
      <c r="S37" s="972"/>
      <c r="T37" s="973"/>
      <c r="U37" s="974"/>
      <c r="V37" s="975" t="str">
        <f>IF((O37*24)&gt;48,"PB","")</f>
        <v/>
      </c>
      <c r="W37" s="974"/>
      <c r="X37" s="972"/>
      <c r="Y37" s="974"/>
      <c r="Z37" s="976" t="s">
        <v>59</v>
      </c>
      <c r="AA37" s="977">
        <f>+O37-N37</f>
        <v>0</v>
      </c>
      <c r="AB37" s="953"/>
      <c r="AF37" s="961"/>
      <c r="AV37" s="954"/>
      <c r="AW37" s="963">
        <f t="shared" ref="AW37:BF37" si="96">IF(MONTH(AD37)=AW35,AH37,0)</f>
        <v>0</v>
      </c>
      <c r="AX37" s="963">
        <f t="shared" si="96"/>
        <v>0</v>
      </c>
      <c r="AY37" s="963">
        <f t="shared" si="96"/>
        <v>0</v>
      </c>
      <c r="AZ37" s="963">
        <f t="shared" si="96"/>
        <v>0</v>
      </c>
      <c r="BA37" s="963">
        <f t="shared" si="96"/>
        <v>0</v>
      </c>
      <c r="BB37" s="963">
        <f t="shared" si="96"/>
        <v>0</v>
      </c>
      <c r="BC37" s="963">
        <f t="shared" si="96"/>
        <v>0</v>
      </c>
      <c r="BD37" s="963">
        <f t="shared" si="96"/>
        <v>0</v>
      </c>
      <c r="BE37" s="963">
        <f t="shared" si="96"/>
        <v>0</v>
      </c>
      <c r="BF37" s="963" t="e">
        <f t="shared" si="96"/>
        <v>#VALUE!</v>
      </c>
    </row>
    <row r="38" spans="1:58" x14ac:dyDescent="0.25">
      <c r="A38" s="969"/>
      <c r="B38" s="969"/>
      <c r="C38" s="969"/>
      <c r="D38" s="969"/>
      <c r="E38" s="969"/>
      <c r="F38" s="994"/>
      <c r="G38" s="994"/>
      <c r="H38" s="994"/>
      <c r="I38" s="994"/>
      <c r="J38" s="994"/>
      <c r="K38" s="969"/>
      <c r="L38" s="969"/>
      <c r="M38" s="969"/>
      <c r="N38" s="973"/>
      <c r="O38" s="969"/>
      <c r="P38" s="980"/>
      <c r="Q38" s="980"/>
      <c r="R38" s="980"/>
      <c r="S38" s="981"/>
      <c r="T38" s="980"/>
      <c r="U38" s="980"/>
      <c r="V38" s="980"/>
      <c r="W38" s="980"/>
      <c r="X38" s="980"/>
      <c r="Y38" s="980"/>
      <c r="Z38" s="976"/>
      <c r="AA38" s="977"/>
      <c r="AB38" s="953"/>
      <c r="AF38" s="961"/>
      <c r="AV38" s="954"/>
      <c r="AW38" s="963">
        <f t="shared" ref="AW38:BF38" si="97">IF(MONTH(AD38)=AW36,AH38,0)</f>
        <v>0</v>
      </c>
      <c r="AX38" s="963">
        <f t="shared" si="97"/>
        <v>0</v>
      </c>
      <c r="AY38" s="963">
        <f t="shared" si="97"/>
        <v>0</v>
      </c>
      <c r="AZ38" s="963">
        <f t="shared" si="97"/>
        <v>0</v>
      </c>
      <c r="BA38" s="963">
        <f t="shared" si="97"/>
        <v>0</v>
      </c>
      <c r="BB38" s="963">
        <f t="shared" si="97"/>
        <v>0</v>
      </c>
      <c r="BC38" s="963">
        <f t="shared" si="97"/>
        <v>0</v>
      </c>
      <c r="BD38" s="963">
        <f t="shared" si="97"/>
        <v>0</v>
      </c>
      <c r="BE38" s="963">
        <f t="shared" si="97"/>
        <v>0</v>
      </c>
      <c r="BF38" s="963">
        <f t="shared" si="97"/>
        <v>0</v>
      </c>
    </row>
    <row r="39" spans="1:58" ht="16.5" x14ac:dyDescent="0.3">
      <c r="A39" s="969"/>
      <c r="B39" s="969"/>
      <c r="C39" s="969"/>
      <c r="D39" s="969"/>
      <c r="E39" s="969"/>
      <c r="F39" s="928">
        <f>+F27+7</f>
        <v>42633</v>
      </c>
      <c r="G39" s="928"/>
      <c r="H39" s="929" t="s">
        <v>58</v>
      </c>
      <c r="I39" s="928">
        <f>+F39+6</f>
        <v>42639</v>
      </c>
      <c r="J39" s="930"/>
      <c r="K39" s="969"/>
      <c r="L39" s="969"/>
      <c r="M39" s="969"/>
      <c r="N39" s="973"/>
      <c r="O39" s="969"/>
      <c r="P39" s="980"/>
      <c r="Q39" s="980"/>
      <c r="R39" s="980"/>
      <c r="S39" s="981"/>
      <c r="T39" s="980"/>
      <c r="U39" s="980"/>
      <c r="V39" s="980"/>
      <c r="W39" s="980"/>
      <c r="X39" s="980"/>
      <c r="Y39" s="980"/>
      <c r="Z39" s="976"/>
      <c r="AA39" s="995"/>
      <c r="AB39" s="953"/>
      <c r="AF39" s="961"/>
      <c r="AV39" s="954"/>
      <c r="AW39" s="963">
        <f t="shared" ref="AW39:BF39" si="98">IF(MONTH(AD39)=AW37,AH39,0)</f>
        <v>0</v>
      </c>
      <c r="AX39" s="963">
        <f t="shared" si="98"/>
        <v>0</v>
      </c>
      <c r="AY39" s="963">
        <f t="shared" si="98"/>
        <v>0</v>
      </c>
      <c r="AZ39" s="963">
        <f t="shared" si="98"/>
        <v>0</v>
      </c>
      <c r="BA39" s="963">
        <f t="shared" si="98"/>
        <v>0</v>
      </c>
      <c r="BB39" s="963">
        <f t="shared" si="98"/>
        <v>0</v>
      </c>
      <c r="BC39" s="963">
        <f t="shared" si="98"/>
        <v>0</v>
      </c>
      <c r="BD39" s="963">
        <f t="shared" si="98"/>
        <v>0</v>
      </c>
      <c r="BE39" s="963">
        <f t="shared" si="98"/>
        <v>0</v>
      </c>
      <c r="BF39" s="963" t="e">
        <f t="shared" si="98"/>
        <v>#VALUE!</v>
      </c>
    </row>
    <row r="40" spans="1:58" ht="14.45" customHeight="1" x14ac:dyDescent="0.25">
      <c r="A40" s="994"/>
      <c r="B40" s="938" t="s">
        <v>17</v>
      </c>
      <c r="C40" s="938"/>
      <c r="D40" s="938" t="s">
        <v>18</v>
      </c>
      <c r="E40" s="938"/>
      <c r="F40" s="938" t="s">
        <v>17</v>
      </c>
      <c r="G40" s="938"/>
      <c r="H40" s="938" t="s">
        <v>18</v>
      </c>
      <c r="I40" s="938"/>
      <c r="J40" s="938" t="s">
        <v>17</v>
      </c>
      <c r="K40" s="938"/>
      <c r="L40" s="938" t="s">
        <v>18</v>
      </c>
      <c r="M40" s="938"/>
      <c r="N40" s="939" t="s">
        <v>61</v>
      </c>
      <c r="O40" s="939" t="s">
        <v>62</v>
      </c>
      <c r="P40" s="939" t="s">
        <v>60</v>
      </c>
      <c r="Q40" s="939" t="s">
        <v>63</v>
      </c>
      <c r="R40" s="939" t="s">
        <v>64</v>
      </c>
      <c r="S40" s="940" t="s">
        <v>223</v>
      </c>
      <c r="T40" s="939" t="s">
        <v>70</v>
      </c>
      <c r="U40" s="941" t="s">
        <v>65</v>
      </c>
      <c r="V40" s="942"/>
      <c r="W40" s="942"/>
      <c r="X40" s="942"/>
      <c r="Y40" s="943"/>
      <c r="Z40" s="944" t="s">
        <v>22</v>
      </c>
      <c r="AA40" s="944"/>
      <c r="AB40" s="953"/>
      <c r="AF40" s="961"/>
      <c r="AV40" s="954"/>
      <c r="AW40" s="963">
        <f t="shared" ref="AW40:BF40" si="99">IF(MONTH(AD40)=AW38,AH40,0)</f>
        <v>0</v>
      </c>
      <c r="AX40" s="963">
        <f t="shared" si="99"/>
        <v>0</v>
      </c>
      <c r="AY40" s="963">
        <f t="shared" si="99"/>
        <v>0</v>
      </c>
      <c r="AZ40" s="963">
        <f t="shared" si="99"/>
        <v>0</v>
      </c>
      <c r="BA40" s="963">
        <f t="shared" si="99"/>
        <v>0</v>
      </c>
      <c r="BB40" s="963">
        <f t="shared" si="99"/>
        <v>0</v>
      </c>
      <c r="BC40" s="963">
        <f t="shared" si="99"/>
        <v>0</v>
      </c>
      <c r="BD40" s="963">
        <f t="shared" si="99"/>
        <v>0</v>
      </c>
      <c r="BE40" s="963">
        <f t="shared" si="99"/>
        <v>0</v>
      </c>
      <c r="BF40" s="963">
        <f t="shared" si="99"/>
        <v>0</v>
      </c>
    </row>
    <row r="41" spans="1:58" ht="26.25" thickBot="1" x14ac:dyDescent="0.4">
      <c r="A41" s="937" t="str">
        <f>"S"&amp;_xlfn.ISOWEEKNUM(F39)</f>
        <v>S39</v>
      </c>
      <c r="B41" s="949" t="s">
        <v>0</v>
      </c>
      <c r="C41" s="950" t="s">
        <v>1</v>
      </c>
      <c r="D41" s="949" t="s">
        <v>0</v>
      </c>
      <c r="E41" s="950" t="s">
        <v>1</v>
      </c>
      <c r="F41" s="949" t="s">
        <v>0</v>
      </c>
      <c r="G41" s="950" t="s">
        <v>1</v>
      </c>
      <c r="H41" s="949" t="s">
        <v>0</v>
      </c>
      <c r="I41" s="950" t="s">
        <v>1</v>
      </c>
      <c r="J41" s="949" t="s">
        <v>0</v>
      </c>
      <c r="K41" s="950" t="s">
        <v>1</v>
      </c>
      <c r="L41" s="949" t="s">
        <v>0</v>
      </c>
      <c r="M41" s="950" t="s">
        <v>1</v>
      </c>
      <c r="N41" s="951"/>
      <c r="O41" s="951"/>
      <c r="P41" s="951"/>
      <c r="Q41" s="951"/>
      <c r="R41" s="951"/>
      <c r="S41" s="951"/>
      <c r="T41" s="939"/>
      <c r="U41" s="952" t="s">
        <v>66</v>
      </c>
      <c r="V41" s="952" t="s">
        <v>67</v>
      </c>
      <c r="W41" s="952" t="s">
        <v>68</v>
      </c>
      <c r="X41" s="952" t="s">
        <v>137</v>
      </c>
      <c r="Y41" s="952" t="s">
        <v>69</v>
      </c>
      <c r="Z41" s="944"/>
      <c r="AA41" s="944"/>
      <c r="AB41" s="953"/>
      <c r="AF41" s="961"/>
      <c r="AM41" s="917" t="s">
        <v>274</v>
      </c>
      <c r="AV41" s="954"/>
      <c r="AW41" s="963">
        <f t="shared" ref="AW41:BF41" si="100">IF(MONTH(AD41)=AW39,AH41,0)</f>
        <v>0</v>
      </c>
      <c r="AX41" s="963">
        <f t="shared" si="100"/>
        <v>0</v>
      </c>
      <c r="AY41" s="963">
        <f t="shared" si="100"/>
        <v>0</v>
      </c>
      <c r="AZ41" s="963">
        <f t="shared" si="100"/>
        <v>0</v>
      </c>
      <c r="BA41" s="963">
        <f t="shared" si="100"/>
        <v>0</v>
      </c>
      <c r="BB41" s="963">
        <f t="shared" si="100"/>
        <v>0</v>
      </c>
      <c r="BC41" s="963">
        <f t="shared" si="100"/>
        <v>0</v>
      </c>
      <c r="BD41" s="963">
        <f t="shared" si="100"/>
        <v>0</v>
      </c>
      <c r="BE41" s="963">
        <f t="shared" si="100"/>
        <v>0</v>
      </c>
      <c r="BF41" s="963" t="e">
        <f t="shared" si="100"/>
        <v>#VALUE!</v>
      </c>
    </row>
    <row r="42" spans="1:58" ht="14.45" customHeight="1" x14ac:dyDescent="0.3">
      <c r="A42" s="955" t="s">
        <v>12</v>
      </c>
      <c r="B42" s="414" t="b">
        <f>IF(Paramétrage!$O$42="",FALSE,Paramétrage!$O$42)</f>
        <v>0</v>
      </c>
      <c r="C42" s="263"/>
      <c r="D42" s="415" t="b">
        <f>IF(Paramétrage!$Q$42="",FALSE,Paramétrage!$Q$42)</f>
        <v>0</v>
      </c>
      <c r="E42" s="264"/>
      <c r="F42" s="414" t="b">
        <f>IF(Paramétrage!$R$42="",FALSE,Paramétrage!$R$42)</f>
        <v>0</v>
      </c>
      <c r="G42" s="264"/>
      <c r="H42" s="416" t="b">
        <f>IF(Paramétrage!$T$42="",FALSE,Paramétrage!$T$42)</f>
        <v>0</v>
      </c>
      <c r="I42" s="263"/>
      <c r="J42" s="417" t="b">
        <f>IF(Paramétrage!$U$42="",FALSE,Paramétrage!$U$42)</f>
        <v>0</v>
      </c>
      <c r="K42" s="263"/>
      <c r="L42" s="418" t="b">
        <f>IF(Paramétrage!$W$42="",FALSE,Paramétrage!$W$42)</f>
        <v>0</v>
      </c>
      <c r="M42" s="263"/>
      <c r="N42" s="956">
        <f t="shared" ref="N42:N44" si="101">IF(OR(B42="aa",B42="cp",B42="f",B42="jc",B42="m",B42="css"),0,(L42-J42)+(H42-F42)+(D42-B42))</f>
        <v>0</v>
      </c>
      <c r="O42" s="956">
        <f t="shared" ref="O42:O44" si="102">SUM(AM42:AP42)+IF(OR(C42="m",C42="aa"),N42,IF(C42="css",0,IF(C42="cp",0,IF(C42="jc",0,IF(C42="f",0,E42-C42+I42-G42+M42-K42)))))</f>
        <v>0</v>
      </c>
      <c r="P42" s="956">
        <f>IF(OR(C42="aa",C42="cp",C42="f",C42="jc",C42="m",C42="css"),0,IF(C42="",IF(OR(F42="",F42=FALSE),0,F42-D42),IF(G42="",0,G42-E42)))</f>
        <v>0</v>
      </c>
      <c r="Q42" s="956">
        <f t="shared" ref="Q42:Q48" si="103">IF(P42=0,0,IF(G42="",IF(OR(J42="",J42=FALSE),0,J42-H42),IF(K42="",0,K42-I42)))</f>
        <v>0</v>
      </c>
      <c r="R42" s="957">
        <f t="shared" ref="R42:R44" si="104">IF(OR(C42="aa",C42="cp",C42="f",C42="jc",C42="m",C42="css"),0,IF(C42=0,MAX(B42,D42,F42,H42,J42,L42)-MIN(B42,D42,F42,H42,J42,L42),IF(C42&lt;&gt;0,MAX(C42,E42,G42,I42,K42,M42)-MIN(C42,E42,G42,I42,K42,M42))))</f>
        <v>0</v>
      </c>
      <c r="S42" s="262"/>
      <c r="T42" s="958" t="str">
        <f t="shared" ref="T42:T43" si="105">IF(AND(B42=FALSE,C42=""),"",IF(AND(B42=0,C42=0),"",(IF(OR(C42="cp",C42="f",C42="jc",C42="css"),"",IF(OR(C42="",C42="aa",C42="m"),(IF(OR(B42="cp",B42="f",B42="jc",B42="css"),"",B42*24+24-MAX(D41,H41,L41)*24)),C42*24+24-MAX(M41,I41,E41)*24)))))</f>
        <v/>
      </c>
      <c r="U42" s="959" t="str">
        <f>IF(P42=0,"",IF(P42&lt;Paramétrage!$S$12,"PB",IF(AND(Q42&lt;Paramétrage!$S$12,Q42&lt;&gt;0),"PB","")))</f>
        <v/>
      </c>
      <c r="V42" s="959" t="str">
        <f t="shared" ref="V42:V48" si="106">IF(C42="",IF((N42*24)&gt;10,"PB",""),IF((O42*24)&gt;10,"PB",""))</f>
        <v/>
      </c>
      <c r="W42" s="959" t="str">
        <f t="shared" ref="W42:W48" si="107">IF((R42*24)&gt;12,"PB","")</f>
        <v/>
      </c>
      <c r="X42" s="960" t="str">
        <f t="shared" ref="X42:X44" si="108">IF(AND(N42=0,O42=0),"",(IF(OR(C42="aa",C42="cp",C42="f",C42="jc",C42="m",C42="css"),"",IF(C42="",IF(OR(D42-B42&gt;6/24,H42-F42&gt;6/24,L42-J42&gt;6/24),"PB",""),IF(OR(E42-C42&gt;6/24,I42-G42&gt;6/24,M42-K42&gt;6/24),"PB","")))))</f>
        <v/>
      </c>
      <c r="Y42" s="959" t="str">
        <f t="shared" ref="Y42:Y48" si="109">IF(T42="","",IF(T42&lt;11,"PB",""))</f>
        <v/>
      </c>
      <c r="Z42" s="836"/>
      <c r="AA42" s="837"/>
      <c r="AB42" s="953"/>
      <c r="AC42" s="934">
        <f>AC36+1</f>
        <v>42633</v>
      </c>
      <c r="AD42" s="961">
        <f>IF(AND(N(AC42)&gt;=Paramétrage!$AU$11,N(AC42)&lt;=Paramétrage!$AU$12),IF(C42="cp",1,0),0)</f>
        <v>0</v>
      </c>
      <c r="AE42" s="962">
        <f t="shared" ref="AE42:AE47" si="110">N42</f>
        <v>0</v>
      </c>
      <c r="AF42" s="961">
        <f>IF(AND(N(AC42)&gt;=Paramétrage!$AX$11,N(AC42)&lt;=Paramétrage!$AX$12),IF(C42="cp",1,0),0)</f>
        <v>0</v>
      </c>
      <c r="AG42" s="962">
        <f t="shared" ref="AG42:AG48" si="111">O42</f>
        <v>0</v>
      </c>
      <c r="AI42" s="962">
        <f>AE42+AI36</f>
        <v>0</v>
      </c>
      <c r="AJ42" s="962">
        <f>AG42+AJ36</f>
        <v>0</v>
      </c>
      <c r="AM42" s="962">
        <f>IF(AND($B42="cp",$C42="m"),$Z42,0)</f>
        <v>0</v>
      </c>
      <c r="AN42" s="962">
        <f>IF(AND($B42="jc",$C42="m"),$Z42,0)</f>
        <v>0</v>
      </c>
      <c r="AO42" s="962">
        <f>IF(AND($B42="cp",$C42="aa"),$Z42,0)</f>
        <v>0</v>
      </c>
      <c r="AP42" s="962">
        <f>IF(AND($B42="jc",$C42="aa"),$Z42,0)</f>
        <v>0</v>
      </c>
      <c r="AR42" s="917">
        <f>IF(AND(AC42&lt;=$AR$3,B42="CP"),1,0)</f>
        <v>0</v>
      </c>
      <c r="AS42" s="917">
        <f>IF(AND(AC42&lt;=$AR$3,C42="CP"),1,0)</f>
        <v>0</v>
      </c>
      <c r="AV42" s="954"/>
      <c r="AW42" s="963">
        <f t="shared" ref="AW42:BF42" si="112">IF(MONTH(AD42)=AW40,AH42,0)</f>
        <v>0</v>
      </c>
      <c r="AX42" s="963">
        <f t="shared" si="112"/>
        <v>0</v>
      </c>
      <c r="AY42" s="963">
        <f t="shared" si="112"/>
        <v>0</v>
      </c>
      <c r="AZ42" s="963">
        <f t="shared" si="112"/>
        <v>0</v>
      </c>
      <c r="BA42" s="963">
        <f t="shared" si="112"/>
        <v>0</v>
      </c>
      <c r="BB42" s="963">
        <f t="shared" si="112"/>
        <v>0</v>
      </c>
      <c r="BC42" s="963">
        <f t="shared" si="112"/>
        <v>0</v>
      </c>
      <c r="BD42" s="963">
        <f t="shared" si="112"/>
        <v>0</v>
      </c>
      <c r="BE42" s="963">
        <f t="shared" si="112"/>
        <v>0</v>
      </c>
      <c r="BF42" s="963">
        <f t="shared" si="112"/>
        <v>0</v>
      </c>
    </row>
    <row r="43" spans="1:58" ht="14.45" customHeight="1" x14ac:dyDescent="0.3">
      <c r="A43" s="964" t="s">
        <v>13</v>
      </c>
      <c r="B43" s="414" t="b">
        <f>IF(Paramétrage!$O$43="",FALSE,Paramétrage!$O$43)</f>
        <v>0</v>
      </c>
      <c r="C43" s="263"/>
      <c r="D43" s="415" t="b">
        <f>IF(Paramétrage!$Q$43="",FALSE,Paramétrage!$Q$43)</f>
        <v>0</v>
      </c>
      <c r="E43" s="264"/>
      <c r="F43" s="414" t="b">
        <f>IF(Paramétrage!$R$43="",FALSE,Paramétrage!$R$43)</f>
        <v>0</v>
      </c>
      <c r="G43" s="264"/>
      <c r="H43" s="416" t="b">
        <f>IF(Paramétrage!$T$43="",FALSE,Paramétrage!$T$43)</f>
        <v>0</v>
      </c>
      <c r="I43" s="263"/>
      <c r="J43" s="417" t="b">
        <f>IF(Paramétrage!$U$43="",FALSE,Paramétrage!$U$43)</f>
        <v>0</v>
      </c>
      <c r="K43" s="263"/>
      <c r="L43" s="418" t="b">
        <f>IF(Paramétrage!$W$43="",FALSE,Paramétrage!$W$43)</f>
        <v>0</v>
      </c>
      <c r="M43" s="263"/>
      <c r="N43" s="956">
        <f t="shared" si="101"/>
        <v>0</v>
      </c>
      <c r="O43" s="956">
        <f t="shared" si="102"/>
        <v>0</v>
      </c>
      <c r="P43" s="956">
        <f t="shared" ref="P43:P48" si="113">IF(OR(C43="aa",C43="cp",C43="f",C43="jc",C43="m",C43="css"),0,IF(C43="",IF(OR(F43="",F43=FALSE),0,F43-D43),IF(G43="",0,G43-E43)))</f>
        <v>0</v>
      </c>
      <c r="Q43" s="956">
        <f t="shared" si="103"/>
        <v>0</v>
      </c>
      <c r="R43" s="957">
        <f t="shared" si="104"/>
        <v>0</v>
      </c>
      <c r="S43" s="262"/>
      <c r="T43" s="958" t="str">
        <f t="shared" si="105"/>
        <v/>
      </c>
      <c r="U43" s="959" t="str">
        <f>IF(P43=0,"",IF(P43&lt;Paramétrage!$S$12,"PB",IF(AND(Q43&lt;Paramétrage!$S$12,Q43&lt;&gt;0),"PB","")))</f>
        <v/>
      </c>
      <c r="V43" s="959" t="str">
        <f t="shared" si="106"/>
        <v/>
      </c>
      <c r="W43" s="959" t="str">
        <f t="shared" si="107"/>
        <v/>
      </c>
      <c r="X43" s="960" t="str">
        <f t="shared" si="108"/>
        <v/>
      </c>
      <c r="Y43" s="959" t="str">
        <f t="shared" si="109"/>
        <v/>
      </c>
      <c r="Z43" s="836"/>
      <c r="AA43" s="837"/>
      <c r="AB43" s="953"/>
      <c r="AC43" s="934">
        <f t="shared" ref="AC43:AC48" si="114">AC42+1</f>
        <v>42634</v>
      </c>
      <c r="AD43" s="961">
        <f>IF(AND(N(AC43)&gt;=Paramétrage!$AU$11,N(AC43)&lt;=Paramétrage!$AU$12),IF(C43="cp",1,0),0)</f>
        <v>0</v>
      </c>
      <c r="AE43" s="962">
        <f t="shared" si="110"/>
        <v>0</v>
      </c>
      <c r="AF43" s="961">
        <f>IF(AND(N(AC43)&gt;=Paramétrage!$AX$11,N(AC43)&lt;=Paramétrage!$AX$12),IF(C43="cp",1,0),0)</f>
        <v>0</v>
      </c>
      <c r="AG43" s="962">
        <f t="shared" si="111"/>
        <v>0</v>
      </c>
      <c r="AI43" s="962">
        <f t="shared" ref="AI43:AI48" si="115">AE43+AI42</f>
        <v>0</v>
      </c>
      <c r="AJ43" s="962">
        <f t="shared" ref="AJ43:AJ48" si="116">AG43+AJ42</f>
        <v>0</v>
      </c>
      <c r="AM43" s="962">
        <f t="shared" ref="AM43:AM46" si="117">IF(AND($B43="cp",$C43="m"),$Z43,0)</f>
        <v>0</v>
      </c>
      <c r="AN43" s="962">
        <f t="shared" ref="AN43:AN46" si="118">IF(AND($B43="jc",$C43="m"),$Z43,0)</f>
        <v>0</v>
      </c>
      <c r="AO43" s="962">
        <f t="shared" ref="AO43:AO46" si="119">IF(AND($B43="cp",$C43="aa"),$Z43,0)</f>
        <v>0</v>
      </c>
      <c r="AP43" s="962">
        <f t="shared" ref="AP43:AP46" si="120">IF(AND($B43="jc",$C43="aa"),$Z43,0)</f>
        <v>0</v>
      </c>
      <c r="AR43" s="917">
        <f>IF(AND(AC43&lt;=$AR$3,B43="CP"),1,0)</f>
        <v>0</v>
      </c>
      <c r="AS43" s="917">
        <f>IF(AND(AC43&lt;=$AR$3,C43="CP"),1,0)</f>
        <v>0</v>
      </c>
      <c r="AV43" s="954"/>
      <c r="AW43" s="963">
        <f t="shared" ref="AW43:BF43" si="121">IF(MONTH(AD43)=AW41,AH43,0)</f>
        <v>0</v>
      </c>
      <c r="AX43" s="963">
        <f t="shared" si="121"/>
        <v>0</v>
      </c>
      <c r="AY43" s="963">
        <f t="shared" si="121"/>
        <v>0</v>
      </c>
      <c r="AZ43" s="963">
        <f t="shared" si="121"/>
        <v>0</v>
      </c>
      <c r="BA43" s="963">
        <f t="shared" si="121"/>
        <v>0</v>
      </c>
      <c r="BB43" s="963">
        <f t="shared" si="121"/>
        <v>0</v>
      </c>
      <c r="BC43" s="963">
        <f t="shared" si="121"/>
        <v>0</v>
      </c>
      <c r="BD43" s="963">
        <f t="shared" si="121"/>
        <v>0</v>
      </c>
      <c r="BE43" s="963">
        <f t="shared" si="121"/>
        <v>0</v>
      </c>
      <c r="BF43" s="963" t="e">
        <f t="shared" si="121"/>
        <v>#VALUE!</v>
      </c>
    </row>
    <row r="44" spans="1:58" ht="14.45" customHeight="1" x14ac:dyDescent="0.3">
      <c r="A44" s="964" t="s">
        <v>14</v>
      </c>
      <c r="B44" s="414" t="b">
        <f>IF(Paramétrage!$O$44="",FALSE,Paramétrage!$O$44)</f>
        <v>0</v>
      </c>
      <c r="C44" s="263"/>
      <c r="D44" s="415" t="b">
        <f>IF(Paramétrage!$Q$44="",FALSE,Paramétrage!$Q$44)</f>
        <v>0</v>
      </c>
      <c r="E44" s="264"/>
      <c r="F44" s="414" t="b">
        <f>IF(Paramétrage!$R$44="",FALSE,Paramétrage!$R$44)</f>
        <v>0</v>
      </c>
      <c r="G44" s="264"/>
      <c r="H44" s="416" t="b">
        <f>IF(Paramétrage!$T$44="",FALSE,Paramétrage!$T$44)</f>
        <v>0</v>
      </c>
      <c r="I44" s="263"/>
      <c r="J44" s="417" t="b">
        <f>IF(Paramétrage!$U$44="",FALSE,Paramétrage!$U$44)</f>
        <v>0</v>
      </c>
      <c r="K44" s="263"/>
      <c r="L44" s="418" t="b">
        <f>IF(Paramétrage!$W$44="",FALSE,Paramétrage!$W$44)</f>
        <v>0</v>
      </c>
      <c r="M44" s="263"/>
      <c r="N44" s="956">
        <f t="shared" si="101"/>
        <v>0</v>
      </c>
      <c r="O44" s="956">
        <f t="shared" si="102"/>
        <v>0</v>
      </c>
      <c r="P44" s="956">
        <f t="shared" si="113"/>
        <v>0</v>
      </c>
      <c r="Q44" s="956">
        <f t="shared" si="103"/>
        <v>0</v>
      </c>
      <c r="R44" s="957">
        <f t="shared" si="104"/>
        <v>0</v>
      </c>
      <c r="S44" s="262"/>
      <c r="T44" s="958" t="str">
        <f>IF(AND(B44=FALSE,C44=""),"",IF(AND(B44=0,C44=0),"",(IF(OR(C44="cp",C44="f",C44="jc",C44="css"),"",IF(OR(C44="",C44="aa",C44="m"),(IF(OR(B44="cp",B44="f",B44="jc",B44="css"),"",B44*24+24-MAX(D43,H43,L43)*24)),C44*24+24-MAX(M43,I43,E43)*24)))))</f>
        <v/>
      </c>
      <c r="U44" s="959" t="str">
        <f>IF(P44=0,"",IF(P44&lt;Paramétrage!$S$12,"PB",IF(AND(Q44&lt;Paramétrage!$S$12,Q44&lt;&gt;0),"PB","")))</f>
        <v/>
      </c>
      <c r="V44" s="959" t="str">
        <f t="shared" si="106"/>
        <v/>
      </c>
      <c r="W44" s="959" t="str">
        <f t="shared" si="107"/>
        <v/>
      </c>
      <c r="X44" s="960" t="str">
        <f t="shared" si="108"/>
        <v/>
      </c>
      <c r="Y44" s="959" t="str">
        <f t="shared" si="109"/>
        <v/>
      </c>
      <c r="Z44" s="836"/>
      <c r="AA44" s="837"/>
      <c r="AB44" s="953"/>
      <c r="AC44" s="934">
        <f t="shared" si="114"/>
        <v>42635</v>
      </c>
      <c r="AD44" s="961">
        <f>IF(AND(N(AC44)&gt;=Paramétrage!$AU$11,N(AC44)&lt;=Paramétrage!$AU$12),IF(C44="cp",1,0),0)</f>
        <v>0</v>
      </c>
      <c r="AE44" s="962">
        <f t="shared" si="110"/>
        <v>0</v>
      </c>
      <c r="AF44" s="961">
        <f>IF(AND(N(AC44)&gt;=Paramétrage!$AX$11,N(AC44)&lt;=Paramétrage!$AX$12),IF(C44="cp",1,0),0)</f>
        <v>0</v>
      </c>
      <c r="AG44" s="962">
        <f t="shared" si="111"/>
        <v>0</v>
      </c>
      <c r="AI44" s="962">
        <f t="shared" si="115"/>
        <v>0</v>
      </c>
      <c r="AJ44" s="962">
        <f t="shared" si="116"/>
        <v>0</v>
      </c>
      <c r="AM44" s="962">
        <f t="shared" si="117"/>
        <v>0</v>
      </c>
      <c r="AN44" s="962">
        <f t="shared" si="118"/>
        <v>0</v>
      </c>
      <c r="AO44" s="962">
        <f t="shared" si="119"/>
        <v>0</v>
      </c>
      <c r="AP44" s="962">
        <f t="shared" si="120"/>
        <v>0</v>
      </c>
      <c r="AR44" s="917">
        <f>IF(AND(AC44&lt;=$AR$3,B44="CP"),1,0)</f>
        <v>0</v>
      </c>
      <c r="AS44" s="917">
        <f>IF(AND(AC44&lt;=$AR$3,C44="CP"),1,0)</f>
        <v>0</v>
      </c>
      <c r="AV44" s="954"/>
      <c r="AW44" s="963">
        <f t="shared" ref="AW44:BF44" si="122">IF(MONTH(AD44)=AW42,AH44,0)</f>
        <v>0</v>
      </c>
      <c r="AX44" s="963">
        <f t="shared" si="122"/>
        <v>0</v>
      </c>
      <c r="AY44" s="963">
        <f t="shared" si="122"/>
        <v>0</v>
      </c>
      <c r="AZ44" s="963">
        <f t="shared" si="122"/>
        <v>0</v>
      </c>
      <c r="BA44" s="963">
        <f t="shared" si="122"/>
        <v>0</v>
      </c>
      <c r="BB44" s="963">
        <f t="shared" si="122"/>
        <v>0</v>
      </c>
      <c r="BC44" s="963">
        <f t="shared" si="122"/>
        <v>0</v>
      </c>
      <c r="BD44" s="963">
        <f t="shared" si="122"/>
        <v>0</v>
      </c>
      <c r="BE44" s="963">
        <f t="shared" si="122"/>
        <v>0</v>
      </c>
      <c r="BF44" s="963">
        <f t="shared" si="122"/>
        <v>0</v>
      </c>
    </row>
    <row r="45" spans="1:58" ht="14.45" customHeight="1" x14ac:dyDescent="0.3">
      <c r="A45" s="964" t="s">
        <v>15</v>
      </c>
      <c r="B45" s="414" t="b">
        <f>IF(Paramétrage!$O$45="",FALSE,Paramétrage!$O$45)</f>
        <v>0</v>
      </c>
      <c r="C45" s="263"/>
      <c r="D45" s="415" t="b">
        <f>IF(Paramétrage!$Q$45="",FALSE,Paramétrage!$Q$45)</f>
        <v>0</v>
      </c>
      <c r="E45" s="264"/>
      <c r="F45" s="414" t="b">
        <f>IF(Paramétrage!$R$45="",FALSE,Paramétrage!$R$45)</f>
        <v>0</v>
      </c>
      <c r="G45" s="264"/>
      <c r="H45" s="416" t="b">
        <f>IF(Paramétrage!$T$45="",FALSE,Paramétrage!$T$45)</f>
        <v>0</v>
      </c>
      <c r="I45" s="263"/>
      <c r="J45" s="417" t="b">
        <f>IF(Paramétrage!$U$45="",FALSE,Paramétrage!$U$45)</f>
        <v>0</v>
      </c>
      <c r="K45" s="263"/>
      <c r="L45" s="418" t="b">
        <f>IF(Paramétrage!$W$45="",FALSE,Paramétrage!$W$45)</f>
        <v>0</v>
      </c>
      <c r="M45" s="263"/>
      <c r="N45" s="956">
        <f>IF(OR(B45="aa",B45="cp",B45="f",B45="jc",B45="m",B45="css"),0,(L45-J45)+(H45-F45)+(D45-B45))</f>
        <v>0</v>
      </c>
      <c r="O45" s="956">
        <f>SUM(AM45:AP45)+IF(OR(C45="m",C45="aa"),N45,IF(C45="css",0,IF(C45="cp",0,IF(C45="jc",0,IF(C45="f",0,E45-C45+I45-G45+M45-K45)))))</f>
        <v>0</v>
      </c>
      <c r="P45" s="956">
        <f t="shared" si="113"/>
        <v>0</v>
      </c>
      <c r="Q45" s="956">
        <f t="shared" si="103"/>
        <v>0</v>
      </c>
      <c r="R45" s="957">
        <f>IF(OR(C45="aa",C45="cp",C45="f",C45="jc",C45="m",C45="css"),0,IF(C45=0,MAX(B45,D45,F45,H45,J45,L45)-MIN(B45,D45,F45,H45,J45,L45),IF(C45&lt;&gt;0,MAX(C45,E45,G45,I45,K45,M45)-MIN(C45,E45,G45,I45,K45,M45))))</f>
        <v>0</v>
      </c>
      <c r="S45" s="262"/>
      <c r="T45" s="958" t="str">
        <f t="shared" ref="T45:T48" si="123">IF(AND(B45=FALSE,C45=""),"",IF(AND(B45=0,C45=0),"",(IF(OR(C45="cp",C45="f",C45="jc",C45="css"),"",IF(OR(C45="",C45="aa",C45="m"),(IF(OR(B45="cp",B45="f",B45="jc",B45="css"),"",B45*24+24-MAX(D44,H44,L44)*24)),C45*24+24-MAX(M44,I44,E44)*24)))))</f>
        <v/>
      </c>
      <c r="U45" s="959" t="str">
        <f>IF(P45=0,"",IF(P45&lt;Paramétrage!$S$12,"PB",IF(AND(Q45&lt;Paramétrage!$S$12,Q45&lt;&gt;0),"PB","")))</f>
        <v/>
      </c>
      <c r="V45" s="959" t="str">
        <f t="shared" si="106"/>
        <v/>
      </c>
      <c r="W45" s="959" t="str">
        <f t="shared" si="107"/>
        <v/>
      </c>
      <c r="X45" s="960" t="str">
        <f>IF(AND(N45=0,O45=0),"",(IF(OR(C45="aa",C45="cp",C45="f",C45="jc",C45="m",C45="css"),"",IF(C45="",IF(OR(D45-B45&gt;6/24,H45-F45&gt;6/24,L45-J45&gt;6/24),"PB",""),IF(OR(E45-C45&gt;6/24,I45-G45&gt;6/24,M45-K45&gt;6/24),"PB","")))))</f>
        <v/>
      </c>
      <c r="Y45" s="959" t="str">
        <f t="shared" si="109"/>
        <v/>
      </c>
      <c r="Z45" s="836"/>
      <c r="AA45" s="837"/>
      <c r="AB45" s="953"/>
      <c r="AC45" s="934">
        <f t="shared" si="114"/>
        <v>42636</v>
      </c>
      <c r="AD45" s="961">
        <f>IF(AND(N(AC45)&gt;=Paramétrage!$AU$11,N(AC45)&lt;=Paramétrage!$AU$12),IF(C45="cp",1,0),0)</f>
        <v>0</v>
      </c>
      <c r="AE45" s="962">
        <f t="shared" si="110"/>
        <v>0</v>
      </c>
      <c r="AF45" s="961">
        <f>IF(AND(N(AC45)&gt;=Paramétrage!$AX$11,N(AC45)&lt;=Paramétrage!$AX$12),IF(C45="cp",1,0),0)</f>
        <v>0</v>
      </c>
      <c r="AG45" s="962">
        <f t="shared" si="111"/>
        <v>0</v>
      </c>
      <c r="AI45" s="962">
        <f t="shared" si="115"/>
        <v>0</v>
      </c>
      <c r="AJ45" s="962">
        <f t="shared" si="116"/>
        <v>0</v>
      </c>
      <c r="AM45" s="962">
        <f t="shared" si="117"/>
        <v>0</v>
      </c>
      <c r="AN45" s="962">
        <f t="shared" si="118"/>
        <v>0</v>
      </c>
      <c r="AO45" s="962">
        <f t="shared" si="119"/>
        <v>0</v>
      </c>
      <c r="AP45" s="962">
        <f t="shared" si="120"/>
        <v>0</v>
      </c>
      <c r="AR45" s="917">
        <f>IF(AND(AC45&lt;=$AR$3,B45="CP"),1,0)</f>
        <v>0</v>
      </c>
      <c r="AS45" s="917">
        <f>IF(AND(AC45&lt;=$AR$3,C45="CP"),1,0)</f>
        <v>0</v>
      </c>
      <c r="AV45" s="954"/>
      <c r="AW45" s="963">
        <f t="shared" ref="AW45:BF45" si="124">IF(MONTH(AD45)=AW43,AH45,0)</f>
        <v>0</v>
      </c>
      <c r="AX45" s="963">
        <f t="shared" si="124"/>
        <v>0</v>
      </c>
      <c r="AY45" s="963">
        <f t="shared" si="124"/>
        <v>0</v>
      </c>
      <c r="AZ45" s="963">
        <f t="shared" si="124"/>
        <v>0</v>
      </c>
      <c r="BA45" s="963">
        <f t="shared" si="124"/>
        <v>0</v>
      </c>
      <c r="BB45" s="963">
        <f t="shared" si="124"/>
        <v>0</v>
      </c>
      <c r="BC45" s="963">
        <f t="shared" si="124"/>
        <v>0</v>
      </c>
      <c r="BD45" s="963">
        <f t="shared" si="124"/>
        <v>0</v>
      </c>
      <c r="BE45" s="963">
        <f t="shared" si="124"/>
        <v>0</v>
      </c>
      <c r="BF45" s="963" t="e">
        <f t="shared" si="124"/>
        <v>#VALUE!</v>
      </c>
    </row>
    <row r="46" spans="1:58" ht="14.45" customHeight="1" x14ac:dyDescent="0.3">
      <c r="A46" s="964" t="s">
        <v>16</v>
      </c>
      <c r="B46" s="414" t="b">
        <f>IF(Paramétrage!$O$46="",FALSE,Paramétrage!$O$46)</f>
        <v>0</v>
      </c>
      <c r="C46" s="263"/>
      <c r="D46" s="415" t="b">
        <f>IF(Paramétrage!$Q$46="",FALSE,Paramétrage!$Q$46)</f>
        <v>0</v>
      </c>
      <c r="E46" s="264"/>
      <c r="F46" s="414" t="b">
        <f>IF(Paramétrage!$R$46="",FALSE,Paramétrage!$R$46)</f>
        <v>0</v>
      </c>
      <c r="G46" s="264"/>
      <c r="H46" s="416" t="b">
        <f>IF(Paramétrage!$T$46="",FALSE,Paramétrage!$T$46)</f>
        <v>0</v>
      </c>
      <c r="I46" s="263"/>
      <c r="J46" s="417" t="b">
        <f>IF(Paramétrage!$U$46="",FALSE,Paramétrage!$U$46)</f>
        <v>0</v>
      </c>
      <c r="K46" s="263"/>
      <c r="L46" s="418" t="b">
        <f>IF(Paramétrage!$W$46="",FALSE,Paramétrage!$W$46)</f>
        <v>0</v>
      </c>
      <c r="M46" s="263"/>
      <c r="N46" s="956">
        <f>IF(OR(B46="aa",B46="cp",B46="f",B46="jc",B46="m",B46="css"),0,(L46-J46)+(H46-F46)+(D46-B46))</f>
        <v>0</v>
      </c>
      <c r="O46" s="956">
        <f>SUM(AM46:AP46)+IF(OR(C46="m",C46="aa"),N46,IF(C46="css",0,IF(C46="cp",0,IF(C46="jc",0,IF(C46="f",0,E46-C46+I46-G46+M46-K46)))))</f>
        <v>0</v>
      </c>
      <c r="P46" s="956">
        <f t="shared" si="113"/>
        <v>0</v>
      </c>
      <c r="Q46" s="956">
        <f t="shared" si="103"/>
        <v>0</v>
      </c>
      <c r="R46" s="957">
        <f>IF(OR(C46="aa",C46="cp",C46="f",C46="jc",C46="m",C46="css"),0,IF(C46=0,MAX(B46,D46,F46,H46,J46,L46)-MIN(B46,D46,F46,H46,J46,L46),IF(C46&lt;&gt;0,MAX(C46,E46,G46,I46,K46,M46)-MIN(C46,E46,G46,I46,K46,M46))))</f>
        <v>0</v>
      </c>
      <c r="S46" s="262"/>
      <c r="T46" s="958" t="str">
        <f t="shared" si="123"/>
        <v/>
      </c>
      <c r="U46" s="959" t="str">
        <f>IF(P46=0,"",IF(P46&lt;Paramétrage!$S$12,"PB",IF(AND(Q46&lt;Paramétrage!$S$12,Q46&lt;&gt;0),"PB","")))</f>
        <v/>
      </c>
      <c r="V46" s="959" t="str">
        <f t="shared" si="106"/>
        <v/>
      </c>
      <c r="W46" s="959" t="str">
        <f t="shared" si="107"/>
        <v/>
      </c>
      <c r="X46" s="960" t="str">
        <f>IF(AND(N46=0,O46=0),"",(IF(OR(C46="aa",C46="cp",C46="f",C46="jc",C46="m",C46="css"),"",IF(C46="",IF(OR(D46-B46&gt;6/24,H46-F46&gt;6/24,L46-J46&gt;6/24),"PB",""),IF(OR(E46-C46&gt;6/24,I46-G46&gt;6/24,M46-K46&gt;6/24),"PB","")))))</f>
        <v/>
      </c>
      <c r="Y46" s="959" t="str">
        <f t="shared" si="109"/>
        <v/>
      </c>
      <c r="Z46" s="836"/>
      <c r="AA46" s="837"/>
      <c r="AC46" s="934">
        <f t="shared" si="114"/>
        <v>42637</v>
      </c>
      <c r="AD46" s="961">
        <f>IF(AND(N(AC46)&gt;=Paramétrage!$AU$11,N(AC46)&lt;=Paramétrage!$AU$12),IF(C46="cp",1,0),0)</f>
        <v>0</v>
      </c>
      <c r="AE46" s="962">
        <f t="shared" si="110"/>
        <v>0</v>
      </c>
      <c r="AF46" s="961">
        <f>IF(AND(N(AC46)&gt;=Paramétrage!$AX$11,N(AC46)&lt;=Paramétrage!$AX$12),IF(C46="cp",1,0),0)</f>
        <v>0</v>
      </c>
      <c r="AG46" s="962">
        <f t="shared" si="111"/>
        <v>0</v>
      </c>
      <c r="AI46" s="962">
        <f t="shared" si="115"/>
        <v>0</v>
      </c>
      <c r="AJ46" s="962">
        <f t="shared" si="116"/>
        <v>0</v>
      </c>
      <c r="AM46" s="962">
        <f t="shared" si="117"/>
        <v>0</v>
      </c>
      <c r="AN46" s="962">
        <f t="shared" si="118"/>
        <v>0</v>
      </c>
      <c r="AO46" s="962">
        <f t="shared" si="119"/>
        <v>0</v>
      </c>
      <c r="AP46" s="962">
        <f t="shared" si="120"/>
        <v>0</v>
      </c>
      <c r="AR46" s="917">
        <f>IF(AND(AC46&lt;=$AR$3,B46="CP"),1,0)</f>
        <v>0</v>
      </c>
      <c r="AS46" s="917">
        <f>IF(AND(AC46&lt;=$AR$3,C46="CP"),1,0)</f>
        <v>0</v>
      </c>
      <c r="AV46" s="954"/>
      <c r="AW46" s="963">
        <f t="shared" ref="AW46:BF46" si="125">IF(MONTH(AD46)=AW44,AH46,0)</f>
        <v>0</v>
      </c>
      <c r="AX46" s="963">
        <f t="shared" si="125"/>
        <v>0</v>
      </c>
      <c r="AY46" s="963">
        <f t="shared" si="125"/>
        <v>0</v>
      </c>
      <c r="AZ46" s="963">
        <f t="shared" si="125"/>
        <v>0</v>
      </c>
      <c r="BA46" s="963">
        <f t="shared" si="125"/>
        <v>0</v>
      </c>
      <c r="BB46" s="963">
        <f t="shared" si="125"/>
        <v>0</v>
      </c>
      <c r="BC46" s="963">
        <f t="shared" si="125"/>
        <v>0</v>
      </c>
      <c r="BD46" s="963">
        <f t="shared" si="125"/>
        <v>0</v>
      </c>
      <c r="BE46" s="963">
        <f t="shared" si="125"/>
        <v>0</v>
      </c>
      <c r="BF46" s="963">
        <f t="shared" si="125"/>
        <v>0</v>
      </c>
    </row>
    <row r="47" spans="1:58" ht="14.45" customHeight="1" x14ac:dyDescent="0.3">
      <c r="A47" s="964" t="s">
        <v>19</v>
      </c>
      <c r="B47" s="414" t="b">
        <f>IF(Paramétrage!$O$47="",FALSE,Paramétrage!$O$47)</f>
        <v>0</v>
      </c>
      <c r="C47" s="263"/>
      <c r="D47" s="415" t="b">
        <f>IF(Paramétrage!$Q$47="",FALSE,Paramétrage!$Q$47)</f>
        <v>0</v>
      </c>
      <c r="E47" s="264"/>
      <c r="F47" s="414" t="b">
        <f>IF(Paramétrage!$R$47="",FALSE,Paramétrage!$R$47)</f>
        <v>0</v>
      </c>
      <c r="G47" s="264"/>
      <c r="H47" s="416" t="b">
        <f>IF(Paramétrage!$T$47="",FALSE,Paramétrage!$T$47)</f>
        <v>0</v>
      </c>
      <c r="I47" s="263"/>
      <c r="J47" s="417" t="b">
        <f>IF(Paramétrage!$U$47="",FALSE,Paramétrage!$U$47)</f>
        <v>0</v>
      </c>
      <c r="K47" s="263"/>
      <c r="L47" s="418" t="b">
        <f>IF(Paramétrage!$W$47="",FALSE,Paramétrage!$W$47)</f>
        <v>0</v>
      </c>
      <c r="M47" s="263"/>
      <c r="N47" s="956">
        <f>IF(OR(B47="aa",B47="cp",B47="f",B47="jc",B47="m",B47="css"),0,(L47-J47)+(H47-F47)+(D47-B47))</f>
        <v>0</v>
      </c>
      <c r="O47" s="956">
        <f>IF(OR(C47="m",C47="aa"),N47,IF(C47="cp",0,IF(OR(C47="css",C47="jc"),0,IF(C47="f",0,E47-C47+I47-G47+M47-K47))))</f>
        <v>0</v>
      </c>
      <c r="P47" s="956">
        <f t="shared" si="113"/>
        <v>0</v>
      </c>
      <c r="Q47" s="956">
        <f t="shared" si="103"/>
        <v>0</v>
      </c>
      <c r="R47" s="957">
        <f>IF(OR(C47="aa",C47="cp",C47="f",C47="jc",C47="m",C47="css"),0,IF(C47=0,MAX(B47,D47,F47,H47,J47,L47)-MIN(B47,D47,F47,H47,J47,L47),IF(C47&lt;&gt;0,MAX(C47,E47,G47,I47,K47,M47)-MIN(C47,E47,G47,I47,K47,M47))))</f>
        <v>0</v>
      </c>
      <c r="S47" s="262"/>
      <c r="T47" s="958" t="str">
        <f t="shared" si="123"/>
        <v/>
      </c>
      <c r="U47" s="959" t="str">
        <f>IF(P47=0,"",IF(P47&lt;Paramétrage!$S$12,"PB",IF(AND(Q47&lt;Paramétrage!$S$12,Q47&lt;&gt;0),"PB","")))</f>
        <v/>
      </c>
      <c r="V47" s="959" t="str">
        <f t="shared" si="106"/>
        <v/>
      </c>
      <c r="W47" s="959" t="str">
        <f t="shared" si="107"/>
        <v/>
      </c>
      <c r="X47" s="960" t="str">
        <f>IF(AND(N47=0,O47=0),"",(IF(OR(C47="aa",C47="cp",C47="f",C47="jc",C47="m",C47="css"),"",IF(C47="",IF(OR(D47-B47&gt;6/24,H47-F47&gt;6/24,L47-J47&gt;6/24),"PB",""),IF(OR(E47-C47&gt;6/24,I47-G47&gt;6/24,M47-K47&gt;6/24),"PB","")))))</f>
        <v/>
      </c>
      <c r="Y47" s="959" t="str">
        <f t="shared" si="109"/>
        <v/>
      </c>
      <c r="Z47" s="836"/>
      <c r="AA47" s="837"/>
      <c r="AB47" s="967"/>
      <c r="AC47" s="934">
        <f t="shared" si="114"/>
        <v>42638</v>
      </c>
      <c r="AD47" s="961">
        <f>IF(AND(N(AC47)&gt;=Paramétrage!$AU$11,N(AC47)&lt;=Paramétrage!$AU$12),IF(C47="cp",1,0),0)</f>
        <v>0</v>
      </c>
      <c r="AE47" s="962">
        <f t="shared" si="110"/>
        <v>0</v>
      </c>
      <c r="AF47" s="961">
        <f>IF(AND(N(AC47)&gt;=Paramétrage!$AX$11,N(AC47)&lt;=Paramétrage!$AX$12),IF(C47="cp",1,0),0)</f>
        <v>0</v>
      </c>
      <c r="AG47" s="962">
        <f t="shared" si="111"/>
        <v>0</v>
      </c>
      <c r="AI47" s="962">
        <f t="shared" si="115"/>
        <v>0</v>
      </c>
      <c r="AJ47" s="962">
        <f t="shared" si="116"/>
        <v>0</v>
      </c>
      <c r="AM47" s="962"/>
      <c r="AN47" s="962"/>
      <c r="AO47" s="962"/>
      <c r="AP47" s="962"/>
      <c r="AV47" s="954"/>
      <c r="AW47" s="963">
        <f t="shared" ref="AW47:BF47" si="126">IF(MONTH(AD47)=AW45,AH47,0)</f>
        <v>0</v>
      </c>
      <c r="AX47" s="963">
        <f t="shared" si="126"/>
        <v>0</v>
      </c>
      <c r="AY47" s="963">
        <f t="shared" si="126"/>
        <v>0</v>
      </c>
      <c r="AZ47" s="963">
        <f t="shared" si="126"/>
        <v>0</v>
      </c>
      <c r="BA47" s="963">
        <f t="shared" si="126"/>
        <v>0</v>
      </c>
      <c r="BB47" s="963">
        <f t="shared" si="126"/>
        <v>0</v>
      </c>
      <c r="BC47" s="963">
        <f t="shared" si="126"/>
        <v>0</v>
      </c>
      <c r="BD47" s="963">
        <f t="shared" si="126"/>
        <v>0</v>
      </c>
      <c r="BE47" s="963">
        <f t="shared" si="126"/>
        <v>0</v>
      </c>
      <c r="BF47" s="963" t="e">
        <f t="shared" si="126"/>
        <v>#VALUE!</v>
      </c>
    </row>
    <row r="48" spans="1:58" ht="14.45" customHeight="1" thickBot="1" x14ac:dyDescent="0.35">
      <c r="A48" s="966" t="s">
        <v>20</v>
      </c>
      <c r="B48" s="414" t="b">
        <f>IF(Paramétrage!$O$48="",FALSE,Paramétrage!$O$48)</f>
        <v>0</v>
      </c>
      <c r="C48" s="263"/>
      <c r="D48" s="415" t="b">
        <f>IF(Paramétrage!$Q$48="",FALSE,Paramétrage!$Q$48)</f>
        <v>0</v>
      </c>
      <c r="E48" s="264"/>
      <c r="F48" s="414" t="b">
        <f>IF(Paramétrage!$R$48="",FALSE,Paramétrage!$R$48)</f>
        <v>0</v>
      </c>
      <c r="G48" s="264"/>
      <c r="H48" s="416" t="b">
        <f>IF(Paramétrage!$T$48="",FALSE,Paramétrage!$T$48)</f>
        <v>0</v>
      </c>
      <c r="I48" s="263"/>
      <c r="J48" s="417" t="b">
        <f>IF(Paramétrage!$U$48="",FALSE,Paramétrage!$U$48)</f>
        <v>0</v>
      </c>
      <c r="K48" s="263"/>
      <c r="L48" s="418" t="b">
        <f>IF(Paramétrage!$W$48="",FALSE,Paramétrage!$W$48)</f>
        <v>0</v>
      </c>
      <c r="M48" s="263"/>
      <c r="N48" s="956">
        <f>IF(OR(B48="aa",B48="m"),M48,IF(B48="cp",0,IF(B48="jc",0,IF(B48="f",0,(D48-B48)*Paramétrage!$S$13+(H48-F48)*Paramétrage!$S$13+(L48-J48)*Paramétrage!$S$13+(D48-B48+H48-F48+L48-J48)))))</f>
        <v>0</v>
      </c>
      <c r="O48" s="956">
        <f>IF(OR(C48="aa",C48="m"),N48,IF(C48="cp",0,IF(C48="jc",0,IF(C48="f",0,(E48-C48)*Paramétrage!$S$13+(I48-G48)*Paramétrage!$S$13+(M48-K48)*Paramétrage!$S$13+(E48-C48+I48-G48+M48-K48)))))</f>
        <v>0</v>
      </c>
      <c r="P48" s="956">
        <f t="shared" si="113"/>
        <v>0</v>
      </c>
      <c r="Q48" s="956">
        <f t="shared" si="103"/>
        <v>0</v>
      </c>
      <c r="R48" s="957">
        <f t="shared" ref="R48" si="127">IF(OR(C48="aa",C48="cp",C48="f",C48="jc",C48="m",C48=0),MAX(B48,D48,F48,H48,J48,L48)-MIN(B48,D48,F48,H48,J48,L48),IF(C48&lt;&gt;0,MAX(C48,E48,G48,I48,K48,M48)-MIN(C48,E48,G48,I48,K48,M48)))</f>
        <v>0</v>
      </c>
      <c r="S48" s="262"/>
      <c r="T48" s="958" t="str">
        <f t="shared" si="123"/>
        <v/>
      </c>
      <c r="U48" s="959" t="str">
        <f>IF(P48=0,"",IF(P48&lt;Paramétrage!$S$12,"PB",IF(AND(Q48&lt;Paramétrage!$S$12,Q48&lt;&gt;0),"PB","")))</f>
        <v/>
      </c>
      <c r="V48" s="959" t="str">
        <f t="shared" si="106"/>
        <v/>
      </c>
      <c r="W48" s="959" t="str">
        <f t="shared" si="107"/>
        <v/>
      </c>
      <c r="X48" s="960" t="str">
        <f t="shared" ref="X48" si="128">IF(AND(N48=0,O48=0),"",(IF(OR(C48="aa",C48="cp",C48="f",C48="jc",C48="m"),"",IF(C48="",IF(OR(D48-B48&gt;6/24,H48-F48&gt;6/24,L48-J48&gt;6/24),"PB",""),IF(OR(E48-C48&gt;6/24,I48-G48&gt;6/24,M48-K48&gt;6/24),"PB","")))))</f>
        <v/>
      </c>
      <c r="Y48" s="959" t="str">
        <f t="shared" si="109"/>
        <v/>
      </c>
      <c r="Z48" s="836"/>
      <c r="AA48" s="837"/>
      <c r="AC48" s="934">
        <f t="shared" si="114"/>
        <v>42639</v>
      </c>
      <c r="AD48" s="961">
        <f>IF(AND(N(AC48)&gt;=Paramétrage!$AU$11,N(AC48)&lt;=Paramétrage!$AU$12),IF(C48="cp",1,0),0)</f>
        <v>0</v>
      </c>
      <c r="AE48" s="962">
        <f>N48</f>
        <v>0</v>
      </c>
      <c r="AF48" s="961">
        <f>IF(AND(N(AC48)&gt;=Paramétrage!$AX$11,N(AC48)&lt;=Paramétrage!$AX$12),IF(C48="cp",1,0),0)</f>
        <v>0</v>
      </c>
      <c r="AG48" s="962">
        <f t="shared" si="111"/>
        <v>0</v>
      </c>
      <c r="AI48" s="962">
        <f t="shared" si="115"/>
        <v>0</v>
      </c>
      <c r="AJ48" s="962">
        <f t="shared" si="116"/>
        <v>0</v>
      </c>
      <c r="AM48" s="962"/>
      <c r="AN48" s="962"/>
      <c r="AO48" s="962"/>
      <c r="AP48" s="962"/>
      <c r="AV48" s="954"/>
      <c r="AW48" s="963">
        <f t="shared" ref="AW48:BF48" si="129">IF(MONTH(AD48)=AW46,AH48,0)</f>
        <v>0</v>
      </c>
      <c r="AX48" s="963">
        <f t="shared" si="129"/>
        <v>0</v>
      </c>
      <c r="AY48" s="963">
        <f t="shared" si="129"/>
        <v>0</v>
      </c>
      <c r="AZ48" s="963">
        <f t="shared" si="129"/>
        <v>0</v>
      </c>
      <c r="BA48" s="963">
        <f t="shared" si="129"/>
        <v>0</v>
      </c>
      <c r="BB48" s="963">
        <f t="shared" si="129"/>
        <v>0</v>
      </c>
      <c r="BC48" s="963">
        <f t="shared" si="129"/>
        <v>0</v>
      </c>
      <c r="BD48" s="963">
        <f t="shared" si="129"/>
        <v>0</v>
      </c>
      <c r="BE48" s="963">
        <f t="shared" si="129"/>
        <v>0</v>
      </c>
      <c r="BF48" s="963">
        <f t="shared" si="129"/>
        <v>0</v>
      </c>
    </row>
    <row r="49" spans="1:58" x14ac:dyDescent="0.25">
      <c r="A49" s="969" t="s">
        <v>78</v>
      </c>
      <c r="B49" s="970"/>
      <c r="C49" s="970"/>
      <c r="D49" s="970"/>
      <c r="E49" s="970"/>
      <c r="F49" s="970"/>
      <c r="G49" s="970"/>
      <c r="H49" s="970"/>
      <c r="I49" s="970"/>
      <c r="J49" s="970"/>
      <c r="K49" s="971"/>
      <c r="L49" s="970"/>
      <c r="M49" s="970"/>
      <c r="N49" s="972">
        <f>SUM(N42:N48)</f>
        <v>0</v>
      </c>
      <c r="O49" s="972">
        <f>SUM(O42:O48)</f>
        <v>0</v>
      </c>
      <c r="P49" s="972">
        <f>SUM(P42:P48)</f>
        <v>0</v>
      </c>
      <c r="Q49" s="972">
        <f>SUM(Q42:Q48)</f>
        <v>0</v>
      </c>
      <c r="R49" s="972"/>
      <c r="S49" s="972"/>
      <c r="T49" s="973"/>
      <c r="U49" s="974"/>
      <c r="V49" s="975" t="str">
        <f>IF((O49*24)&gt;48,"PB","")</f>
        <v/>
      </c>
      <c r="W49" s="974"/>
      <c r="X49" s="972"/>
      <c r="Y49" s="974"/>
      <c r="Z49" s="976" t="s">
        <v>59</v>
      </c>
      <c r="AA49" s="977">
        <f>+O49-N49</f>
        <v>0</v>
      </c>
      <c r="AF49" s="961"/>
      <c r="AV49" s="954"/>
      <c r="AW49" s="963">
        <f t="shared" ref="AW49:BF49" si="130">IF(MONTH(AD49)=AW47,AH49,0)</f>
        <v>0</v>
      </c>
      <c r="AX49" s="963">
        <f t="shared" si="130"/>
        <v>0</v>
      </c>
      <c r="AY49" s="963">
        <f t="shared" si="130"/>
        <v>0</v>
      </c>
      <c r="AZ49" s="963">
        <f t="shared" si="130"/>
        <v>0</v>
      </c>
      <c r="BA49" s="963">
        <f t="shared" si="130"/>
        <v>0</v>
      </c>
      <c r="BB49" s="963">
        <f t="shared" si="130"/>
        <v>0</v>
      </c>
      <c r="BC49" s="963">
        <f t="shared" si="130"/>
        <v>0</v>
      </c>
      <c r="BD49" s="963">
        <f t="shared" si="130"/>
        <v>0</v>
      </c>
      <c r="BE49" s="963">
        <f t="shared" si="130"/>
        <v>0</v>
      </c>
      <c r="BF49" s="963" t="e">
        <f t="shared" si="130"/>
        <v>#VALUE!</v>
      </c>
    </row>
    <row r="50" spans="1:58" x14ac:dyDescent="0.25">
      <c r="A50" s="969"/>
      <c r="B50" s="969"/>
      <c r="C50" s="969"/>
      <c r="D50" s="969"/>
      <c r="E50" s="969"/>
      <c r="F50" s="994"/>
      <c r="G50" s="994"/>
      <c r="H50" s="994"/>
      <c r="I50" s="994"/>
      <c r="J50" s="994"/>
      <c r="K50" s="969"/>
      <c r="L50" s="969"/>
      <c r="M50" s="969"/>
      <c r="N50" s="973"/>
      <c r="O50" s="969"/>
      <c r="P50" s="980"/>
      <c r="Q50" s="980"/>
      <c r="R50" s="980"/>
      <c r="S50" s="981"/>
      <c r="T50" s="980"/>
      <c r="U50" s="980"/>
      <c r="V50" s="980"/>
      <c r="W50" s="980"/>
      <c r="X50" s="980"/>
      <c r="Y50" s="980"/>
      <c r="Z50" s="976"/>
      <c r="AA50" s="977"/>
      <c r="AF50" s="961"/>
      <c r="AV50" s="954"/>
      <c r="AW50" s="963">
        <f t="shared" ref="AW50:BF50" si="131">IF(MONTH(AD50)=AW48,AH50,0)</f>
        <v>0</v>
      </c>
      <c r="AX50" s="963">
        <f t="shared" si="131"/>
        <v>0</v>
      </c>
      <c r="AY50" s="963">
        <f t="shared" si="131"/>
        <v>0</v>
      </c>
      <c r="AZ50" s="963">
        <f t="shared" si="131"/>
        <v>0</v>
      </c>
      <c r="BA50" s="963">
        <f t="shared" si="131"/>
        <v>0</v>
      </c>
      <c r="BB50" s="963">
        <f t="shared" si="131"/>
        <v>0</v>
      </c>
      <c r="BC50" s="963">
        <f t="shared" si="131"/>
        <v>0</v>
      </c>
      <c r="BD50" s="963">
        <f t="shared" si="131"/>
        <v>0</v>
      </c>
      <c r="BE50" s="963">
        <f t="shared" si="131"/>
        <v>0</v>
      </c>
      <c r="BF50" s="963">
        <f t="shared" si="131"/>
        <v>0</v>
      </c>
    </row>
    <row r="51" spans="1:58" ht="16.5" x14ac:dyDescent="0.3">
      <c r="A51" s="969"/>
      <c r="B51" s="969"/>
      <c r="C51" s="969"/>
      <c r="D51" s="969"/>
      <c r="E51" s="969"/>
      <c r="F51" s="928">
        <f>+F39+7</f>
        <v>42640</v>
      </c>
      <c r="G51" s="928"/>
      <c r="H51" s="929" t="s">
        <v>58</v>
      </c>
      <c r="I51" s="928">
        <f>+F51+6</f>
        <v>42646</v>
      </c>
      <c r="J51" s="930"/>
      <c r="K51" s="969"/>
      <c r="L51" s="969"/>
      <c r="M51" s="969"/>
      <c r="N51" s="973"/>
      <c r="O51" s="969"/>
      <c r="P51" s="980"/>
      <c r="Q51" s="980"/>
      <c r="R51" s="980"/>
      <c r="S51" s="981"/>
      <c r="T51" s="980"/>
      <c r="U51" s="980"/>
      <c r="V51" s="980"/>
      <c r="W51" s="980"/>
      <c r="X51" s="980"/>
      <c r="Y51" s="980"/>
      <c r="Z51" s="976"/>
      <c r="AA51" s="995"/>
      <c r="AF51" s="961"/>
      <c r="AV51" s="954"/>
      <c r="AW51" s="963">
        <f t="shared" ref="AW51:BF51" si="132">IF(MONTH(AD51)=AW49,AH51,0)</f>
        <v>0</v>
      </c>
      <c r="AX51" s="963">
        <f t="shared" si="132"/>
        <v>0</v>
      </c>
      <c r="AY51" s="963">
        <f t="shared" si="132"/>
        <v>0</v>
      </c>
      <c r="AZ51" s="963">
        <f t="shared" si="132"/>
        <v>0</v>
      </c>
      <c r="BA51" s="963">
        <f t="shared" si="132"/>
        <v>0</v>
      </c>
      <c r="BB51" s="963">
        <f t="shared" si="132"/>
        <v>0</v>
      </c>
      <c r="BC51" s="963">
        <f t="shared" si="132"/>
        <v>0</v>
      </c>
      <c r="BD51" s="963">
        <f t="shared" si="132"/>
        <v>0</v>
      </c>
      <c r="BE51" s="963">
        <f t="shared" si="132"/>
        <v>0</v>
      </c>
      <c r="BF51" s="963" t="e">
        <f t="shared" si="132"/>
        <v>#VALUE!</v>
      </c>
    </row>
    <row r="52" spans="1:58" ht="14.45" customHeight="1" x14ac:dyDescent="0.25">
      <c r="A52" s="994"/>
      <c r="B52" s="938" t="s">
        <v>17</v>
      </c>
      <c r="C52" s="938"/>
      <c r="D52" s="938" t="s">
        <v>18</v>
      </c>
      <c r="E52" s="938"/>
      <c r="F52" s="938" t="s">
        <v>17</v>
      </c>
      <c r="G52" s="938"/>
      <c r="H52" s="938" t="s">
        <v>18</v>
      </c>
      <c r="I52" s="938"/>
      <c r="J52" s="938" t="s">
        <v>17</v>
      </c>
      <c r="K52" s="938"/>
      <c r="L52" s="938" t="s">
        <v>18</v>
      </c>
      <c r="M52" s="938"/>
      <c r="N52" s="939" t="s">
        <v>61</v>
      </c>
      <c r="O52" s="939" t="s">
        <v>62</v>
      </c>
      <c r="P52" s="939" t="s">
        <v>60</v>
      </c>
      <c r="Q52" s="939" t="s">
        <v>63</v>
      </c>
      <c r="R52" s="939" t="s">
        <v>64</v>
      </c>
      <c r="S52" s="940" t="s">
        <v>223</v>
      </c>
      <c r="T52" s="939" t="s">
        <v>70</v>
      </c>
      <c r="U52" s="941" t="s">
        <v>65</v>
      </c>
      <c r="V52" s="942"/>
      <c r="W52" s="942"/>
      <c r="X52" s="942"/>
      <c r="Y52" s="943"/>
      <c r="Z52" s="944" t="s">
        <v>22</v>
      </c>
      <c r="AA52" s="944"/>
      <c r="AF52" s="961"/>
      <c r="AV52" s="954"/>
      <c r="AW52" s="963">
        <f t="shared" ref="AW52:BF52" si="133">IF(MONTH(AD52)=AW50,AH52,0)</f>
        <v>0</v>
      </c>
      <c r="AX52" s="963">
        <f t="shared" si="133"/>
        <v>0</v>
      </c>
      <c r="AY52" s="963">
        <f t="shared" si="133"/>
        <v>0</v>
      </c>
      <c r="AZ52" s="963">
        <f t="shared" si="133"/>
        <v>0</v>
      </c>
      <c r="BA52" s="963">
        <f t="shared" si="133"/>
        <v>0</v>
      </c>
      <c r="BB52" s="963">
        <f t="shared" si="133"/>
        <v>0</v>
      </c>
      <c r="BC52" s="963">
        <f t="shared" si="133"/>
        <v>0</v>
      </c>
      <c r="BD52" s="963">
        <f t="shared" si="133"/>
        <v>0</v>
      </c>
      <c r="BE52" s="963">
        <f t="shared" si="133"/>
        <v>0</v>
      </c>
      <c r="BF52" s="963">
        <f t="shared" si="133"/>
        <v>0</v>
      </c>
    </row>
    <row r="53" spans="1:58" ht="26.25" thickBot="1" x14ac:dyDescent="0.4">
      <c r="A53" s="937" t="str">
        <f>"S"&amp;_xlfn.ISOWEEKNUM(F51)</f>
        <v>S40</v>
      </c>
      <c r="B53" s="949" t="s">
        <v>0</v>
      </c>
      <c r="C53" s="950" t="s">
        <v>1</v>
      </c>
      <c r="D53" s="949" t="s">
        <v>0</v>
      </c>
      <c r="E53" s="950" t="s">
        <v>1</v>
      </c>
      <c r="F53" s="949" t="s">
        <v>0</v>
      </c>
      <c r="G53" s="950" t="s">
        <v>1</v>
      </c>
      <c r="H53" s="949" t="s">
        <v>0</v>
      </c>
      <c r="I53" s="950" t="s">
        <v>1</v>
      </c>
      <c r="J53" s="949" t="s">
        <v>0</v>
      </c>
      <c r="K53" s="950" t="s">
        <v>1</v>
      </c>
      <c r="L53" s="949" t="s">
        <v>0</v>
      </c>
      <c r="M53" s="950" t="s">
        <v>1</v>
      </c>
      <c r="N53" s="951"/>
      <c r="O53" s="951"/>
      <c r="P53" s="951"/>
      <c r="Q53" s="951"/>
      <c r="R53" s="951"/>
      <c r="S53" s="951"/>
      <c r="T53" s="939"/>
      <c r="U53" s="952" t="s">
        <v>66</v>
      </c>
      <c r="V53" s="952" t="s">
        <v>67</v>
      </c>
      <c r="W53" s="952" t="s">
        <v>68</v>
      </c>
      <c r="X53" s="952" t="s">
        <v>137</v>
      </c>
      <c r="Y53" s="952" t="s">
        <v>69</v>
      </c>
      <c r="Z53" s="944"/>
      <c r="AA53" s="944"/>
      <c r="AF53" s="961"/>
      <c r="AM53" s="917" t="s">
        <v>274</v>
      </c>
      <c r="AV53" s="954"/>
      <c r="AW53" s="963">
        <f t="shared" ref="AW53:BF53" si="134">IF(MONTH(AD53)=AW51,AH53,0)</f>
        <v>0</v>
      </c>
      <c r="AX53" s="963">
        <f t="shared" si="134"/>
        <v>0</v>
      </c>
      <c r="AY53" s="963">
        <f t="shared" si="134"/>
        <v>0</v>
      </c>
      <c r="AZ53" s="963">
        <f t="shared" si="134"/>
        <v>0</v>
      </c>
      <c r="BA53" s="963">
        <f t="shared" si="134"/>
        <v>0</v>
      </c>
      <c r="BB53" s="963">
        <f t="shared" si="134"/>
        <v>0</v>
      </c>
      <c r="BC53" s="963">
        <f t="shared" si="134"/>
        <v>0</v>
      </c>
      <c r="BD53" s="963">
        <f t="shared" si="134"/>
        <v>0</v>
      </c>
      <c r="BE53" s="963">
        <f t="shared" si="134"/>
        <v>0</v>
      </c>
      <c r="BF53" s="963" t="e">
        <f t="shared" si="134"/>
        <v>#VALUE!</v>
      </c>
    </row>
    <row r="54" spans="1:58" ht="14.45" customHeight="1" x14ac:dyDescent="0.3">
      <c r="A54" s="955" t="s">
        <v>12</v>
      </c>
      <c r="B54" s="414" t="b">
        <f>IF(Paramétrage!$O$42="",FALSE,Paramétrage!$O$42)</f>
        <v>0</v>
      </c>
      <c r="C54" s="263"/>
      <c r="D54" s="415" t="b">
        <f>IF(Paramétrage!$Q$42="",FALSE,Paramétrage!$Q$42)</f>
        <v>0</v>
      </c>
      <c r="E54" s="264"/>
      <c r="F54" s="414" t="b">
        <f>IF(Paramétrage!$R$42="",FALSE,Paramétrage!$R$42)</f>
        <v>0</v>
      </c>
      <c r="G54" s="264"/>
      <c r="H54" s="416" t="b">
        <f>IF(Paramétrage!$T$42="",FALSE,Paramétrage!$T$42)</f>
        <v>0</v>
      </c>
      <c r="I54" s="263"/>
      <c r="J54" s="417" t="b">
        <f>IF(Paramétrage!$U$42="",FALSE,Paramétrage!$U$42)</f>
        <v>0</v>
      </c>
      <c r="K54" s="263"/>
      <c r="L54" s="418" t="b">
        <f>IF(Paramétrage!$W$42="",FALSE,Paramétrage!$W$42)</f>
        <v>0</v>
      </c>
      <c r="M54" s="263"/>
      <c r="N54" s="956">
        <f t="shared" ref="N54:N56" si="135">IF(OR(B54="aa",B54="cp",B54="f",B54="jc",B54="m",B54="css"),0,(L54-J54)+(H54-F54)+(D54-B54))</f>
        <v>0</v>
      </c>
      <c r="O54" s="956">
        <f t="shared" ref="O54:O56" si="136">SUM(AM54:AP54)+IF(OR(C54="m",C54="aa"),N54,IF(C54="css",0,IF(C54="cp",0,IF(C54="jc",0,IF(C54="f",0,E54-C54+I54-G54+M54-K54)))))</f>
        <v>0</v>
      </c>
      <c r="P54" s="956">
        <f>IF(OR(C54="aa",C54="cp",C54="f",C54="jc",C54="m",C54="css"),0,IF(C54="",IF(OR(F54="",F54=FALSE),0,F54-D54),IF(G54="",0,G54-E54)))</f>
        <v>0</v>
      </c>
      <c r="Q54" s="956">
        <f t="shared" ref="Q54:Q60" si="137">IF(P54=0,0,IF(G54="",IF(OR(J54="",J54=FALSE),0,J54-H54),IF(K54="",0,K54-I54)))</f>
        <v>0</v>
      </c>
      <c r="R54" s="957">
        <f t="shared" ref="R54:R56" si="138">IF(OR(C54="aa",C54="cp",C54="f",C54="jc",C54="m",C54="css"),0,IF(C54=0,MAX(B54,D54,F54,H54,J54,L54)-MIN(B54,D54,F54,H54,J54,L54),IF(C54&lt;&gt;0,MAX(C54,E54,G54,I54,K54,M54)-MIN(C54,E54,G54,I54,K54,M54))))</f>
        <v>0</v>
      </c>
      <c r="S54" s="262"/>
      <c r="T54" s="958" t="str">
        <f t="shared" ref="T54:T55" si="139">IF(AND(B54=FALSE,C54=""),"",IF(AND(B54=0,C54=0),"",(IF(OR(C54="cp",C54="f",C54="jc",C54="css"),"",IF(OR(C54="",C54="aa",C54="m"),(IF(OR(B54="cp",B54="f",B54="jc",B54="css"),"",B54*24+24-MAX(D53,H53,L53)*24)),C54*24+24-MAX(M53,I53,E53)*24)))))</f>
        <v/>
      </c>
      <c r="U54" s="959" t="str">
        <f>IF(P54=0,"",IF(P54&lt;Paramétrage!$S$12,"PB",IF(AND(Q54&lt;Paramétrage!$S$12,Q54&lt;&gt;0),"PB","")))</f>
        <v/>
      </c>
      <c r="V54" s="959" t="str">
        <f t="shared" ref="V54:V60" si="140">IF(C54="",IF((N54*24)&gt;10,"PB",""),IF((O54*24)&gt;10,"PB",""))</f>
        <v/>
      </c>
      <c r="W54" s="959" t="str">
        <f t="shared" ref="W54:W60" si="141">IF((R54*24)&gt;12,"PB","")</f>
        <v/>
      </c>
      <c r="X54" s="960" t="str">
        <f t="shared" ref="X54:X56" si="142">IF(AND(N54=0,O54=0),"",(IF(OR(C54="aa",C54="cp",C54="f",C54="jc",C54="m",C54="css"),"",IF(C54="",IF(OR(D54-B54&gt;6/24,H54-F54&gt;6/24,L54-J54&gt;6/24),"PB",""),IF(OR(E54-C54&gt;6/24,I54-G54&gt;6/24,M54-K54&gt;6/24),"PB","")))))</f>
        <v/>
      </c>
      <c r="Y54" s="959" t="str">
        <f t="shared" ref="Y54:Y60" si="143">IF(T54="","",IF(T54&lt;11,"PB",""))</f>
        <v/>
      </c>
      <c r="Z54" s="836"/>
      <c r="AA54" s="837"/>
      <c r="AC54" s="934">
        <f>AC48+1</f>
        <v>42640</v>
      </c>
      <c r="AD54" s="961">
        <f>IF(AND(N(AC54)&gt;=Paramétrage!$AU$11,N(AC54)&lt;=Paramétrage!$AU$12),IF(C54="cp",1,0),0)</f>
        <v>0</v>
      </c>
      <c r="AE54" s="962">
        <f>N54</f>
        <v>0</v>
      </c>
      <c r="AF54" s="961">
        <f>IF(AND(N(AC54)&gt;=Paramétrage!$AX$11,N(AC54)&lt;=Paramétrage!$AX$12),IF(C54="cp",1,0),0)</f>
        <v>0</v>
      </c>
      <c r="AG54" s="962">
        <f>O54</f>
        <v>0</v>
      </c>
      <c r="AI54" s="962">
        <f>AE54+AI48</f>
        <v>0</v>
      </c>
      <c r="AJ54" s="962">
        <f>AG54+AJ48</f>
        <v>0</v>
      </c>
      <c r="AM54" s="962">
        <f>IF(AND($B54="cp",$C54="m"),$Z54,0)</f>
        <v>0</v>
      </c>
      <c r="AN54" s="962">
        <f>IF(AND($B54="jc",$C54="m"),$Z54,0)</f>
        <v>0</v>
      </c>
      <c r="AO54" s="962">
        <f>IF(AND($B54="cp",$C54="aa"),$Z54,0)</f>
        <v>0</v>
      </c>
      <c r="AP54" s="962">
        <f>IF(AND($B54="jc",$C54="aa"),$Z54,0)</f>
        <v>0</v>
      </c>
      <c r="AR54" s="917">
        <f>IF(AND(AC54&lt;=$AR$3,B54="CP"),1,0)</f>
        <v>0</v>
      </c>
      <c r="AS54" s="917">
        <f>IF(AND(AC54&lt;=$AR$3,C54="CP"),1,0)</f>
        <v>0</v>
      </c>
      <c r="AV54" s="954"/>
      <c r="AW54" s="963">
        <f t="shared" ref="AW54:BF54" si="144">IF(MONTH(AD54)=AW52,AH54,0)</f>
        <v>0</v>
      </c>
      <c r="AX54" s="963">
        <f t="shared" si="144"/>
        <v>0</v>
      </c>
      <c r="AY54" s="963">
        <f t="shared" si="144"/>
        <v>0</v>
      </c>
      <c r="AZ54" s="963">
        <f t="shared" si="144"/>
        <v>0</v>
      </c>
      <c r="BA54" s="963">
        <f t="shared" si="144"/>
        <v>0</v>
      </c>
      <c r="BB54" s="963">
        <f t="shared" si="144"/>
        <v>0</v>
      </c>
      <c r="BC54" s="963">
        <f t="shared" si="144"/>
        <v>0</v>
      </c>
      <c r="BD54" s="963">
        <f t="shared" si="144"/>
        <v>0</v>
      </c>
      <c r="BE54" s="963">
        <f t="shared" si="144"/>
        <v>0</v>
      </c>
      <c r="BF54" s="963">
        <f t="shared" si="144"/>
        <v>0</v>
      </c>
    </row>
    <row r="55" spans="1:58" ht="14.45" customHeight="1" x14ac:dyDescent="0.3">
      <c r="A55" s="964" t="s">
        <v>13</v>
      </c>
      <c r="B55" s="414" t="b">
        <f>IF(Paramétrage!$O$43="",FALSE,Paramétrage!$O$43)</f>
        <v>0</v>
      </c>
      <c r="C55" s="263"/>
      <c r="D55" s="415" t="b">
        <f>IF(Paramétrage!$Q$43="",FALSE,Paramétrage!$Q$43)</f>
        <v>0</v>
      </c>
      <c r="E55" s="264"/>
      <c r="F55" s="414" t="b">
        <f>IF(Paramétrage!$R$43="",FALSE,Paramétrage!$R$43)</f>
        <v>0</v>
      </c>
      <c r="G55" s="264"/>
      <c r="H55" s="416" t="b">
        <f>IF(Paramétrage!$T$43="",FALSE,Paramétrage!$T$43)</f>
        <v>0</v>
      </c>
      <c r="I55" s="263"/>
      <c r="J55" s="417" t="b">
        <f>IF(Paramétrage!$U$43="",FALSE,Paramétrage!$U$43)</f>
        <v>0</v>
      </c>
      <c r="K55" s="263"/>
      <c r="L55" s="418" t="b">
        <f>IF(Paramétrage!$W$43="",FALSE,Paramétrage!$W$43)</f>
        <v>0</v>
      </c>
      <c r="M55" s="263"/>
      <c r="N55" s="956">
        <f t="shared" si="135"/>
        <v>0</v>
      </c>
      <c r="O55" s="956">
        <f t="shared" si="136"/>
        <v>0</v>
      </c>
      <c r="P55" s="956">
        <f t="shared" ref="P55:P60" si="145">IF(OR(C55="aa",C55="cp",C55="f",C55="jc",C55="m",C55="css"),0,IF(C55="",IF(OR(F55="",F55=FALSE),0,F55-D55),IF(G55="",0,G55-E55)))</f>
        <v>0</v>
      </c>
      <c r="Q55" s="956">
        <f t="shared" si="137"/>
        <v>0</v>
      </c>
      <c r="R55" s="957">
        <f t="shared" si="138"/>
        <v>0</v>
      </c>
      <c r="S55" s="262"/>
      <c r="T55" s="958" t="str">
        <f t="shared" si="139"/>
        <v/>
      </c>
      <c r="U55" s="959" t="str">
        <f>IF(P55=0,"",IF(P55&lt;Paramétrage!$S$12,"PB",IF(AND(Q55&lt;Paramétrage!$S$12,Q55&lt;&gt;0),"PB","")))</f>
        <v/>
      </c>
      <c r="V55" s="959" t="str">
        <f t="shared" si="140"/>
        <v/>
      </c>
      <c r="W55" s="959" t="str">
        <f t="shared" si="141"/>
        <v/>
      </c>
      <c r="X55" s="960" t="str">
        <f t="shared" si="142"/>
        <v/>
      </c>
      <c r="Y55" s="959" t="str">
        <f t="shared" si="143"/>
        <v/>
      </c>
      <c r="Z55" s="836"/>
      <c r="AA55" s="837"/>
      <c r="AC55" s="934">
        <f t="shared" ref="AC55:AC60" si="146">AC54+1</f>
        <v>42641</v>
      </c>
      <c r="AD55" s="961">
        <f>IF(AND(N(AC55)&gt;=Paramétrage!$AU$11,N(AC55)&lt;=Paramétrage!$AU$12),IF(C55="cp",1,0),0)</f>
        <v>0</v>
      </c>
      <c r="AE55" s="962">
        <f t="shared" ref="AE55:AE60" si="147">N55</f>
        <v>0</v>
      </c>
      <c r="AF55" s="961">
        <f>IF(AND(N(AC55)&gt;=Paramétrage!$AX$11,N(AC55)&lt;=Paramétrage!$AX$12),IF(C55="cp",1,0),0)</f>
        <v>0</v>
      </c>
      <c r="AG55" s="962">
        <f t="shared" ref="AG55:AG60" si="148">O55</f>
        <v>0</v>
      </c>
      <c r="AI55" s="962">
        <f t="shared" ref="AI55:AI60" si="149">AE55+AI54</f>
        <v>0</v>
      </c>
      <c r="AJ55" s="962">
        <f t="shared" ref="AJ55:AJ60" si="150">AG55+AJ54</f>
        <v>0</v>
      </c>
      <c r="AM55" s="962">
        <f t="shared" ref="AM55:AM58" si="151">IF(AND($B55="cp",$C55="m"),$Z55,0)</f>
        <v>0</v>
      </c>
      <c r="AN55" s="962">
        <f t="shared" ref="AN55:AN58" si="152">IF(AND($B55="jc",$C55="m"),$Z55,0)</f>
        <v>0</v>
      </c>
      <c r="AO55" s="962">
        <f t="shared" ref="AO55:AO58" si="153">IF(AND($B55="cp",$C55="aa"),$Z55,0)</f>
        <v>0</v>
      </c>
      <c r="AP55" s="962">
        <f t="shared" ref="AP55:AP58" si="154">IF(AND($B55="jc",$C55="aa"),$Z55,0)</f>
        <v>0</v>
      </c>
      <c r="AR55" s="917">
        <f>IF(AND(AC55&lt;=$AR$3,B55="CP"),1,0)</f>
        <v>0</v>
      </c>
      <c r="AS55" s="917">
        <f>IF(AND(AC55&lt;=$AR$3,C55="CP"),1,0)</f>
        <v>0</v>
      </c>
      <c r="AV55" s="954"/>
      <c r="AW55" s="963">
        <f t="shared" ref="AW55:BF55" si="155">IF(MONTH(AD55)=AW53,AH55,0)</f>
        <v>0</v>
      </c>
      <c r="AX55" s="963">
        <f t="shared" si="155"/>
        <v>0</v>
      </c>
      <c r="AY55" s="963">
        <f t="shared" si="155"/>
        <v>0</v>
      </c>
      <c r="AZ55" s="963">
        <f t="shared" si="155"/>
        <v>0</v>
      </c>
      <c r="BA55" s="963">
        <f t="shared" si="155"/>
        <v>0</v>
      </c>
      <c r="BB55" s="963">
        <f t="shared" si="155"/>
        <v>0</v>
      </c>
      <c r="BC55" s="963">
        <f t="shared" si="155"/>
        <v>0</v>
      </c>
      <c r="BD55" s="963">
        <f t="shared" si="155"/>
        <v>0</v>
      </c>
      <c r="BE55" s="963">
        <f t="shared" si="155"/>
        <v>0</v>
      </c>
      <c r="BF55" s="963" t="e">
        <f t="shared" si="155"/>
        <v>#VALUE!</v>
      </c>
    </row>
    <row r="56" spans="1:58" ht="14.45" customHeight="1" x14ac:dyDescent="0.3">
      <c r="A56" s="964" t="s">
        <v>14</v>
      </c>
      <c r="B56" s="414" t="b">
        <f>IF(Paramétrage!$O$44="",FALSE,Paramétrage!$O$44)</f>
        <v>0</v>
      </c>
      <c r="C56" s="263"/>
      <c r="D56" s="415" t="b">
        <f>IF(Paramétrage!$Q$44="",FALSE,Paramétrage!$Q$44)</f>
        <v>0</v>
      </c>
      <c r="E56" s="264"/>
      <c r="F56" s="414" t="b">
        <f>IF(Paramétrage!$R$44="",FALSE,Paramétrage!$R$44)</f>
        <v>0</v>
      </c>
      <c r="G56" s="264"/>
      <c r="H56" s="416" t="b">
        <f>IF(Paramétrage!$T$44="",FALSE,Paramétrage!$T$44)</f>
        <v>0</v>
      </c>
      <c r="I56" s="263"/>
      <c r="J56" s="417" t="b">
        <f>IF(Paramétrage!$U$44="",FALSE,Paramétrage!$U$44)</f>
        <v>0</v>
      </c>
      <c r="K56" s="263"/>
      <c r="L56" s="418" t="b">
        <f>IF(Paramétrage!$W$44="",FALSE,Paramétrage!$W$44)</f>
        <v>0</v>
      </c>
      <c r="M56" s="263"/>
      <c r="N56" s="956">
        <f t="shared" si="135"/>
        <v>0</v>
      </c>
      <c r="O56" s="956">
        <f t="shared" si="136"/>
        <v>0</v>
      </c>
      <c r="P56" s="956">
        <f t="shared" si="145"/>
        <v>0</v>
      </c>
      <c r="Q56" s="956">
        <f t="shared" si="137"/>
        <v>0</v>
      </c>
      <c r="R56" s="957">
        <f t="shared" si="138"/>
        <v>0</v>
      </c>
      <c r="S56" s="262"/>
      <c r="T56" s="958" t="str">
        <f>IF(AND(B56=FALSE,C56=""),"",IF(AND(B56=0,C56=0),"",(IF(OR(C56="cp",C56="f",C56="jc",C56="css"),"",IF(OR(C56="",C56="aa",C56="m"),(IF(OR(B56="cp",B56="f",B56="jc",B56="css"),"",B56*24+24-MAX(D55,H55,L55)*24)),C56*24+24-MAX(M55,I55,E55)*24)))))</f>
        <v/>
      </c>
      <c r="U56" s="959" t="str">
        <f>IF(P56=0,"",IF(P56&lt;Paramétrage!$S$12,"PB",IF(AND(Q56&lt;Paramétrage!$S$12,Q56&lt;&gt;0),"PB","")))</f>
        <v/>
      </c>
      <c r="V56" s="959" t="str">
        <f t="shared" si="140"/>
        <v/>
      </c>
      <c r="W56" s="959" t="str">
        <f t="shared" si="141"/>
        <v/>
      </c>
      <c r="X56" s="960" t="str">
        <f t="shared" si="142"/>
        <v/>
      </c>
      <c r="Y56" s="959" t="str">
        <f t="shared" si="143"/>
        <v/>
      </c>
      <c r="Z56" s="836"/>
      <c r="AA56" s="837"/>
      <c r="AC56" s="934">
        <f t="shared" si="146"/>
        <v>42642</v>
      </c>
      <c r="AD56" s="961">
        <f>IF(AND(N(AC56)&gt;=Paramétrage!$AU$11,N(AC56)&lt;=Paramétrage!$AU$12),IF(C56="cp",1,0),0)</f>
        <v>0</v>
      </c>
      <c r="AE56" s="962">
        <f t="shared" si="147"/>
        <v>0</v>
      </c>
      <c r="AF56" s="961">
        <f>IF(AND(N(AC56)&gt;=Paramétrage!$AX$11,N(AC56)&lt;=Paramétrage!$AX$12),IF(C56="cp",1,0),0)</f>
        <v>0</v>
      </c>
      <c r="AG56" s="962">
        <f t="shared" si="148"/>
        <v>0</v>
      </c>
      <c r="AI56" s="962">
        <f t="shared" si="149"/>
        <v>0</v>
      </c>
      <c r="AJ56" s="962">
        <f t="shared" si="150"/>
        <v>0</v>
      </c>
      <c r="AM56" s="962">
        <f t="shared" si="151"/>
        <v>0</v>
      </c>
      <c r="AN56" s="962">
        <f t="shared" si="152"/>
        <v>0</v>
      </c>
      <c r="AO56" s="962">
        <f t="shared" si="153"/>
        <v>0</v>
      </c>
      <c r="AP56" s="962">
        <f t="shared" si="154"/>
        <v>0</v>
      </c>
      <c r="AR56" s="917">
        <f>IF(AND(AC56&lt;=$AR$3,B56="CP"),1,0)</f>
        <v>0</v>
      </c>
      <c r="AS56" s="917">
        <f>IF(AND(AC56&lt;=$AR$3,C56="CP"),1,0)</f>
        <v>0</v>
      </c>
      <c r="AV56" s="954"/>
      <c r="AW56" s="963">
        <f t="shared" ref="AW56:BF56" si="156">IF(MONTH(AD56)=AW54,AH56,0)</f>
        <v>0</v>
      </c>
      <c r="AX56" s="963">
        <f t="shared" si="156"/>
        <v>0</v>
      </c>
      <c r="AY56" s="963">
        <f t="shared" si="156"/>
        <v>0</v>
      </c>
      <c r="AZ56" s="963">
        <f t="shared" si="156"/>
        <v>0</v>
      </c>
      <c r="BA56" s="963">
        <f t="shared" si="156"/>
        <v>0</v>
      </c>
      <c r="BB56" s="963">
        <f t="shared" si="156"/>
        <v>0</v>
      </c>
      <c r="BC56" s="963">
        <f t="shared" si="156"/>
        <v>0</v>
      </c>
      <c r="BD56" s="963">
        <f t="shared" si="156"/>
        <v>0</v>
      </c>
      <c r="BE56" s="963">
        <f t="shared" si="156"/>
        <v>0</v>
      </c>
      <c r="BF56" s="963">
        <f t="shared" si="156"/>
        <v>0</v>
      </c>
    </row>
    <row r="57" spans="1:58" ht="14.45" customHeight="1" x14ac:dyDescent="0.3">
      <c r="A57" s="964" t="s">
        <v>15</v>
      </c>
      <c r="B57" s="414" t="b">
        <f>IF(Paramétrage!$O$45="",FALSE,Paramétrage!$O$45)</f>
        <v>0</v>
      </c>
      <c r="C57" s="263"/>
      <c r="D57" s="415" t="b">
        <f>IF(Paramétrage!$Q$45="",FALSE,Paramétrage!$Q$45)</f>
        <v>0</v>
      </c>
      <c r="E57" s="264"/>
      <c r="F57" s="414" t="b">
        <f>IF(Paramétrage!$R$45="",FALSE,Paramétrage!$R$45)</f>
        <v>0</v>
      </c>
      <c r="G57" s="264"/>
      <c r="H57" s="416" t="b">
        <f>IF(Paramétrage!$T$45="",FALSE,Paramétrage!$T$45)</f>
        <v>0</v>
      </c>
      <c r="I57" s="263"/>
      <c r="J57" s="417" t="b">
        <f>IF(Paramétrage!$U$45="",FALSE,Paramétrage!$U$45)</f>
        <v>0</v>
      </c>
      <c r="K57" s="263"/>
      <c r="L57" s="418" t="b">
        <f>IF(Paramétrage!$W$45="",FALSE,Paramétrage!$W$45)</f>
        <v>0</v>
      </c>
      <c r="M57" s="263"/>
      <c r="N57" s="956">
        <f>IF(OR(B57="aa",B57="cp",B57="f",B57="jc",B57="m",B57="css"),0,(L57-J57)+(H57-F57)+(D57-B57))</f>
        <v>0</v>
      </c>
      <c r="O57" s="956">
        <f>SUM(AM57:AP57)+IF(OR(C57="m",C57="aa"),N57,IF(C57="css",0,IF(C57="cp",0,IF(C57="jc",0,IF(C57="f",0,E57-C57+I57-G57+M57-K57)))))</f>
        <v>0</v>
      </c>
      <c r="P57" s="956">
        <f t="shared" si="145"/>
        <v>0</v>
      </c>
      <c r="Q57" s="956">
        <f t="shared" si="137"/>
        <v>0</v>
      </c>
      <c r="R57" s="957">
        <f>IF(OR(C57="aa",C57="cp",C57="f",C57="jc",C57="m",C57="css"),0,IF(C57=0,MAX(B57,D57,F57,H57,J57,L57)-MIN(B57,D57,F57,H57,J57,L57),IF(C57&lt;&gt;0,MAX(C57,E57,G57,I57,K57,M57)-MIN(C57,E57,G57,I57,K57,M57))))</f>
        <v>0</v>
      </c>
      <c r="S57" s="262"/>
      <c r="T57" s="958" t="str">
        <f t="shared" ref="T57:T60" si="157">IF(AND(B57=FALSE,C57=""),"",IF(AND(B57=0,C57=0),"",(IF(OR(C57="cp",C57="f",C57="jc",C57="css"),"",IF(OR(C57="",C57="aa",C57="m"),(IF(OR(B57="cp",B57="f",B57="jc",B57="css"),"",B57*24+24-MAX(D56,H56,L56)*24)),C57*24+24-MAX(M56,I56,E56)*24)))))</f>
        <v/>
      </c>
      <c r="U57" s="959" t="str">
        <f>IF(P57=0,"",IF(P57&lt;Paramétrage!$S$12,"PB",IF(AND(Q57&lt;Paramétrage!$S$12,Q57&lt;&gt;0),"PB","")))</f>
        <v/>
      </c>
      <c r="V57" s="959" t="str">
        <f t="shared" si="140"/>
        <v/>
      </c>
      <c r="W57" s="959" t="str">
        <f t="shared" si="141"/>
        <v/>
      </c>
      <c r="X57" s="960" t="str">
        <f>IF(AND(N57=0,O57=0),"",(IF(OR(C57="aa",C57="cp",C57="f",C57="jc",C57="m",C57="css"),"",IF(C57="",IF(OR(D57-B57&gt;6/24,H57-F57&gt;6/24,L57-J57&gt;6/24),"PB",""),IF(OR(E57-C57&gt;6/24,I57-G57&gt;6/24,M57-K57&gt;6/24),"PB","")))))</f>
        <v/>
      </c>
      <c r="Y57" s="959" t="str">
        <f t="shared" si="143"/>
        <v/>
      </c>
      <c r="Z57" s="836"/>
      <c r="AA57" s="837"/>
      <c r="AC57" s="934">
        <f t="shared" si="146"/>
        <v>42643</v>
      </c>
      <c r="AD57" s="961">
        <f>IF(AND(N(AC57)&gt;=Paramétrage!$AU$11,N(AC57)&lt;=Paramétrage!$AU$12),IF(C57="cp",1,0),0)</f>
        <v>0</v>
      </c>
      <c r="AE57" s="962">
        <f t="shared" si="147"/>
        <v>0</v>
      </c>
      <c r="AF57" s="961">
        <f>IF(AND(N(AC57)&gt;=Paramétrage!$AX$11,N(AC57)&lt;=Paramétrage!$AX$12),IF(C57="cp",1,0),0)</f>
        <v>0</v>
      </c>
      <c r="AG57" s="962">
        <f t="shared" si="148"/>
        <v>0</v>
      </c>
      <c r="AI57" s="962">
        <f t="shared" si="149"/>
        <v>0</v>
      </c>
      <c r="AJ57" s="962">
        <f t="shared" si="150"/>
        <v>0</v>
      </c>
      <c r="AM57" s="962">
        <f t="shared" si="151"/>
        <v>0</v>
      </c>
      <c r="AN57" s="962">
        <f t="shared" si="152"/>
        <v>0</v>
      </c>
      <c r="AO57" s="962">
        <f t="shared" si="153"/>
        <v>0</v>
      </c>
      <c r="AP57" s="962">
        <f t="shared" si="154"/>
        <v>0</v>
      </c>
      <c r="AR57" s="917">
        <f>IF(AND(AC57&lt;=$AR$3,B57="CP"),1,0)</f>
        <v>0</v>
      </c>
      <c r="AS57" s="917">
        <f>IF(AND(AC57&lt;=$AR$3,C57="CP"),1,0)</f>
        <v>0</v>
      </c>
      <c r="AV57" s="954"/>
      <c r="AW57" s="963">
        <f t="shared" ref="AW57:BF57" si="158">IF(MONTH(AD57)=AW55,AH57,0)</f>
        <v>0</v>
      </c>
      <c r="AX57" s="963">
        <f t="shared" si="158"/>
        <v>0</v>
      </c>
      <c r="AY57" s="963">
        <f t="shared" si="158"/>
        <v>0</v>
      </c>
      <c r="AZ57" s="963">
        <f t="shared" si="158"/>
        <v>0</v>
      </c>
      <c r="BA57" s="963">
        <f t="shared" si="158"/>
        <v>0</v>
      </c>
      <c r="BB57" s="963">
        <f t="shared" si="158"/>
        <v>0</v>
      </c>
      <c r="BC57" s="963">
        <f t="shared" si="158"/>
        <v>0</v>
      </c>
      <c r="BD57" s="963">
        <f t="shared" si="158"/>
        <v>0</v>
      </c>
      <c r="BE57" s="963">
        <f t="shared" si="158"/>
        <v>0</v>
      </c>
      <c r="BF57" s="963" t="e">
        <f t="shared" si="158"/>
        <v>#VALUE!</v>
      </c>
    </row>
    <row r="58" spans="1:58" ht="14.45" customHeight="1" x14ac:dyDescent="0.3">
      <c r="A58" s="964" t="s">
        <v>16</v>
      </c>
      <c r="B58" s="414" t="b">
        <f>IF(Paramétrage!$O$46="",FALSE,Paramétrage!$O$46)</f>
        <v>0</v>
      </c>
      <c r="C58" s="263"/>
      <c r="D58" s="415" t="b">
        <f>IF(Paramétrage!$Q$46="",FALSE,Paramétrage!$Q$46)</f>
        <v>0</v>
      </c>
      <c r="E58" s="264"/>
      <c r="F58" s="414" t="b">
        <f>IF(Paramétrage!$R$46="",FALSE,Paramétrage!$R$46)</f>
        <v>0</v>
      </c>
      <c r="G58" s="264"/>
      <c r="H58" s="416" t="b">
        <f>IF(Paramétrage!$T$46="",FALSE,Paramétrage!$T$46)</f>
        <v>0</v>
      </c>
      <c r="I58" s="263"/>
      <c r="J58" s="417" t="b">
        <f>IF(Paramétrage!$U$46="",FALSE,Paramétrage!$U$46)</f>
        <v>0</v>
      </c>
      <c r="K58" s="263"/>
      <c r="L58" s="418" t="b">
        <f>IF(Paramétrage!$W$46="",FALSE,Paramétrage!$W$46)</f>
        <v>0</v>
      </c>
      <c r="M58" s="263"/>
      <c r="N58" s="956">
        <f>IF(OR(B58="aa",B58="cp",B58="f",B58="jc",B58="m",B58="css"),0,(L58-J58)+(H58-F58)+(D58-B58))</f>
        <v>0</v>
      </c>
      <c r="O58" s="956">
        <f>SUM(AM58:AP58)+IF(OR(C58="m",C58="aa"),N58,IF(C58="css",0,IF(C58="cp",0,IF(C58="jc",0,IF(C58="f",0,E58-C58+I58-G58+M58-K58)))))</f>
        <v>0</v>
      </c>
      <c r="P58" s="956">
        <f t="shared" si="145"/>
        <v>0</v>
      </c>
      <c r="Q58" s="956">
        <f t="shared" si="137"/>
        <v>0</v>
      </c>
      <c r="R58" s="957">
        <f>IF(OR(C58="aa",C58="cp",C58="f",C58="jc",C58="m",C58="css"),0,IF(C58=0,MAX(B58,D58,F58,H58,J58,L58)-MIN(B58,D58,F58,H58,J58,L58),IF(C58&lt;&gt;0,MAX(C58,E58,G58,I58,K58,M58)-MIN(C58,E58,G58,I58,K58,M58))))</f>
        <v>0</v>
      </c>
      <c r="S58" s="262"/>
      <c r="T58" s="958" t="str">
        <f t="shared" si="157"/>
        <v/>
      </c>
      <c r="U58" s="959" t="str">
        <f>IF(P58=0,"",IF(P58&lt;Paramétrage!$S$12,"PB",IF(AND(Q58&lt;Paramétrage!$S$12,Q58&lt;&gt;0),"PB","")))</f>
        <v/>
      </c>
      <c r="V58" s="959" t="str">
        <f t="shared" si="140"/>
        <v/>
      </c>
      <c r="W58" s="959" t="str">
        <f t="shared" si="141"/>
        <v/>
      </c>
      <c r="X58" s="960" t="str">
        <f>IF(AND(N58=0,O58=0),"",(IF(OR(C58="aa",C58="cp",C58="f",C58="jc",C58="m",C58="css"),"",IF(C58="",IF(OR(D58-B58&gt;6/24,H58-F58&gt;6/24,L58-J58&gt;6/24),"PB",""),IF(OR(E58-C58&gt;6/24,I58-G58&gt;6/24,M58-K58&gt;6/24),"PB","")))))</f>
        <v/>
      </c>
      <c r="Y58" s="959" t="str">
        <f t="shared" si="143"/>
        <v/>
      </c>
      <c r="Z58" s="836"/>
      <c r="AA58" s="837"/>
      <c r="AC58" s="934">
        <f t="shared" si="146"/>
        <v>42644</v>
      </c>
      <c r="AD58" s="961">
        <f>IF(AND(N(AC58)&gt;=Paramétrage!$AU$11,N(AC58)&lt;=Paramétrage!$AU$12),IF(C58="cp",1,0),0)</f>
        <v>0</v>
      </c>
      <c r="AE58" s="962">
        <f t="shared" si="147"/>
        <v>0</v>
      </c>
      <c r="AF58" s="961">
        <f>IF(AND(N(AC58)&gt;=Paramétrage!$AX$11,N(AC58)&lt;=Paramétrage!$AX$12),IF(C58="cp",1,0),0)</f>
        <v>0</v>
      </c>
      <c r="AG58" s="962">
        <f t="shared" si="148"/>
        <v>0</v>
      </c>
      <c r="AI58" s="962">
        <f t="shared" si="149"/>
        <v>0</v>
      </c>
      <c r="AJ58" s="962">
        <f t="shared" si="150"/>
        <v>0</v>
      </c>
      <c r="AM58" s="962">
        <f t="shared" si="151"/>
        <v>0</v>
      </c>
      <c r="AN58" s="962">
        <f t="shared" si="152"/>
        <v>0</v>
      </c>
      <c r="AO58" s="962">
        <f t="shared" si="153"/>
        <v>0</v>
      </c>
      <c r="AP58" s="962">
        <f t="shared" si="154"/>
        <v>0</v>
      </c>
      <c r="AR58" s="917">
        <f>IF(AND(AC58&lt;=$AR$3,B58="CP"),1,0)</f>
        <v>0</v>
      </c>
      <c r="AS58" s="917">
        <f>IF(AND(AC58&lt;=$AR$3,C58="CP"),1,0)</f>
        <v>0</v>
      </c>
      <c r="AV58" s="954"/>
      <c r="AW58" s="963">
        <f t="shared" ref="AW58:BF58" si="159">IF(MONTH(AD58)=AW56,AH58,0)</f>
        <v>0</v>
      </c>
      <c r="AX58" s="963">
        <f t="shared" si="159"/>
        <v>0</v>
      </c>
      <c r="AY58" s="963">
        <f t="shared" si="159"/>
        <v>0</v>
      </c>
      <c r="AZ58" s="963">
        <f t="shared" si="159"/>
        <v>0</v>
      </c>
      <c r="BA58" s="963">
        <f t="shared" si="159"/>
        <v>0</v>
      </c>
      <c r="BB58" s="963">
        <f t="shared" si="159"/>
        <v>0</v>
      </c>
      <c r="BC58" s="963">
        <f t="shared" si="159"/>
        <v>0</v>
      </c>
      <c r="BD58" s="963">
        <f t="shared" si="159"/>
        <v>0</v>
      </c>
      <c r="BE58" s="963">
        <f t="shared" si="159"/>
        <v>0</v>
      </c>
      <c r="BF58" s="963">
        <f t="shared" si="159"/>
        <v>0</v>
      </c>
    </row>
    <row r="59" spans="1:58" ht="14.45" customHeight="1" x14ac:dyDescent="0.3">
      <c r="A59" s="964" t="s">
        <v>19</v>
      </c>
      <c r="B59" s="414" t="b">
        <f>IF(Paramétrage!$O$47="",FALSE,Paramétrage!$O$47)</f>
        <v>0</v>
      </c>
      <c r="C59" s="263"/>
      <c r="D59" s="415" t="b">
        <f>IF(Paramétrage!$Q$47="",FALSE,Paramétrage!$Q$47)</f>
        <v>0</v>
      </c>
      <c r="E59" s="264"/>
      <c r="F59" s="414" t="b">
        <f>IF(Paramétrage!$R$47="",FALSE,Paramétrage!$R$47)</f>
        <v>0</v>
      </c>
      <c r="G59" s="264"/>
      <c r="H59" s="416" t="b">
        <f>IF(Paramétrage!$T$47="",FALSE,Paramétrage!$T$47)</f>
        <v>0</v>
      </c>
      <c r="I59" s="263"/>
      <c r="J59" s="417" t="b">
        <f>IF(Paramétrage!$U$47="",FALSE,Paramétrage!$U$47)</f>
        <v>0</v>
      </c>
      <c r="K59" s="263"/>
      <c r="L59" s="418" t="b">
        <f>IF(Paramétrage!$W$47="",FALSE,Paramétrage!$W$47)</f>
        <v>0</v>
      </c>
      <c r="M59" s="263"/>
      <c r="N59" s="956">
        <f>IF(OR(B59="aa",B59="cp",B59="f",B59="jc",B59="m",B59="css"),0,(L59-J59)+(H59-F59)+(D59-B59))</f>
        <v>0</v>
      </c>
      <c r="O59" s="956">
        <f>IF(OR(C59="m",C59="aa"),N59,IF(C59="cp",0,IF(OR(C59="css",C59="jc"),0,IF(C59="f",0,E59-C59+I59-G59+M59-K59))))</f>
        <v>0</v>
      </c>
      <c r="P59" s="956">
        <f t="shared" si="145"/>
        <v>0</v>
      </c>
      <c r="Q59" s="956">
        <f t="shared" si="137"/>
        <v>0</v>
      </c>
      <c r="R59" s="957">
        <f>IF(OR(C59="aa",C59="cp",C59="f",C59="jc",C59="m",C59="css"),0,IF(C59=0,MAX(B59,D59,F59,H59,J59,L59)-MIN(B59,D59,F59,H59,J59,L59),IF(C59&lt;&gt;0,MAX(C59,E59,G59,I59,K59,M59)-MIN(C59,E59,G59,I59,K59,M59))))</f>
        <v>0</v>
      </c>
      <c r="S59" s="262"/>
      <c r="T59" s="958" t="str">
        <f t="shared" si="157"/>
        <v/>
      </c>
      <c r="U59" s="959" t="str">
        <f>IF(P59=0,"",IF(P59&lt;Paramétrage!$S$12,"PB",IF(AND(Q59&lt;Paramétrage!$S$12,Q59&lt;&gt;0),"PB","")))</f>
        <v/>
      </c>
      <c r="V59" s="959" t="str">
        <f t="shared" si="140"/>
        <v/>
      </c>
      <c r="W59" s="959" t="str">
        <f t="shared" si="141"/>
        <v/>
      </c>
      <c r="X59" s="960" t="str">
        <f>IF(AND(N59=0,O59=0),"",(IF(OR(C59="aa",C59="cp",C59="f",C59="jc",C59="m",C59="css"),"",IF(C59="",IF(OR(D59-B59&gt;6/24,H59-F59&gt;6/24,L59-J59&gt;6/24),"PB",""),IF(OR(E59-C59&gt;6/24,I59-G59&gt;6/24,M59-K59&gt;6/24),"PB","")))))</f>
        <v/>
      </c>
      <c r="Y59" s="959" t="str">
        <f t="shared" si="143"/>
        <v/>
      </c>
      <c r="Z59" s="836"/>
      <c r="AA59" s="837"/>
      <c r="AB59" s="967"/>
      <c r="AC59" s="934">
        <f t="shared" si="146"/>
        <v>42645</v>
      </c>
      <c r="AD59" s="961">
        <f>IF(AND(N(AC59)&gt;=Paramétrage!$AU$11,N(AC59)&lt;=Paramétrage!$AU$12),IF(C59="cp",1,0),0)</f>
        <v>0</v>
      </c>
      <c r="AE59" s="962">
        <f t="shared" si="147"/>
        <v>0</v>
      </c>
      <c r="AF59" s="961">
        <f>IF(AND(N(AC59)&gt;=Paramétrage!$AX$11,N(AC59)&lt;=Paramétrage!$AX$12),IF(C59="cp",1,0),0)</f>
        <v>0</v>
      </c>
      <c r="AG59" s="962">
        <f t="shared" si="148"/>
        <v>0</v>
      </c>
      <c r="AI59" s="962">
        <f t="shared" si="149"/>
        <v>0</v>
      </c>
      <c r="AJ59" s="962">
        <f t="shared" si="150"/>
        <v>0</v>
      </c>
      <c r="AM59" s="962"/>
      <c r="AN59" s="962"/>
      <c r="AO59" s="962"/>
      <c r="AP59" s="962"/>
      <c r="AV59" s="954"/>
      <c r="AW59" s="963">
        <f t="shared" ref="AW59:BF59" si="160">IF(MONTH(AD59)=AW57,AH59,0)</f>
        <v>0</v>
      </c>
      <c r="AX59" s="963">
        <f t="shared" si="160"/>
        <v>0</v>
      </c>
      <c r="AY59" s="963">
        <f t="shared" si="160"/>
        <v>0</v>
      </c>
      <c r="AZ59" s="963">
        <f t="shared" si="160"/>
        <v>0</v>
      </c>
      <c r="BA59" s="963">
        <f t="shared" si="160"/>
        <v>0</v>
      </c>
      <c r="BB59" s="963">
        <f t="shared" si="160"/>
        <v>0</v>
      </c>
      <c r="BC59" s="963">
        <f t="shared" si="160"/>
        <v>0</v>
      </c>
      <c r="BD59" s="963">
        <f t="shared" si="160"/>
        <v>0</v>
      </c>
      <c r="BE59" s="963">
        <f t="shared" si="160"/>
        <v>0</v>
      </c>
      <c r="BF59" s="963" t="e">
        <f t="shared" si="160"/>
        <v>#VALUE!</v>
      </c>
    </row>
    <row r="60" spans="1:58" ht="14.45" customHeight="1" thickBot="1" x14ac:dyDescent="0.35">
      <c r="A60" s="966" t="s">
        <v>20</v>
      </c>
      <c r="B60" s="414" t="b">
        <f>IF(Paramétrage!$O$48="",FALSE,Paramétrage!$O$48)</f>
        <v>0</v>
      </c>
      <c r="C60" s="263"/>
      <c r="D60" s="415" t="b">
        <f>IF(Paramétrage!$Q$48="",FALSE,Paramétrage!$Q$48)</f>
        <v>0</v>
      </c>
      <c r="E60" s="264"/>
      <c r="F60" s="414" t="b">
        <f>IF(Paramétrage!$R$48="",FALSE,Paramétrage!$R$48)</f>
        <v>0</v>
      </c>
      <c r="G60" s="264"/>
      <c r="H60" s="416" t="b">
        <f>IF(Paramétrage!$T$48="",FALSE,Paramétrage!$T$48)</f>
        <v>0</v>
      </c>
      <c r="I60" s="263"/>
      <c r="J60" s="417" t="b">
        <f>IF(Paramétrage!$U$48="",FALSE,Paramétrage!$U$48)</f>
        <v>0</v>
      </c>
      <c r="K60" s="263"/>
      <c r="L60" s="418" t="b">
        <f>IF(Paramétrage!$W$48="",FALSE,Paramétrage!$W$48)</f>
        <v>0</v>
      </c>
      <c r="M60" s="263"/>
      <c r="N60" s="956">
        <f>IF(OR(B60="aa",B60="m"),M60,IF(B60="cp",0,IF(B60="jc",0,IF(B60="f",0,(D60-B60)*Paramétrage!$S$13+(H60-F60)*Paramétrage!$S$13+(L60-J60)*Paramétrage!$S$13+(D60-B60+H60-F60+L60-J60)))))</f>
        <v>0</v>
      </c>
      <c r="O60" s="956">
        <f>IF(OR(C60="aa",C60="m"),N60,IF(C60="cp",0,IF(C60="jc",0,IF(C60="f",0,(E60-C60)*Paramétrage!$S$13+(I60-G60)*Paramétrage!$S$13+(M60-K60)*Paramétrage!$S$13+(E60-C60+I60-G60+M60-K60)))))</f>
        <v>0</v>
      </c>
      <c r="P60" s="956">
        <f t="shared" si="145"/>
        <v>0</v>
      </c>
      <c r="Q60" s="956">
        <f t="shared" si="137"/>
        <v>0</v>
      </c>
      <c r="R60" s="957">
        <f t="shared" ref="R60" si="161">IF(OR(C60="aa",C60="cp",C60="f",C60="jc",C60="m",C60=0),MAX(B60,D60,F60,H60,J60,L60)-MIN(B60,D60,F60,H60,J60,L60),IF(C60&lt;&gt;0,MAX(C60,E60,G60,I60,K60,M60)-MIN(C60,E60,G60,I60,K60,M60)))</f>
        <v>0</v>
      </c>
      <c r="S60" s="262"/>
      <c r="T60" s="958" t="str">
        <f t="shared" si="157"/>
        <v/>
      </c>
      <c r="U60" s="959" t="str">
        <f>IF(P60=0,"",IF(P60&lt;Paramétrage!$S$12,"PB",IF(AND(Q60&lt;Paramétrage!$S$12,Q60&lt;&gt;0),"PB","")))</f>
        <v/>
      </c>
      <c r="V60" s="959" t="str">
        <f t="shared" si="140"/>
        <v/>
      </c>
      <c r="W60" s="959" t="str">
        <f t="shared" si="141"/>
        <v/>
      </c>
      <c r="X60" s="960" t="str">
        <f t="shared" ref="X60" si="162">IF(AND(N60=0,O60=0),"",(IF(OR(C60="aa",C60="cp",C60="f",C60="jc",C60="m"),"",IF(C60="",IF(OR(D60-B60&gt;6/24,H60-F60&gt;6/24,L60-J60&gt;6/24),"PB",""),IF(OR(E60-C60&gt;6/24,I60-G60&gt;6/24,M60-K60&gt;6/24),"PB","")))))</f>
        <v/>
      </c>
      <c r="Y60" s="959" t="str">
        <f t="shared" si="143"/>
        <v/>
      </c>
      <c r="Z60" s="836"/>
      <c r="AA60" s="837"/>
      <c r="AC60" s="934">
        <f t="shared" si="146"/>
        <v>42646</v>
      </c>
      <c r="AD60" s="961">
        <f>IF(AND(N(AC60)&gt;=Paramétrage!$AU$11,N(AC60)&lt;=Paramétrage!$AU$12),IF(C60="cp",1,0),0)</f>
        <v>0</v>
      </c>
      <c r="AE60" s="962">
        <f t="shared" si="147"/>
        <v>0</v>
      </c>
      <c r="AF60" s="961">
        <f>IF(AND(N(AC60)&gt;=Paramétrage!$AX$11,N(AC60)&lt;=Paramétrage!$AX$12),IF(C60="cp",1,0),0)</f>
        <v>0</v>
      </c>
      <c r="AG60" s="962">
        <f t="shared" si="148"/>
        <v>0</v>
      </c>
      <c r="AI60" s="962">
        <f t="shared" si="149"/>
        <v>0</v>
      </c>
      <c r="AJ60" s="962">
        <f t="shared" si="150"/>
        <v>0</v>
      </c>
      <c r="AM60" s="962"/>
      <c r="AN60" s="962"/>
      <c r="AO60" s="962"/>
      <c r="AP60" s="962"/>
      <c r="AV60" s="954"/>
      <c r="AW60" s="963">
        <f t="shared" ref="AW60:BF60" si="163">IF(MONTH(AD60)=AW58,AH60,0)</f>
        <v>0</v>
      </c>
      <c r="AX60" s="963">
        <f t="shared" si="163"/>
        <v>0</v>
      </c>
      <c r="AY60" s="963">
        <f t="shared" si="163"/>
        <v>0</v>
      </c>
      <c r="AZ60" s="963">
        <f t="shared" si="163"/>
        <v>0</v>
      </c>
      <c r="BA60" s="963">
        <f t="shared" si="163"/>
        <v>0</v>
      </c>
      <c r="BB60" s="963">
        <f t="shared" si="163"/>
        <v>0</v>
      </c>
      <c r="BC60" s="963">
        <f t="shared" si="163"/>
        <v>0</v>
      </c>
      <c r="BD60" s="963">
        <f t="shared" si="163"/>
        <v>0</v>
      </c>
      <c r="BE60" s="963">
        <f t="shared" si="163"/>
        <v>0</v>
      </c>
      <c r="BF60" s="963">
        <f t="shared" si="163"/>
        <v>0</v>
      </c>
    </row>
    <row r="61" spans="1:58" x14ac:dyDescent="0.25">
      <c r="A61" s="969" t="s">
        <v>78</v>
      </c>
      <c r="B61" s="970"/>
      <c r="C61" s="970"/>
      <c r="D61" s="970"/>
      <c r="E61" s="970"/>
      <c r="F61" s="970"/>
      <c r="G61" s="970"/>
      <c r="H61" s="970"/>
      <c r="I61" s="970"/>
      <c r="J61" s="970"/>
      <c r="K61" s="971"/>
      <c r="L61" s="970"/>
      <c r="M61" s="970"/>
      <c r="N61" s="972">
        <f>SUM(N54:N60)</f>
        <v>0</v>
      </c>
      <c r="O61" s="972">
        <f>SUM(O54:O60)</f>
        <v>0</v>
      </c>
      <c r="P61" s="972">
        <f>SUM(P54:P60)</f>
        <v>0</v>
      </c>
      <c r="Q61" s="972">
        <f>SUM(Q54:Q60)</f>
        <v>0</v>
      </c>
      <c r="R61" s="972"/>
      <c r="S61" s="972"/>
      <c r="T61" s="973"/>
      <c r="U61" s="974"/>
      <c r="V61" s="975" t="str">
        <f>IF((O61*24)&gt;48,"PB","")</f>
        <v/>
      </c>
      <c r="W61" s="974"/>
      <c r="X61" s="972"/>
      <c r="Y61" s="974"/>
      <c r="Z61" s="976" t="s">
        <v>59</v>
      </c>
      <c r="AA61" s="977">
        <f>+O61-N61</f>
        <v>0</v>
      </c>
      <c r="AF61" s="961"/>
      <c r="AV61" s="954"/>
      <c r="AW61" s="963">
        <f t="shared" ref="AW61:BF61" si="164">IF(MONTH(AD61)=AW59,AH61,0)</f>
        <v>0</v>
      </c>
      <c r="AX61" s="963">
        <f t="shared" si="164"/>
        <v>0</v>
      </c>
      <c r="AY61" s="963">
        <f t="shared" si="164"/>
        <v>0</v>
      </c>
      <c r="AZ61" s="963">
        <f t="shared" si="164"/>
        <v>0</v>
      </c>
      <c r="BA61" s="963">
        <f t="shared" si="164"/>
        <v>0</v>
      </c>
      <c r="BB61" s="963">
        <f t="shared" si="164"/>
        <v>0</v>
      </c>
      <c r="BC61" s="963">
        <f t="shared" si="164"/>
        <v>0</v>
      </c>
      <c r="BD61" s="963">
        <f t="shared" si="164"/>
        <v>0</v>
      </c>
      <c r="BE61" s="963">
        <f t="shared" si="164"/>
        <v>0</v>
      </c>
      <c r="BF61" s="963" t="e">
        <f t="shared" si="164"/>
        <v>#VALUE!</v>
      </c>
    </row>
    <row r="62" spans="1:58" x14ac:dyDescent="0.25">
      <c r="A62" s="969"/>
      <c r="B62" s="969"/>
      <c r="C62" s="969"/>
      <c r="D62" s="969"/>
      <c r="E62" s="969"/>
      <c r="F62" s="994"/>
      <c r="G62" s="994"/>
      <c r="H62" s="994"/>
      <c r="I62" s="994"/>
      <c r="J62" s="994"/>
      <c r="K62" s="969"/>
      <c r="L62" s="969"/>
      <c r="M62" s="969"/>
      <c r="N62" s="972"/>
      <c r="O62" s="972"/>
      <c r="P62" s="981"/>
      <c r="Q62" s="981"/>
      <c r="R62" s="981"/>
      <c r="S62" s="981"/>
      <c r="T62" s="980"/>
      <c r="U62" s="980"/>
      <c r="V62" s="980"/>
      <c r="W62" s="980"/>
      <c r="X62" s="981"/>
      <c r="Y62" s="980"/>
      <c r="Z62" s="976"/>
      <c r="AA62" s="977"/>
      <c r="AF62" s="961"/>
      <c r="AV62" s="954"/>
      <c r="AW62" s="963">
        <f t="shared" ref="AW62:BF62" si="165">IF(MONTH(AD62)=AW60,AH62,0)</f>
        <v>0</v>
      </c>
      <c r="AX62" s="963">
        <f t="shared" si="165"/>
        <v>0</v>
      </c>
      <c r="AY62" s="963">
        <f t="shared" si="165"/>
        <v>0</v>
      </c>
      <c r="AZ62" s="963">
        <f t="shared" si="165"/>
        <v>0</v>
      </c>
      <c r="BA62" s="963">
        <f t="shared" si="165"/>
        <v>0</v>
      </c>
      <c r="BB62" s="963">
        <f t="shared" si="165"/>
        <v>0</v>
      </c>
      <c r="BC62" s="963">
        <f t="shared" si="165"/>
        <v>0</v>
      </c>
      <c r="BD62" s="963">
        <f t="shared" si="165"/>
        <v>0</v>
      </c>
      <c r="BE62" s="963">
        <f t="shared" si="165"/>
        <v>0</v>
      </c>
      <c r="BF62" s="963">
        <f t="shared" si="165"/>
        <v>0</v>
      </c>
    </row>
    <row r="63" spans="1:58" ht="16.5" x14ac:dyDescent="0.3">
      <c r="A63" s="969"/>
      <c r="B63" s="969"/>
      <c r="C63" s="969"/>
      <c r="D63" s="969"/>
      <c r="E63" s="969"/>
      <c r="F63" s="928">
        <f>+F51+7</f>
        <v>42647</v>
      </c>
      <c r="G63" s="928"/>
      <c r="H63" s="929" t="s">
        <v>58</v>
      </c>
      <c r="I63" s="928">
        <f>+F63+6</f>
        <v>42653</v>
      </c>
      <c r="J63" s="930"/>
      <c r="K63" s="969"/>
      <c r="L63" s="969"/>
      <c r="M63" s="969"/>
      <c r="N63" s="973"/>
      <c r="O63" s="969"/>
      <c r="P63" s="980"/>
      <c r="Q63" s="980"/>
      <c r="R63" s="980"/>
      <c r="S63" s="981"/>
      <c r="T63" s="980"/>
      <c r="U63" s="980"/>
      <c r="V63" s="980"/>
      <c r="W63" s="980"/>
      <c r="X63" s="980"/>
      <c r="Y63" s="980"/>
      <c r="Z63" s="976"/>
      <c r="AA63" s="995"/>
      <c r="AF63" s="961"/>
      <c r="AV63" s="954"/>
      <c r="AW63" s="963">
        <f t="shared" ref="AW63:BF63" si="166">IF(MONTH(AD63)=AW61,AH63,0)</f>
        <v>0</v>
      </c>
      <c r="AX63" s="963">
        <f t="shared" si="166"/>
        <v>0</v>
      </c>
      <c r="AY63" s="963">
        <f t="shared" si="166"/>
        <v>0</v>
      </c>
      <c r="AZ63" s="963">
        <f t="shared" si="166"/>
        <v>0</v>
      </c>
      <c r="BA63" s="963">
        <f t="shared" si="166"/>
        <v>0</v>
      </c>
      <c r="BB63" s="963">
        <f t="shared" si="166"/>
        <v>0</v>
      </c>
      <c r="BC63" s="963">
        <f t="shared" si="166"/>
        <v>0</v>
      </c>
      <c r="BD63" s="963">
        <f t="shared" si="166"/>
        <v>0</v>
      </c>
      <c r="BE63" s="963">
        <f t="shared" si="166"/>
        <v>0</v>
      </c>
      <c r="BF63" s="963" t="e">
        <f t="shared" si="166"/>
        <v>#VALUE!</v>
      </c>
    </row>
    <row r="64" spans="1:58" ht="14.45" customHeight="1" x14ac:dyDescent="0.25">
      <c r="A64" s="994"/>
      <c r="B64" s="938" t="s">
        <v>17</v>
      </c>
      <c r="C64" s="938"/>
      <c r="D64" s="938" t="s">
        <v>18</v>
      </c>
      <c r="E64" s="938"/>
      <c r="F64" s="938" t="s">
        <v>17</v>
      </c>
      <c r="G64" s="938"/>
      <c r="H64" s="938" t="s">
        <v>18</v>
      </c>
      <c r="I64" s="938"/>
      <c r="J64" s="938" t="s">
        <v>17</v>
      </c>
      <c r="K64" s="938"/>
      <c r="L64" s="938" t="s">
        <v>18</v>
      </c>
      <c r="M64" s="938"/>
      <c r="N64" s="939" t="s">
        <v>61</v>
      </c>
      <c r="O64" s="939" t="s">
        <v>62</v>
      </c>
      <c r="P64" s="939" t="s">
        <v>60</v>
      </c>
      <c r="Q64" s="939" t="s">
        <v>63</v>
      </c>
      <c r="R64" s="939" t="s">
        <v>64</v>
      </c>
      <c r="S64" s="940" t="s">
        <v>223</v>
      </c>
      <c r="T64" s="939" t="s">
        <v>70</v>
      </c>
      <c r="U64" s="941" t="s">
        <v>65</v>
      </c>
      <c r="V64" s="942"/>
      <c r="W64" s="942"/>
      <c r="X64" s="942"/>
      <c r="Y64" s="943"/>
      <c r="Z64" s="944" t="s">
        <v>22</v>
      </c>
      <c r="AA64" s="944"/>
      <c r="AF64" s="961"/>
      <c r="AV64" s="954"/>
      <c r="AW64" s="963">
        <f t="shared" ref="AW64:BF64" si="167">IF(MONTH(AD64)=AW62,AH64,0)</f>
        <v>0</v>
      </c>
      <c r="AX64" s="963">
        <f t="shared" si="167"/>
        <v>0</v>
      </c>
      <c r="AY64" s="963">
        <f t="shared" si="167"/>
        <v>0</v>
      </c>
      <c r="AZ64" s="963">
        <f t="shared" si="167"/>
        <v>0</v>
      </c>
      <c r="BA64" s="963">
        <f t="shared" si="167"/>
        <v>0</v>
      </c>
      <c r="BB64" s="963">
        <f t="shared" si="167"/>
        <v>0</v>
      </c>
      <c r="BC64" s="963">
        <f t="shared" si="167"/>
        <v>0</v>
      </c>
      <c r="BD64" s="963">
        <f t="shared" si="167"/>
        <v>0</v>
      </c>
      <c r="BE64" s="963">
        <f t="shared" si="167"/>
        <v>0</v>
      </c>
      <c r="BF64" s="963">
        <f t="shared" si="167"/>
        <v>0</v>
      </c>
    </row>
    <row r="65" spans="1:58" ht="26.25" thickBot="1" x14ac:dyDescent="0.4">
      <c r="A65" s="937" t="str">
        <f>"S"&amp;_xlfn.ISOWEEKNUM(F63)</f>
        <v>S41</v>
      </c>
      <c r="B65" s="949" t="s">
        <v>0</v>
      </c>
      <c r="C65" s="950" t="s">
        <v>1</v>
      </c>
      <c r="D65" s="949" t="s">
        <v>0</v>
      </c>
      <c r="E65" s="950" t="s">
        <v>1</v>
      </c>
      <c r="F65" s="949" t="s">
        <v>0</v>
      </c>
      <c r="G65" s="950" t="s">
        <v>1</v>
      </c>
      <c r="H65" s="949" t="s">
        <v>0</v>
      </c>
      <c r="I65" s="950" t="s">
        <v>1</v>
      </c>
      <c r="J65" s="949" t="s">
        <v>0</v>
      </c>
      <c r="K65" s="950" t="s">
        <v>1</v>
      </c>
      <c r="L65" s="949" t="s">
        <v>0</v>
      </c>
      <c r="M65" s="950" t="s">
        <v>1</v>
      </c>
      <c r="N65" s="951"/>
      <c r="O65" s="951"/>
      <c r="P65" s="951"/>
      <c r="Q65" s="951"/>
      <c r="R65" s="951"/>
      <c r="S65" s="951"/>
      <c r="T65" s="939"/>
      <c r="U65" s="952" t="s">
        <v>66</v>
      </c>
      <c r="V65" s="952" t="s">
        <v>67</v>
      </c>
      <c r="W65" s="952" t="s">
        <v>68</v>
      </c>
      <c r="X65" s="952" t="s">
        <v>137</v>
      </c>
      <c r="Y65" s="952" t="s">
        <v>69</v>
      </c>
      <c r="Z65" s="944"/>
      <c r="AA65" s="944"/>
      <c r="AF65" s="961"/>
      <c r="AM65" s="917" t="s">
        <v>274</v>
      </c>
      <c r="AV65" s="954"/>
      <c r="AW65" s="963">
        <f t="shared" ref="AW65:BF65" si="168">IF(MONTH(AD65)=AW63,AH65,0)</f>
        <v>0</v>
      </c>
      <c r="AX65" s="963">
        <f t="shared" si="168"/>
        <v>0</v>
      </c>
      <c r="AY65" s="963">
        <f t="shared" si="168"/>
        <v>0</v>
      </c>
      <c r="AZ65" s="963">
        <f t="shared" si="168"/>
        <v>0</v>
      </c>
      <c r="BA65" s="963">
        <f t="shared" si="168"/>
        <v>0</v>
      </c>
      <c r="BB65" s="963">
        <f t="shared" si="168"/>
        <v>0</v>
      </c>
      <c r="BC65" s="963">
        <f t="shared" si="168"/>
        <v>0</v>
      </c>
      <c r="BD65" s="963">
        <f t="shared" si="168"/>
        <v>0</v>
      </c>
      <c r="BE65" s="963">
        <f t="shared" si="168"/>
        <v>0</v>
      </c>
      <c r="BF65" s="963" t="e">
        <f t="shared" si="168"/>
        <v>#VALUE!</v>
      </c>
    </row>
    <row r="66" spans="1:58" ht="14.45" customHeight="1" x14ac:dyDescent="0.3">
      <c r="A66" s="955" t="s">
        <v>12</v>
      </c>
      <c r="B66" s="414" t="b">
        <f>IF(Paramétrage!$O$42="",FALSE,Paramétrage!$O$42)</f>
        <v>0</v>
      </c>
      <c r="C66" s="263"/>
      <c r="D66" s="415" t="b">
        <f>IF(Paramétrage!$Q$42="",FALSE,Paramétrage!$Q$42)</f>
        <v>0</v>
      </c>
      <c r="E66" s="264"/>
      <c r="F66" s="414" t="b">
        <f>IF(Paramétrage!$R$42="",FALSE,Paramétrage!$R$42)</f>
        <v>0</v>
      </c>
      <c r="G66" s="264"/>
      <c r="H66" s="416" t="b">
        <f>IF(Paramétrage!$T$42="",FALSE,Paramétrage!$T$42)</f>
        <v>0</v>
      </c>
      <c r="I66" s="263"/>
      <c r="J66" s="417" t="b">
        <f>IF(Paramétrage!$U$42="",FALSE,Paramétrage!$U$42)</f>
        <v>0</v>
      </c>
      <c r="K66" s="263"/>
      <c r="L66" s="418" t="b">
        <f>IF(Paramétrage!$W$42="",FALSE,Paramétrage!$W$42)</f>
        <v>0</v>
      </c>
      <c r="M66" s="263"/>
      <c r="N66" s="956">
        <f t="shared" ref="N66:N68" si="169">IF(OR(B66="aa",B66="cp",B66="f",B66="jc",B66="m",B66="css"),0,(L66-J66)+(H66-F66)+(D66-B66))</f>
        <v>0</v>
      </c>
      <c r="O66" s="956">
        <f t="shared" ref="O66:O68" si="170">SUM(AM66:AP66)+IF(OR(C66="m",C66="aa"),N66,IF(C66="css",0,IF(C66="cp",0,IF(C66="jc",0,IF(C66="f",0,E66-C66+I66-G66+M66-K66)))))</f>
        <v>0</v>
      </c>
      <c r="P66" s="956">
        <f>IF(OR(C66="aa",C66="cp",C66="f",C66="jc",C66="m",C66="css"),0,IF(C66="",IF(OR(F66="",F66=FALSE),0,F66-D66),IF(G66="",0,G66-E66)))</f>
        <v>0</v>
      </c>
      <c r="Q66" s="956">
        <f t="shared" ref="Q66:Q72" si="171">IF(P66=0,0,IF(G66="",IF(OR(J66="",J66=FALSE),0,J66-H66),IF(K66="",0,K66-I66)))</f>
        <v>0</v>
      </c>
      <c r="R66" s="957">
        <f t="shared" ref="R66:R68" si="172">IF(OR(C66="aa",C66="cp",C66="f",C66="jc",C66="m",C66="css"),0,IF(C66=0,MAX(B66,D66,F66,H66,J66,L66)-MIN(B66,D66,F66,H66,J66,L66),IF(C66&lt;&gt;0,MAX(C66,E66,G66,I66,K66,M66)-MIN(C66,E66,G66,I66,K66,M66))))</f>
        <v>0</v>
      </c>
      <c r="S66" s="262"/>
      <c r="T66" s="958" t="str">
        <f t="shared" ref="T66:T67" si="173">IF(AND(B66=FALSE,C66=""),"",IF(AND(B66=0,C66=0),"",(IF(OR(C66="cp",C66="f",C66="jc",C66="css"),"",IF(OR(C66="",C66="aa",C66="m"),(IF(OR(B66="cp",B66="f",B66="jc",B66="css"),"",B66*24+24-MAX(D65,H65,L65)*24)),C66*24+24-MAX(M65,I65,E65)*24)))))</f>
        <v/>
      </c>
      <c r="U66" s="959" t="str">
        <f>IF(P66=0,"",IF(P66&lt;Paramétrage!$S$12,"PB",IF(AND(Q66&lt;Paramétrage!$S$12,Q66&lt;&gt;0),"PB","")))</f>
        <v/>
      </c>
      <c r="V66" s="959" t="str">
        <f t="shared" ref="V66:V72" si="174">IF(C66="",IF((N66*24)&gt;10,"PB",""),IF((O66*24)&gt;10,"PB",""))</f>
        <v/>
      </c>
      <c r="W66" s="959" t="str">
        <f t="shared" ref="W66:W72" si="175">IF((R66*24)&gt;12,"PB","")</f>
        <v/>
      </c>
      <c r="X66" s="960" t="str">
        <f t="shared" ref="X66:X68" si="176">IF(AND(N66=0,O66=0),"",(IF(OR(C66="aa",C66="cp",C66="f",C66="jc",C66="m",C66="css"),"",IF(C66="",IF(OR(D66-B66&gt;6/24,H66-F66&gt;6/24,L66-J66&gt;6/24),"PB",""),IF(OR(E66-C66&gt;6/24,I66-G66&gt;6/24,M66-K66&gt;6/24),"PB","")))))</f>
        <v/>
      </c>
      <c r="Y66" s="959" t="str">
        <f t="shared" ref="Y66:Y72" si="177">IF(T66="","",IF(T66&lt;11,"PB",""))</f>
        <v/>
      </c>
      <c r="Z66" s="836"/>
      <c r="AA66" s="837"/>
      <c r="AC66" s="934">
        <f>AC60+1</f>
        <v>42647</v>
      </c>
      <c r="AD66" s="961">
        <f>IF(AND(N(AC66)&gt;=Paramétrage!$AU$11,N(AC66)&lt;=Paramétrage!$AU$12),IF(C66="cp",1,0),0)</f>
        <v>0</v>
      </c>
      <c r="AE66" s="962">
        <f t="shared" ref="AE66:AE72" si="178">N66</f>
        <v>0</v>
      </c>
      <c r="AF66" s="961">
        <f>IF(AND(N(AC66)&gt;=Paramétrage!$AX$11,N(AC66)&lt;=Paramétrage!$AX$12),IF(C66="cp",1,0),0)</f>
        <v>0</v>
      </c>
      <c r="AG66" s="962">
        <f t="shared" ref="AG66:AG72" si="179">O66</f>
        <v>0</v>
      </c>
      <c r="AI66" s="962">
        <f>AE66+AI60</f>
        <v>0</v>
      </c>
      <c r="AJ66" s="962">
        <f>AG66+AJ60</f>
        <v>0</v>
      </c>
      <c r="AM66" s="962">
        <f>IF(AND($B66="cp",$C66="m"),$Z66,0)</f>
        <v>0</v>
      </c>
      <c r="AN66" s="962">
        <f>IF(AND($B66="jc",$C66="m"),$Z66,0)</f>
        <v>0</v>
      </c>
      <c r="AO66" s="962">
        <f>IF(AND($B66="cp",$C66="aa"),$Z66,0)</f>
        <v>0</v>
      </c>
      <c r="AP66" s="962">
        <f>IF(AND($B66="jc",$C66="aa"),$Z66,0)</f>
        <v>0</v>
      </c>
      <c r="AR66" s="917">
        <f>IF(AND(AC66&lt;=$AR$3,B66="CP"),1,0)</f>
        <v>0</v>
      </c>
      <c r="AS66" s="917">
        <f>IF(AND(AC66&lt;=$AR$3,C66="CP"),1,0)</f>
        <v>0</v>
      </c>
      <c r="AV66" s="954"/>
      <c r="AW66" s="963">
        <f t="shared" ref="AW66:BF66" si="180">IF(MONTH(AD66)=AW64,AH66,0)</f>
        <v>0</v>
      </c>
      <c r="AX66" s="963">
        <f t="shared" si="180"/>
        <v>0</v>
      </c>
      <c r="AY66" s="963">
        <f t="shared" si="180"/>
        <v>0</v>
      </c>
      <c r="AZ66" s="963">
        <f t="shared" si="180"/>
        <v>0</v>
      </c>
      <c r="BA66" s="963">
        <f t="shared" si="180"/>
        <v>0</v>
      </c>
      <c r="BB66" s="963">
        <f t="shared" si="180"/>
        <v>0</v>
      </c>
      <c r="BC66" s="963">
        <f t="shared" si="180"/>
        <v>0</v>
      </c>
      <c r="BD66" s="963">
        <f t="shared" si="180"/>
        <v>0</v>
      </c>
      <c r="BE66" s="963">
        <f t="shared" si="180"/>
        <v>0</v>
      </c>
      <c r="BF66" s="963">
        <f t="shared" si="180"/>
        <v>0</v>
      </c>
    </row>
    <row r="67" spans="1:58" ht="14.45" customHeight="1" x14ac:dyDescent="0.3">
      <c r="A67" s="964" t="s">
        <v>13</v>
      </c>
      <c r="B67" s="414" t="b">
        <f>IF(Paramétrage!$O$43="",FALSE,Paramétrage!$O$43)</f>
        <v>0</v>
      </c>
      <c r="C67" s="263"/>
      <c r="D67" s="415" t="b">
        <f>IF(Paramétrage!$Q$43="",FALSE,Paramétrage!$Q$43)</f>
        <v>0</v>
      </c>
      <c r="E67" s="264"/>
      <c r="F67" s="414" t="b">
        <f>IF(Paramétrage!$R$43="",FALSE,Paramétrage!$R$43)</f>
        <v>0</v>
      </c>
      <c r="G67" s="264"/>
      <c r="H67" s="416" t="b">
        <f>IF(Paramétrage!$T$43="",FALSE,Paramétrage!$T$43)</f>
        <v>0</v>
      </c>
      <c r="I67" s="263"/>
      <c r="J67" s="417" t="b">
        <f>IF(Paramétrage!$U$43="",FALSE,Paramétrage!$U$43)</f>
        <v>0</v>
      </c>
      <c r="K67" s="263"/>
      <c r="L67" s="418" t="b">
        <f>IF(Paramétrage!$W$43="",FALSE,Paramétrage!$W$43)</f>
        <v>0</v>
      </c>
      <c r="M67" s="263"/>
      <c r="N67" s="956">
        <f t="shared" si="169"/>
        <v>0</v>
      </c>
      <c r="O67" s="956">
        <f t="shared" si="170"/>
        <v>0</v>
      </c>
      <c r="P67" s="956">
        <f t="shared" ref="P67:P72" si="181">IF(OR(C67="aa",C67="cp",C67="f",C67="jc",C67="m",C67="css"),0,IF(C67="",IF(OR(F67="",F67=FALSE),0,F67-D67),IF(G67="",0,G67-E67)))</f>
        <v>0</v>
      </c>
      <c r="Q67" s="956">
        <f t="shared" si="171"/>
        <v>0</v>
      </c>
      <c r="R67" s="957">
        <f t="shared" si="172"/>
        <v>0</v>
      </c>
      <c r="S67" s="262"/>
      <c r="T67" s="958" t="str">
        <f t="shared" si="173"/>
        <v/>
      </c>
      <c r="U67" s="959" t="str">
        <f>IF(P67=0,"",IF(P67&lt;Paramétrage!$S$12,"PB",IF(AND(Q67&lt;Paramétrage!$S$12,Q67&lt;&gt;0),"PB","")))</f>
        <v/>
      </c>
      <c r="V67" s="959" t="str">
        <f t="shared" si="174"/>
        <v/>
      </c>
      <c r="W67" s="959" t="str">
        <f t="shared" si="175"/>
        <v/>
      </c>
      <c r="X67" s="960" t="str">
        <f t="shared" si="176"/>
        <v/>
      </c>
      <c r="Y67" s="959" t="str">
        <f t="shared" si="177"/>
        <v/>
      </c>
      <c r="Z67" s="836"/>
      <c r="AA67" s="837"/>
      <c r="AC67" s="934">
        <f t="shared" ref="AC67:AC72" si="182">AC66+1</f>
        <v>42648</v>
      </c>
      <c r="AD67" s="961">
        <f>IF(AND(N(AC67)&gt;=Paramétrage!$AU$11,N(AC67)&lt;=Paramétrage!$AU$12),IF(C67="cp",1,0),0)</f>
        <v>0</v>
      </c>
      <c r="AE67" s="962">
        <f t="shared" si="178"/>
        <v>0</v>
      </c>
      <c r="AF67" s="961">
        <f>IF(AND(N(AC67)&gt;=Paramétrage!$AX$11,N(AC67)&lt;=Paramétrage!$AX$12),IF(C67="cp",1,0),0)</f>
        <v>0</v>
      </c>
      <c r="AG67" s="962">
        <f t="shared" si="179"/>
        <v>0</v>
      </c>
      <c r="AI67" s="962">
        <f t="shared" ref="AI67:AI72" si="183">AE67+AI66</f>
        <v>0</v>
      </c>
      <c r="AJ67" s="962">
        <f t="shared" ref="AJ67:AJ72" si="184">AG67+AJ66</f>
        <v>0</v>
      </c>
      <c r="AM67" s="962">
        <f t="shared" ref="AM67:AM70" si="185">IF(AND($B67="cp",$C67="m"),$Z67,0)</f>
        <v>0</v>
      </c>
      <c r="AN67" s="962">
        <f t="shared" ref="AN67:AN70" si="186">IF(AND($B67="jc",$C67="m"),$Z67,0)</f>
        <v>0</v>
      </c>
      <c r="AO67" s="962">
        <f t="shared" ref="AO67:AO70" si="187">IF(AND($B67="cp",$C67="aa"),$Z67,0)</f>
        <v>0</v>
      </c>
      <c r="AP67" s="962">
        <f t="shared" ref="AP67:AP70" si="188">IF(AND($B67="jc",$C67="aa"),$Z67,0)</f>
        <v>0</v>
      </c>
      <c r="AR67" s="917">
        <f>IF(AND(AC67&lt;=$AR$3,B67="CP"),1,0)</f>
        <v>0</v>
      </c>
      <c r="AS67" s="917">
        <f>IF(AND(AC67&lt;=$AR$3,C67="CP"),1,0)</f>
        <v>0</v>
      </c>
      <c r="AV67" s="954"/>
      <c r="AW67" s="963">
        <f t="shared" ref="AW67:BF67" si="189">IF(MONTH(AD67)=AW65,AH67,0)</f>
        <v>0</v>
      </c>
      <c r="AX67" s="963">
        <f t="shared" si="189"/>
        <v>0</v>
      </c>
      <c r="AY67" s="963">
        <f t="shared" si="189"/>
        <v>0</v>
      </c>
      <c r="AZ67" s="963">
        <f t="shared" si="189"/>
        <v>0</v>
      </c>
      <c r="BA67" s="963">
        <f t="shared" si="189"/>
        <v>0</v>
      </c>
      <c r="BB67" s="963">
        <f t="shared" si="189"/>
        <v>0</v>
      </c>
      <c r="BC67" s="963">
        <f t="shared" si="189"/>
        <v>0</v>
      </c>
      <c r="BD67" s="963">
        <f t="shared" si="189"/>
        <v>0</v>
      </c>
      <c r="BE67" s="963">
        <f t="shared" si="189"/>
        <v>0</v>
      </c>
      <c r="BF67" s="963" t="e">
        <f t="shared" si="189"/>
        <v>#VALUE!</v>
      </c>
    </row>
    <row r="68" spans="1:58" ht="14.45" customHeight="1" x14ac:dyDescent="0.3">
      <c r="A68" s="964" t="s">
        <v>14</v>
      </c>
      <c r="B68" s="414" t="b">
        <f>IF(Paramétrage!$O$44="",FALSE,Paramétrage!$O$44)</f>
        <v>0</v>
      </c>
      <c r="C68" s="263"/>
      <c r="D68" s="415" t="b">
        <f>IF(Paramétrage!$Q$44="",FALSE,Paramétrage!$Q$44)</f>
        <v>0</v>
      </c>
      <c r="E68" s="264"/>
      <c r="F68" s="414" t="b">
        <f>IF(Paramétrage!$R$44="",FALSE,Paramétrage!$R$44)</f>
        <v>0</v>
      </c>
      <c r="G68" s="264"/>
      <c r="H68" s="416" t="b">
        <f>IF(Paramétrage!$T$44="",FALSE,Paramétrage!$T$44)</f>
        <v>0</v>
      </c>
      <c r="I68" s="263"/>
      <c r="J68" s="417" t="b">
        <f>IF(Paramétrage!$U$44="",FALSE,Paramétrage!$U$44)</f>
        <v>0</v>
      </c>
      <c r="K68" s="263"/>
      <c r="L68" s="418" t="b">
        <f>IF(Paramétrage!$W$44="",FALSE,Paramétrage!$W$44)</f>
        <v>0</v>
      </c>
      <c r="M68" s="263"/>
      <c r="N68" s="956">
        <f t="shared" si="169"/>
        <v>0</v>
      </c>
      <c r="O68" s="956">
        <f t="shared" si="170"/>
        <v>0</v>
      </c>
      <c r="P68" s="956">
        <f t="shared" si="181"/>
        <v>0</v>
      </c>
      <c r="Q68" s="956">
        <f t="shared" si="171"/>
        <v>0</v>
      </c>
      <c r="R68" s="957">
        <f t="shared" si="172"/>
        <v>0</v>
      </c>
      <c r="S68" s="262"/>
      <c r="T68" s="958" t="str">
        <f>IF(AND(B68=FALSE,C68=""),"",IF(AND(B68=0,C68=0),"",(IF(OR(C68="cp",C68="f",C68="jc",C68="css"),"",IF(OR(C68="",C68="aa",C68="m"),(IF(OR(B68="cp",B68="f",B68="jc",B68="css"),"",B68*24+24-MAX(D67,H67,L67)*24)),C68*24+24-MAX(M67,I67,E67)*24)))))</f>
        <v/>
      </c>
      <c r="U68" s="959" t="str">
        <f>IF(P68=0,"",IF(P68&lt;Paramétrage!$S$12,"PB",IF(AND(Q68&lt;Paramétrage!$S$12,Q68&lt;&gt;0),"PB","")))</f>
        <v/>
      </c>
      <c r="V68" s="959" t="str">
        <f t="shared" si="174"/>
        <v/>
      </c>
      <c r="W68" s="959" t="str">
        <f t="shared" si="175"/>
        <v/>
      </c>
      <c r="X68" s="960" t="str">
        <f t="shared" si="176"/>
        <v/>
      </c>
      <c r="Y68" s="959" t="str">
        <f t="shared" si="177"/>
        <v/>
      </c>
      <c r="Z68" s="836"/>
      <c r="AA68" s="837"/>
      <c r="AC68" s="934">
        <f t="shared" si="182"/>
        <v>42649</v>
      </c>
      <c r="AD68" s="961">
        <f>IF(AND(N(AC68)&gt;=Paramétrage!$AU$11,N(AC68)&lt;=Paramétrage!$AU$12),IF(C68="cp",1,0),0)</f>
        <v>0</v>
      </c>
      <c r="AE68" s="962">
        <f t="shared" si="178"/>
        <v>0</v>
      </c>
      <c r="AF68" s="961">
        <f>IF(AND(N(AC68)&gt;=Paramétrage!$AX$11,N(AC68)&lt;=Paramétrage!$AX$12),IF(C68="cp",1,0),0)</f>
        <v>0</v>
      </c>
      <c r="AG68" s="962">
        <f t="shared" si="179"/>
        <v>0</v>
      </c>
      <c r="AI68" s="962">
        <f t="shared" si="183"/>
        <v>0</v>
      </c>
      <c r="AJ68" s="962">
        <f t="shared" si="184"/>
        <v>0</v>
      </c>
      <c r="AM68" s="962">
        <f t="shared" si="185"/>
        <v>0</v>
      </c>
      <c r="AN68" s="962">
        <f t="shared" si="186"/>
        <v>0</v>
      </c>
      <c r="AO68" s="962">
        <f t="shared" si="187"/>
        <v>0</v>
      </c>
      <c r="AP68" s="962">
        <f t="shared" si="188"/>
        <v>0</v>
      </c>
      <c r="AR68" s="917">
        <f>IF(AND(AC68&lt;=$AR$3,B68="CP"),1,0)</f>
        <v>0</v>
      </c>
      <c r="AS68" s="917">
        <f>IF(AND(AC68&lt;=$AR$3,C68="CP"),1,0)</f>
        <v>0</v>
      </c>
      <c r="AV68" s="954"/>
      <c r="AW68" s="963">
        <f t="shared" ref="AW68:BF68" si="190">IF(MONTH(AD68)=AW66,AH68,0)</f>
        <v>0</v>
      </c>
      <c r="AX68" s="963">
        <f t="shared" si="190"/>
        <v>0</v>
      </c>
      <c r="AY68" s="963">
        <f t="shared" si="190"/>
        <v>0</v>
      </c>
      <c r="AZ68" s="963">
        <f t="shared" si="190"/>
        <v>0</v>
      </c>
      <c r="BA68" s="963">
        <f t="shared" si="190"/>
        <v>0</v>
      </c>
      <c r="BB68" s="963">
        <f t="shared" si="190"/>
        <v>0</v>
      </c>
      <c r="BC68" s="963">
        <f t="shared" si="190"/>
        <v>0</v>
      </c>
      <c r="BD68" s="963">
        <f t="shared" si="190"/>
        <v>0</v>
      </c>
      <c r="BE68" s="963">
        <f t="shared" si="190"/>
        <v>0</v>
      </c>
      <c r="BF68" s="963">
        <f t="shared" si="190"/>
        <v>0</v>
      </c>
    </row>
    <row r="69" spans="1:58" ht="14.45" customHeight="1" x14ac:dyDescent="0.3">
      <c r="A69" s="964" t="s">
        <v>15</v>
      </c>
      <c r="B69" s="414" t="b">
        <f>IF(Paramétrage!$O$45="",FALSE,Paramétrage!$O$45)</f>
        <v>0</v>
      </c>
      <c r="C69" s="263"/>
      <c r="D69" s="415" t="b">
        <f>IF(Paramétrage!$Q$45="",FALSE,Paramétrage!$Q$45)</f>
        <v>0</v>
      </c>
      <c r="E69" s="264"/>
      <c r="F69" s="414" t="b">
        <f>IF(Paramétrage!$R$45="",FALSE,Paramétrage!$R$45)</f>
        <v>0</v>
      </c>
      <c r="G69" s="264"/>
      <c r="H69" s="416" t="b">
        <f>IF(Paramétrage!$T$45="",FALSE,Paramétrage!$T$45)</f>
        <v>0</v>
      </c>
      <c r="I69" s="263"/>
      <c r="J69" s="417" t="b">
        <f>IF(Paramétrage!$U$45="",FALSE,Paramétrage!$U$45)</f>
        <v>0</v>
      </c>
      <c r="K69" s="263"/>
      <c r="L69" s="418" t="b">
        <f>IF(Paramétrage!$W$45="",FALSE,Paramétrage!$W$45)</f>
        <v>0</v>
      </c>
      <c r="M69" s="263"/>
      <c r="N69" s="956">
        <f>IF(OR(B69="aa",B69="cp",B69="f",B69="jc",B69="m",B69="css"),0,(L69-J69)+(H69-F69)+(D69-B69))</f>
        <v>0</v>
      </c>
      <c r="O69" s="956">
        <f>SUM(AM69:AP69)+IF(OR(C69="m",C69="aa"),N69,IF(C69="css",0,IF(C69="cp",0,IF(C69="jc",0,IF(C69="f",0,E69-C69+I69-G69+M69-K69)))))</f>
        <v>0</v>
      </c>
      <c r="P69" s="956">
        <f t="shared" si="181"/>
        <v>0</v>
      </c>
      <c r="Q69" s="956">
        <f t="shared" si="171"/>
        <v>0</v>
      </c>
      <c r="R69" s="957">
        <f>IF(OR(C69="aa",C69="cp",C69="f",C69="jc",C69="m",C69="css"),0,IF(C69=0,MAX(B69,D69,F69,H69,J69,L69)-MIN(B69,D69,F69,H69,J69,L69),IF(C69&lt;&gt;0,MAX(C69,E69,G69,I69,K69,M69)-MIN(C69,E69,G69,I69,K69,M69))))</f>
        <v>0</v>
      </c>
      <c r="S69" s="262"/>
      <c r="T69" s="958" t="str">
        <f t="shared" ref="T69:T72" si="191">IF(AND(B69=FALSE,C69=""),"",IF(AND(B69=0,C69=0),"",(IF(OR(C69="cp",C69="f",C69="jc",C69="css"),"",IF(OR(C69="",C69="aa",C69="m"),(IF(OR(B69="cp",B69="f",B69="jc",B69="css"),"",B69*24+24-MAX(D68,H68,L68)*24)),C69*24+24-MAX(M68,I68,E68)*24)))))</f>
        <v/>
      </c>
      <c r="U69" s="959" t="str">
        <f>IF(P69=0,"",IF(P69&lt;Paramétrage!$S$12,"PB",IF(AND(Q69&lt;Paramétrage!$S$12,Q69&lt;&gt;0),"PB","")))</f>
        <v/>
      </c>
      <c r="V69" s="959" t="str">
        <f t="shared" si="174"/>
        <v/>
      </c>
      <c r="W69" s="959" t="str">
        <f t="shared" si="175"/>
        <v/>
      </c>
      <c r="X69" s="960" t="str">
        <f>IF(AND(N69=0,O69=0),"",(IF(OR(C69="aa",C69="cp",C69="f",C69="jc",C69="m",C69="css"),"",IF(C69="",IF(OR(D69-B69&gt;6/24,H69-F69&gt;6/24,L69-J69&gt;6/24),"PB",""),IF(OR(E69-C69&gt;6/24,I69-G69&gt;6/24,M69-K69&gt;6/24),"PB","")))))</f>
        <v/>
      </c>
      <c r="Y69" s="959" t="str">
        <f t="shared" si="177"/>
        <v/>
      </c>
      <c r="Z69" s="836"/>
      <c r="AA69" s="837"/>
      <c r="AC69" s="934">
        <f t="shared" si="182"/>
        <v>42650</v>
      </c>
      <c r="AD69" s="961">
        <f>IF(AND(N(AC69)&gt;=Paramétrage!$AU$11,N(AC69)&lt;=Paramétrage!$AU$12),IF(C69="cp",1,0),0)</f>
        <v>0</v>
      </c>
      <c r="AE69" s="962">
        <f t="shared" si="178"/>
        <v>0</v>
      </c>
      <c r="AF69" s="961">
        <f>IF(AND(N(AC69)&gt;=Paramétrage!$AX$11,N(AC69)&lt;=Paramétrage!$AX$12),IF(C69="cp",1,0),0)</f>
        <v>0</v>
      </c>
      <c r="AG69" s="962">
        <f t="shared" si="179"/>
        <v>0</v>
      </c>
      <c r="AI69" s="962">
        <f t="shared" si="183"/>
        <v>0</v>
      </c>
      <c r="AJ69" s="962">
        <f t="shared" si="184"/>
        <v>0</v>
      </c>
      <c r="AM69" s="962">
        <f t="shared" si="185"/>
        <v>0</v>
      </c>
      <c r="AN69" s="962">
        <f t="shared" si="186"/>
        <v>0</v>
      </c>
      <c r="AO69" s="962">
        <f t="shared" si="187"/>
        <v>0</v>
      </c>
      <c r="AP69" s="962">
        <f t="shared" si="188"/>
        <v>0</v>
      </c>
      <c r="AR69" s="917">
        <f>IF(AND(AC69&lt;=$AR$3,B69="CP"),1,0)</f>
        <v>0</v>
      </c>
      <c r="AS69" s="917">
        <f>IF(AND(AC69&lt;=$AR$3,C69="CP"),1,0)</f>
        <v>0</v>
      </c>
      <c r="AV69" s="954"/>
      <c r="AW69" s="963">
        <f t="shared" ref="AW69:BF69" si="192">IF(MONTH(AD69)=AW67,AH69,0)</f>
        <v>0</v>
      </c>
      <c r="AX69" s="963">
        <f t="shared" si="192"/>
        <v>0</v>
      </c>
      <c r="AY69" s="963">
        <f t="shared" si="192"/>
        <v>0</v>
      </c>
      <c r="AZ69" s="963">
        <f t="shared" si="192"/>
        <v>0</v>
      </c>
      <c r="BA69" s="963">
        <f t="shared" si="192"/>
        <v>0</v>
      </c>
      <c r="BB69" s="963">
        <f t="shared" si="192"/>
        <v>0</v>
      </c>
      <c r="BC69" s="963">
        <f t="shared" si="192"/>
        <v>0</v>
      </c>
      <c r="BD69" s="963">
        <f t="shared" si="192"/>
        <v>0</v>
      </c>
      <c r="BE69" s="963">
        <f t="shared" si="192"/>
        <v>0</v>
      </c>
      <c r="BF69" s="963" t="e">
        <f t="shared" si="192"/>
        <v>#VALUE!</v>
      </c>
    </row>
    <row r="70" spans="1:58" ht="14.45" customHeight="1" x14ac:dyDescent="0.3">
      <c r="A70" s="964" t="s">
        <v>16</v>
      </c>
      <c r="B70" s="414" t="b">
        <f>IF(Paramétrage!$O$46="",FALSE,Paramétrage!$O$46)</f>
        <v>0</v>
      </c>
      <c r="C70" s="263"/>
      <c r="D70" s="415" t="b">
        <f>IF(Paramétrage!$Q$46="",FALSE,Paramétrage!$Q$46)</f>
        <v>0</v>
      </c>
      <c r="E70" s="264"/>
      <c r="F70" s="414" t="b">
        <f>IF(Paramétrage!$R$46="",FALSE,Paramétrage!$R$46)</f>
        <v>0</v>
      </c>
      <c r="G70" s="264"/>
      <c r="H70" s="416" t="b">
        <f>IF(Paramétrage!$T$46="",FALSE,Paramétrage!$T$46)</f>
        <v>0</v>
      </c>
      <c r="I70" s="263"/>
      <c r="J70" s="417" t="b">
        <f>IF(Paramétrage!$U$46="",FALSE,Paramétrage!$U$46)</f>
        <v>0</v>
      </c>
      <c r="K70" s="263"/>
      <c r="L70" s="418" t="b">
        <f>IF(Paramétrage!$W$46="",FALSE,Paramétrage!$W$46)</f>
        <v>0</v>
      </c>
      <c r="M70" s="263"/>
      <c r="N70" s="956">
        <f>IF(OR(B70="aa",B70="cp",B70="f",B70="jc",B70="m",B70="css"),0,(L70-J70)+(H70-F70)+(D70-B70))</f>
        <v>0</v>
      </c>
      <c r="O70" s="956">
        <f>SUM(AM70:AP70)+IF(OR(C70="m",C70="aa"),N70,IF(C70="css",0,IF(C70="cp",0,IF(C70="jc",0,IF(C70="f",0,E70-C70+I70-G70+M70-K70)))))</f>
        <v>0</v>
      </c>
      <c r="P70" s="956">
        <f t="shared" si="181"/>
        <v>0</v>
      </c>
      <c r="Q70" s="956">
        <f t="shared" si="171"/>
        <v>0</v>
      </c>
      <c r="R70" s="957">
        <f>IF(OR(C70="aa",C70="cp",C70="f",C70="jc",C70="m",C70="css"),0,IF(C70=0,MAX(B70,D70,F70,H70,J70,L70)-MIN(B70,D70,F70,H70,J70,L70),IF(C70&lt;&gt;0,MAX(C70,E70,G70,I70,K70,M70)-MIN(C70,E70,G70,I70,K70,M70))))</f>
        <v>0</v>
      </c>
      <c r="S70" s="262"/>
      <c r="T70" s="958" t="str">
        <f t="shared" si="191"/>
        <v/>
      </c>
      <c r="U70" s="959" t="str">
        <f>IF(P70=0,"",IF(P70&lt;Paramétrage!$S$12,"PB",IF(AND(Q70&lt;Paramétrage!$S$12,Q70&lt;&gt;0),"PB","")))</f>
        <v/>
      </c>
      <c r="V70" s="959" t="str">
        <f t="shared" si="174"/>
        <v/>
      </c>
      <c r="W70" s="959" t="str">
        <f t="shared" si="175"/>
        <v/>
      </c>
      <c r="X70" s="960" t="str">
        <f>IF(AND(N70=0,O70=0),"",(IF(OR(C70="aa",C70="cp",C70="f",C70="jc",C70="m",C70="css"),"",IF(C70="",IF(OR(D70-B70&gt;6/24,H70-F70&gt;6/24,L70-J70&gt;6/24),"PB",""),IF(OR(E70-C70&gt;6/24,I70-G70&gt;6/24,M70-K70&gt;6/24),"PB","")))))</f>
        <v/>
      </c>
      <c r="Y70" s="959" t="str">
        <f t="shared" si="177"/>
        <v/>
      </c>
      <c r="Z70" s="836"/>
      <c r="AA70" s="837"/>
      <c r="AC70" s="934">
        <f t="shared" si="182"/>
        <v>42651</v>
      </c>
      <c r="AD70" s="961">
        <f>IF(AND(N(AC70)&gt;=Paramétrage!$AU$11,N(AC70)&lt;=Paramétrage!$AU$12),IF(C70="cp",1,0),0)</f>
        <v>0</v>
      </c>
      <c r="AE70" s="962">
        <f t="shared" si="178"/>
        <v>0</v>
      </c>
      <c r="AF70" s="961">
        <f>IF(AND(N(AC70)&gt;=Paramétrage!$AX$11,N(AC70)&lt;=Paramétrage!$AX$12),IF(C70="cp",1,0),0)</f>
        <v>0</v>
      </c>
      <c r="AG70" s="962">
        <f t="shared" si="179"/>
        <v>0</v>
      </c>
      <c r="AI70" s="962">
        <f t="shared" si="183"/>
        <v>0</v>
      </c>
      <c r="AJ70" s="962">
        <f t="shared" si="184"/>
        <v>0</v>
      </c>
      <c r="AM70" s="962">
        <f t="shared" si="185"/>
        <v>0</v>
      </c>
      <c r="AN70" s="962">
        <f t="shared" si="186"/>
        <v>0</v>
      </c>
      <c r="AO70" s="962">
        <f t="shared" si="187"/>
        <v>0</v>
      </c>
      <c r="AP70" s="962">
        <f t="shared" si="188"/>
        <v>0</v>
      </c>
      <c r="AR70" s="917">
        <f>IF(AND(AC70&lt;=$AR$3,B70="CP"),1,0)</f>
        <v>0</v>
      </c>
      <c r="AS70" s="917">
        <f>IF(AND(AC70&lt;=$AR$3,C70="CP"),1,0)</f>
        <v>0</v>
      </c>
      <c r="AV70" s="954"/>
      <c r="AW70" s="963">
        <f t="shared" ref="AW70:BF70" si="193">IF(MONTH(AD70)=AW68,AH70,0)</f>
        <v>0</v>
      </c>
      <c r="AX70" s="963">
        <f t="shared" si="193"/>
        <v>0</v>
      </c>
      <c r="AY70" s="963">
        <f t="shared" si="193"/>
        <v>0</v>
      </c>
      <c r="AZ70" s="963">
        <f t="shared" si="193"/>
        <v>0</v>
      </c>
      <c r="BA70" s="963">
        <f t="shared" si="193"/>
        <v>0</v>
      </c>
      <c r="BB70" s="963">
        <f t="shared" si="193"/>
        <v>0</v>
      </c>
      <c r="BC70" s="963">
        <f t="shared" si="193"/>
        <v>0</v>
      </c>
      <c r="BD70" s="963">
        <f t="shared" si="193"/>
        <v>0</v>
      </c>
      <c r="BE70" s="963">
        <f t="shared" si="193"/>
        <v>0</v>
      </c>
      <c r="BF70" s="963">
        <f t="shared" si="193"/>
        <v>0</v>
      </c>
    </row>
    <row r="71" spans="1:58" ht="14.45" customHeight="1" x14ac:dyDescent="0.3">
      <c r="A71" s="964" t="s">
        <v>19</v>
      </c>
      <c r="B71" s="414" t="b">
        <f>IF(Paramétrage!$O$47="",FALSE,Paramétrage!$O$47)</f>
        <v>0</v>
      </c>
      <c r="C71" s="263"/>
      <c r="D71" s="415" t="b">
        <f>IF(Paramétrage!$Q$47="",FALSE,Paramétrage!$Q$47)</f>
        <v>0</v>
      </c>
      <c r="E71" s="264"/>
      <c r="F71" s="414" t="b">
        <f>IF(Paramétrage!$R$47="",FALSE,Paramétrage!$R$47)</f>
        <v>0</v>
      </c>
      <c r="G71" s="264"/>
      <c r="H71" s="416" t="b">
        <f>IF(Paramétrage!$T$47="",FALSE,Paramétrage!$T$47)</f>
        <v>0</v>
      </c>
      <c r="I71" s="263"/>
      <c r="J71" s="417" t="b">
        <f>IF(Paramétrage!$U$47="",FALSE,Paramétrage!$U$47)</f>
        <v>0</v>
      </c>
      <c r="K71" s="263"/>
      <c r="L71" s="418" t="b">
        <f>IF(Paramétrage!$W$47="",FALSE,Paramétrage!$W$47)</f>
        <v>0</v>
      </c>
      <c r="M71" s="263"/>
      <c r="N71" s="956">
        <f>IF(OR(B71="aa",B71="cp",B71="f",B71="jc",B71="m",B71="css"),0,(L71-J71)+(H71-F71)+(D71-B71))</f>
        <v>0</v>
      </c>
      <c r="O71" s="956">
        <f>IF(OR(C71="m",C71="aa"),N71,IF(C71="cp",0,IF(OR(C71="css",C71="jc"),0,IF(C71="f",0,E71-C71+I71-G71+M71-K71))))</f>
        <v>0</v>
      </c>
      <c r="P71" s="956">
        <f t="shared" si="181"/>
        <v>0</v>
      </c>
      <c r="Q71" s="956">
        <f t="shared" si="171"/>
        <v>0</v>
      </c>
      <c r="R71" s="957">
        <f>IF(OR(C71="aa",C71="cp",C71="f",C71="jc",C71="m",C71="css"),0,IF(C71=0,MAX(B71,D71,F71,H71,J71,L71)-MIN(B71,D71,F71,H71,J71,L71),IF(C71&lt;&gt;0,MAX(C71,E71,G71,I71,K71,M71)-MIN(C71,E71,G71,I71,K71,M71))))</f>
        <v>0</v>
      </c>
      <c r="S71" s="262"/>
      <c r="T71" s="958" t="str">
        <f t="shared" si="191"/>
        <v/>
      </c>
      <c r="U71" s="959" t="str">
        <f>IF(P71=0,"",IF(P71&lt;Paramétrage!$S$12,"PB",IF(AND(Q71&lt;Paramétrage!$S$12,Q71&lt;&gt;0),"PB","")))</f>
        <v/>
      </c>
      <c r="V71" s="959" t="str">
        <f t="shared" si="174"/>
        <v/>
      </c>
      <c r="W71" s="959" t="str">
        <f t="shared" si="175"/>
        <v/>
      </c>
      <c r="X71" s="960" t="str">
        <f>IF(AND(N71=0,O71=0),"",(IF(OR(C71="aa",C71="cp",C71="f",C71="jc",C71="m",C71="css"),"",IF(C71="",IF(OR(D71-B71&gt;6/24,H71-F71&gt;6/24,L71-J71&gt;6/24),"PB",""),IF(OR(E71-C71&gt;6/24,I71-G71&gt;6/24,M71-K71&gt;6/24),"PB","")))))</f>
        <v/>
      </c>
      <c r="Y71" s="959" t="str">
        <f t="shared" si="177"/>
        <v/>
      </c>
      <c r="Z71" s="836"/>
      <c r="AA71" s="837"/>
      <c r="AB71" s="967"/>
      <c r="AC71" s="934">
        <f t="shared" si="182"/>
        <v>42652</v>
      </c>
      <c r="AD71" s="961">
        <f>IF(AND(N(AC71)&gt;=Paramétrage!$AU$11,N(AC71)&lt;=Paramétrage!$AU$12),IF(C71="cp",1,0),0)</f>
        <v>0</v>
      </c>
      <c r="AE71" s="962">
        <f t="shared" si="178"/>
        <v>0</v>
      </c>
      <c r="AF71" s="961">
        <f>IF(AND(N(AC71)&gt;=Paramétrage!$AX$11,N(AC71)&lt;=Paramétrage!$AX$12),IF(C71="cp",1,0),0)</f>
        <v>0</v>
      </c>
      <c r="AG71" s="962">
        <f t="shared" si="179"/>
        <v>0</v>
      </c>
      <c r="AI71" s="962">
        <f t="shared" si="183"/>
        <v>0</v>
      </c>
      <c r="AJ71" s="962">
        <f t="shared" si="184"/>
        <v>0</v>
      </c>
      <c r="AM71" s="962"/>
      <c r="AN71" s="962"/>
      <c r="AO71" s="962"/>
      <c r="AP71" s="962"/>
      <c r="AV71" s="954"/>
      <c r="AW71" s="963">
        <f t="shared" ref="AW71:BF71" si="194">IF(MONTH(AD71)=AW69,AH71,0)</f>
        <v>0</v>
      </c>
      <c r="AX71" s="963">
        <f t="shared" si="194"/>
        <v>0</v>
      </c>
      <c r="AY71" s="963">
        <f t="shared" si="194"/>
        <v>0</v>
      </c>
      <c r="AZ71" s="963">
        <f t="shared" si="194"/>
        <v>0</v>
      </c>
      <c r="BA71" s="963">
        <f t="shared" si="194"/>
        <v>0</v>
      </c>
      <c r="BB71" s="963">
        <f t="shared" si="194"/>
        <v>0</v>
      </c>
      <c r="BC71" s="963">
        <f t="shared" si="194"/>
        <v>0</v>
      </c>
      <c r="BD71" s="963">
        <f t="shared" si="194"/>
        <v>0</v>
      </c>
      <c r="BE71" s="963">
        <f t="shared" si="194"/>
        <v>0</v>
      </c>
      <c r="BF71" s="963" t="e">
        <f t="shared" si="194"/>
        <v>#VALUE!</v>
      </c>
    </row>
    <row r="72" spans="1:58" ht="14.45" customHeight="1" thickBot="1" x14ac:dyDescent="0.35">
      <c r="A72" s="966" t="s">
        <v>20</v>
      </c>
      <c r="B72" s="414" t="b">
        <f>IF(Paramétrage!$O$48="",FALSE,Paramétrage!$O$48)</f>
        <v>0</v>
      </c>
      <c r="C72" s="263"/>
      <c r="D72" s="415" t="b">
        <f>IF(Paramétrage!$Q$48="",FALSE,Paramétrage!$Q$48)</f>
        <v>0</v>
      </c>
      <c r="E72" s="264"/>
      <c r="F72" s="414" t="b">
        <f>IF(Paramétrage!$R$48="",FALSE,Paramétrage!$R$48)</f>
        <v>0</v>
      </c>
      <c r="G72" s="264"/>
      <c r="H72" s="416" t="b">
        <f>IF(Paramétrage!$T$48="",FALSE,Paramétrage!$T$48)</f>
        <v>0</v>
      </c>
      <c r="I72" s="263"/>
      <c r="J72" s="417" t="b">
        <f>IF(Paramétrage!$U$48="",FALSE,Paramétrage!$U$48)</f>
        <v>0</v>
      </c>
      <c r="K72" s="263"/>
      <c r="L72" s="418" t="b">
        <f>IF(Paramétrage!$W$48="",FALSE,Paramétrage!$W$48)</f>
        <v>0</v>
      </c>
      <c r="M72" s="263"/>
      <c r="N72" s="956">
        <f>IF(OR(B72="aa",B72="m"),M72,IF(B72="cp",0,IF(B72="jc",0,IF(B72="f",0,(D72-B72)*Paramétrage!$S$13+(H72-F72)*Paramétrage!$S$13+(L72-J72)*Paramétrage!$S$13+(D72-B72+H72-F72+L72-J72)))))</f>
        <v>0</v>
      </c>
      <c r="O72" s="956">
        <f>IF(OR(C72="aa",C72="m"),N72,IF(C72="cp",0,IF(C72="jc",0,IF(C72="f",0,(E72-C72)*Paramétrage!$S$13+(I72-G72)*Paramétrage!$S$13+(M72-K72)*Paramétrage!$S$13+(E72-C72+I72-G72+M72-K72)))))</f>
        <v>0</v>
      </c>
      <c r="P72" s="956">
        <f t="shared" si="181"/>
        <v>0</v>
      </c>
      <c r="Q72" s="956">
        <f t="shared" si="171"/>
        <v>0</v>
      </c>
      <c r="R72" s="957">
        <f t="shared" ref="R72" si="195">IF(OR(C72="aa",C72="cp",C72="f",C72="jc",C72="m",C72=0),MAX(B72,D72,F72,H72,J72,L72)-MIN(B72,D72,F72,H72,J72,L72),IF(C72&lt;&gt;0,MAX(C72,E72,G72,I72,K72,M72)-MIN(C72,E72,G72,I72,K72,M72)))</f>
        <v>0</v>
      </c>
      <c r="S72" s="262"/>
      <c r="T72" s="958" t="str">
        <f t="shared" si="191"/>
        <v/>
      </c>
      <c r="U72" s="959" t="str">
        <f>IF(P72=0,"",IF(P72&lt;Paramétrage!$S$12,"PB",IF(AND(Q72&lt;Paramétrage!$S$12,Q72&lt;&gt;0),"PB","")))</f>
        <v/>
      </c>
      <c r="V72" s="959" t="str">
        <f t="shared" si="174"/>
        <v/>
      </c>
      <c r="W72" s="959" t="str">
        <f t="shared" si="175"/>
        <v/>
      </c>
      <c r="X72" s="960" t="str">
        <f t="shared" ref="X72" si="196">IF(AND(N72=0,O72=0),"",(IF(OR(C72="aa",C72="cp",C72="f",C72="jc",C72="m"),"",IF(C72="",IF(OR(D72-B72&gt;6/24,H72-F72&gt;6/24,L72-J72&gt;6/24),"PB",""),IF(OR(E72-C72&gt;6/24,I72-G72&gt;6/24,M72-K72&gt;6/24),"PB","")))))</f>
        <v/>
      </c>
      <c r="Y72" s="959" t="str">
        <f t="shared" si="177"/>
        <v/>
      </c>
      <c r="Z72" s="836"/>
      <c r="AA72" s="837"/>
      <c r="AC72" s="934">
        <f t="shared" si="182"/>
        <v>42653</v>
      </c>
      <c r="AD72" s="961">
        <f>IF(AND(N(AC72)&gt;=Paramétrage!$AU$11,N(AC72)&lt;=Paramétrage!$AU$12),IF(C72="cp",1,0),0)</f>
        <v>0</v>
      </c>
      <c r="AE72" s="962">
        <f t="shared" si="178"/>
        <v>0</v>
      </c>
      <c r="AF72" s="961">
        <f>IF(AND(N(AC72)&gt;=Paramétrage!$AX$11,N(AC72)&lt;=Paramétrage!$AX$12),IF(C72="cp",1,0),0)</f>
        <v>0</v>
      </c>
      <c r="AG72" s="962">
        <f t="shared" si="179"/>
        <v>0</v>
      </c>
      <c r="AI72" s="962">
        <f t="shared" si="183"/>
        <v>0</v>
      </c>
      <c r="AJ72" s="962">
        <f t="shared" si="184"/>
        <v>0</v>
      </c>
      <c r="AM72" s="962"/>
      <c r="AN72" s="962"/>
      <c r="AO72" s="962"/>
      <c r="AP72" s="962"/>
      <c r="AV72" s="954"/>
      <c r="AW72" s="963">
        <f t="shared" ref="AW72:BF72" si="197">IF(MONTH(AD72)=AW70,AH72,0)</f>
        <v>0</v>
      </c>
      <c r="AX72" s="963">
        <f t="shared" si="197"/>
        <v>0</v>
      </c>
      <c r="AY72" s="963">
        <f t="shared" si="197"/>
        <v>0</v>
      </c>
      <c r="AZ72" s="963">
        <f t="shared" si="197"/>
        <v>0</v>
      </c>
      <c r="BA72" s="963">
        <f t="shared" si="197"/>
        <v>0</v>
      </c>
      <c r="BB72" s="963">
        <f t="shared" si="197"/>
        <v>0</v>
      </c>
      <c r="BC72" s="963">
        <f t="shared" si="197"/>
        <v>0</v>
      </c>
      <c r="BD72" s="963">
        <f t="shared" si="197"/>
        <v>0</v>
      </c>
      <c r="BE72" s="963">
        <f t="shared" si="197"/>
        <v>0</v>
      </c>
      <c r="BF72" s="963">
        <f t="shared" si="197"/>
        <v>0</v>
      </c>
    </row>
    <row r="73" spans="1:58" x14ac:dyDescent="0.25">
      <c r="A73" s="969" t="s">
        <v>78</v>
      </c>
      <c r="B73" s="970"/>
      <c r="C73" s="970"/>
      <c r="D73" s="970"/>
      <c r="E73" s="970"/>
      <c r="F73" s="970"/>
      <c r="G73" s="970"/>
      <c r="H73" s="970"/>
      <c r="I73" s="970"/>
      <c r="J73" s="970"/>
      <c r="K73" s="971"/>
      <c r="L73" s="970"/>
      <c r="M73" s="970"/>
      <c r="N73" s="972">
        <f>SUM(N66:N72)</f>
        <v>0</v>
      </c>
      <c r="O73" s="972">
        <f>SUM(O66:O72)</f>
        <v>0</v>
      </c>
      <c r="P73" s="972">
        <f>SUM(P66:P72)</f>
        <v>0</v>
      </c>
      <c r="Q73" s="972">
        <f>SUM(Q66:Q72)</f>
        <v>0</v>
      </c>
      <c r="R73" s="972"/>
      <c r="S73" s="972"/>
      <c r="T73" s="973"/>
      <c r="U73" s="974"/>
      <c r="V73" s="975" t="str">
        <f>IF((O73*24)&gt;48,"PB","")</f>
        <v/>
      </c>
      <c r="W73" s="974"/>
      <c r="X73" s="972"/>
      <c r="Y73" s="974"/>
      <c r="Z73" s="976" t="s">
        <v>59</v>
      </c>
      <c r="AA73" s="977">
        <f>+O73-N73</f>
        <v>0</v>
      </c>
      <c r="AF73" s="961"/>
      <c r="AV73" s="954"/>
      <c r="AW73" s="963">
        <f t="shared" ref="AW73:BF73" si="198">IF(MONTH(AD73)=AW71,AH73,0)</f>
        <v>0</v>
      </c>
      <c r="AX73" s="963">
        <f t="shared" si="198"/>
        <v>0</v>
      </c>
      <c r="AY73" s="963">
        <f t="shared" si="198"/>
        <v>0</v>
      </c>
      <c r="AZ73" s="963">
        <f t="shared" si="198"/>
        <v>0</v>
      </c>
      <c r="BA73" s="963">
        <f t="shared" si="198"/>
        <v>0</v>
      </c>
      <c r="BB73" s="963">
        <f t="shared" si="198"/>
        <v>0</v>
      </c>
      <c r="BC73" s="963">
        <f t="shared" si="198"/>
        <v>0</v>
      </c>
      <c r="BD73" s="963">
        <f t="shared" si="198"/>
        <v>0</v>
      </c>
      <c r="BE73" s="963">
        <f t="shared" si="198"/>
        <v>0</v>
      </c>
      <c r="BF73" s="963" t="e">
        <f t="shared" si="198"/>
        <v>#VALUE!</v>
      </c>
    </row>
    <row r="74" spans="1:58" x14ac:dyDescent="0.25">
      <c r="A74" s="969"/>
      <c r="B74" s="969"/>
      <c r="C74" s="969"/>
      <c r="D74" s="969"/>
      <c r="E74" s="969"/>
      <c r="F74" s="994"/>
      <c r="G74" s="994"/>
      <c r="H74" s="994"/>
      <c r="I74" s="994"/>
      <c r="J74" s="994"/>
      <c r="K74" s="969"/>
      <c r="L74" s="969"/>
      <c r="M74" s="969"/>
      <c r="N74" s="973"/>
      <c r="O74" s="969"/>
      <c r="P74" s="980"/>
      <c r="Q74" s="980"/>
      <c r="R74" s="980"/>
      <c r="S74" s="981"/>
      <c r="T74" s="980"/>
      <c r="U74" s="980"/>
      <c r="V74" s="980"/>
      <c r="W74" s="980"/>
      <c r="X74" s="980"/>
      <c r="Y74" s="980"/>
      <c r="Z74" s="976"/>
      <c r="AA74" s="977"/>
      <c r="AF74" s="961"/>
      <c r="AV74" s="954"/>
      <c r="AW74" s="963">
        <f t="shared" ref="AW74:BF74" si="199">IF(MONTH(AD74)=AW72,AH74,0)</f>
        <v>0</v>
      </c>
      <c r="AX74" s="963">
        <f t="shared" si="199"/>
        <v>0</v>
      </c>
      <c r="AY74" s="963">
        <f t="shared" si="199"/>
        <v>0</v>
      </c>
      <c r="AZ74" s="963">
        <f t="shared" si="199"/>
        <v>0</v>
      </c>
      <c r="BA74" s="963">
        <f t="shared" si="199"/>
        <v>0</v>
      </c>
      <c r="BB74" s="963">
        <f t="shared" si="199"/>
        <v>0</v>
      </c>
      <c r="BC74" s="963">
        <f t="shared" si="199"/>
        <v>0</v>
      </c>
      <c r="BD74" s="963">
        <f t="shared" si="199"/>
        <v>0</v>
      </c>
      <c r="BE74" s="963">
        <f t="shared" si="199"/>
        <v>0</v>
      </c>
      <c r="BF74" s="963">
        <f t="shared" si="199"/>
        <v>0</v>
      </c>
    </row>
    <row r="75" spans="1:58" ht="16.5" x14ac:dyDescent="0.3">
      <c r="A75" s="969"/>
      <c r="B75" s="969"/>
      <c r="C75" s="969"/>
      <c r="D75" s="969"/>
      <c r="E75" s="969"/>
      <c r="F75" s="928">
        <f>+F63+7</f>
        <v>42654</v>
      </c>
      <c r="G75" s="928"/>
      <c r="H75" s="929" t="s">
        <v>58</v>
      </c>
      <c r="I75" s="928">
        <f>+F75+6</f>
        <v>42660</v>
      </c>
      <c r="J75" s="930"/>
      <c r="K75" s="969"/>
      <c r="L75" s="969"/>
      <c r="M75" s="969"/>
      <c r="N75" s="973"/>
      <c r="O75" s="969"/>
      <c r="P75" s="980"/>
      <c r="Q75" s="980"/>
      <c r="R75" s="980"/>
      <c r="S75" s="981"/>
      <c r="T75" s="980"/>
      <c r="U75" s="980"/>
      <c r="V75" s="980"/>
      <c r="W75" s="980"/>
      <c r="X75" s="980"/>
      <c r="Y75" s="980"/>
      <c r="Z75" s="976"/>
      <c r="AA75" s="995"/>
      <c r="AF75" s="961"/>
      <c r="AV75" s="954"/>
      <c r="AW75" s="963">
        <f t="shared" ref="AW75:BF75" si="200">IF(MONTH(AD75)=AW73,AH75,0)</f>
        <v>0</v>
      </c>
      <c r="AX75" s="963">
        <f t="shared" si="200"/>
        <v>0</v>
      </c>
      <c r="AY75" s="963">
        <f t="shared" si="200"/>
        <v>0</v>
      </c>
      <c r="AZ75" s="963">
        <f t="shared" si="200"/>
        <v>0</v>
      </c>
      <c r="BA75" s="963">
        <f t="shared" si="200"/>
        <v>0</v>
      </c>
      <c r="BB75" s="963">
        <f t="shared" si="200"/>
        <v>0</v>
      </c>
      <c r="BC75" s="963">
        <f t="shared" si="200"/>
        <v>0</v>
      </c>
      <c r="BD75" s="963">
        <f t="shared" si="200"/>
        <v>0</v>
      </c>
      <c r="BE75" s="963">
        <f t="shared" si="200"/>
        <v>0</v>
      </c>
      <c r="BF75" s="963" t="e">
        <f t="shared" si="200"/>
        <v>#VALUE!</v>
      </c>
    </row>
    <row r="76" spans="1:58" ht="14.45" customHeight="1" x14ac:dyDescent="0.25">
      <c r="A76" s="994"/>
      <c r="B76" s="938" t="s">
        <v>17</v>
      </c>
      <c r="C76" s="938"/>
      <c r="D76" s="938" t="s">
        <v>18</v>
      </c>
      <c r="E76" s="938"/>
      <c r="F76" s="938" t="s">
        <v>17</v>
      </c>
      <c r="G76" s="938"/>
      <c r="H76" s="938" t="s">
        <v>18</v>
      </c>
      <c r="I76" s="938"/>
      <c r="J76" s="938" t="s">
        <v>17</v>
      </c>
      <c r="K76" s="938"/>
      <c r="L76" s="938" t="s">
        <v>18</v>
      </c>
      <c r="M76" s="938"/>
      <c r="N76" s="939" t="s">
        <v>61</v>
      </c>
      <c r="O76" s="939" t="s">
        <v>62</v>
      </c>
      <c r="P76" s="939" t="s">
        <v>60</v>
      </c>
      <c r="Q76" s="939" t="s">
        <v>63</v>
      </c>
      <c r="R76" s="939" t="s">
        <v>64</v>
      </c>
      <c r="S76" s="940" t="s">
        <v>223</v>
      </c>
      <c r="T76" s="939" t="s">
        <v>70</v>
      </c>
      <c r="U76" s="941" t="s">
        <v>65</v>
      </c>
      <c r="V76" s="942"/>
      <c r="W76" s="942"/>
      <c r="X76" s="942"/>
      <c r="Y76" s="943"/>
      <c r="Z76" s="944" t="s">
        <v>22</v>
      </c>
      <c r="AA76" s="944"/>
      <c r="AF76" s="961"/>
      <c r="AV76" s="954"/>
      <c r="AW76" s="963">
        <f t="shared" ref="AW76:BF76" si="201">IF(MONTH(AD76)=AW74,AH76,0)</f>
        <v>0</v>
      </c>
      <c r="AX76" s="963">
        <f t="shared" si="201"/>
        <v>0</v>
      </c>
      <c r="AY76" s="963">
        <f t="shared" si="201"/>
        <v>0</v>
      </c>
      <c r="AZ76" s="963">
        <f t="shared" si="201"/>
        <v>0</v>
      </c>
      <c r="BA76" s="963">
        <f t="shared" si="201"/>
        <v>0</v>
      </c>
      <c r="BB76" s="963">
        <f t="shared" si="201"/>
        <v>0</v>
      </c>
      <c r="BC76" s="963">
        <f t="shared" si="201"/>
        <v>0</v>
      </c>
      <c r="BD76" s="963">
        <f t="shared" si="201"/>
        <v>0</v>
      </c>
      <c r="BE76" s="963">
        <f t="shared" si="201"/>
        <v>0</v>
      </c>
      <c r="BF76" s="963">
        <f t="shared" si="201"/>
        <v>0</v>
      </c>
    </row>
    <row r="77" spans="1:58" ht="26.25" thickBot="1" x14ac:dyDescent="0.4">
      <c r="A77" s="937" t="str">
        <f>"S"&amp;_xlfn.ISOWEEKNUM(F75)</f>
        <v>S42</v>
      </c>
      <c r="B77" s="949" t="s">
        <v>0</v>
      </c>
      <c r="C77" s="950" t="s">
        <v>1</v>
      </c>
      <c r="D77" s="949" t="s">
        <v>0</v>
      </c>
      <c r="E77" s="950" t="s">
        <v>1</v>
      </c>
      <c r="F77" s="949" t="s">
        <v>0</v>
      </c>
      <c r="G77" s="950" t="s">
        <v>1</v>
      </c>
      <c r="H77" s="949" t="s">
        <v>0</v>
      </c>
      <c r="I77" s="950" t="s">
        <v>1</v>
      </c>
      <c r="J77" s="949" t="s">
        <v>0</v>
      </c>
      <c r="K77" s="950" t="s">
        <v>1</v>
      </c>
      <c r="L77" s="949" t="s">
        <v>0</v>
      </c>
      <c r="M77" s="950" t="s">
        <v>1</v>
      </c>
      <c r="N77" s="951"/>
      <c r="O77" s="951"/>
      <c r="P77" s="951"/>
      <c r="Q77" s="951"/>
      <c r="R77" s="951"/>
      <c r="S77" s="951"/>
      <c r="T77" s="939"/>
      <c r="U77" s="952" t="s">
        <v>66</v>
      </c>
      <c r="V77" s="952" t="s">
        <v>67</v>
      </c>
      <c r="W77" s="952" t="s">
        <v>68</v>
      </c>
      <c r="X77" s="952" t="s">
        <v>137</v>
      </c>
      <c r="Y77" s="952" t="s">
        <v>69</v>
      </c>
      <c r="Z77" s="944"/>
      <c r="AA77" s="944"/>
      <c r="AF77" s="961"/>
      <c r="AM77" s="917" t="s">
        <v>274</v>
      </c>
      <c r="AV77" s="954"/>
      <c r="AW77" s="963">
        <f t="shared" ref="AW77:BF77" si="202">IF(MONTH(AD77)=AW75,AH77,0)</f>
        <v>0</v>
      </c>
      <c r="AX77" s="963">
        <f t="shared" si="202"/>
        <v>0</v>
      </c>
      <c r="AY77" s="963">
        <f t="shared" si="202"/>
        <v>0</v>
      </c>
      <c r="AZ77" s="963">
        <f t="shared" si="202"/>
        <v>0</v>
      </c>
      <c r="BA77" s="963">
        <f t="shared" si="202"/>
        <v>0</v>
      </c>
      <c r="BB77" s="963">
        <f t="shared" si="202"/>
        <v>0</v>
      </c>
      <c r="BC77" s="963">
        <f t="shared" si="202"/>
        <v>0</v>
      </c>
      <c r="BD77" s="963">
        <f t="shared" si="202"/>
        <v>0</v>
      </c>
      <c r="BE77" s="963">
        <f t="shared" si="202"/>
        <v>0</v>
      </c>
      <c r="BF77" s="963" t="e">
        <f t="shared" si="202"/>
        <v>#VALUE!</v>
      </c>
    </row>
    <row r="78" spans="1:58" ht="14.45" customHeight="1" x14ac:dyDescent="0.3">
      <c r="A78" s="955" t="s">
        <v>12</v>
      </c>
      <c r="B78" s="414" t="b">
        <f>IF(Paramétrage!$O$42="",FALSE,Paramétrage!$O$42)</f>
        <v>0</v>
      </c>
      <c r="C78" s="263"/>
      <c r="D78" s="415" t="b">
        <f>IF(Paramétrage!$Q$42="",FALSE,Paramétrage!$Q$42)</f>
        <v>0</v>
      </c>
      <c r="E78" s="264"/>
      <c r="F78" s="414" t="b">
        <f>IF(Paramétrage!$R$42="",FALSE,Paramétrage!$R$42)</f>
        <v>0</v>
      </c>
      <c r="G78" s="264"/>
      <c r="H78" s="416" t="b">
        <f>IF(Paramétrage!$T$42="",FALSE,Paramétrage!$T$42)</f>
        <v>0</v>
      </c>
      <c r="I78" s="263"/>
      <c r="J78" s="417" t="b">
        <f>IF(Paramétrage!$U$42="",FALSE,Paramétrage!$U$42)</f>
        <v>0</v>
      </c>
      <c r="K78" s="263"/>
      <c r="L78" s="418" t="b">
        <f>IF(Paramétrage!$W$42="",FALSE,Paramétrage!$W$42)</f>
        <v>0</v>
      </c>
      <c r="M78" s="263"/>
      <c r="N78" s="956">
        <f t="shared" ref="N78:N80" si="203">IF(OR(B78="aa",B78="cp",B78="f",B78="jc",B78="m",B78="css"),0,(L78-J78)+(H78-F78)+(D78-B78))</f>
        <v>0</v>
      </c>
      <c r="O78" s="956">
        <f t="shared" ref="O78:O80" si="204">SUM(AM78:AP78)+IF(OR(C78="m",C78="aa"),N78,IF(C78="css",0,IF(C78="cp",0,IF(C78="jc",0,IF(C78="f",0,E78-C78+I78-G78+M78-K78)))))</f>
        <v>0</v>
      </c>
      <c r="P78" s="956">
        <f>IF(OR(C78="aa",C78="cp",C78="f",C78="jc",C78="m",C78="css"),0,IF(C78="",IF(OR(F78="",F78=FALSE),0,F78-D78),IF(G78="",0,G78-E78)))</f>
        <v>0</v>
      </c>
      <c r="Q78" s="956">
        <f t="shared" ref="Q78:Q84" si="205">IF(P78=0,0,IF(G78="",IF(OR(J78="",J78=FALSE),0,J78-H78),IF(K78="",0,K78-I78)))</f>
        <v>0</v>
      </c>
      <c r="R78" s="957">
        <f t="shared" ref="R78:R80" si="206">IF(OR(C78="aa",C78="cp",C78="f",C78="jc",C78="m",C78="css"),0,IF(C78=0,MAX(B78,D78,F78,H78,J78,L78)-MIN(B78,D78,F78,H78,J78,L78),IF(C78&lt;&gt;0,MAX(C78,E78,G78,I78,K78,M78)-MIN(C78,E78,G78,I78,K78,M78))))</f>
        <v>0</v>
      </c>
      <c r="S78" s="262"/>
      <c r="T78" s="958" t="str">
        <f t="shared" ref="T78:T79" si="207">IF(AND(B78=FALSE,C78=""),"",IF(AND(B78=0,C78=0),"",(IF(OR(C78="cp",C78="f",C78="jc",C78="css"),"",IF(OR(C78="",C78="aa",C78="m"),(IF(OR(B78="cp",B78="f",B78="jc",B78="css"),"",B78*24+24-MAX(D77,H77,L77)*24)),C78*24+24-MAX(M77,I77,E77)*24)))))</f>
        <v/>
      </c>
      <c r="U78" s="959" t="str">
        <f>IF(P78=0,"",IF(P78&lt;Paramétrage!$S$12,"PB",IF(AND(Q78&lt;Paramétrage!$S$12,Q78&lt;&gt;0),"PB","")))</f>
        <v/>
      </c>
      <c r="V78" s="959" t="str">
        <f t="shared" ref="V78:V84" si="208">IF(C78="",IF((N78*24)&gt;10,"PB",""),IF((O78*24)&gt;10,"PB",""))</f>
        <v/>
      </c>
      <c r="W78" s="959" t="str">
        <f t="shared" ref="W78:W84" si="209">IF((R78*24)&gt;12,"PB","")</f>
        <v/>
      </c>
      <c r="X78" s="960" t="str">
        <f t="shared" ref="X78:X80" si="210">IF(AND(N78=0,O78=0),"",(IF(OR(C78="aa",C78="cp",C78="f",C78="jc",C78="m",C78="css"),"",IF(C78="",IF(OR(D78-B78&gt;6/24,H78-F78&gt;6/24,L78-J78&gt;6/24),"PB",""),IF(OR(E78-C78&gt;6/24,I78-G78&gt;6/24,M78-K78&gt;6/24),"PB","")))))</f>
        <v/>
      </c>
      <c r="Y78" s="959" t="str">
        <f t="shared" ref="Y78:Y84" si="211">IF(T78="","",IF(T78&lt;11,"PB",""))</f>
        <v/>
      </c>
      <c r="Z78" s="836"/>
      <c r="AA78" s="837"/>
      <c r="AC78" s="934">
        <f>AC72+1</f>
        <v>42654</v>
      </c>
      <c r="AD78" s="961">
        <f>IF(AND(N(AC78)&gt;=Paramétrage!$AU$11,N(AC78)&lt;=Paramétrage!$AU$12),IF(C78="cp",1,0),0)</f>
        <v>0</v>
      </c>
      <c r="AE78" s="962">
        <f t="shared" ref="AE78:AE84" si="212">N78</f>
        <v>0</v>
      </c>
      <c r="AF78" s="961">
        <f>IF(AND(N(AC78)&gt;=Paramétrage!$AX$11,N(AC78)&lt;=Paramétrage!$AX$12),IF(C78="cp",1,0),0)</f>
        <v>0</v>
      </c>
      <c r="AG78" s="962">
        <f>O78</f>
        <v>0</v>
      </c>
      <c r="AI78" s="962">
        <f>AE78+AI72</f>
        <v>0</v>
      </c>
      <c r="AJ78" s="962">
        <f>AG78+AJ72</f>
        <v>0</v>
      </c>
      <c r="AM78" s="962">
        <f>IF(AND($B78="cp",$C78="m"),$Z78,0)</f>
        <v>0</v>
      </c>
      <c r="AN78" s="962">
        <f>IF(AND($B78="jc",$C78="m"),$Z78,0)</f>
        <v>0</v>
      </c>
      <c r="AO78" s="962">
        <f>IF(AND($B78="cp",$C78="aa"),$Z78,0)</f>
        <v>0</v>
      </c>
      <c r="AP78" s="962">
        <f>IF(AND($B78="jc",$C78="aa"),$Z78,0)</f>
        <v>0</v>
      </c>
      <c r="AR78" s="917">
        <f>IF(AND(AC78&lt;=$AR$3,B78="CP"),1,0)</f>
        <v>0</v>
      </c>
      <c r="AS78" s="917">
        <f>IF(AND(AC78&lt;=$AR$3,C78="CP"),1,0)</f>
        <v>0</v>
      </c>
      <c r="AV78" s="954"/>
      <c r="AW78" s="963">
        <f t="shared" ref="AW78:BF78" si="213">IF(MONTH(AD78)=AW76,AH78,0)</f>
        <v>0</v>
      </c>
      <c r="AX78" s="963">
        <f t="shared" si="213"/>
        <v>0</v>
      </c>
      <c r="AY78" s="963">
        <f t="shared" si="213"/>
        <v>0</v>
      </c>
      <c r="AZ78" s="963">
        <f t="shared" si="213"/>
        <v>0</v>
      </c>
      <c r="BA78" s="963">
        <f t="shared" si="213"/>
        <v>0</v>
      </c>
      <c r="BB78" s="963">
        <f t="shared" si="213"/>
        <v>0</v>
      </c>
      <c r="BC78" s="963">
        <f t="shared" si="213"/>
        <v>0</v>
      </c>
      <c r="BD78" s="963">
        <f t="shared" si="213"/>
        <v>0</v>
      </c>
      <c r="BE78" s="963">
        <f t="shared" si="213"/>
        <v>0</v>
      </c>
      <c r="BF78" s="963">
        <f t="shared" si="213"/>
        <v>0</v>
      </c>
    </row>
    <row r="79" spans="1:58" ht="14.45" customHeight="1" x14ac:dyDescent="0.3">
      <c r="A79" s="964" t="s">
        <v>13</v>
      </c>
      <c r="B79" s="414" t="b">
        <f>IF(Paramétrage!$O$43="",FALSE,Paramétrage!$O$43)</f>
        <v>0</v>
      </c>
      <c r="C79" s="263"/>
      <c r="D79" s="415" t="b">
        <f>IF(Paramétrage!$Q$43="",FALSE,Paramétrage!$Q$43)</f>
        <v>0</v>
      </c>
      <c r="E79" s="264"/>
      <c r="F79" s="414" t="b">
        <f>IF(Paramétrage!$R$43="",FALSE,Paramétrage!$R$43)</f>
        <v>0</v>
      </c>
      <c r="G79" s="264"/>
      <c r="H79" s="416" t="b">
        <f>IF(Paramétrage!$T$43="",FALSE,Paramétrage!$T$43)</f>
        <v>0</v>
      </c>
      <c r="I79" s="263"/>
      <c r="J79" s="417" t="b">
        <f>IF(Paramétrage!$U$43="",FALSE,Paramétrage!$U$43)</f>
        <v>0</v>
      </c>
      <c r="K79" s="263"/>
      <c r="L79" s="418" t="b">
        <f>IF(Paramétrage!$W$43="",FALSE,Paramétrage!$W$43)</f>
        <v>0</v>
      </c>
      <c r="M79" s="263"/>
      <c r="N79" s="956">
        <f t="shared" si="203"/>
        <v>0</v>
      </c>
      <c r="O79" s="956">
        <f t="shared" si="204"/>
        <v>0</v>
      </c>
      <c r="P79" s="956">
        <f t="shared" ref="P79:P84" si="214">IF(OR(C79="aa",C79="cp",C79="f",C79="jc",C79="m",C79="css"),0,IF(C79="",IF(OR(F79="",F79=FALSE),0,F79-D79),IF(G79="",0,G79-E79)))</f>
        <v>0</v>
      </c>
      <c r="Q79" s="956">
        <f t="shared" si="205"/>
        <v>0</v>
      </c>
      <c r="R79" s="957">
        <f t="shared" si="206"/>
        <v>0</v>
      </c>
      <c r="S79" s="262"/>
      <c r="T79" s="958" t="str">
        <f t="shared" si="207"/>
        <v/>
      </c>
      <c r="U79" s="959" t="str">
        <f>IF(P79=0,"",IF(P79&lt;Paramétrage!$S$12,"PB",IF(AND(Q79&lt;Paramétrage!$S$12,Q79&lt;&gt;0),"PB","")))</f>
        <v/>
      </c>
      <c r="V79" s="959" t="str">
        <f t="shared" si="208"/>
        <v/>
      </c>
      <c r="W79" s="959" t="str">
        <f t="shared" si="209"/>
        <v/>
      </c>
      <c r="X79" s="960" t="str">
        <f t="shared" si="210"/>
        <v/>
      </c>
      <c r="Y79" s="959" t="str">
        <f t="shared" si="211"/>
        <v/>
      </c>
      <c r="Z79" s="836"/>
      <c r="AA79" s="837"/>
      <c r="AC79" s="934">
        <f t="shared" ref="AC79:AC84" si="215">AC78+1</f>
        <v>42655</v>
      </c>
      <c r="AD79" s="961">
        <f>IF(AND(N(AC79)&gt;=Paramétrage!$AU$11,N(AC79)&lt;=Paramétrage!$AU$12),IF(C79="cp",1,0),0)</f>
        <v>0</v>
      </c>
      <c r="AE79" s="962">
        <f t="shared" si="212"/>
        <v>0</v>
      </c>
      <c r="AF79" s="961">
        <f>IF(AND(N(AC79)&gt;=Paramétrage!$AX$11,N(AC79)&lt;=Paramétrage!$AX$12),IF(C79="cp",1,0),0)</f>
        <v>0</v>
      </c>
      <c r="AG79" s="962">
        <f t="shared" ref="AG79:AG84" si="216">O79</f>
        <v>0</v>
      </c>
      <c r="AI79" s="962">
        <f t="shared" ref="AI79:AI84" si="217">AE79+AI78</f>
        <v>0</v>
      </c>
      <c r="AJ79" s="962">
        <f t="shared" ref="AJ79:AJ84" si="218">AG79+AJ78</f>
        <v>0</v>
      </c>
      <c r="AM79" s="962">
        <f t="shared" ref="AM79:AM82" si="219">IF(AND($B79="cp",$C79="m"),$Z79,0)</f>
        <v>0</v>
      </c>
      <c r="AN79" s="962">
        <f t="shared" ref="AN79:AN82" si="220">IF(AND($B79="jc",$C79="m"),$Z79,0)</f>
        <v>0</v>
      </c>
      <c r="AO79" s="962">
        <f t="shared" ref="AO79:AO82" si="221">IF(AND($B79="cp",$C79="aa"),$Z79,0)</f>
        <v>0</v>
      </c>
      <c r="AP79" s="962">
        <f t="shared" ref="AP79:AP82" si="222">IF(AND($B79="jc",$C79="aa"),$Z79,0)</f>
        <v>0</v>
      </c>
      <c r="AR79" s="917">
        <f>IF(AND(AC79&lt;=$AR$3,B79="CP"),1,0)</f>
        <v>0</v>
      </c>
      <c r="AS79" s="917">
        <f>IF(AND(AC79&lt;=$AR$3,C79="CP"),1,0)</f>
        <v>0</v>
      </c>
      <c r="AV79" s="954"/>
      <c r="AW79" s="963">
        <f t="shared" ref="AW79:BF79" si="223">IF(MONTH(AD79)=AW77,AH79,0)</f>
        <v>0</v>
      </c>
      <c r="AX79" s="963">
        <f t="shared" si="223"/>
        <v>0</v>
      </c>
      <c r="AY79" s="963">
        <f t="shared" si="223"/>
        <v>0</v>
      </c>
      <c r="AZ79" s="963">
        <f t="shared" si="223"/>
        <v>0</v>
      </c>
      <c r="BA79" s="963">
        <f t="shared" si="223"/>
        <v>0</v>
      </c>
      <c r="BB79" s="963">
        <f t="shared" si="223"/>
        <v>0</v>
      </c>
      <c r="BC79" s="963">
        <f t="shared" si="223"/>
        <v>0</v>
      </c>
      <c r="BD79" s="963">
        <f t="shared" si="223"/>
        <v>0</v>
      </c>
      <c r="BE79" s="963">
        <f t="shared" si="223"/>
        <v>0</v>
      </c>
      <c r="BF79" s="963" t="e">
        <f t="shared" si="223"/>
        <v>#VALUE!</v>
      </c>
    </row>
    <row r="80" spans="1:58" ht="14.45" customHeight="1" x14ac:dyDescent="0.3">
      <c r="A80" s="964" t="s">
        <v>14</v>
      </c>
      <c r="B80" s="414" t="b">
        <f>IF(Paramétrage!$O$44="",FALSE,Paramétrage!$O$44)</f>
        <v>0</v>
      </c>
      <c r="C80" s="263"/>
      <c r="D80" s="415" t="b">
        <f>IF(Paramétrage!$Q$44="",FALSE,Paramétrage!$Q$44)</f>
        <v>0</v>
      </c>
      <c r="E80" s="264"/>
      <c r="F80" s="414" t="b">
        <f>IF(Paramétrage!$R$44="",FALSE,Paramétrage!$R$44)</f>
        <v>0</v>
      </c>
      <c r="G80" s="264"/>
      <c r="H80" s="416" t="b">
        <f>IF(Paramétrage!$T$44="",FALSE,Paramétrage!$T$44)</f>
        <v>0</v>
      </c>
      <c r="I80" s="263"/>
      <c r="J80" s="417" t="b">
        <f>IF(Paramétrage!$U$44="",FALSE,Paramétrage!$U$44)</f>
        <v>0</v>
      </c>
      <c r="K80" s="263"/>
      <c r="L80" s="418" t="b">
        <f>IF(Paramétrage!$W$44="",FALSE,Paramétrage!$W$44)</f>
        <v>0</v>
      </c>
      <c r="M80" s="263"/>
      <c r="N80" s="956">
        <f t="shared" si="203"/>
        <v>0</v>
      </c>
      <c r="O80" s="956">
        <f t="shared" si="204"/>
        <v>0</v>
      </c>
      <c r="P80" s="956">
        <f t="shared" si="214"/>
        <v>0</v>
      </c>
      <c r="Q80" s="956">
        <f t="shared" si="205"/>
        <v>0</v>
      </c>
      <c r="R80" s="957">
        <f t="shared" si="206"/>
        <v>0</v>
      </c>
      <c r="S80" s="262"/>
      <c r="T80" s="958" t="str">
        <f>IF(AND(B80=FALSE,C80=""),"",IF(AND(B80=0,C80=0),"",(IF(OR(C80="cp",C80="f",C80="jc",C80="css"),"",IF(OR(C80="",C80="aa",C80="m"),(IF(OR(B80="cp",B80="f",B80="jc",B80="css"),"",B80*24+24-MAX(D79,H79,L79)*24)),C80*24+24-MAX(M79,I79,E79)*24)))))</f>
        <v/>
      </c>
      <c r="U80" s="959" t="str">
        <f>IF(P80=0,"",IF(P80&lt;Paramétrage!$S$12,"PB",IF(AND(Q80&lt;Paramétrage!$S$12,Q80&lt;&gt;0),"PB","")))</f>
        <v/>
      </c>
      <c r="V80" s="959" t="str">
        <f t="shared" si="208"/>
        <v/>
      </c>
      <c r="W80" s="959" t="str">
        <f t="shared" si="209"/>
        <v/>
      </c>
      <c r="X80" s="960" t="str">
        <f t="shared" si="210"/>
        <v/>
      </c>
      <c r="Y80" s="959" t="str">
        <f t="shared" si="211"/>
        <v/>
      </c>
      <c r="Z80" s="836"/>
      <c r="AA80" s="837"/>
      <c r="AC80" s="934">
        <f t="shared" si="215"/>
        <v>42656</v>
      </c>
      <c r="AD80" s="961">
        <f>IF(AND(N(AC80)&gt;=Paramétrage!$AU$11,N(AC80)&lt;=Paramétrage!$AU$12),IF(C80="cp",1,0),0)</f>
        <v>0</v>
      </c>
      <c r="AE80" s="962">
        <f t="shared" si="212"/>
        <v>0</v>
      </c>
      <c r="AF80" s="961">
        <f>IF(AND(N(AC80)&gt;=Paramétrage!$AX$11,N(AC80)&lt;=Paramétrage!$AX$12),IF(C80="cp",1,0),0)</f>
        <v>0</v>
      </c>
      <c r="AG80" s="962">
        <f t="shared" si="216"/>
        <v>0</v>
      </c>
      <c r="AI80" s="962">
        <f t="shared" si="217"/>
        <v>0</v>
      </c>
      <c r="AJ80" s="962">
        <f t="shared" si="218"/>
        <v>0</v>
      </c>
      <c r="AM80" s="962">
        <f t="shared" si="219"/>
        <v>0</v>
      </c>
      <c r="AN80" s="962">
        <f t="shared" si="220"/>
        <v>0</v>
      </c>
      <c r="AO80" s="962">
        <f t="shared" si="221"/>
        <v>0</v>
      </c>
      <c r="AP80" s="962">
        <f t="shared" si="222"/>
        <v>0</v>
      </c>
      <c r="AR80" s="917">
        <f>IF(AND(AC80&lt;=$AR$3,B80="CP"),1,0)</f>
        <v>0</v>
      </c>
      <c r="AS80" s="917">
        <f>IF(AND(AC80&lt;=$AR$3,C80="CP"),1,0)</f>
        <v>0</v>
      </c>
      <c r="AV80" s="954"/>
      <c r="AW80" s="963">
        <f t="shared" ref="AW80:BF80" si="224">IF(MONTH(AD80)=AW78,AH80,0)</f>
        <v>0</v>
      </c>
      <c r="AX80" s="963">
        <f t="shared" si="224"/>
        <v>0</v>
      </c>
      <c r="AY80" s="963">
        <f t="shared" si="224"/>
        <v>0</v>
      </c>
      <c r="AZ80" s="963">
        <f t="shared" si="224"/>
        <v>0</v>
      </c>
      <c r="BA80" s="963">
        <f t="shared" si="224"/>
        <v>0</v>
      </c>
      <c r="BB80" s="963">
        <f t="shared" si="224"/>
        <v>0</v>
      </c>
      <c r="BC80" s="963">
        <f t="shared" si="224"/>
        <v>0</v>
      </c>
      <c r="BD80" s="963">
        <f t="shared" si="224"/>
        <v>0</v>
      </c>
      <c r="BE80" s="963">
        <f t="shared" si="224"/>
        <v>0</v>
      </c>
      <c r="BF80" s="963">
        <f t="shared" si="224"/>
        <v>0</v>
      </c>
    </row>
    <row r="81" spans="1:58" ht="14.45" customHeight="1" x14ac:dyDescent="0.3">
      <c r="A81" s="964" t="s">
        <v>15</v>
      </c>
      <c r="B81" s="414" t="b">
        <f>IF(Paramétrage!$O$45="",FALSE,Paramétrage!$O$45)</f>
        <v>0</v>
      </c>
      <c r="C81" s="263"/>
      <c r="D81" s="415" t="b">
        <f>IF(Paramétrage!$Q$45="",FALSE,Paramétrage!$Q$45)</f>
        <v>0</v>
      </c>
      <c r="E81" s="264"/>
      <c r="F81" s="414" t="b">
        <f>IF(Paramétrage!$R$45="",FALSE,Paramétrage!$R$45)</f>
        <v>0</v>
      </c>
      <c r="G81" s="264"/>
      <c r="H81" s="416" t="b">
        <f>IF(Paramétrage!$T$45="",FALSE,Paramétrage!$T$45)</f>
        <v>0</v>
      </c>
      <c r="I81" s="263"/>
      <c r="J81" s="417" t="b">
        <f>IF(Paramétrage!$U$45="",FALSE,Paramétrage!$U$45)</f>
        <v>0</v>
      </c>
      <c r="K81" s="263"/>
      <c r="L81" s="418" t="b">
        <f>IF(Paramétrage!$W$45="",FALSE,Paramétrage!$W$45)</f>
        <v>0</v>
      </c>
      <c r="M81" s="263"/>
      <c r="N81" s="956">
        <f>IF(OR(B81="aa",B81="cp",B81="f",B81="jc",B81="m",B81="css"),0,(L81-J81)+(H81-F81)+(D81-B81))</f>
        <v>0</v>
      </c>
      <c r="O81" s="956">
        <f>SUM(AM81:AP81)+IF(OR(C81="m",C81="aa"),N81,IF(C81="css",0,IF(C81="cp",0,IF(C81="jc",0,IF(C81="f",0,E81-C81+I81-G81+M81-K81)))))</f>
        <v>0</v>
      </c>
      <c r="P81" s="956">
        <f t="shared" si="214"/>
        <v>0</v>
      </c>
      <c r="Q81" s="956">
        <f t="shared" si="205"/>
        <v>0</v>
      </c>
      <c r="R81" s="957">
        <f>IF(OR(C81="aa",C81="cp",C81="f",C81="jc",C81="m",C81="css"),0,IF(C81=0,MAX(B81,D81,F81,H81,J81,L81)-MIN(B81,D81,F81,H81,J81,L81),IF(C81&lt;&gt;0,MAX(C81,E81,G81,I81,K81,M81)-MIN(C81,E81,G81,I81,K81,M81))))</f>
        <v>0</v>
      </c>
      <c r="S81" s="262"/>
      <c r="T81" s="958" t="str">
        <f t="shared" ref="T81:T84" si="225">IF(AND(B81=FALSE,C81=""),"",IF(AND(B81=0,C81=0),"",(IF(OR(C81="cp",C81="f",C81="jc",C81="css"),"",IF(OR(C81="",C81="aa",C81="m"),(IF(OR(B81="cp",B81="f",B81="jc",B81="css"),"",B81*24+24-MAX(D80,H80,L80)*24)),C81*24+24-MAX(M80,I80,E80)*24)))))</f>
        <v/>
      </c>
      <c r="U81" s="959" t="str">
        <f>IF(P81=0,"",IF(P81&lt;Paramétrage!$S$12,"PB",IF(AND(Q81&lt;Paramétrage!$S$12,Q81&lt;&gt;0),"PB","")))</f>
        <v/>
      </c>
      <c r="V81" s="959" t="str">
        <f t="shared" si="208"/>
        <v/>
      </c>
      <c r="W81" s="959" t="str">
        <f t="shared" si="209"/>
        <v/>
      </c>
      <c r="X81" s="960" t="str">
        <f>IF(AND(N81=0,O81=0),"",(IF(OR(C81="aa",C81="cp",C81="f",C81="jc",C81="m",C81="css"),"",IF(C81="",IF(OR(D81-B81&gt;6/24,H81-F81&gt;6/24,L81-J81&gt;6/24),"PB",""),IF(OR(E81-C81&gt;6/24,I81-G81&gt;6/24,M81-K81&gt;6/24),"PB","")))))</f>
        <v/>
      </c>
      <c r="Y81" s="959" t="str">
        <f t="shared" si="211"/>
        <v/>
      </c>
      <c r="Z81" s="836"/>
      <c r="AA81" s="837"/>
      <c r="AC81" s="934">
        <f t="shared" si="215"/>
        <v>42657</v>
      </c>
      <c r="AD81" s="961">
        <f>IF(AND(N(AC81)&gt;=Paramétrage!$AU$11,N(AC81)&lt;=Paramétrage!$AU$12),IF(C81="cp",1,0),0)</f>
        <v>0</v>
      </c>
      <c r="AE81" s="962">
        <f t="shared" si="212"/>
        <v>0</v>
      </c>
      <c r="AF81" s="961">
        <f>IF(AND(N(AC81)&gt;=Paramétrage!$AX$11,N(AC81)&lt;=Paramétrage!$AX$12),IF(C81="cp",1,0),0)</f>
        <v>0</v>
      </c>
      <c r="AG81" s="962">
        <f t="shared" si="216"/>
        <v>0</v>
      </c>
      <c r="AI81" s="962">
        <f t="shared" si="217"/>
        <v>0</v>
      </c>
      <c r="AJ81" s="962">
        <f t="shared" si="218"/>
        <v>0</v>
      </c>
      <c r="AM81" s="962">
        <f t="shared" si="219"/>
        <v>0</v>
      </c>
      <c r="AN81" s="962">
        <f t="shared" si="220"/>
        <v>0</v>
      </c>
      <c r="AO81" s="962">
        <f t="shared" si="221"/>
        <v>0</v>
      </c>
      <c r="AP81" s="962">
        <f t="shared" si="222"/>
        <v>0</v>
      </c>
      <c r="AR81" s="917">
        <f>IF(AND(AC81&lt;=$AR$3,B81="CP"),1,0)</f>
        <v>0</v>
      </c>
      <c r="AS81" s="917">
        <f>IF(AND(AC81&lt;=$AR$3,C81="CP"),1,0)</f>
        <v>0</v>
      </c>
      <c r="AV81" s="954"/>
      <c r="AW81" s="963">
        <f t="shared" ref="AW81:BF81" si="226">IF(MONTH(AD81)=AW79,AH81,0)</f>
        <v>0</v>
      </c>
      <c r="AX81" s="963">
        <f t="shared" si="226"/>
        <v>0</v>
      </c>
      <c r="AY81" s="963">
        <f t="shared" si="226"/>
        <v>0</v>
      </c>
      <c r="AZ81" s="963">
        <f t="shared" si="226"/>
        <v>0</v>
      </c>
      <c r="BA81" s="963">
        <f t="shared" si="226"/>
        <v>0</v>
      </c>
      <c r="BB81" s="963">
        <f t="shared" si="226"/>
        <v>0</v>
      </c>
      <c r="BC81" s="963">
        <f t="shared" si="226"/>
        <v>0</v>
      </c>
      <c r="BD81" s="963">
        <f t="shared" si="226"/>
        <v>0</v>
      </c>
      <c r="BE81" s="963">
        <f t="shared" si="226"/>
        <v>0</v>
      </c>
      <c r="BF81" s="963" t="e">
        <f t="shared" si="226"/>
        <v>#VALUE!</v>
      </c>
    </row>
    <row r="82" spans="1:58" ht="14.45" customHeight="1" x14ac:dyDescent="0.3">
      <c r="A82" s="964" t="s">
        <v>16</v>
      </c>
      <c r="B82" s="414" t="b">
        <f>IF(Paramétrage!$O$46="",FALSE,Paramétrage!$O$46)</f>
        <v>0</v>
      </c>
      <c r="C82" s="263"/>
      <c r="D82" s="415" t="b">
        <f>IF(Paramétrage!$Q$46="",FALSE,Paramétrage!$Q$46)</f>
        <v>0</v>
      </c>
      <c r="E82" s="264"/>
      <c r="F82" s="414" t="b">
        <f>IF(Paramétrage!$R$46="",FALSE,Paramétrage!$R$46)</f>
        <v>0</v>
      </c>
      <c r="G82" s="264"/>
      <c r="H82" s="416" t="b">
        <f>IF(Paramétrage!$T$46="",FALSE,Paramétrage!$T$46)</f>
        <v>0</v>
      </c>
      <c r="I82" s="263"/>
      <c r="J82" s="417" t="b">
        <f>IF(Paramétrage!$U$46="",FALSE,Paramétrage!$U$46)</f>
        <v>0</v>
      </c>
      <c r="K82" s="263"/>
      <c r="L82" s="418" t="b">
        <f>IF(Paramétrage!$W$46="",FALSE,Paramétrage!$W$46)</f>
        <v>0</v>
      </c>
      <c r="M82" s="263"/>
      <c r="N82" s="956">
        <f>IF(OR(B82="aa",B82="cp",B82="f",B82="jc",B82="m",B82="css"),0,(L82-J82)+(H82-F82)+(D82-B82))</f>
        <v>0</v>
      </c>
      <c r="O82" s="956">
        <f>SUM(AM82:AP82)+IF(OR(C82="m",C82="aa"),N82,IF(C82="css",0,IF(C82="cp",0,IF(C82="jc",0,IF(C82="f",0,E82-C82+I82-G82+M82-K82)))))</f>
        <v>0</v>
      </c>
      <c r="P82" s="956">
        <f t="shared" si="214"/>
        <v>0</v>
      </c>
      <c r="Q82" s="956">
        <f t="shared" si="205"/>
        <v>0</v>
      </c>
      <c r="R82" s="957">
        <f>IF(OR(C82="aa",C82="cp",C82="f",C82="jc",C82="m",C82="css"),0,IF(C82=0,MAX(B82,D82,F82,H82,J82,L82)-MIN(B82,D82,F82,H82,J82,L82),IF(C82&lt;&gt;0,MAX(C82,E82,G82,I82,K82,M82)-MIN(C82,E82,G82,I82,K82,M82))))</f>
        <v>0</v>
      </c>
      <c r="S82" s="262"/>
      <c r="T82" s="958" t="str">
        <f t="shared" si="225"/>
        <v/>
      </c>
      <c r="U82" s="959" t="str">
        <f>IF(P82=0,"",IF(P82&lt;Paramétrage!$S$12,"PB",IF(AND(Q82&lt;Paramétrage!$S$12,Q82&lt;&gt;0),"PB","")))</f>
        <v/>
      </c>
      <c r="V82" s="959" t="str">
        <f t="shared" si="208"/>
        <v/>
      </c>
      <c r="W82" s="959" t="str">
        <f t="shared" si="209"/>
        <v/>
      </c>
      <c r="X82" s="960" t="str">
        <f>IF(AND(N82=0,O82=0),"",(IF(OR(C82="aa",C82="cp",C82="f",C82="jc",C82="m",C82="css"),"",IF(C82="",IF(OR(D82-B82&gt;6/24,H82-F82&gt;6/24,L82-J82&gt;6/24),"PB",""),IF(OR(E82-C82&gt;6/24,I82-G82&gt;6/24,M82-K82&gt;6/24),"PB","")))))</f>
        <v/>
      </c>
      <c r="Y82" s="959" t="str">
        <f t="shared" si="211"/>
        <v/>
      </c>
      <c r="Z82" s="836"/>
      <c r="AA82" s="837"/>
      <c r="AC82" s="934">
        <f t="shared" si="215"/>
        <v>42658</v>
      </c>
      <c r="AD82" s="961">
        <f>IF(AND(N(AC82)&gt;=Paramétrage!$AU$11,N(AC82)&lt;=Paramétrage!$AU$12),IF(C82="cp",1,0),0)</f>
        <v>0</v>
      </c>
      <c r="AE82" s="962">
        <f t="shared" si="212"/>
        <v>0</v>
      </c>
      <c r="AF82" s="961">
        <f>IF(AND(N(AC82)&gt;=Paramétrage!$AX$11,N(AC82)&lt;=Paramétrage!$AX$12),IF(C82="cp",1,0),0)</f>
        <v>0</v>
      </c>
      <c r="AG82" s="962">
        <f t="shared" si="216"/>
        <v>0</v>
      </c>
      <c r="AI82" s="962">
        <f t="shared" si="217"/>
        <v>0</v>
      </c>
      <c r="AJ82" s="962">
        <f t="shared" si="218"/>
        <v>0</v>
      </c>
      <c r="AM82" s="962">
        <f t="shared" si="219"/>
        <v>0</v>
      </c>
      <c r="AN82" s="962">
        <f t="shared" si="220"/>
        <v>0</v>
      </c>
      <c r="AO82" s="962">
        <f t="shared" si="221"/>
        <v>0</v>
      </c>
      <c r="AP82" s="962">
        <f t="shared" si="222"/>
        <v>0</v>
      </c>
      <c r="AR82" s="917">
        <f>IF(AND(AC82&lt;=$AR$3,B82="CP"),1,0)</f>
        <v>0</v>
      </c>
      <c r="AS82" s="917">
        <f>IF(AND(AC82&lt;=$AR$3,C82="CP"),1,0)</f>
        <v>0</v>
      </c>
      <c r="AV82" s="954"/>
      <c r="AW82" s="963">
        <f t="shared" ref="AW82:BF82" si="227">IF(MONTH(AD82)=AW80,AH82,0)</f>
        <v>0</v>
      </c>
      <c r="AX82" s="963">
        <f t="shared" si="227"/>
        <v>0</v>
      </c>
      <c r="AY82" s="963">
        <f t="shared" si="227"/>
        <v>0</v>
      </c>
      <c r="AZ82" s="963">
        <f t="shared" si="227"/>
        <v>0</v>
      </c>
      <c r="BA82" s="963">
        <f t="shared" si="227"/>
        <v>0</v>
      </c>
      <c r="BB82" s="963">
        <f t="shared" si="227"/>
        <v>0</v>
      </c>
      <c r="BC82" s="963">
        <f t="shared" si="227"/>
        <v>0</v>
      </c>
      <c r="BD82" s="963">
        <f t="shared" si="227"/>
        <v>0</v>
      </c>
      <c r="BE82" s="963">
        <f t="shared" si="227"/>
        <v>0</v>
      </c>
      <c r="BF82" s="963">
        <f t="shared" si="227"/>
        <v>0</v>
      </c>
    </row>
    <row r="83" spans="1:58" ht="14.45" customHeight="1" x14ac:dyDescent="0.3">
      <c r="A83" s="964" t="s">
        <v>19</v>
      </c>
      <c r="B83" s="414" t="b">
        <f>IF(Paramétrage!$O$47="",FALSE,Paramétrage!$O$47)</f>
        <v>0</v>
      </c>
      <c r="C83" s="263"/>
      <c r="D83" s="415" t="b">
        <f>IF(Paramétrage!$Q$47="",FALSE,Paramétrage!$Q$47)</f>
        <v>0</v>
      </c>
      <c r="E83" s="264"/>
      <c r="F83" s="414" t="b">
        <f>IF(Paramétrage!$R$47="",FALSE,Paramétrage!$R$47)</f>
        <v>0</v>
      </c>
      <c r="G83" s="264"/>
      <c r="H83" s="416" t="b">
        <f>IF(Paramétrage!$T$47="",FALSE,Paramétrage!$T$47)</f>
        <v>0</v>
      </c>
      <c r="I83" s="263"/>
      <c r="J83" s="417" t="b">
        <f>IF(Paramétrage!$U$47="",FALSE,Paramétrage!$U$47)</f>
        <v>0</v>
      </c>
      <c r="K83" s="263"/>
      <c r="L83" s="418" t="b">
        <f>IF(Paramétrage!$W$47="",FALSE,Paramétrage!$W$47)</f>
        <v>0</v>
      </c>
      <c r="M83" s="263"/>
      <c r="N83" s="956">
        <f>IF(OR(B83="aa",B83="cp",B83="f",B83="jc",B83="m",B83="css"),0,(L83-J83)+(H83-F83)+(D83-B83))</f>
        <v>0</v>
      </c>
      <c r="O83" s="956">
        <f>IF(OR(C83="m",C83="aa"),N83,IF(C83="cp",0,IF(OR(C83="css",C83="jc"),0,IF(C83="f",0,E83-C83+I83-G83+M83-K83))))</f>
        <v>0</v>
      </c>
      <c r="P83" s="956">
        <f t="shared" si="214"/>
        <v>0</v>
      </c>
      <c r="Q83" s="956">
        <f t="shared" si="205"/>
        <v>0</v>
      </c>
      <c r="R83" s="957">
        <f>IF(OR(C83="aa",C83="cp",C83="f",C83="jc",C83="m",C83="css"),0,IF(C83=0,MAX(B83,D83,F83,H83,J83,L83)-MIN(B83,D83,F83,H83,J83,L83),IF(C83&lt;&gt;0,MAX(C83,E83,G83,I83,K83,M83)-MIN(C83,E83,G83,I83,K83,M83))))</f>
        <v>0</v>
      </c>
      <c r="S83" s="262"/>
      <c r="T83" s="958" t="str">
        <f t="shared" si="225"/>
        <v/>
      </c>
      <c r="U83" s="959" t="str">
        <f>IF(P83=0,"",IF(P83&lt;Paramétrage!$S$12,"PB",IF(AND(Q83&lt;Paramétrage!$S$12,Q83&lt;&gt;0),"PB","")))</f>
        <v/>
      </c>
      <c r="V83" s="959" t="str">
        <f t="shared" si="208"/>
        <v/>
      </c>
      <c r="W83" s="959" t="str">
        <f t="shared" si="209"/>
        <v/>
      </c>
      <c r="X83" s="960" t="str">
        <f>IF(AND(N83=0,O83=0),"",(IF(OR(C83="aa",C83="cp",C83="f",C83="jc",C83="m",C83="css"),"",IF(C83="",IF(OR(D83-B83&gt;6/24,H83-F83&gt;6/24,L83-J83&gt;6/24),"PB",""),IF(OR(E83-C83&gt;6/24,I83-G83&gt;6/24,M83-K83&gt;6/24),"PB","")))))</f>
        <v/>
      </c>
      <c r="Y83" s="959" t="str">
        <f t="shared" si="211"/>
        <v/>
      </c>
      <c r="Z83" s="836"/>
      <c r="AA83" s="837"/>
      <c r="AB83" s="967"/>
      <c r="AC83" s="934">
        <f t="shared" si="215"/>
        <v>42659</v>
      </c>
      <c r="AD83" s="961">
        <f>IF(AND(N(AC83)&gt;=Paramétrage!$AU$11,N(AC83)&lt;=Paramétrage!$AU$12),IF(C83="cp",1,0),0)</f>
        <v>0</v>
      </c>
      <c r="AE83" s="962">
        <f t="shared" si="212"/>
        <v>0</v>
      </c>
      <c r="AF83" s="961">
        <f>IF(AND(N(AC83)&gt;=Paramétrage!$AX$11,N(AC83)&lt;=Paramétrage!$AX$12),IF(C83="cp",1,0),0)</f>
        <v>0</v>
      </c>
      <c r="AG83" s="962">
        <f t="shared" si="216"/>
        <v>0</v>
      </c>
      <c r="AI83" s="962">
        <f t="shared" si="217"/>
        <v>0</v>
      </c>
      <c r="AJ83" s="962">
        <f t="shared" si="218"/>
        <v>0</v>
      </c>
      <c r="AM83" s="962"/>
      <c r="AN83" s="962"/>
      <c r="AO83" s="962"/>
      <c r="AP83" s="962"/>
      <c r="AV83" s="954"/>
      <c r="AW83" s="963">
        <f t="shared" ref="AW83:BF83" si="228">IF(MONTH(AD83)=AW81,AH83,0)</f>
        <v>0</v>
      </c>
      <c r="AX83" s="963">
        <f t="shared" si="228"/>
        <v>0</v>
      </c>
      <c r="AY83" s="963">
        <f t="shared" si="228"/>
        <v>0</v>
      </c>
      <c r="AZ83" s="963">
        <f t="shared" si="228"/>
        <v>0</v>
      </c>
      <c r="BA83" s="963">
        <f t="shared" si="228"/>
        <v>0</v>
      </c>
      <c r="BB83" s="963">
        <f t="shared" si="228"/>
        <v>0</v>
      </c>
      <c r="BC83" s="963">
        <f t="shared" si="228"/>
        <v>0</v>
      </c>
      <c r="BD83" s="963">
        <f t="shared" si="228"/>
        <v>0</v>
      </c>
      <c r="BE83" s="963">
        <f t="shared" si="228"/>
        <v>0</v>
      </c>
      <c r="BF83" s="963" t="e">
        <f t="shared" si="228"/>
        <v>#VALUE!</v>
      </c>
    </row>
    <row r="84" spans="1:58" ht="14.45" customHeight="1" thickBot="1" x14ac:dyDescent="0.35">
      <c r="A84" s="966" t="s">
        <v>20</v>
      </c>
      <c r="B84" s="414" t="b">
        <f>IF(Paramétrage!$O$48="",FALSE,Paramétrage!$O$48)</f>
        <v>0</v>
      </c>
      <c r="C84" s="263"/>
      <c r="D84" s="415" t="b">
        <f>IF(Paramétrage!$Q$48="",FALSE,Paramétrage!$Q$48)</f>
        <v>0</v>
      </c>
      <c r="E84" s="264"/>
      <c r="F84" s="414" t="b">
        <f>IF(Paramétrage!$R$48="",FALSE,Paramétrage!$R$48)</f>
        <v>0</v>
      </c>
      <c r="G84" s="264"/>
      <c r="H84" s="416" t="b">
        <f>IF(Paramétrage!$T$48="",FALSE,Paramétrage!$T$48)</f>
        <v>0</v>
      </c>
      <c r="I84" s="263"/>
      <c r="J84" s="417" t="b">
        <f>IF(Paramétrage!$U$48="",FALSE,Paramétrage!$U$48)</f>
        <v>0</v>
      </c>
      <c r="K84" s="263"/>
      <c r="L84" s="418" t="b">
        <f>IF(Paramétrage!$W$48="",FALSE,Paramétrage!$W$48)</f>
        <v>0</v>
      </c>
      <c r="M84" s="263"/>
      <c r="N84" s="956">
        <f>IF(OR(B84="aa",B84="m"),M84,IF(B84="cp",0,IF(B84="jc",0,IF(B84="f",0,(D84-B84)*Paramétrage!$S$13+(H84-F84)*Paramétrage!$S$13+(L84-J84)*Paramétrage!$S$13+(D84-B84+H84-F84+L84-J84)))))</f>
        <v>0</v>
      </c>
      <c r="O84" s="956">
        <f>IF(OR(C84="aa",C84="m"),N84,IF(C84="cp",0,IF(C84="jc",0,IF(C84="f",0,(E84-C84)*Paramétrage!$S$13+(I84-G84)*Paramétrage!$S$13+(M84-K84)*Paramétrage!$S$13+(E84-C84+I84-G84+M84-K84)))))</f>
        <v>0</v>
      </c>
      <c r="P84" s="956">
        <f t="shared" si="214"/>
        <v>0</v>
      </c>
      <c r="Q84" s="956">
        <f t="shared" si="205"/>
        <v>0</v>
      </c>
      <c r="R84" s="957">
        <f t="shared" ref="R84" si="229">IF(OR(C84="aa",C84="cp",C84="f",C84="jc",C84="m",C84=0),MAX(B84,D84,F84,H84,J84,L84)-MIN(B84,D84,F84,H84,J84,L84),IF(C84&lt;&gt;0,MAX(C84,E84,G84,I84,K84,M84)-MIN(C84,E84,G84,I84,K84,M84)))</f>
        <v>0</v>
      </c>
      <c r="S84" s="262"/>
      <c r="T84" s="958" t="str">
        <f t="shared" si="225"/>
        <v/>
      </c>
      <c r="U84" s="959" t="str">
        <f>IF(P84=0,"",IF(P84&lt;Paramétrage!$S$12,"PB",IF(AND(Q84&lt;Paramétrage!$S$12,Q84&lt;&gt;0),"PB","")))</f>
        <v/>
      </c>
      <c r="V84" s="959" t="str">
        <f t="shared" si="208"/>
        <v/>
      </c>
      <c r="W84" s="959" t="str">
        <f t="shared" si="209"/>
        <v/>
      </c>
      <c r="X84" s="960" t="str">
        <f t="shared" ref="X84" si="230">IF(AND(N84=0,O84=0),"",(IF(OR(C84="aa",C84="cp",C84="f",C84="jc",C84="m"),"",IF(C84="",IF(OR(D84-B84&gt;6/24,H84-F84&gt;6/24,L84-J84&gt;6/24),"PB",""),IF(OR(E84-C84&gt;6/24,I84-G84&gt;6/24,M84-K84&gt;6/24),"PB","")))))</f>
        <v/>
      </c>
      <c r="Y84" s="959" t="str">
        <f t="shared" si="211"/>
        <v/>
      </c>
      <c r="Z84" s="836"/>
      <c r="AA84" s="837"/>
      <c r="AC84" s="934">
        <f t="shared" si="215"/>
        <v>42660</v>
      </c>
      <c r="AD84" s="961">
        <f>IF(AND(N(AC84)&gt;=Paramétrage!$AU$11,N(AC84)&lt;=Paramétrage!$AU$12),IF(C84="cp",1,0),0)</f>
        <v>0</v>
      </c>
      <c r="AE84" s="962">
        <f t="shared" si="212"/>
        <v>0</v>
      </c>
      <c r="AF84" s="961">
        <f>IF(AND(N(AC84)&gt;=Paramétrage!$AX$11,N(AC84)&lt;=Paramétrage!$AX$12),IF(C84="cp",1,0),0)</f>
        <v>0</v>
      </c>
      <c r="AG84" s="962">
        <f t="shared" si="216"/>
        <v>0</v>
      </c>
      <c r="AI84" s="962">
        <f t="shared" si="217"/>
        <v>0</v>
      </c>
      <c r="AJ84" s="962">
        <f t="shared" si="218"/>
        <v>0</v>
      </c>
      <c r="AM84" s="962"/>
      <c r="AN84" s="962"/>
      <c r="AO84" s="962"/>
      <c r="AP84" s="962"/>
      <c r="AV84" s="954"/>
      <c r="AW84" s="963">
        <f t="shared" ref="AW84:BF84" si="231">IF(MONTH(AD84)=AW82,AH84,0)</f>
        <v>0</v>
      </c>
      <c r="AX84" s="963">
        <f t="shared" si="231"/>
        <v>0</v>
      </c>
      <c r="AY84" s="963">
        <f t="shared" si="231"/>
        <v>0</v>
      </c>
      <c r="AZ84" s="963">
        <f t="shared" si="231"/>
        <v>0</v>
      </c>
      <c r="BA84" s="963">
        <f t="shared" si="231"/>
        <v>0</v>
      </c>
      <c r="BB84" s="963">
        <f t="shared" si="231"/>
        <v>0</v>
      </c>
      <c r="BC84" s="963">
        <f t="shared" si="231"/>
        <v>0</v>
      </c>
      <c r="BD84" s="963">
        <f t="shared" si="231"/>
        <v>0</v>
      </c>
      <c r="BE84" s="963">
        <f t="shared" si="231"/>
        <v>0</v>
      </c>
      <c r="BF84" s="963">
        <f t="shared" si="231"/>
        <v>0</v>
      </c>
    </row>
    <row r="85" spans="1:58" x14ac:dyDescent="0.25">
      <c r="A85" s="969" t="s">
        <v>78</v>
      </c>
      <c r="B85" s="970"/>
      <c r="C85" s="970"/>
      <c r="D85" s="970"/>
      <c r="E85" s="970"/>
      <c r="F85" s="970"/>
      <c r="G85" s="970"/>
      <c r="H85" s="970"/>
      <c r="I85" s="970"/>
      <c r="J85" s="970"/>
      <c r="K85" s="971"/>
      <c r="L85" s="970"/>
      <c r="M85" s="970"/>
      <c r="N85" s="972">
        <f>SUM(N78:N84)</f>
        <v>0</v>
      </c>
      <c r="O85" s="972">
        <f>SUM(O78:O84)</f>
        <v>0</v>
      </c>
      <c r="P85" s="972">
        <f>SUM(P78:P84)</f>
        <v>0</v>
      </c>
      <c r="Q85" s="972">
        <f>SUM(Q78:Q84)</f>
        <v>0</v>
      </c>
      <c r="R85" s="972"/>
      <c r="S85" s="972"/>
      <c r="T85" s="973"/>
      <c r="U85" s="974"/>
      <c r="V85" s="975" t="str">
        <f>IF((O85*24)&gt;48,"PB","")</f>
        <v/>
      </c>
      <c r="W85" s="974"/>
      <c r="X85" s="972"/>
      <c r="Y85" s="974"/>
      <c r="Z85" s="976" t="s">
        <v>59</v>
      </c>
      <c r="AA85" s="977">
        <f>+O85-N85</f>
        <v>0</v>
      </c>
      <c r="AF85" s="961"/>
      <c r="AV85" s="954"/>
      <c r="AW85" s="963">
        <f t="shared" ref="AW85:BF85" si="232">IF(MONTH(AD85)=AW83,AH85,0)</f>
        <v>0</v>
      </c>
      <c r="AX85" s="963">
        <f t="shared" si="232"/>
        <v>0</v>
      </c>
      <c r="AY85" s="963">
        <f t="shared" si="232"/>
        <v>0</v>
      </c>
      <c r="AZ85" s="963">
        <f t="shared" si="232"/>
        <v>0</v>
      </c>
      <c r="BA85" s="963">
        <f t="shared" si="232"/>
        <v>0</v>
      </c>
      <c r="BB85" s="963">
        <f t="shared" si="232"/>
        <v>0</v>
      </c>
      <c r="BC85" s="963">
        <f t="shared" si="232"/>
        <v>0</v>
      </c>
      <c r="BD85" s="963">
        <f t="shared" si="232"/>
        <v>0</v>
      </c>
      <c r="BE85" s="963">
        <f t="shared" si="232"/>
        <v>0</v>
      </c>
      <c r="BF85" s="963" t="e">
        <f t="shared" si="232"/>
        <v>#VALUE!</v>
      </c>
    </row>
    <row r="86" spans="1:58" x14ac:dyDescent="0.25">
      <c r="A86" s="969"/>
      <c r="B86" s="969"/>
      <c r="C86" s="969"/>
      <c r="D86" s="969"/>
      <c r="E86" s="969"/>
      <c r="F86" s="994"/>
      <c r="G86" s="994"/>
      <c r="H86" s="994"/>
      <c r="I86" s="994"/>
      <c r="J86" s="994"/>
      <c r="K86" s="969"/>
      <c r="L86" s="969"/>
      <c r="M86" s="969"/>
      <c r="N86" s="973"/>
      <c r="O86" s="969"/>
      <c r="P86" s="980"/>
      <c r="Q86" s="980"/>
      <c r="R86" s="980"/>
      <c r="S86" s="981"/>
      <c r="T86" s="980"/>
      <c r="U86" s="980"/>
      <c r="V86" s="980"/>
      <c r="W86" s="980"/>
      <c r="X86" s="980"/>
      <c r="Y86" s="980"/>
      <c r="Z86" s="976"/>
      <c r="AA86" s="977"/>
      <c r="AF86" s="961"/>
      <c r="AV86" s="954"/>
      <c r="AW86" s="963">
        <f t="shared" ref="AW86:BF86" si="233">IF(MONTH(AD86)=AW84,AH86,0)</f>
        <v>0</v>
      </c>
      <c r="AX86" s="963">
        <f t="shared" si="233"/>
        <v>0</v>
      </c>
      <c r="AY86" s="963">
        <f t="shared" si="233"/>
        <v>0</v>
      </c>
      <c r="AZ86" s="963">
        <f t="shared" si="233"/>
        <v>0</v>
      </c>
      <c r="BA86" s="963">
        <f t="shared" si="233"/>
        <v>0</v>
      </c>
      <c r="BB86" s="963">
        <f t="shared" si="233"/>
        <v>0</v>
      </c>
      <c r="BC86" s="963">
        <f t="shared" si="233"/>
        <v>0</v>
      </c>
      <c r="BD86" s="963">
        <f t="shared" si="233"/>
        <v>0</v>
      </c>
      <c r="BE86" s="963">
        <f t="shared" si="233"/>
        <v>0</v>
      </c>
      <c r="BF86" s="963">
        <f t="shared" si="233"/>
        <v>0</v>
      </c>
    </row>
    <row r="87" spans="1:58" ht="16.5" x14ac:dyDescent="0.3">
      <c r="A87" s="969"/>
      <c r="B87" s="969"/>
      <c r="C87" s="969"/>
      <c r="D87" s="969"/>
      <c r="E87" s="969"/>
      <c r="F87" s="928">
        <f>+F75+7</f>
        <v>42661</v>
      </c>
      <c r="G87" s="928"/>
      <c r="H87" s="929" t="s">
        <v>58</v>
      </c>
      <c r="I87" s="928">
        <f>+F87+6</f>
        <v>42667</v>
      </c>
      <c r="J87" s="930"/>
      <c r="K87" s="969"/>
      <c r="L87" s="969"/>
      <c r="M87" s="969"/>
      <c r="N87" s="973"/>
      <c r="O87" s="969"/>
      <c r="P87" s="980"/>
      <c r="Q87" s="980"/>
      <c r="R87" s="980"/>
      <c r="S87" s="981"/>
      <c r="T87" s="980"/>
      <c r="U87" s="980"/>
      <c r="V87" s="980"/>
      <c r="W87" s="980"/>
      <c r="X87" s="980"/>
      <c r="Y87" s="980"/>
      <c r="Z87" s="976"/>
      <c r="AA87" s="995"/>
      <c r="AF87" s="961"/>
      <c r="AV87" s="954"/>
      <c r="AW87" s="963">
        <f t="shared" ref="AW87:BF87" si="234">IF(MONTH(AD87)=AW85,AH87,0)</f>
        <v>0</v>
      </c>
      <c r="AX87" s="963">
        <f t="shared" si="234"/>
        <v>0</v>
      </c>
      <c r="AY87" s="963">
        <f t="shared" si="234"/>
        <v>0</v>
      </c>
      <c r="AZ87" s="963">
        <f t="shared" si="234"/>
        <v>0</v>
      </c>
      <c r="BA87" s="963">
        <f t="shared" si="234"/>
        <v>0</v>
      </c>
      <c r="BB87" s="963">
        <f t="shared" si="234"/>
        <v>0</v>
      </c>
      <c r="BC87" s="963">
        <f t="shared" si="234"/>
        <v>0</v>
      </c>
      <c r="BD87" s="963">
        <f t="shared" si="234"/>
        <v>0</v>
      </c>
      <c r="BE87" s="963">
        <f t="shared" si="234"/>
        <v>0</v>
      </c>
      <c r="BF87" s="963" t="e">
        <f t="shared" si="234"/>
        <v>#VALUE!</v>
      </c>
    </row>
    <row r="88" spans="1:58" ht="14.45" customHeight="1" x14ac:dyDescent="0.25">
      <c r="A88" s="994"/>
      <c r="B88" s="938" t="s">
        <v>17</v>
      </c>
      <c r="C88" s="938"/>
      <c r="D88" s="938" t="s">
        <v>18</v>
      </c>
      <c r="E88" s="938"/>
      <c r="F88" s="938" t="s">
        <v>17</v>
      </c>
      <c r="G88" s="938"/>
      <c r="H88" s="938" t="s">
        <v>18</v>
      </c>
      <c r="I88" s="938"/>
      <c r="J88" s="938" t="s">
        <v>17</v>
      </c>
      <c r="K88" s="938"/>
      <c r="L88" s="938" t="s">
        <v>18</v>
      </c>
      <c r="M88" s="938"/>
      <c r="N88" s="939" t="s">
        <v>61</v>
      </c>
      <c r="O88" s="939" t="s">
        <v>62</v>
      </c>
      <c r="P88" s="939" t="s">
        <v>60</v>
      </c>
      <c r="Q88" s="939" t="s">
        <v>63</v>
      </c>
      <c r="R88" s="939" t="s">
        <v>64</v>
      </c>
      <c r="S88" s="940" t="s">
        <v>223</v>
      </c>
      <c r="T88" s="939" t="s">
        <v>70</v>
      </c>
      <c r="U88" s="941" t="s">
        <v>65</v>
      </c>
      <c r="V88" s="942"/>
      <c r="W88" s="942"/>
      <c r="X88" s="942"/>
      <c r="Y88" s="943"/>
      <c r="Z88" s="944" t="s">
        <v>22</v>
      </c>
      <c r="AA88" s="944"/>
      <c r="AF88" s="961"/>
      <c r="AV88" s="954"/>
      <c r="AW88" s="963">
        <f t="shared" ref="AW88:BF88" si="235">IF(MONTH(AD88)=AW86,AH88,0)</f>
        <v>0</v>
      </c>
      <c r="AX88" s="963">
        <f t="shared" si="235"/>
        <v>0</v>
      </c>
      <c r="AY88" s="963">
        <f t="shared" si="235"/>
        <v>0</v>
      </c>
      <c r="AZ88" s="963">
        <f t="shared" si="235"/>
        <v>0</v>
      </c>
      <c r="BA88" s="963">
        <f t="shared" si="235"/>
        <v>0</v>
      </c>
      <c r="BB88" s="963">
        <f t="shared" si="235"/>
        <v>0</v>
      </c>
      <c r="BC88" s="963">
        <f t="shared" si="235"/>
        <v>0</v>
      </c>
      <c r="BD88" s="963">
        <f t="shared" si="235"/>
        <v>0</v>
      </c>
      <c r="BE88" s="963">
        <f t="shared" si="235"/>
        <v>0</v>
      </c>
      <c r="BF88" s="963">
        <f t="shared" si="235"/>
        <v>0</v>
      </c>
    </row>
    <row r="89" spans="1:58" ht="26.25" thickBot="1" x14ac:dyDescent="0.4">
      <c r="A89" s="937" t="str">
        <f>"S"&amp;_xlfn.ISOWEEKNUM(F87)</f>
        <v>S43</v>
      </c>
      <c r="B89" s="949" t="s">
        <v>0</v>
      </c>
      <c r="C89" s="950" t="s">
        <v>1</v>
      </c>
      <c r="D89" s="949" t="s">
        <v>0</v>
      </c>
      <c r="E89" s="950" t="s">
        <v>1</v>
      </c>
      <c r="F89" s="949" t="s">
        <v>0</v>
      </c>
      <c r="G89" s="950" t="s">
        <v>1</v>
      </c>
      <c r="H89" s="949" t="s">
        <v>0</v>
      </c>
      <c r="I89" s="950" t="s">
        <v>1</v>
      </c>
      <c r="J89" s="949" t="s">
        <v>0</v>
      </c>
      <c r="K89" s="950" t="s">
        <v>1</v>
      </c>
      <c r="L89" s="949" t="s">
        <v>0</v>
      </c>
      <c r="M89" s="950" t="s">
        <v>1</v>
      </c>
      <c r="N89" s="951"/>
      <c r="O89" s="951"/>
      <c r="P89" s="951"/>
      <c r="Q89" s="951"/>
      <c r="R89" s="951"/>
      <c r="S89" s="951"/>
      <c r="T89" s="939"/>
      <c r="U89" s="952" t="s">
        <v>66</v>
      </c>
      <c r="V89" s="952" t="s">
        <v>67</v>
      </c>
      <c r="W89" s="952" t="s">
        <v>68</v>
      </c>
      <c r="X89" s="952" t="s">
        <v>137</v>
      </c>
      <c r="Y89" s="952" t="s">
        <v>69</v>
      </c>
      <c r="Z89" s="944"/>
      <c r="AA89" s="944"/>
      <c r="AF89" s="961"/>
      <c r="AM89" s="917" t="s">
        <v>274</v>
      </c>
      <c r="AV89" s="954"/>
      <c r="AW89" s="963">
        <f t="shared" ref="AW89:BF89" si="236">IF(MONTH(AD89)=AW87,AH89,0)</f>
        <v>0</v>
      </c>
      <c r="AX89" s="963">
        <f t="shared" si="236"/>
        <v>0</v>
      </c>
      <c r="AY89" s="963">
        <f t="shared" si="236"/>
        <v>0</v>
      </c>
      <c r="AZ89" s="963">
        <f t="shared" si="236"/>
        <v>0</v>
      </c>
      <c r="BA89" s="963">
        <f t="shared" si="236"/>
        <v>0</v>
      </c>
      <c r="BB89" s="963">
        <f t="shared" si="236"/>
        <v>0</v>
      </c>
      <c r="BC89" s="963">
        <f t="shared" si="236"/>
        <v>0</v>
      </c>
      <c r="BD89" s="963">
        <f t="shared" si="236"/>
        <v>0</v>
      </c>
      <c r="BE89" s="963">
        <f t="shared" si="236"/>
        <v>0</v>
      </c>
      <c r="BF89" s="963" t="e">
        <f t="shared" si="236"/>
        <v>#VALUE!</v>
      </c>
    </row>
    <row r="90" spans="1:58" ht="14.45" customHeight="1" x14ac:dyDescent="0.3">
      <c r="A90" s="955" t="s">
        <v>12</v>
      </c>
      <c r="B90" s="15" t="b">
        <f>IF(Paramétrage!$O$42="",FALSE,Paramétrage!$O$42)</f>
        <v>0</v>
      </c>
      <c r="C90" s="263"/>
      <c r="D90" s="15" t="b">
        <f>IF(Paramétrage!$Q$42="",FALSE,Paramétrage!$Q$42)</f>
        <v>0</v>
      </c>
      <c r="E90" s="264"/>
      <c r="F90" s="15" t="b">
        <f>IF(Paramétrage!$R$42="",FALSE,Paramétrage!$R$42)</f>
        <v>0</v>
      </c>
      <c r="G90" s="264"/>
      <c r="H90" s="17" t="b">
        <f>IF(Paramétrage!$T$42="",FALSE,Paramétrage!$T$42)</f>
        <v>0</v>
      </c>
      <c r="I90" s="263"/>
      <c r="J90" s="127" t="b">
        <f>IF(Paramétrage!$U$42="",FALSE,Paramétrage!$U$42)</f>
        <v>0</v>
      </c>
      <c r="K90" s="263"/>
      <c r="L90" s="28" t="b">
        <f>IF(Paramétrage!$W$42="",FALSE,Paramétrage!$W$42)</f>
        <v>0</v>
      </c>
      <c r="M90" s="263"/>
      <c r="N90" s="956">
        <f t="shared" ref="N90:N92" si="237">IF(OR(B90="aa",B90="cp",B90="f",B90="jc",B90="m",B90="css"),0,(L90-J90)+(H90-F90)+(D90-B90))</f>
        <v>0</v>
      </c>
      <c r="O90" s="956">
        <f t="shared" ref="O90:O92" si="238">SUM(AM90:AP90)+IF(OR(C90="m",C90="aa"),N90,IF(C90="css",0,IF(C90="cp",0,IF(C90="jc",0,IF(C90="f",0,E90-C90+I90-G90+M90-K90)))))</f>
        <v>0</v>
      </c>
      <c r="P90" s="956">
        <f>IF(OR(C90="aa",C90="cp",C90="f",C90="jc",C90="m",C90="css"),0,IF(C90="",IF(OR(F90="",F90=FALSE),0,F90-D90),IF(G90="",0,G90-E90)))</f>
        <v>0</v>
      </c>
      <c r="Q90" s="956">
        <f t="shared" ref="Q90:Q96" si="239">IF(P90=0,0,IF(G90="",IF(OR(J90="",J90=FALSE),0,J90-H90),IF(K90="",0,K90-I90)))</f>
        <v>0</v>
      </c>
      <c r="R90" s="957">
        <f t="shared" ref="R90:R92" si="240">IF(OR(C90="aa",C90="cp",C90="f",C90="jc",C90="m",C90="css"),0,IF(C90=0,MAX(B90,D90,F90,H90,J90,L90)-MIN(B90,D90,F90,H90,J90,L90),IF(C90&lt;&gt;0,MAX(C90,E90,G90,I90,K90,M90)-MIN(C90,E90,G90,I90,K90,M90))))</f>
        <v>0</v>
      </c>
      <c r="S90" s="262"/>
      <c r="T90" s="958" t="str">
        <f t="shared" ref="T90:T91" si="241">IF(AND(B90=FALSE,C90=""),"",IF(AND(B90=0,C90=0),"",(IF(OR(C90="cp",C90="f",C90="jc",C90="css"),"",IF(OR(C90="",C90="aa",C90="m"),(IF(OR(B90="cp",B90="f",B90="jc",B90="css"),"",B90*24+24-MAX(D89,H89,L89)*24)),C90*24+24-MAX(M89,I89,E89)*24)))))</f>
        <v/>
      </c>
      <c r="U90" s="959" t="str">
        <f>IF(P90=0,"",IF(P90&lt;Paramétrage!$S$12,"PB",IF(AND(Q90&lt;Paramétrage!$S$12,Q90&lt;&gt;0),"PB","")))</f>
        <v/>
      </c>
      <c r="V90" s="959" t="str">
        <f t="shared" ref="V90:V96" si="242">IF(C90="",IF((N90*24)&gt;10,"PB",""),IF((O90*24)&gt;10,"PB",""))</f>
        <v/>
      </c>
      <c r="W90" s="959" t="str">
        <f t="shared" ref="W90:W96" si="243">IF((R90*24)&gt;12,"PB","")</f>
        <v/>
      </c>
      <c r="X90" s="960" t="str">
        <f t="shared" ref="X90:X92" si="244">IF(AND(N90=0,O90=0),"",(IF(OR(C90="aa",C90="cp",C90="f",C90="jc",C90="m",C90="css"),"",IF(C90="",IF(OR(D90-B90&gt;6/24,H90-F90&gt;6/24,L90-J90&gt;6/24),"PB",""),IF(OR(E90-C90&gt;6/24,I90-G90&gt;6/24,M90-K90&gt;6/24),"PB","")))))</f>
        <v/>
      </c>
      <c r="Y90" s="959" t="str">
        <f t="shared" ref="Y90:Y96" si="245">IF(T90="","",IF(T90&lt;11,"PB",""))</f>
        <v/>
      </c>
      <c r="Z90" s="836"/>
      <c r="AA90" s="837"/>
      <c r="AC90" s="934">
        <f>AC84+1</f>
        <v>42661</v>
      </c>
      <c r="AD90" s="961">
        <f>IF(AND(N(AC90)&gt;=Paramétrage!$AU$11,N(AC90)&lt;=Paramétrage!$AU$12),IF(C90="cp",1,0),0)</f>
        <v>0</v>
      </c>
      <c r="AE90" s="962">
        <f t="shared" ref="AE90:AE95" si="246">N90</f>
        <v>0</v>
      </c>
      <c r="AF90" s="961">
        <f>IF(AND(N(AC90)&gt;=Paramétrage!$AX$11,N(AC90)&lt;=Paramétrage!$AX$12),IF(C90="cp",1,0),0)</f>
        <v>0</v>
      </c>
      <c r="AG90" s="962">
        <f t="shared" ref="AG90:AG96" si="247">O90</f>
        <v>0</v>
      </c>
      <c r="AI90" s="962">
        <f>AE90+AI84</f>
        <v>0</v>
      </c>
      <c r="AJ90" s="962">
        <f>AG90+AJ84</f>
        <v>0</v>
      </c>
      <c r="AM90" s="962">
        <f>IF(AND($B90="cp",$C90="m"),$Z90,0)</f>
        <v>0</v>
      </c>
      <c r="AN90" s="962">
        <f>IF(AND($B90="jc",$C90="m"),$Z90,0)</f>
        <v>0</v>
      </c>
      <c r="AO90" s="962">
        <f>IF(AND($B90="cp",$C90="aa"),$Z90,0)</f>
        <v>0</v>
      </c>
      <c r="AP90" s="962">
        <f>IF(AND($B90="jc",$C90="aa"),$Z90,0)</f>
        <v>0</v>
      </c>
      <c r="AR90" s="917">
        <f>IF(AND(AC90&lt;=$AR$3,B90="CP"),1,0)</f>
        <v>0</v>
      </c>
      <c r="AS90" s="917">
        <f>IF(AND(AC90&lt;=$AR$3,C90="CP"),1,0)</f>
        <v>0</v>
      </c>
      <c r="AV90" s="954"/>
      <c r="AW90" s="963">
        <f t="shared" ref="AW90:BF90" si="248">IF(MONTH(AD90)=AW88,AH90,0)</f>
        <v>0</v>
      </c>
      <c r="AX90" s="963">
        <f t="shared" si="248"/>
        <v>0</v>
      </c>
      <c r="AY90" s="963">
        <f t="shared" si="248"/>
        <v>0</v>
      </c>
      <c r="AZ90" s="963">
        <f t="shared" si="248"/>
        <v>0</v>
      </c>
      <c r="BA90" s="963">
        <f t="shared" si="248"/>
        <v>0</v>
      </c>
      <c r="BB90" s="963">
        <f t="shared" si="248"/>
        <v>0</v>
      </c>
      <c r="BC90" s="963">
        <f t="shared" si="248"/>
        <v>0</v>
      </c>
      <c r="BD90" s="963">
        <f t="shared" si="248"/>
        <v>0</v>
      </c>
      <c r="BE90" s="963">
        <f t="shared" si="248"/>
        <v>0</v>
      </c>
      <c r="BF90" s="963">
        <f t="shared" si="248"/>
        <v>0</v>
      </c>
    </row>
    <row r="91" spans="1:58" ht="14.45" customHeight="1" x14ac:dyDescent="0.3">
      <c r="A91" s="964" t="s">
        <v>13</v>
      </c>
      <c r="B91" s="15" t="b">
        <f>IF(Paramétrage!$O$43="",FALSE,Paramétrage!$O$43)</f>
        <v>0</v>
      </c>
      <c r="C91" s="263"/>
      <c r="D91" s="15" t="b">
        <f>IF(Paramétrage!$Q$43="",FALSE,Paramétrage!$Q$43)</f>
        <v>0</v>
      </c>
      <c r="E91" s="264"/>
      <c r="F91" s="15" t="b">
        <f>IF(Paramétrage!$R$43="",FALSE,Paramétrage!$R$43)</f>
        <v>0</v>
      </c>
      <c r="G91" s="264"/>
      <c r="H91" s="17" t="b">
        <f>IF(Paramétrage!$T$43="",FALSE,Paramétrage!$T$43)</f>
        <v>0</v>
      </c>
      <c r="I91" s="263"/>
      <c r="J91" s="127" t="b">
        <f>IF(Paramétrage!$U$43="",FALSE,Paramétrage!$U$43)</f>
        <v>0</v>
      </c>
      <c r="K91" s="263"/>
      <c r="L91" s="28" t="b">
        <f>IF(Paramétrage!$W$43="",FALSE,Paramétrage!$W$43)</f>
        <v>0</v>
      </c>
      <c r="M91" s="263"/>
      <c r="N91" s="956">
        <f t="shared" si="237"/>
        <v>0</v>
      </c>
      <c r="O91" s="956">
        <f t="shared" si="238"/>
        <v>0</v>
      </c>
      <c r="P91" s="956">
        <f t="shared" ref="P91:P96" si="249">IF(OR(C91="aa",C91="cp",C91="f",C91="jc",C91="m",C91="css"),0,IF(C91="",IF(OR(F91="",F91=FALSE),0,F91-D91),IF(G91="",0,G91-E91)))</f>
        <v>0</v>
      </c>
      <c r="Q91" s="956">
        <f t="shared" si="239"/>
        <v>0</v>
      </c>
      <c r="R91" s="957">
        <f t="shared" si="240"/>
        <v>0</v>
      </c>
      <c r="S91" s="262"/>
      <c r="T91" s="958" t="str">
        <f t="shared" si="241"/>
        <v/>
      </c>
      <c r="U91" s="959" t="str">
        <f>IF(P91=0,"",IF(P91&lt;Paramétrage!$S$12,"PB",IF(AND(Q91&lt;Paramétrage!$S$12,Q91&lt;&gt;0),"PB","")))</f>
        <v/>
      </c>
      <c r="V91" s="959" t="str">
        <f t="shared" si="242"/>
        <v/>
      </c>
      <c r="W91" s="959" t="str">
        <f t="shared" si="243"/>
        <v/>
      </c>
      <c r="X91" s="960" t="str">
        <f t="shared" si="244"/>
        <v/>
      </c>
      <c r="Y91" s="959" t="str">
        <f t="shared" si="245"/>
        <v/>
      </c>
      <c r="Z91" s="836"/>
      <c r="AA91" s="837"/>
      <c r="AC91" s="934">
        <f t="shared" ref="AC91:AC96" si="250">AC90+1</f>
        <v>42662</v>
      </c>
      <c r="AD91" s="961">
        <f>IF(AND(N(AC91)&gt;=Paramétrage!$AU$11,N(AC91)&lt;=Paramétrage!$AU$12),IF(C91="cp",1,0),0)</f>
        <v>0</v>
      </c>
      <c r="AE91" s="962">
        <f t="shared" si="246"/>
        <v>0</v>
      </c>
      <c r="AF91" s="961">
        <f>IF(AND(N(AC91)&gt;=Paramétrage!$AX$11,N(AC91)&lt;=Paramétrage!$AX$12),IF(C91="cp",1,0),0)</f>
        <v>0</v>
      </c>
      <c r="AG91" s="962">
        <f t="shared" si="247"/>
        <v>0</v>
      </c>
      <c r="AI91" s="962">
        <f t="shared" ref="AI91:AI96" si="251">AE91+AI90</f>
        <v>0</v>
      </c>
      <c r="AJ91" s="962">
        <f t="shared" ref="AJ91:AJ96" si="252">AG91+AJ90</f>
        <v>0</v>
      </c>
      <c r="AM91" s="962">
        <f t="shared" ref="AM91:AM94" si="253">IF(AND($B91="cp",$C91="m"),$Z91,0)</f>
        <v>0</v>
      </c>
      <c r="AN91" s="962">
        <f t="shared" ref="AN91:AN94" si="254">IF(AND($B91="jc",$C91="m"),$Z91,0)</f>
        <v>0</v>
      </c>
      <c r="AO91" s="962">
        <f t="shared" ref="AO91:AO94" si="255">IF(AND($B91="cp",$C91="aa"),$Z91,0)</f>
        <v>0</v>
      </c>
      <c r="AP91" s="962">
        <f t="shared" ref="AP91:AP94" si="256">IF(AND($B91="jc",$C91="aa"),$Z91,0)</f>
        <v>0</v>
      </c>
      <c r="AR91" s="917">
        <f>IF(AND(AC91&lt;=$AR$3,B91="CP"),1,0)</f>
        <v>0</v>
      </c>
      <c r="AS91" s="917">
        <f>IF(AND(AC91&lt;=$AR$3,C91="CP"),1,0)</f>
        <v>0</v>
      </c>
      <c r="AV91" s="954"/>
      <c r="AW91" s="963">
        <f t="shared" ref="AW91:BF91" si="257">IF(MONTH(AD91)=AW89,AH91,0)</f>
        <v>0</v>
      </c>
      <c r="AX91" s="963">
        <f t="shared" si="257"/>
        <v>0</v>
      </c>
      <c r="AY91" s="963">
        <f t="shared" si="257"/>
        <v>0</v>
      </c>
      <c r="AZ91" s="963">
        <f t="shared" si="257"/>
        <v>0</v>
      </c>
      <c r="BA91" s="963">
        <f t="shared" si="257"/>
        <v>0</v>
      </c>
      <c r="BB91" s="963">
        <f t="shared" si="257"/>
        <v>0</v>
      </c>
      <c r="BC91" s="963">
        <f t="shared" si="257"/>
        <v>0</v>
      </c>
      <c r="BD91" s="963">
        <f t="shared" si="257"/>
        <v>0</v>
      </c>
      <c r="BE91" s="963">
        <f t="shared" si="257"/>
        <v>0</v>
      </c>
      <c r="BF91" s="963" t="e">
        <f t="shared" si="257"/>
        <v>#VALUE!</v>
      </c>
    </row>
    <row r="92" spans="1:58" ht="14.45" customHeight="1" x14ac:dyDescent="0.3">
      <c r="A92" s="964" t="s">
        <v>14</v>
      </c>
      <c r="B92" s="15" t="b">
        <f>IF(Paramétrage!$O$44="",FALSE,Paramétrage!$O$44)</f>
        <v>0</v>
      </c>
      <c r="C92" s="263"/>
      <c r="D92" s="15" t="b">
        <f>IF(Paramétrage!$Q$44="",FALSE,Paramétrage!$Q$44)</f>
        <v>0</v>
      </c>
      <c r="E92" s="264"/>
      <c r="F92" s="15" t="b">
        <f>IF(Paramétrage!$R$44="",FALSE,Paramétrage!$R$44)</f>
        <v>0</v>
      </c>
      <c r="G92" s="264"/>
      <c r="H92" s="17" t="b">
        <f>IF(Paramétrage!$T$44="",FALSE,Paramétrage!$T$44)</f>
        <v>0</v>
      </c>
      <c r="I92" s="263"/>
      <c r="J92" s="127" t="b">
        <f>IF(Paramétrage!$U$44="",FALSE,Paramétrage!$U$44)</f>
        <v>0</v>
      </c>
      <c r="K92" s="263"/>
      <c r="L92" s="28" t="b">
        <f>IF(Paramétrage!$W$44="",FALSE,Paramétrage!$W$44)</f>
        <v>0</v>
      </c>
      <c r="M92" s="263"/>
      <c r="N92" s="956">
        <f t="shared" si="237"/>
        <v>0</v>
      </c>
      <c r="O92" s="956">
        <f t="shared" si="238"/>
        <v>0</v>
      </c>
      <c r="P92" s="956">
        <f t="shared" si="249"/>
        <v>0</v>
      </c>
      <c r="Q92" s="956">
        <f t="shared" si="239"/>
        <v>0</v>
      </c>
      <c r="R92" s="957">
        <f t="shared" si="240"/>
        <v>0</v>
      </c>
      <c r="S92" s="262"/>
      <c r="T92" s="958" t="str">
        <f>IF(AND(B92=FALSE,C92=""),"",IF(AND(B92=0,C92=0),"",(IF(OR(C92="cp",C92="f",C92="jc",C92="css"),"",IF(OR(C92="",C92="aa",C92="m"),(IF(OR(B92="cp",B92="f",B92="jc",B92="css"),"",B92*24+24-MAX(D91,H91,L91)*24)),C92*24+24-MAX(M91,I91,E91)*24)))))</f>
        <v/>
      </c>
      <c r="U92" s="959" t="str">
        <f>IF(P92=0,"",IF(P92&lt;Paramétrage!$S$12,"PB",IF(AND(Q92&lt;Paramétrage!$S$12,Q92&lt;&gt;0),"PB","")))</f>
        <v/>
      </c>
      <c r="V92" s="959" t="str">
        <f t="shared" si="242"/>
        <v/>
      </c>
      <c r="W92" s="959" t="str">
        <f t="shared" si="243"/>
        <v/>
      </c>
      <c r="X92" s="960" t="str">
        <f t="shared" si="244"/>
        <v/>
      </c>
      <c r="Y92" s="959" t="str">
        <f t="shared" si="245"/>
        <v/>
      </c>
      <c r="Z92" s="836"/>
      <c r="AA92" s="837"/>
      <c r="AC92" s="934">
        <f t="shared" si="250"/>
        <v>42663</v>
      </c>
      <c r="AD92" s="961">
        <f>IF(AND(N(AC92)&gt;=Paramétrage!$AU$11,N(AC92)&lt;=Paramétrage!$AU$12),IF(C92="cp",1,0),0)</f>
        <v>0</v>
      </c>
      <c r="AE92" s="962">
        <f t="shared" si="246"/>
        <v>0</v>
      </c>
      <c r="AF92" s="961">
        <f>IF(AND(N(AC92)&gt;=Paramétrage!$AX$11,N(AC92)&lt;=Paramétrage!$AX$12),IF(C92="cp",1,0),0)</f>
        <v>0</v>
      </c>
      <c r="AG92" s="962">
        <f t="shared" si="247"/>
        <v>0</v>
      </c>
      <c r="AI92" s="962">
        <f t="shared" si="251"/>
        <v>0</v>
      </c>
      <c r="AJ92" s="962">
        <f t="shared" si="252"/>
        <v>0</v>
      </c>
      <c r="AM92" s="962">
        <f t="shared" si="253"/>
        <v>0</v>
      </c>
      <c r="AN92" s="962">
        <f t="shared" si="254"/>
        <v>0</v>
      </c>
      <c r="AO92" s="962">
        <f t="shared" si="255"/>
        <v>0</v>
      </c>
      <c r="AP92" s="962">
        <f t="shared" si="256"/>
        <v>0</v>
      </c>
      <c r="AR92" s="917">
        <f>IF(AND(AC92&lt;=$AR$3,B92="CP"),1,0)</f>
        <v>0</v>
      </c>
      <c r="AS92" s="917">
        <f>IF(AND(AC92&lt;=$AR$3,C92="CP"),1,0)</f>
        <v>0</v>
      </c>
      <c r="AV92" s="954"/>
      <c r="AW92" s="963">
        <f t="shared" ref="AW92:BF92" si="258">IF(MONTH(AD92)=AW90,AH92,0)</f>
        <v>0</v>
      </c>
      <c r="AX92" s="963">
        <f t="shared" si="258"/>
        <v>0</v>
      </c>
      <c r="AY92" s="963">
        <f t="shared" si="258"/>
        <v>0</v>
      </c>
      <c r="AZ92" s="963">
        <f t="shared" si="258"/>
        <v>0</v>
      </c>
      <c r="BA92" s="963">
        <f t="shared" si="258"/>
        <v>0</v>
      </c>
      <c r="BB92" s="963">
        <f t="shared" si="258"/>
        <v>0</v>
      </c>
      <c r="BC92" s="963">
        <f t="shared" si="258"/>
        <v>0</v>
      </c>
      <c r="BD92" s="963">
        <f t="shared" si="258"/>
        <v>0</v>
      </c>
      <c r="BE92" s="963">
        <f t="shared" si="258"/>
        <v>0</v>
      </c>
      <c r="BF92" s="963">
        <f t="shared" si="258"/>
        <v>0</v>
      </c>
    </row>
    <row r="93" spans="1:58" ht="14.45" customHeight="1" x14ac:dyDescent="0.3">
      <c r="A93" s="964" t="s">
        <v>15</v>
      </c>
      <c r="B93" s="15" t="b">
        <f>IF(Paramétrage!$O$45="",FALSE,Paramétrage!$O$45)</f>
        <v>0</v>
      </c>
      <c r="C93" s="263"/>
      <c r="D93" s="15" t="b">
        <f>IF(Paramétrage!$Q$45="",FALSE,Paramétrage!$Q$45)</f>
        <v>0</v>
      </c>
      <c r="E93" s="264"/>
      <c r="F93" s="15" t="b">
        <f>IF(Paramétrage!$R$45="",FALSE,Paramétrage!$R$45)</f>
        <v>0</v>
      </c>
      <c r="G93" s="264"/>
      <c r="H93" s="17" t="b">
        <f>IF(Paramétrage!$T$45="",FALSE,Paramétrage!$T$45)</f>
        <v>0</v>
      </c>
      <c r="I93" s="263"/>
      <c r="J93" s="127" t="b">
        <f>IF(Paramétrage!$U$45="",FALSE,Paramétrage!$U$45)</f>
        <v>0</v>
      </c>
      <c r="K93" s="263"/>
      <c r="L93" s="28" t="b">
        <f>IF(Paramétrage!$W$45="",FALSE,Paramétrage!$W$45)</f>
        <v>0</v>
      </c>
      <c r="M93" s="263"/>
      <c r="N93" s="956">
        <f>IF(OR(B93="aa",B93="cp",B93="f",B93="jc",B93="m",B93="css"),0,(L93-J93)+(H93-F93)+(D93-B93))</f>
        <v>0</v>
      </c>
      <c r="O93" s="956">
        <f>SUM(AM93:AP93)+IF(OR(C93="m",C93="aa"),N93,IF(C93="css",0,IF(C93="cp",0,IF(C93="jc",0,IF(C93="f",0,E93-C93+I93-G93+M93-K93)))))</f>
        <v>0</v>
      </c>
      <c r="P93" s="956">
        <f t="shared" si="249"/>
        <v>0</v>
      </c>
      <c r="Q93" s="956">
        <f t="shared" si="239"/>
        <v>0</v>
      </c>
      <c r="R93" s="957">
        <f>IF(OR(C93="aa",C93="cp",C93="f",C93="jc",C93="m",C93="css"),0,IF(C93=0,MAX(B93,D93,F93,H93,J93,L93)-MIN(B93,D93,F93,H93,J93,L93),IF(C93&lt;&gt;0,MAX(C93,E93,G93,I93,K93,M93)-MIN(C93,E93,G93,I93,K93,M93))))</f>
        <v>0</v>
      </c>
      <c r="S93" s="262"/>
      <c r="T93" s="958" t="str">
        <f t="shared" ref="T93:T96" si="259">IF(AND(B93=FALSE,C93=""),"",IF(AND(B93=0,C93=0),"",(IF(OR(C93="cp",C93="f",C93="jc",C93="css"),"",IF(OR(C93="",C93="aa",C93="m"),(IF(OR(B93="cp",B93="f",B93="jc",B93="css"),"",B93*24+24-MAX(D92,H92,L92)*24)),C93*24+24-MAX(M92,I92,E92)*24)))))</f>
        <v/>
      </c>
      <c r="U93" s="959" t="str">
        <f>IF(P93=0,"",IF(P93&lt;Paramétrage!$S$12,"PB",IF(AND(Q93&lt;Paramétrage!$S$12,Q93&lt;&gt;0),"PB","")))</f>
        <v/>
      </c>
      <c r="V93" s="959" t="str">
        <f t="shared" si="242"/>
        <v/>
      </c>
      <c r="W93" s="959" t="str">
        <f t="shared" si="243"/>
        <v/>
      </c>
      <c r="X93" s="960" t="str">
        <f>IF(AND(N93=0,O93=0),"",(IF(OR(C93="aa",C93="cp",C93="f",C93="jc",C93="m",C93="css"),"",IF(C93="",IF(OR(D93-B93&gt;6/24,H93-F93&gt;6/24,L93-J93&gt;6/24),"PB",""),IF(OR(E93-C93&gt;6/24,I93-G93&gt;6/24,M93-K93&gt;6/24),"PB","")))))</f>
        <v/>
      </c>
      <c r="Y93" s="959" t="str">
        <f t="shared" si="245"/>
        <v/>
      </c>
      <c r="Z93" s="836"/>
      <c r="AA93" s="837"/>
      <c r="AC93" s="934">
        <f t="shared" si="250"/>
        <v>42664</v>
      </c>
      <c r="AD93" s="961">
        <f>IF(AND(N(AC93)&gt;=Paramétrage!$AU$11,N(AC93)&lt;=Paramétrage!$AU$12),IF(C93="cp",1,0),0)</f>
        <v>0</v>
      </c>
      <c r="AE93" s="962">
        <f t="shared" si="246"/>
        <v>0</v>
      </c>
      <c r="AF93" s="961">
        <f>IF(AND(N(AC93)&gt;=Paramétrage!$AX$11,N(AC93)&lt;=Paramétrage!$AX$12),IF(C93="cp",1,0),0)</f>
        <v>0</v>
      </c>
      <c r="AG93" s="962">
        <f t="shared" si="247"/>
        <v>0</v>
      </c>
      <c r="AI93" s="962">
        <f t="shared" si="251"/>
        <v>0</v>
      </c>
      <c r="AJ93" s="962">
        <f t="shared" si="252"/>
        <v>0</v>
      </c>
      <c r="AM93" s="962">
        <f t="shared" si="253"/>
        <v>0</v>
      </c>
      <c r="AN93" s="962">
        <f t="shared" si="254"/>
        <v>0</v>
      </c>
      <c r="AO93" s="962">
        <f t="shared" si="255"/>
        <v>0</v>
      </c>
      <c r="AP93" s="962">
        <f t="shared" si="256"/>
        <v>0</v>
      </c>
      <c r="AR93" s="917">
        <f>IF(AND(AC93&lt;=$AR$3,B93="CP"),1,0)</f>
        <v>0</v>
      </c>
      <c r="AS93" s="917">
        <f>IF(AND(AC93&lt;=$AR$3,C93="CP"),1,0)</f>
        <v>0</v>
      </c>
      <c r="AV93" s="954"/>
      <c r="AW93" s="963">
        <f t="shared" ref="AW93:BF93" si="260">IF(MONTH(AD93)=AW91,AH93,0)</f>
        <v>0</v>
      </c>
      <c r="AX93" s="963">
        <f t="shared" si="260"/>
        <v>0</v>
      </c>
      <c r="AY93" s="963">
        <f t="shared" si="260"/>
        <v>0</v>
      </c>
      <c r="AZ93" s="963">
        <f t="shared" si="260"/>
        <v>0</v>
      </c>
      <c r="BA93" s="963">
        <f t="shared" si="260"/>
        <v>0</v>
      </c>
      <c r="BB93" s="963">
        <f t="shared" si="260"/>
        <v>0</v>
      </c>
      <c r="BC93" s="963">
        <f t="shared" si="260"/>
        <v>0</v>
      </c>
      <c r="BD93" s="963">
        <f t="shared" si="260"/>
        <v>0</v>
      </c>
      <c r="BE93" s="963">
        <f t="shared" si="260"/>
        <v>0</v>
      </c>
      <c r="BF93" s="963" t="e">
        <f t="shared" si="260"/>
        <v>#VALUE!</v>
      </c>
    </row>
    <row r="94" spans="1:58" ht="14.45" customHeight="1" x14ac:dyDescent="0.3">
      <c r="A94" s="964" t="s">
        <v>16</v>
      </c>
      <c r="B94" s="15" t="b">
        <f>IF(Paramétrage!$O$46="",FALSE,Paramétrage!$O$46)</f>
        <v>0</v>
      </c>
      <c r="C94" s="263"/>
      <c r="D94" s="15" t="b">
        <f>IF(Paramétrage!$Q$46="",FALSE,Paramétrage!$Q$46)</f>
        <v>0</v>
      </c>
      <c r="E94" s="264"/>
      <c r="F94" s="15" t="b">
        <f>IF(Paramétrage!$R$46="",FALSE,Paramétrage!$R$46)</f>
        <v>0</v>
      </c>
      <c r="G94" s="264"/>
      <c r="H94" s="17" t="b">
        <f>IF(Paramétrage!$T$46="",FALSE,Paramétrage!$T$46)</f>
        <v>0</v>
      </c>
      <c r="I94" s="263"/>
      <c r="J94" s="127" t="b">
        <f>IF(Paramétrage!$U$46="",FALSE,Paramétrage!$U$46)</f>
        <v>0</v>
      </c>
      <c r="K94" s="263"/>
      <c r="L94" s="28" t="b">
        <f>IF(Paramétrage!$W$46="",FALSE,Paramétrage!$W$46)</f>
        <v>0</v>
      </c>
      <c r="M94" s="263"/>
      <c r="N94" s="956">
        <f>IF(OR(B94="aa",B94="cp",B94="f",B94="jc",B94="m",B94="css"),0,(L94-J94)+(H94-F94)+(D94-B94))</f>
        <v>0</v>
      </c>
      <c r="O94" s="956">
        <f>SUM(AM94:AP94)+IF(OR(C94="m",C94="aa"),N94,IF(C94="css",0,IF(C94="cp",0,IF(C94="jc",0,IF(C94="f",0,E94-C94+I94-G94+M94-K94)))))</f>
        <v>0</v>
      </c>
      <c r="P94" s="956">
        <f t="shared" si="249"/>
        <v>0</v>
      </c>
      <c r="Q94" s="956">
        <f t="shared" si="239"/>
        <v>0</v>
      </c>
      <c r="R94" s="957">
        <f>IF(OR(C94="aa",C94="cp",C94="f",C94="jc",C94="m",C94="css"),0,IF(C94=0,MAX(B94,D94,F94,H94,J94,L94)-MIN(B94,D94,F94,H94,J94,L94),IF(C94&lt;&gt;0,MAX(C94,E94,G94,I94,K94,M94)-MIN(C94,E94,G94,I94,K94,M94))))</f>
        <v>0</v>
      </c>
      <c r="S94" s="262"/>
      <c r="T94" s="958" t="str">
        <f t="shared" si="259"/>
        <v/>
      </c>
      <c r="U94" s="959" t="str">
        <f>IF(P94=0,"",IF(P94&lt;Paramétrage!$S$12,"PB",IF(AND(Q94&lt;Paramétrage!$S$12,Q94&lt;&gt;0),"PB","")))</f>
        <v/>
      </c>
      <c r="V94" s="959" t="str">
        <f t="shared" si="242"/>
        <v/>
      </c>
      <c r="W94" s="959" t="str">
        <f t="shared" si="243"/>
        <v/>
      </c>
      <c r="X94" s="960" t="str">
        <f>IF(AND(N94=0,O94=0),"",(IF(OR(C94="aa",C94="cp",C94="f",C94="jc",C94="m",C94="css"),"",IF(C94="",IF(OR(D94-B94&gt;6/24,H94-F94&gt;6/24,L94-J94&gt;6/24),"PB",""),IF(OR(E94-C94&gt;6/24,I94-G94&gt;6/24,M94-K94&gt;6/24),"PB","")))))</f>
        <v/>
      </c>
      <c r="Y94" s="959" t="str">
        <f t="shared" si="245"/>
        <v/>
      </c>
      <c r="Z94" s="836"/>
      <c r="AA94" s="837"/>
      <c r="AC94" s="934">
        <f t="shared" si="250"/>
        <v>42665</v>
      </c>
      <c r="AD94" s="961">
        <f>IF(AND(N(AC94)&gt;=Paramétrage!$AU$11,N(AC94)&lt;=Paramétrage!$AU$12),IF(C94="cp",1,0),0)</f>
        <v>0</v>
      </c>
      <c r="AE94" s="962">
        <f t="shared" si="246"/>
        <v>0</v>
      </c>
      <c r="AF94" s="961">
        <f>IF(AND(N(AC94)&gt;=Paramétrage!$AX$11,N(AC94)&lt;=Paramétrage!$AX$12),IF(C94="cp",1,0),0)</f>
        <v>0</v>
      </c>
      <c r="AG94" s="962">
        <f t="shared" si="247"/>
        <v>0</v>
      </c>
      <c r="AI94" s="962">
        <f t="shared" si="251"/>
        <v>0</v>
      </c>
      <c r="AJ94" s="962">
        <f t="shared" si="252"/>
        <v>0</v>
      </c>
      <c r="AM94" s="962">
        <f t="shared" si="253"/>
        <v>0</v>
      </c>
      <c r="AN94" s="962">
        <f t="shared" si="254"/>
        <v>0</v>
      </c>
      <c r="AO94" s="962">
        <f t="shared" si="255"/>
        <v>0</v>
      </c>
      <c r="AP94" s="962">
        <f t="shared" si="256"/>
        <v>0</v>
      </c>
      <c r="AR94" s="917">
        <f>IF(AND(AC94&lt;=$AR$3,B94="CP"),1,0)</f>
        <v>0</v>
      </c>
      <c r="AS94" s="917">
        <f>IF(AND(AC94&lt;=$AR$3,C94="CP"),1,0)</f>
        <v>0</v>
      </c>
      <c r="AV94" s="954"/>
      <c r="AW94" s="963">
        <f t="shared" ref="AW94:BF94" si="261">IF(MONTH(AD94)=AW92,AH94,0)</f>
        <v>0</v>
      </c>
      <c r="AX94" s="963">
        <f t="shared" si="261"/>
        <v>0</v>
      </c>
      <c r="AY94" s="963">
        <f t="shared" si="261"/>
        <v>0</v>
      </c>
      <c r="AZ94" s="963">
        <f t="shared" si="261"/>
        <v>0</v>
      </c>
      <c r="BA94" s="963">
        <f t="shared" si="261"/>
        <v>0</v>
      </c>
      <c r="BB94" s="963">
        <f t="shared" si="261"/>
        <v>0</v>
      </c>
      <c r="BC94" s="963">
        <f t="shared" si="261"/>
        <v>0</v>
      </c>
      <c r="BD94" s="963">
        <f t="shared" si="261"/>
        <v>0</v>
      </c>
      <c r="BE94" s="963">
        <f t="shared" si="261"/>
        <v>0</v>
      </c>
      <c r="BF94" s="963">
        <f t="shared" si="261"/>
        <v>0</v>
      </c>
    </row>
    <row r="95" spans="1:58" ht="14.45" customHeight="1" x14ac:dyDescent="0.3">
      <c r="A95" s="964" t="s">
        <v>19</v>
      </c>
      <c r="B95" s="15" t="b">
        <f>IF(Paramétrage!$O$47="",FALSE,Paramétrage!$O$47)</f>
        <v>0</v>
      </c>
      <c r="C95" s="263"/>
      <c r="D95" s="15" t="b">
        <f>IF(Paramétrage!$Q$47="",FALSE,Paramétrage!$Q$47)</f>
        <v>0</v>
      </c>
      <c r="E95" s="264"/>
      <c r="F95" s="15" t="b">
        <f>IF(Paramétrage!$R$47="",FALSE,Paramétrage!$R$47)</f>
        <v>0</v>
      </c>
      <c r="G95" s="264"/>
      <c r="H95" s="17" t="b">
        <f>IF(Paramétrage!$T$47="",FALSE,Paramétrage!$T$47)</f>
        <v>0</v>
      </c>
      <c r="I95" s="263"/>
      <c r="J95" s="127" t="b">
        <f>IF(Paramétrage!$U$47="",FALSE,Paramétrage!$U$47)</f>
        <v>0</v>
      </c>
      <c r="K95" s="263"/>
      <c r="L95" s="28" t="b">
        <f>IF(Paramétrage!$W$47="",FALSE,Paramétrage!$W$47)</f>
        <v>0</v>
      </c>
      <c r="M95" s="263"/>
      <c r="N95" s="956">
        <f>IF(OR(B95="aa",B95="cp",B95="f",B95="jc",B95="m",B95="css"),0,(L95-J95)+(H95-F95)+(D95-B95))</f>
        <v>0</v>
      </c>
      <c r="O95" s="956">
        <f>IF(OR(C95="m",C95="aa"),N95,IF(C95="cp",0,IF(OR(C95="css",C95="jc"),0,IF(C95="f",0,E95-C95+I95-G95+M95-K95))))</f>
        <v>0</v>
      </c>
      <c r="P95" s="956">
        <f t="shared" si="249"/>
        <v>0</v>
      </c>
      <c r="Q95" s="956">
        <f t="shared" si="239"/>
        <v>0</v>
      </c>
      <c r="R95" s="957">
        <f>IF(OR(C95="aa",C95="cp",C95="f",C95="jc",C95="m",C95="css"),0,IF(C95=0,MAX(B95,D95,F95,H95,J95,L95)-MIN(B95,D95,F95,H95,J95,L95),IF(C95&lt;&gt;0,MAX(C95,E95,G95,I95,K95,M95)-MIN(C95,E95,G95,I95,K95,M95))))</f>
        <v>0</v>
      </c>
      <c r="S95" s="262"/>
      <c r="T95" s="958" t="str">
        <f t="shared" si="259"/>
        <v/>
      </c>
      <c r="U95" s="959" t="str">
        <f>IF(P95=0,"",IF(P95&lt;Paramétrage!$S$12,"PB",IF(AND(Q95&lt;Paramétrage!$S$12,Q95&lt;&gt;0),"PB","")))</f>
        <v/>
      </c>
      <c r="V95" s="959" t="str">
        <f t="shared" si="242"/>
        <v/>
      </c>
      <c r="W95" s="959" t="str">
        <f t="shared" si="243"/>
        <v/>
      </c>
      <c r="X95" s="960" t="str">
        <f>IF(AND(N95=0,O95=0),"",(IF(OR(C95="aa",C95="cp",C95="f",C95="jc",C95="m",C95="css"),"",IF(C95="",IF(OR(D95-B95&gt;6/24,H95-F95&gt;6/24,L95-J95&gt;6/24),"PB",""),IF(OR(E95-C95&gt;6/24,I95-G95&gt;6/24,M95-K95&gt;6/24),"PB","")))))</f>
        <v/>
      </c>
      <c r="Y95" s="959" t="str">
        <f t="shared" si="245"/>
        <v/>
      </c>
      <c r="Z95" s="836"/>
      <c r="AA95" s="837"/>
      <c r="AB95" s="967"/>
      <c r="AC95" s="934">
        <f t="shared" si="250"/>
        <v>42666</v>
      </c>
      <c r="AD95" s="961">
        <f>IF(AND(N(AC95)&gt;=Paramétrage!$AU$11,N(AC95)&lt;=Paramétrage!$AU$12),IF(C95="cp",1,0),0)</f>
        <v>0</v>
      </c>
      <c r="AE95" s="962">
        <f t="shared" si="246"/>
        <v>0</v>
      </c>
      <c r="AF95" s="961">
        <f>IF(AND(N(AC95)&gt;=Paramétrage!$AX$11,N(AC95)&lt;=Paramétrage!$AX$12),IF(C95="cp",1,0),0)</f>
        <v>0</v>
      </c>
      <c r="AG95" s="962">
        <f t="shared" si="247"/>
        <v>0</v>
      </c>
      <c r="AI95" s="962">
        <f t="shared" si="251"/>
        <v>0</v>
      </c>
      <c r="AJ95" s="962">
        <f t="shared" si="252"/>
        <v>0</v>
      </c>
      <c r="AM95" s="962"/>
      <c r="AN95" s="962"/>
      <c r="AO95" s="962"/>
      <c r="AP95" s="962"/>
      <c r="AV95" s="954"/>
      <c r="AW95" s="963">
        <f t="shared" ref="AW95:BF95" si="262">IF(MONTH(AD95)=AW93,AH95,0)</f>
        <v>0</v>
      </c>
      <c r="AX95" s="963">
        <f t="shared" si="262"/>
        <v>0</v>
      </c>
      <c r="AY95" s="963">
        <f t="shared" si="262"/>
        <v>0</v>
      </c>
      <c r="AZ95" s="963">
        <f t="shared" si="262"/>
        <v>0</v>
      </c>
      <c r="BA95" s="963">
        <f t="shared" si="262"/>
        <v>0</v>
      </c>
      <c r="BB95" s="963">
        <f t="shared" si="262"/>
        <v>0</v>
      </c>
      <c r="BC95" s="963">
        <f t="shared" si="262"/>
        <v>0</v>
      </c>
      <c r="BD95" s="963">
        <f t="shared" si="262"/>
        <v>0</v>
      </c>
      <c r="BE95" s="963">
        <f t="shared" si="262"/>
        <v>0</v>
      </c>
      <c r="BF95" s="963" t="e">
        <f t="shared" si="262"/>
        <v>#VALUE!</v>
      </c>
    </row>
    <row r="96" spans="1:58" ht="14.45" customHeight="1" thickBot="1" x14ac:dyDescent="0.35">
      <c r="A96" s="966" t="s">
        <v>20</v>
      </c>
      <c r="B96" s="15" t="b">
        <f>IF(Paramétrage!$O$48="",FALSE,Paramétrage!$O$48)</f>
        <v>0</v>
      </c>
      <c r="C96" s="263"/>
      <c r="D96" s="15" t="b">
        <f>IF(Paramétrage!$Q$48="",FALSE,Paramétrage!$Q$48)</f>
        <v>0</v>
      </c>
      <c r="E96" s="264"/>
      <c r="F96" s="15" t="b">
        <f>IF(Paramétrage!$R$48="",FALSE,Paramétrage!$R$48)</f>
        <v>0</v>
      </c>
      <c r="G96" s="264"/>
      <c r="H96" s="17" t="b">
        <f>IF(Paramétrage!$T$48="",FALSE,Paramétrage!$T$48)</f>
        <v>0</v>
      </c>
      <c r="I96" s="263"/>
      <c r="J96" s="127" t="b">
        <f>IF(Paramétrage!$U$48="",FALSE,Paramétrage!$U$48)</f>
        <v>0</v>
      </c>
      <c r="K96" s="263"/>
      <c r="L96" s="28" t="b">
        <f>IF(Paramétrage!$W$48="",FALSE,Paramétrage!$W$48)</f>
        <v>0</v>
      </c>
      <c r="M96" s="263"/>
      <c r="N96" s="956">
        <f>IF(OR(B96="aa",B96="m"),M96,IF(B96="cp",0,IF(B96="jc",0,IF(B96="f",0,(D96-B96)*Paramétrage!$S$13+(H96-F96)*Paramétrage!$S$13+(L96-J96)*Paramétrage!$S$13+(D96-B96+H96-F96+L96-J96)))))</f>
        <v>0</v>
      </c>
      <c r="O96" s="956">
        <f>IF(OR(C96="aa",C96="m"),N96,IF(C96="cp",0,IF(C96="jc",0,IF(C96="f",0,(E96-C96)*Paramétrage!$S$13+(I96-G96)*Paramétrage!$S$13+(M96-K96)*Paramétrage!$S$13+(E96-C96+I96-G96+M96-K96)))))</f>
        <v>0</v>
      </c>
      <c r="P96" s="956">
        <f t="shared" si="249"/>
        <v>0</v>
      </c>
      <c r="Q96" s="956">
        <f t="shared" si="239"/>
        <v>0</v>
      </c>
      <c r="R96" s="957">
        <f t="shared" ref="R96" si="263">IF(OR(C96="aa",C96="cp",C96="f",C96="jc",C96="m",C96=0),MAX(B96,D96,F96,H96,J96,L96)-MIN(B96,D96,F96,H96,J96,L96),IF(C96&lt;&gt;0,MAX(C96,E96,G96,I96,K96,M96)-MIN(C96,E96,G96,I96,K96,M96)))</f>
        <v>0</v>
      </c>
      <c r="S96" s="262"/>
      <c r="T96" s="958" t="str">
        <f t="shared" si="259"/>
        <v/>
      </c>
      <c r="U96" s="959" t="str">
        <f>IF(P96=0,"",IF(P96&lt;Paramétrage!$S$12,"PB",IF(AND(Q96&lt;Paramétrage!$S$12,Q96&lt;&gt;0),"PB","")))</f>
        <v/>
      </c>
      <c r="V96" s="959" t="str">
        <f t="shared" si="242"/>
        <v/>
      </c>
      <c r="W96" s="959" t="str">
        <f t="shared" si="243"/>
        <v/>
      </c>
      <c r="X96" s="960" t="str">
        <f t="shared" ref="X96" si="264">IF(AND(N96=0,O96=0),"",(IF(OR(C96="aa",C96="cp",C96="f",C96="jc",C96="m"),"",IF(C96="",IF(OR(D96-B96&gt;6/24,H96-F96&gt;6/24,L96-J96&gt;6/24),"PB",""),IF(OR(E96-C96&gt;6/24,I96-G96&gt;6/24,M96-K96&gt;6/24),"PB","")))))</f>
        <v/>
      </c>
      <c r="Y96" s="959" t="str">
        <f t="shared" si="245"/>
        <v/>
      </c>
      <c r="Z96" s="836"/>
      <c r="AA96" s="837"/>
      <c r="AC96" s="934">
        <f t="shared" si="250"/>
        <v>42667</v>
      </c>
      <c r="AD96" s="961">
        <f>IF(AND(N(AC96)&gt;=Paramétrage!$AU$11,N(AC96)&lt;=Paramétrage!$AU$12),IF(C96="cp",1,0),0)</f>
        <v>0</v>
      </c>
      <c r="AE96" s="962">
        <f>N96</f>
        <v>0</v>
      </c>
      <c r="AF96" s="961">
        <f>IF(AND(N(AC96)&gt;=Paramétrage!$AX$11,N(AC96)&lt;=Paramétrage!$AX$12),IF(C96="cp",1,0),0)</f>
        <v>0</v>
      </c>
      <c r="AG96" s="962">
        <f t="shared" si="247"/>
        <v>0</v>
      </c>
      <c r="AI96" s="962">
        <f t="shared" si="251"/>
        <v>0</v>
      </c>
      <c r="AJ96" s="962">
        <f t="shared" si="252"/>
        <v>0</v>
      </c>
      <c r="AM96" s="962"/>
      <c r="AN96" s="962"/>
      <c r="AO96" s="962"/>
      <c r="AP96" s="962"/>
      <c r="AV96" s="954"/>
      <c r="AW96" s="963">
        <f t="shared" ref="AW96:BF96" si="265">IF(MONTH(AD96)=AW94,AH96,0)</f>
        <v>0</v>
      </c>
      <c r="AX96" s="963">
        <f t="shared" si="265"/>
        <v>0</v>
      </c>
      <c r="AY96" s="963">
        <f t="shared" si="265"/>
        <v>0</v>
      </c>
      <c r="AZ96" s="963">
        <f t="shared" si="265"/>
        <v>0</v>
      </c>
      <c r="BA96" s="963">
        <f t="shared" si="265"/>
        <v>0</v>
      </c>
      <c r="BB96" s="963">
        <f t="shared" si="265"/>
        <v>0</v>
      </c>
      <c r="BC96" s="963">
        <f t="shared" si="265"/>
        <v>0</v>
      </c>
      <c r="BD96" s="963">
        <f t="shared" si="265"/>
        <v>0</v>
      </c>
      <c r="BE96" s="963">
        <f t="shared" si="265"/>
        <v>0</v>
      </c>
      <c r="BF96" s="963">
        <f t="shared" si="265"/>
        <v>0</v>
      </c>
    </row>
    <row r="97" spans="1:58" x14ac:dyDescent="0.25">
      <c r="A97" s="969" t="s">
        <v>78</v>
      </c>
      <c r="B97" s="970"/>
      <c r="C97" s="970"/>
      <c r="D97" s="970"/>
      <c r="E97" s="970"/>
      <c r="F97" s="970"/>
      <c r="G97" s="970"/>
      <c r="H97" s="970"/>
      <c r="I97" s="970"/>
      <c r="J97" s="970"/>
      <c r="K97" s="971"/>
      <c r="L97" s="970"/>
      <c r="M97" s="970"/>
      <c r="N97" s="972">
        <f>SUM(N90:N96)</f>
        <v>0</v>
      </c>
      <c r="O97" s="972">
        <f>SUM(O90:O96)</f>
        <v>0</v>
      </c>
      <c r="P97" s="972">
        <f>SUM(P90:P96)</f>
        <v>0</v>
      </c>
      <c r="Q97" s="972">
        <f>SUM(Q90:Q96)</f>
        <v>0</v>
      </c>
      <c r="R97" s="972"/>
      <c r="S97" s="972"/>
      <c r="T97" s="973"/>
      <c r="U97" s="974"/>
      <c r="V97" s="975" t="str">
        <f>IF((O97*24)&gt;48,"PB","")</f>
        <v/>
      </c>
      <c r="W97" s="974"/>
      <c r="X97" s="972"/>
      <c r="Y97" s="974"/>
      <c r="Z97" s="976" t="s">
        <v>59</v>
      </c>
      <c r="AA97" s="977">
        <f>+O97-N97</f>
        <v>0</v>
      </c>
      <c r="AF97" s="961"/>
      <c r="AV97" s="954"/>
      <c r="AW97" s="963">
        <f t="shared" ref="AW97:BF97" si="266">IF(MONTH(AD97)=AW95,AH97,0)</f>
        <v>0</v>
      </c>
      <c r="AX97" s="963">
        <f t="shared" si="266"/>
        <v>0</v>
      </c>
      <c r="AY97" s="963">
        <f t="shared" si="266"/>
        <v>0</v>
      </c>
      <c r="AZ97" s="963">
        <f t="shared" si="266"/>
        <v>0</v>
      </c>
      <c r="BA97" s="963">
        <f t="shared" si="266"/>
        <v>0</v>
      </c>
      <c r="BB97" s="963">
        <f t="shared" si="266"/>
        <v>0</v>
      </c>
      <c r="BC97" s="963">
        <f t="shared" si="266"/>
        <v>0</v>
      </c>
      <c r="BD97" s="963">
        <f t="shared" si="266"/>
        <v>0</v>
      </c>
      <c r="BE97" s="963">
        <f t="shared" si="266"/>
        <v>0</v>
      </c>
      <c r="BF97" s="963" t="e">
        <f t="shared" si="266"/>
        <v>#VALUE!</v>
      </c>
    </row>
    <row r="98" spans="1:58" x14ac:dyDescent="0.25">
      <c r="A98" s="969"/>
      <c r="B98" s="969"/>
      <c r="C98" s="969"/>
      <c r="D98" s="969"/>
      <c r="E98" s="969"/>
      <c r="F98" s="994"/>
      <c r="G98" s="994"/>
      <c r="H98" s="994"/>
      <c r="I98" s="994"/>
      <c r="J98" s="994"/>
      <c r="K98" s="969"/>
      <c r="L98" s="969"/>
      <c r="M98" s="969"/>
      <c r="N98" s="973"/>
      <c r="O98" s="969"/>
      <c r="P98" s="980"/>
      <c r="Q98" s="980"/>
      <c r="R98" s="980"/>
      <c r="S98" s="981"/>
      <c r="T98" s="980"/>
      <c r="U98" s="980"/>
      <c r="V98" s="980"/>
      <c r="W98" s="980"/>
      <c r="X98" s="980"/>
      <c r="Y98" s="980"/>
      <c r="Z98" s="976"/>
      <c r="AA98" s="977"/>
      <c r="AF98" s="961"/>
      <c r="AV98" s="954"/>
      <c r="AW98" s="963">
        <f t="shared" ref="AW98:BF98" si="267">IF(MONTH(AD98)=AW96,AH98,0)</f>
        <v>0</v>
      </c>
      <c r="AX98" s="963">
        <f t="shared" si="267"/>
        <v>0</v>
      </c>
      <c r="AY98" s="963">
        <f t="shared" si="267"/>
        <v>0</v>
      </c>
      <c r="AZ98" s="963">
        <f t="shared" si="267"/>
        <v>0</v>
      </c>
      <c r="BA98" s="963">
        <f t="shared" si="267"/>
        <v>0</v>
      </c>
      <c r="BB98" s="963">
        <f t="shared" si="267"/>
        <v>0</v>
      </c>
      <c r="BC98" s="963">
        <f t="shared" si="267"/>
        <v>0</v>
      </c>
      <c r="BD98" s="963">
        <f t="shared" si="267"/>
        <v>0</v>
      </c>
      <c r="BE98" s="963">
        <f t="shared" si="267"/>
        <v>0</v>
      </c>
      <c r="BF98" s="963">
        <f t="shared" si="267"/>
        <v>0</v>
      </c>
    </row>
    <row r="99" spans="1:58" ht="16.5" x14ac:dyDescent="0.3">
      <c r="A99" s="969"/>
      <c r="B99" s="969"/>
      <c r="C99" s="969"/>
      <c r="D99" s="969"/>
      <c r="E99" s="969"/>
      <c r="F99" s="928">
        <f>+F87+7</f>
        <v>42668</v>
      </c>
      <c r="G99" s="928"/>
      <c r="H99" s="929" t="s">
        <v>58</v>
      </c>
      <c r="I99" s="928">
        <f>+F99+6</f>
        <v>42674</v>
      </c>
      <c r="J99" s="930"/>
      <c r="K99" s="969"/>
      <c r="L99" s="969"/>
      <c r="M99" s="969"/>
      <c r="N99" s="973"/>
      <c r="O99" s="969"/>
      <c r="P99" s="980"/>
      <c r="Q99" s="980"/>
      <c r="R99" s="980"/>
      <c r="S99" s="981"/>
      <c r="T99" s="980"/>
      <c r="U99" s="980"/>
      <c r="V99" s="980"/>
      <c r="W99" s="980"/>
      <c r="X99" s="980"/>
      <c r="Y99" s="980"/>
      <c r="Z99" s="976"/>
      <c r="AA99" s="995"/>
      <c r="AF99" s="961"/>
      <c r="AV99" s="954"/>
      <c r="AW99" s="963">
        <f t="shared" ref="AW99:BF99" si="268">IF(MONTH(AD99)=AW97,AH99,0)</f>
        <v>0</v>
      </c>
      <c r="AX99" s="963">
        <f t="shared" si="268"/>
        <v>0</v>
      </c>
      <c r="AY99" s="963">
        <f t="shared" si="268"/>
        <v>0</v>
      </c>
      <c r="AZ99" s="963">
        <f t="shared" si="268"/>
        <v>0</v>
      </c>
      <c r="BA99" s="963">
        <f t="shared" si="268"/>
        <v>0</v>
      </c>
      <c r="BB99" s="963">
        <f t="shared" si="268"/>
        <v>0</v>
      </c>
      <c r="BC99" s="963">
        <f t="shared" si="268"/>
        <v>0</v>
      </c>
      <c r="BD99" s="963">
        <f t="shared" si="268"/>
        <v>0</v>
      </c>
      <c r="BE99" s="963">
        <f t="shared" si="268"/>
        <v>0</v>
      </c>
      <c r="BF99" s="963" t="e">
        <f t="shared" si="268"/>
        <v>#VALUE!</v>
      </c>
    </row>
    <row r="100" spans="1:58" ht="14.45" customHeight="1" x14ac:dyDescent="0.25">
      <c r="A100" s="994"/>
      <c r="B100" s="938" t="s">
        <v>17</v>
      </c>
      <c r="C100" s="938"/>
      <c r="D100" s="938" t="s">
        <v>18</v>
      </c>
      <c r="E100" s="938"/>
      <c r="F100" s="938" t="s">
        <v>17</v>
      </c>
      <c r="G100" s="938"/>
      <c r="H100" s="938" t="s">
        <v>18</v>
      </c>
      <c r="I100" s="938"/>
      <c r="J100" s="938" t="s">
        <v>17</v>
      </c>
      <c r="K100" s="938"/>
      <c r="L100" s="938" t="s">
        <v>18</v>
      </c>
      <c r="M100" s="938"/>
      <c r="N100" s="939" t="s">
        <v>61</v>
      </c>
      <c r="O100" s="939" t="s">
        <v>62</v>
      </c>
      <c r="P100" s="939" t="s">
        <v>60</v>
      </c>
      <c r="Q100" s="939" t="s">
        <v>63</v>
      </c>
      <c r="R100" s="939" t="s">
        <v>64</v>
      </c>
      <c r="S100" s="940" t="s">
        <v>223</v>
      </c>
      <c r="T100" s="939" t="s">
        <v>70</v>
      </c>
      <c r="U100" s="941" t="s">
        <v>65</v>
      </c>
      <c r="V100" s="942"/>
      <c r="W100" s="942"/>
      <c r="X100" s="942"/>
      <c r="Y100" s="943"/>
      <c r="Z100" s="944" t="s">
        <v>22</v>
      </c>
      <c r="AA100" s="944"/>
      <c r="AF100" s="961"/>
      <c r="AV100" s="954"/>
      <c r="AW100" s="963">
        <f t="shared" ref="AW100:BF100" si="269">IF(MONTH(AD100)=AW98,AH100,0)</f>
        <v>0</v>
      </c>
      <c r="AX100" s="963">
        <f t="shared" si="269"/>
        <v>0</v>
      </c>
      <c r="AY100" s="963">
        <f t="shared" si="269"/>
        <v>0</v>
      </c>
      <c r="AZ100" s="963">
        <f t="shared" si="269"/>
        <v>0</v>
      </c>
      <c r="BA100" s="963">
        <f t="shared" si="269"/>
        <v>0</v>
      </c>
      <c r="BB100" s="963">
        <f t="shared" si="269"/>
        <v>0</v>
      </c>
      <c r="BC100" s="963">
        <f t="shared" si="269"/>
        <v>0</v>
      </c>
      <c r="BD100" s="963">
        <f t="shared" si="269"/>
        <v>0</v>
      </c>
      <c r="BE100" s="963">
        <f t="shared" si="269"/>
        <v>0</v>
      </c>
      <c r="BF100" s="963">
        <f t="shared" si="269"/>
        <v>0</v>
      </c>
    </row>
    <row r="101" spans="1:58" ht="26.25" thickBot="1" x14ac:dyDescent="0.4">
      <c r="A101" s="937" t="str">
        <f>"S"&amp;_xlfn.ISOWEEKNUM(F99)</f>
        <v>S44</v>
      </c>
      <c r="B101" s="949" t="s">
        <v>0</v>
      </c>
      <c r="C101" s="950" t="s">
        <v>1</v>
      </c>
      <c r="D101" s="949" t="s">
        <v>0</v>
      </c>
      <c r="E101" s="950" t="s">
        <v>1</v>
      </c>
      <c r="F101" s="949" t="s">
        <v>0</v>
      </c>
      <c r="G101" s="950" t="s">
        <v>1</v>
      </c>
      <c r="H101" s="949" t="s">
        <v>0</v>
      </c>
      <c r="I101" s="950" t="s">
        <v>1</v>
      </c>
      <c r="J101" s="949" t="s">
        <v>0</v>
      </c>
      <c r="K101" s="950" t="s">
        <v>1</v>
      </c>
      <c r="L101" s="949" t="s">
        <v>0</v>
      </c>
      <c r="M101" s="950" t="s">
        <v>1</v>
      </c>
      <c r="N101" s="951"/>
      <c r="O101" s="951"/>
      <c r="P101" s="951"/>
      <c r="Q101" s="951"/>
      <c r="R101" s="951"/>
      <c r="S101" s="951"/>
      <c r="T101" s="939"/>
      <c r="U101" s="952" t="s">
        <v>66</v>
      </c>
      <c r="V101" s="952" t="s">
        <v>67</v>
      </c>
      <c r="W101" s="952" t="s">
        <v>68</v>
      </c>
      <c r="X101" s="952" t="s">
        <v>137</v>
      </c>
      <c r="Y101" s="952" t="s">
        <v>69</v>
      </c>
      <c r="Z101" s="944"/>
      <c r="AA101" s="944"/>
      <c r="AF101" s="961"/>
      <c r="AM101" s="917" t="s">
        <v>274</v>
      </c>
      <c r="AV101" s="954"/>
      <c r="AW101" s="963">
        <f t="shared" ref="AW101:BF101" si="270">IF(MONTH(AD101)=AW99,AH101,0)</f>
        <v>0</v>
      </c>
      <c r="AX101" s="963">
        <f t="shared" si="270"/>
        <v>0</v>
      </c>
      <c r="AY101" s="963">
        <f t="shared" si="270"/>
        <v>0</v>
      </c>
      <c r="AZ101" s="963">
        <f t="shared" si="270"/>
        <v>0</v>
      </c>
      <c r="BA101" s="963">
        <f t="shared" si="270"/>
        <v>0</v>
      </c>
      <c r="BB101" s="963">
        <f t="shared" si="270"/>
        <v>0</v>
      </c>
      <c r="BC101" s="963">
        <f t="shared" si="270"/>
        <v>0</v>
      </c>
      <c r="BD101" s="963">
        <f t="shared" si="270"/>
        <v>0</v>
      </c>
      <c r="BE101" s="963">
        <f t="shared" si="270"/>
        <v>0</v>
      </c>
      <c r="BF101" s="963" t="e">
        <f t="shared" si="270"/>
        <v>#VALUE!</v>
      </c>
    </row>
    <row r="102" spans="1:58" ht="14.45" customHeight="1" x14ac:dyDescent="0.3">
      <c r="A102" s="955" t="s">
        <v>12</v>
      </c>
      <c r="B102" s="15" t="b">
        <f>IF(Paramétrage!$O$42="",FALSE,Paramétrage!$O$42)</f>
        <v>0</v>
      </c>
      <c r="C102" s="263"/>
      <c r="D102" s="16" t="b">
        <f>IF(Paramétrage!$Q$42="",FALSE,Paramétrage!$Q$42)</f>
        <v>0</v>
      </c>
      <c r="E102" s="264"/>
      <c r="F102" s="15" t="b">
        <f>IF(Paramétrage!$R$42="",FALSE,Paramétrage!$R$42)</f>
        <v>0</v>
      </c>
      <c r="G102" s="264"/>
      <c r="H102" s="17" t="b">
        <f>IF(Paramétrage!$T$42="",FALSE,Paramétrage!$T$42)</f>
        <v>0</v>
      </c>
      <c r="I102" s="263"/>
      <c r="J102" s="127" t="b">
        <f>IF(Paramétrage!$U$42="",FALSE,Paramétrage!$U$42)</f>
        <v>0</v>
      </c>
      <c r="K102" s="263"/>
      <c r="L102" s="28" t="b">
        <f>IF(Paramétrage!$W$42="",FALSE,Paramétrage!$W$42)</f>
        <v>0</v>
      </c>
      <c r="M102" s="263"/>
      <c r="N102" s="956">
        <f t="shared" ref="N102:N104" si="271">IF(OR(B102="aa",B102="cp",B102="f",B102="jc",B102="m",B102="css"),0,(L102-J102)+(H102-F102)+(D102-B102))</f>
        <v>0</v>
      </c>
      <c r="O102" s="956">
        <f t="shared" ref="O102:O104" si="272">SUM(AM102:AP102)+IF(OR(C102="m",C102="aa"),N102,IF(C102="css",0,IF(C102="cp",0,IF(C102="jc",0,IF(C102="f",0,E102-C102+I102-G102+M102-K102)))))</f>
        <v>0</v>
      </c>
      <c r="P102" s="956">
        <f>IF(OR(C102="aa",C102="cp",C102="f",C102="jc",C102="m",C102="css"),0,IF(C102="",IF(OR(F102="",F102=FALSE),0,F102-D102),IF(G102="",0,G102-E102)))</f>
        <v>0</v>
      </c>
      <c r="Q102" s="956">
        <f t="shared" ref="Q102:Q108" si="273">IF(P102=0,0,IF(G102="",IF(OR(J102="",J102=FALSE),0,J102-H102),IF(K102="",0,K102-I102)))</f>
        <v>0</v>
      </c>
      <c r="R102" s="957">
        <f t="shared" ref="R102:R104" si="274">IF(OR(C102="aa",C102="cp",C102="f",C102="jc",C102="m",C102="css"),0,IF(C102=0,MAX(B102,D102,F102,H102,J102,L102)-MIN(B102,D102,F102,H102,J102,L102),IF(C102&lt;&gt;0,MAX(C102,E102,G102,I102,K102,M102)-MIN(C102,E102,G102,I102,K102,M102))))</f>
        <v>0</v>
      </c>
      <c r="S102" s="262"/>
      <c r="T102" s="958" t="str">
        <f t="shared" ref="T102:T103" si="275">IF(AND(B102=FALSE,C102=""),"",IF(AND(B102=0,C102=0),"",(IF(OR(C102="cp",C102="f",C102="jc",C102="css"),"",IF(OR(C102="",C102="aa",C102="m"),(IF(OR(B102="cp",B102="f",B102="jc",B102="css"),"",B102*24+24-MAX(D101,H101,L101)*24)),C102*24+24-MAX(M101,I101,E101)*24)))))</f>
        <v/>
      </c>
      <c r="U102" s="959" t="str">
        <f>IF(P102=0,"",IF(P102&lt;Paramétrage!$S$12,"PB",IF(AND(Q102&lt;Paramétrage!$S$12,Q102&lt;&gt;0),"PB","")))</f>
        <v/>
      </c>
      <c r="V102" s="959" t="str">
        <f t="shared" ref="V102:V108" si="276">IF(C102="",IF((N102*24)&gt;10,"PB",""),IF((O102*24)&gt;10,"PB",""))</f>
        <v/>
      </c>
      <c r="W102" s="959" t="str">
        <f t="shared" ref="W102:W108" si="277">IF((R102*24)&gt;12,"PB","")</f>
        <v/>
      </c>
      <c r="X102" s="960" t="str">
        <f t="shared" ref="X102:X104" si="278">IF(AND(N102=0,O102=0),"",(IF(OR(C102="aa",C102="cp",C102="f",C102="jc",C102="m",C102="css"),"",IF(C102="",IF(OR(D102-B102&gt;6/24,H102-F102&gt;6/24,L102-J102&gt;6/24),"PB",""),IF(OR(E102-C102&gt;6/24,I102-G102&gt;6/24,M102-K102&gt;6/24),"PB","")))))</f>
        <v/>
      </c>
      <c r="Y102" s="959" t="str">
        <f t="shared" ref="Y102:Y108" si="279">IF(T102="","",IF(T102&lt;11,"PB",""))</f>
        <v/>
      </c>
      <c r="Z102" s="836"/>
      <c r="AA102" s="837"/>
      <c r="AC102" s="934">
        <f>AC96+1</f>
        <v>42668</v>
      </c>
      <c r="AD102" s="961">
        <f>IF(AND(N(AC102)&gt;=Paramétrage!$AU$11,N(AC102)&lt;=Paramétrage!$AU$12),IF(C102="cp",1,0),0)</f>
        <v>0</v>
      </c>
      <c r="AE102" s="962">
        <f>N102</f>
        <v>0</v>
      </c>
      <c r="AF102" s="961">
        <f>IF(AND(N(AC102)&gt;=Paramétrage!$AX$11,N(AC102)&lt;=Paramétrage!$AX$12),IF(C102="cp",1,0),0)</f>
        <v>0</v>
      </c>
      <c r="AG102" s="962">
        <f>O102</f>
        <v>0</v>
      </c>
      <c r="AI102" s="962">
        <f>AE102+AI96</f>
        <v>0</v>
      </c>
      <c r="AJ102" s="962">
        <f>AG102+AJ96</f>
        <v>0</v>
      </c>
      <c r="AM102" s="962">
        <f>IF(AND($B102="cp",$C102="m"),$Z102,0)</f>
        <v>0</v>
      </c>
      <c r="AN102" s="962">
        <f>IF(AND($B102="jc",$C102="m"),$Z102,0)</f>
        <v>0</v>
      </c>
      <c r="AO102" s="962">
        <f>IF(AND($B102="cp",$C102="aa"),$Z102,0)</f>
        <v>0</v>
      </c>
      <c r="AP102" s="962">
        <f>IF(AND($B102="jc",$C102="aa"),$Z102,0)</f>
        <v>0</v>
      </c>
      <c r="AR102" s="917">
        <f>IF(AND(AC102&lt;=$AR$3,B102="CP"),1,0)</f>
        <v>0</v>
      </c>
      <c r="AS102" s="917">
        <f>IF(AND(AC102&lt;=$AR$3,C102="CP"),1,0)</f>
        <v>0</v>
      </c>
      <c r="AV102" s="954"/>
      <c r="AW102" s="963">
        <f t="shared" ref="AW102:BF102" si="280">IF(MONTH(AD102)=AW100,AH102,0)</f>
        <v>0</v>
      </c>
      <c r="AX102" s="963">
        <f t="shared" si="280"/>
        <v>0</v>
      </c>
      <c r="AY102" s="963">
        <f t="shared" si="280"/>
        <v>0</v>
      </c>
      <c r="AZ102" s="963">
        <f t="shared" si="280"/>
        <v>0</v>
      </c>
      <c r="BA102" s="963">
        <f t="shared" si="280"/>
        <v>0</v>
      </c>
      <c r="BB102" s="963">
        <f t="shared" si="280"/>
        <v>0</v>
      </c>
      <c r="BC102" s="963">
        <f t="shared" si="280"/>
        <v>0</v>
      </c>
      <c r="BD102" s="963">
        <f t="shared" si="280"/>
        <v>0</v>
      </c>
      <c r="BE102" s="963">
        <f t="shared" si="280"/>
        <v>0</v>
      </c>
      <c r="BF102" s="963">
        <f t="shared" si="280"/>
        <v>0</v>
      </c>
    </row>
    <row r="103" spans="1:58" ht="14.45" customHeight="1" x14ac:dyDescent="0.3">
      <c r="A103" s="964" t="s">
        <v>13</v>
      </c>
      <c r="B103" s="15" t="b">
        <f>IF(Paramétrage!$O$43="",FALSE,Paramétrage!$O$43)</f>
        <v>0</v>
      </c>
      <c r="C103" s="263"/>
      <c r="D103" s="16" t="b">
        <f>IF(Paramétrage!$Q$43="",FALSE,Paramétrage!$Q$43)</f>
        <v>0</v>
      </c>
      <c r="E103" s="264"/>
      <c r="F103" s="15" t="b">
        <f>IF(Paramétrage!$R$43="",FALSE,Paramétrage!$R$43)</f>
        <v>0</v>
      </c>
      <c r="G103" s="264"/>
      <c r="H103" s="17" t="b">
        <f>IF(Paramétrage!$T$43="",FALSE,Paramétrage!$T$43)</f>
        <v>0</v>
      </c>
      <c r="I103" s="263"/>
      <c r="J103" s="127" t="b">
        <f>IF(Paramétrage!$U$43="",FALSE,Paramétrage!$U$43)</f>
        <v>0</v>
      </c>
      <c r="K103" s="263"/>
      <c r="L103" s="28" t="b">
        <f>IF(Paramétrage!$W$43="",FALSE,Paramétrage!$W$43)</f>
        <v>0</v>
      </c>
      <c r="M103" s="263"/>
      <c r="N103" s="956">
        <f t="shared" si="271"/>
        <v>0</v>
      </c>
      <c r="O103" s="956">
        <f t="shared" si="272"/>
        <v>0</v>
      </c>
      <c r="P103" s="956">
        <f t="shared" ref="P103:P108" si="281">IF(OR(C103="aa",C103="cp",C103="f",C103="jc",C103="m",C103="css"),0,IF(C103="",IF(OR(F103="",F103=FALSE),0,F103-D103),IF(G103="",0,G103-E103)))</f>
        <v>0</v>
      </c>
      <c r="Q103" s="956">
        <f t="shared" si="273"/>
        <v>0</v>
      </c>
      <c r="R103" s="957">
        <f t="shared" si="274"/>
        <v>0</v>
      </c>
      <c r="S103" s="262"/>
      <c r="T103" s="958" t="str">
        <f t="shared" si="275"/>
        <v/>
      </c>
      <c r="U103" s="959" t="str">
        <f>IF(P103=0,"",IF(P103&lt;Paramétrage!$S$12,"PB",IF(AND(Q103&lt;Paramétrage!$S$12,Q103&lt;&gt;0),"PB","")))</f>
        <v/>
      </c>
      <c r="V103" s="959" t="str">
        <f t="shared" si="276"/>
        <v/>
      </c>
      <c r="W103" s="959" t="str">
        <f t="shared" si="277"/>
        <v/>
      </c>
      <c r="X103" s="960" t="str">
        <f t="shared" si="278"/>
        <v/>
      </c>
      <c r="Y103" s="959" t="str">
        <f t="shared" si="279"/>
        <v/>
      </c>
      <c r="Z103" s="836"/>
      <c r="AA103" s="837"/>
      <c r="AC103" s="934">
        <f t="shared" ref="AC103:AC108" si="282">AC102+1</f>
        <v>42669</v>
      </c>
      <c r="AD103" s="961">
        <f>IF(AND(N(AC103)&gt;=Paramétrage!$AU$11,N(AC103)&lt;=Paramétrage!$AU$12),IF(C103="cp",1,0),0)</f>
        <v>0</v>
      </c>
      <c r="AE103" s="962">
        <f t="shared" ref="AE103:AE108" si="283">N103</f>
        <v>0</v>
      </c>
      <c r="AF103" s="961">
        <f>IF(AND(N(AC103)&gt;=Paramétrage!$AX$11,N(AC103)&lt;=Paramétrage!$AX$12),IF(C103="cp",1,0),0)</f>
        <v>0</v>
      </c>
      <c r="AG103" s="962">
        <f t="shared" ref="AG103:AG108" si="284">O103</f>
        <v>0</v>
      </c>
      <c r="AI103" s="962">
        <f t="shared" ref="AI103:AI108" si="285">AE103+AI102</f>
        <v>0</v>
      </c>
      <c r="AJ103" s="962">
        <f t="shared" ref="AJ103:AJ108" si="286">AG103+AJ102</f>
        <v>0</v>
      </c>
      <c r="AM103" s="962">
        <f t="shared" ref="AM103:AM106" si="287">IF(AND($B103="cp",$C103="m"),$Z103,0)</f>
        <v>0</v>
      </c>
      <c r="AN103" s="962">
        <f t="shared" ref="AN103:AN106" si="288">IF(AND($B103="jc",$C103="m"),$Z103,0)</f>
        <v>0</v>
      </c>
      <c r="AO103" s="962">
        <f t="shared" ref="AO103:AO106" si="289">IF(AND($B103="cp",$C103="aa"),$Z103,0)</f>
        <v>0</v>
      </c>
      <c r="AP103" s="962">
        <f t="shared" ref="AP103:AP106" si="290">IF(AND($B103="jc",$C103="aa"),$Z103,0)</f>
        <v>0</v>
      </c>
      <c r="AR103" s="917">
        <f>IF(AND(AC103&lt;=$AR$3,B103="CP"),1,0)</f>
        <v>0</v>
      </c>
      <c r="AS103" s="917">
        <f>IF(AND(AC103&lt;=$AR$3,C103="CP"),1,0)</f>
        <v>0</v>
      </c>
      <c r="AV103" s="996"/>
      <c r="AW103" s="963">
        <f t="shared" ref="AW103:BF103" si="291">IF(MONTH(AD103)=AW101,AH103,0)</f>
        <v>0</v>
      </c>
      <c r="AX103" s="963">
        <f t="shared" si="291"/>
        <v>0</v>
      </c>
      <c r="AY103" s="963">
        <f t="shared" si="291"/>
        <v>0</v>
      </c>
      <c r="AZ103" s="963">
        <f t="shared" si="291"/>
        <v>0</v>
      </c>
      <c r="BA103" s="963">
        <f t="shared" si="291"/>
        <v>0</v>
      </c>
      <c r="BB103" s="963">
        <f t="shared" si="291"/>
        <v>0</v>
      </c>
      <c r="BC103" s="963">
        <f t="shared" si="291"/>
        <v>0</v>
      </c>
      <c r="BD103" s="963">
        <f t="shared" si="291"/>
        <v>0</v>
      </c>
      <c r="BE103" s="963">
        <f t="shared" si="291"/>
        <v>0</v>
      </c>
      <c r="BF103" s="963" t="e">
        <f t="shared" si="291"/>
        <v>#VALUE!</v>
      </c>
    </row>
    <row r="104" spans="1:58" ht="14.45" customHeight="1" x14ac:dyDescent="0.3">
      <c r="A104" s="964" t="s">
        <v>14</v>
      </c>
      <c r="B104" s="15" t="b">
        <f>IF(Paramétrage!$O$44="",FALSE,Paramétrage!$O$44)</f>
        <v>0</v>
      </c>
      <c r="C104" s="263"/>
      <c r="D104" s="16" t="b">
        <f>IF(Paramétrage!$Q$44="",FALSE,Paramétrage!$Q$44)</f>
        <v>0</v>
      </c>
      <c r="E104" s="264"/>
      <c r="F104" s="15" t="b">
        <f>IF(Paramétrage!$R$44="",FALSE,Paramétrage!$R$44)</f>
        <v>0</v>
      </c>
      <c r="G104" s="264"/>
      <c r="H104" s="17" t="b">
        <f>IF(Paramétrage!$T$44="",FALSE,Paramétrage!$T$44)</f>
        <v>0</v>
      </c>
      <c r="I104" s="263"/>
      <c r="J104" s="127" t="b">
        <f>IF(Paramétrage!$U$44="",FALSE,Paramétrage!$U$44)</f>
        <v>0</v>
      </c>
      <c r="K104" s="263"/>
      <c r="L104" s="28" t="b">
        <f>IF(Paramétrage!$W$44="",FALSE,Paramétrage!$W$44)</f>
        <v>0</v>
      </c>
      <c r="M104" s="263"/>
      <c r="N104" s="956">
        <f t="shared" si="271"/>
        <v>0</v>
      </c>
      <c r="O104" s="956">
        <f t="shared" si="272"/>
        <v>0</v>
      </c>
      <c r="P104" s="956">
        <f t="shared" si="281"/>
        <v>0</v>
      </c>
      <c r="Q104" s="956">
        <f t="shared" si="273"/>
        <v>0</v>
      </c>
      <c r="R104" s="957">
        <f t="shared" si="274"/>
        <v>0</v>
      </c>
      <c r="S104" s="262"/>
      <c r="T104" s="958" t="str">
        <f>IF(AND(B104=FALSE,C104=""),"",IF(AND(B104=0,C104=0),"",(IF(OR(C104="cp",C104="f",C104="jc",C104="css"),"",IF(OR(C104="",C104="aa",C104="m"),(IF(OR(B104="cp",B104="f",B104="jc",B104="css"),"",B104*24+24-MAX(D103,H103,L103)*24)),C104*24+24-MAX(M103,I103,E103)*24)))))</f>
        <v/>
      </c>
      <c r="U104" s="959" t="str">
        <f>IF(P104=0,"",IF(P104&lt;Paramétrage!$S$12,"PB",IF(AND(Q104&lt;Paramétrage!$S$12,Q104&lt;&gt;0),"PB","")))</f>
        <v/>
      </c>
      <c r="V104" s="959" t="str">
        <f t="shared" si="276"/>
        <v/>
      </c>
      <c r="W104" s="959" t="str">
        <f t="shared" si="277"/>
        <v/>
      </c>
      <c r="X104" s="960" t="str">
        <f t="shared" si="278"/>
        <v/>
      </c>
      <c r="Y104" s="959" t="str">
        <f t="shared" si="279"/>
        <v/>
      </c>
      <c r="Z104" s="836"/>
      <c r="AA104" s="837"/>
      <c r="AC104" s="934">
        <f t="shared" si="282"/>
        <v>42670</v>
      </c>
      <c r="AD104" s="961">
        <f>IF(AND(N(AC104)&gt;=Paramétrage!$AU$11,N(AC104)&lt;=Paramétrage!$AU$12),IF(C104="cp",1,0),0)</f>
        <v>0</v>
      </c>
      <c r="AE104" s="962">
        <f t="shared" si="283"/>
        <v>0</v>
      </c>
      <c r="AF104" s="961">
        <f>IF(AND(N(AC104)&gt;=Paramétrage!$AX$11,N(AC104)&lt;=Paramétrage!$AX$12),IF(C104="cp",1,0),0)</f>
        <v>0</v>
      </c>
      <c r="AG104" s="962">
        <f t="shared" si="284"/>
        <v>0</v>
      </c>
      <c r="AI104" s="962">
        <f t="shared" si="285"/>
        <v>0</v>
      </c>
      <c r="AJ104" s="962">
        <f t="shared" si="286"/>
        <v>0</v>
      </c>
      <c r="AM104" s="962">
        <f t="shared" si="287"/>
        <v>0</v>
      </c>
      <c r="AN104" s="962">
        <f t="shared" si="288"/>
        <v>0</v>
      </c>
      <c r="AO104" s="962">
        <f t="shared" si="289"/>
        <v>0</v>
      </c>
      <c r="AP104" s="962">
        <f t="shared" si="290"/>
        <v>0</v>
      </c>
      <c r="AR104" s="917">
        <f>IF(AND(AC104&lt;=$AR$3,B104="CP"),1,0)</f>
        <v>0</v>
      </c>
      <c r="AS104" s="917">
        <f>IF(AND(AC104&lt;=$AR$3,C104="CP"),1,0)</f>
        <v>0</v>
      </c>
      <c r="AV104" s="954"/>
      <c r="AW104" s="963">
        <f t="shared" ref="AW104:BF104" si="292">IF(MONTH(AD104)=AW102,AH104,0)</f>
        <v>0</v>
      </c>
      <c r="AX104" s="963">
        <f t="shared" si="292"/>
        <v>0</v>
      </c>
      <c r="AY104" s="963">
        <f t="shared" si="292"/>
        <v>0</v>
      </c>
      <c r="AZ104" s="963">
        <f t="shared" si="292"/>
        <v>0</v>
      </c>
      <c r="BA104" s="963">
        <f t="shared" si="292"/>
        <v>0</v>
      </c>
      <c r="BB104" s="963">
        <f t="shared" si="292"/>
        <v>0</v>
      </c>
      <c r="BC104" s="963">
        <f t="shared" si="292"/>
        <v>0</v>
      </c>
      <c r="BD104" s="963">
        <f t="shared" si="292"/>
        <v>0</v>
      </c>
      <c r="BE104" s="963">
        <f t="shared" si="292"/>
        <v>0</v>
      </c>
      <c r="BF104" s="963">
        <f t="shared" si="292"/>
        <v>0</v>
      </c>
    </row>
    <row r="105" spans="1:58" ht="14.45" customHeight="1" x14ac:dyDescent="0.3">
      <c r="A105" s="964" t="s">
        <v>15</v>
      </c>
      <c r="B105" s="15" t="b">
        <f>IF(Paramétrage!$O$45="",FALSE,Paramétrage!$O$45)</f>
        <v>0</v>
      </c>
      <c r="C105" s="263"/>
      <c r="D105" s="16" t="b">
        <f>IF(Paramétrage!$Q$45="",FALSE,Paramétrage!$Q$45)</f>
        <v>0</v>
      </c>
      <c r="E105" s="264"/>
      <c r="F105" s="15" t="b">
        <f>IF(Paramétrage!$R$45="",FALSE,Paramétrage!$R$45)</f>
        <v>0</v>
      </c>
      <c r="G105" s="264"/>
      <c r="H105" s="17" t="b">
        <f>IF(Paramétrage!$T$45="",FALSE,Paramétrage!$T$45)</f>
        <v>0</v>
      </c>
      <c r="I105" s="263"/>
      <c r="J105" s="127" t="b">
        <f>IF(Paramétrage!$U$45="",FALSE,Paramétrage!$U$45)</f>
        <v>0</v>
      </c>
      <c r="K105" s="263"/>
      <c r="L105" s="28" t="b">
        <f>IF(Paramétrage!$W$45="",FALSE,Paramétrage!$W$45)</f>
        <v>0</v>
      </c>
      <c r="M105" s="263"/>
      <c r="N105" s="956">
        <f>IF(OR(B105="aa",B105="cp",B105="f",B105="jc",B105="m",B105="css"),0,(L105-J105)+(H105-F105)+(D105-B105))</f>
        <v>0</v>
      </c>
      <c r="O105" s="956">
        <f>SUM(AM105:AP105)+IF(OR(C105="m",C105="aa"),N105,IF(C105="css",0,IF(C105="cp",0,IF(C105="jc",0,IF(C105="f",0,E105-C105+I105-G105+M105-K105)))))</f>
        <v>0</v>
      </c>
      <c r="P105" s="956">
        <f t="shared" si="281"/>
        <v>0</v>
      </c>
      <c r="Q105" s="956">
        <f t="shared" si="273"/>
        <v>0</v>
      </c>
      <c r="R105" s="957">
        <f>IF(OR(C105="aa",C105="cp",C105="f",C105="jc",C105="m",C105="css"),0,IF(C105=0,MAX(B105,D105,F105,H105,J105,L105)-MIN(B105,D105,F105,H105,J105,L105),IF(C105&lt;&gt;0,MAX(C105,E105,G105,I105,K105,M105)-MIN(C105,E105,G105,I105,K105,M105))))</f>
        <v>0</v>
      </c>
      <c r="S105" s="262"/>
      <c r="T105" s="958" t="str">
        <f t="shared" ref="T105:T108" si="293">IF(AND(B105=FALSE,C105=""),"",IF(AND(B105=0,C105=0),"",(IF(OR(C105="cp",C105="f",C105="jc",C105="css"),"",IF(OR(C105="",C105="aa",C105="m"),(IF(OR(B105="cp",B105="f",B105="jc",B105="css"),"",B105*24+24-MAX(D104,H104,L104)*24)),C105*24+24-MAX(M104,I104,E104)*24)))))</f>
        <v/>
      </c>
      <c r="U105" s="959" t="str">
        <f>IF(P105=0,"",IF(P105&lt;Paramétrage!$S$12,"PB",IF(AND(Q105&lt;Paramétrage!$S$12,Q105&lt;&gt;0),"PB","")))</f>
        <v/>
      </c>
      <c r="V105" s="959" t="str">
        <f t="shared" si="276"/>
        <v/>
      </c>
      <c r="W105" s="959" t="str">
        <f t="shared" si="277"/>
        <v/>
      </c>
      <c r="X105" s="960" t="str">
        <f>IF(AND(N105=0,O105=0),"",(IF(OR(C105="aa",C105="cp",C105="f",C105="jc",C105="m",C105="css"),"",IF(C105="",IF(OR(D105-B105&gt;6/24,H105-F105&gt;6/24,L105-J105&gt;6/24),"PB",""),IF(OR(E105-C105&gt;6/24,I105-G105&gt;6/24,M105-K105&gt;6/24),"PB","")))))</f>
        <v/>
      </c>
      <c r="Y105" s="959" t="str">
        <f t="shared" si="279"/>
        <v/>
      </c>
      <c r="Z105" s="836"/>
      <c r="AA105" s="837"/>
      <c r="AC105" s="934">
        <f t="shared" si="282"/>
        <v>42671</v>
      </c>
      <c r="AD105" s="961">
        <f>IF(AND(N(AC105)&gt;=Paramétrage!$AU$11,N(AC105)&lt;=Paramétrage!$AU$12),IF(C105="cp",1,0),0)</f>
        <v>0</v>
      </c>
      <c r="AE105" s="962">
        <f t="shared" si="283"/>
        <v>0</v>
      </c>
      <c r="AF105" s="961">
        <f>IF(AND(N(AC105)&gt;=Paramétrage!$AX$11,N(AC105)&lt;=Paramétrage!$AX$12),IF(C105="cp",1,0),0)</f>
        <v>0</v>
      </c>
      <c r="AG105" s="962">
        <f t="shared" si="284"/>
        <v>0</v>
      </c>
      <c r="AI105" s="962">
        <f t="shared" si="285"/>
        <v>0</v>
      </c>
      <c r="AJ105" s="962">
        <f t="shared" si="286"/>
        <v>0</v>
      </c>
      <c r="AM105" s="962">
        <f t="shared" si="287"/>
        <v>0</v>
      </c>
      <c r="AN105" s="962">
        <f t="shared" si="288"/>
        <v>0</v>
      </c>
      <c r="AO105" s="962">
        <f t="shared" si="289"/>
        <v>0</v>
      </c>
      <c r="AP105" s="962">
        <f t="shared" si="290"/>
        <v>0</v>
      </c>
      <c r="AR105" s="917">
        <f>IF(AND(AC105&lt;=$AR$3,B105="CP"),1,0)</f>
        <v>0</v>
      </c>
      <c r="AS105" s="917">
        <f>IF(AND(AC105&lt;=$AR$3,C105="CP"),1,0)</f>
        <v>0</v>
      </c>
      <c r="AV105" s="954"/>
      <c r="AW105" s="963">
        <f t="shared" ref="AW105:BF105" si="294">IF(MONTH(AD105)=AW103,AH105,0)</f>
        <v>0</v>
      </c>
      <c r="AX105" s="963">
        <f t="shared" si="294"/>
        <v>0</v>
      </c>
      <c r="AY105" s="963">
        <f t="shared" si="294"/>
        <v>0</v>
      </c>
      <c r="AZ105" s="963">
        <f t="shared" si="294"/>
        <v>0</v>
      </c>
      <c r="BA105" s="963">
        <f t="shared" si="294"/>
        <v>0</v>
      </c>
      <c r="BB105" s="963">
        <f t="shared" si="294"/>
        <v>0</v>
      </c>
      <c r="BC105" s="963">
        <f t="shared" si="294"/>
        <v>0</v>
      </c>
      <c r="BD105" s="963">
        <f t="shared" si="294"/>
        <v>0</v>
      </c>
      <c r="BE105" s="963">
        <f t="shared" si="294"/>
        <v>0</v>
      </c>
      <c r="BF105" s="963" t="e">
        <f t="shared" si="294"/>
        <v>#VALUE!</v>
      </c>
    </row>
    <row r="106" spans="1:58" ht="14.45" customHeight="1" x14ac:dyDescent="0.3">
      <c r="A106" s="964" t="s">
        <v>16</v>
      </c>
      <c r="B106" s="15" t="b">
        <f>IF(Paramétrage!$O$46="",FALSE,Paramétrage!$O$46)</f>
        <v>0</v>
      </c>
      <c r="C106" s="263"/>
      <c r="D106" s="16" t="b">
        <f>IF(Paramétrage!$Q$46="",FALSE,Paramétrage!$Q$46)</f>
        <v>0</v>
      </c>
      <c r="E106" s="264"/>
      <c r="F106" s="15" t="b">
        <f>IF(Paramétrage!$R$46="",FALSE,Paramétrage!$R$46)</f>
        <v>0</v>
      </c>
      <c r="G106" s="264"/>
      <c r="H106" s="17" t="b">
        <f>IF(Paramétrage!$T$46="",FALSE,Paramétrage!$T$46)</f>
        <v>0</v>
      </c>
      <c r="I106" s="263"/>
      <c r="J106" s="127" t="b">
        <f>IF(Paramétrage!$U$46="",FALSE,Paramétrage!$U$46)</f>
        <v>0</v>
      </c>
      <c r="K106" s="263"/>
      <c r="L106" s="28" t="b">
        <f>IF(Paramétrage!$W$46="",FALSE,Paramétrage!$W$46)</f>
        <v>0</v>
      </c>
      <c r="M106" s="263"/>
      <c r="N106" s="956">
        <f>IF(OR(B106="aa",B106="cp",B106="f",B106="jc",B106="m",B106="css"),0,(L106-J106)+(H106-F106)+(D106-B106))</f>
        <v>0</v>
      </c>
      <c r="O106" s="956">
        <f>SUM(AM106:AP106)+IF(OR(C106="m",C106="aa"),N106,IF(C106="css",0,IF(C106="cp",0,IF(C106="jc",0,IF(C106="f",0,E106-C106+I106-G106+M106-K106)))))</f>
        <v>0</v>
      </c>
      <c r="P106" s="956">
        <f t="shared" si="281"/>
        <v>0</v>
      </c>
      <c r="Q106" s="956">
        <f t="shared" si="273"/>
        <v>0</v>
      </c>
      <c r="R106" s="957">
        <f>IF(OR(C106="aa",C106="cp",C106="f",C106="jc",C106="m",C106="css"),0,IF(C106=0,MAX(B106,D106,F106,H106,J106,L106)-MIN(B106,D106,F106,H106,J106,L106),IF(C106&lt;&gt;0,MAX(C106,E106,G106,I106,K106,M106)-MIN(C106,E106,G106,I106,K106,M106))))</f>
        <v>0</v>
      </c>
      <c r="S106" s="262"/>
      <c r="T106" s="958" t="str">
        <f t="shared" si="293"/>
        <v/>
      </c>
      <c r="U106" s="959" t="str">
        <f>IF(P106=0,"",IF(P106&lt;Paramétrage!$S$12,"PB",IF(AND(Q106&lt;Paramétrage!$S$12,Q106&lt;&gt;0),"PB","")))</f>
        <v/>
      </c>
      <c r="V106" s="959" t="str">
        <f t="shared" si="276"/>
        <v/>
      </c>
      <c r="W106" s="959" t="str">
        <f t="shared" si="277"/>
        <v/>
      </c>
      <c r="X106" s="960" t="str">
        <f>IF(AND(N106=0,O106=0),"",(IF(OR(C106="aa",C106="cp",C106="f",C106="jc",C106="m",C106="css"),"",IF(C106="",IF(OR(D106-B106&gt;6/24,H106-F106&gt;6/24,L106-J106&gt;6/24),"PB",""),IF(OR(E106-C106&gt;6/24,I106-G106&gt;6/24,M106-K106&gt;6/24),"PB","")))))</f>
        <v/>
      </c>
      <c r="Y106" s="959" t="str">
        <f t="shared" si="279"/>
        <v/>
      </c>
      <c r="Z106" s="836"/>
      <c r="AA106" s="837"/>
      <c r="AB106" s="967"/>
      <c r="AC106" s="934">
        <f t="shared" si="282"/>
        <v>42672</v>
      </c>
      <c r="AD106" s="961">
        <f>IF(AND(N(AC106)&gt;=Paramétrage!$AU$11,N(AC106)&lt;=Paramétrage!$AU$12),IF(C106="cp",1,0),0)</f>
        <v>0</v>
      </c>
      <c r="AE106" s="962">
        <f t="shared" si="283"/>
        <v>0</v>
      </c>
      <c r="AF106" s="961">
        <f>IF(AND(N(AC106)&gt;=Paramétrage!$AX$11,N(AC106)&lt;=Paramétrage!$AX$12),IF(C106="cp",1,0),0)</f>
        <v>0</v>
      </c>
      <c r="AG106" s="962">
        <f t="shared" si="284"/>
        <v>0</v>
      </c>
      <c r="AI106" s="962">
        <f t="shared" si="285"/>
        <v>0</v>
      </c>
      <c r="AJ106" s="962">
        <f t="shared" si="286"/>
        <v>0</v>
      </c>
      <c r="AM106" s="962">
        <f t="shared" si="287"/>
        <v>0</v>
      </c>
      <c r="AN106" s="962">
        <f t="shared" si="288"/>
        <v>0</v>
      </c>
      <c r="AO106" s="962">
        <f t="shared" si="289"/>
        <v>0</v>
      </c>
      <c r="AP106" s="962">
        <f t="shared" si="290"/>
        <v>0</v>
      </c>
      <c r="AR106" s="917">
        <f>IF(AND(AC106&lt;=$AR$3,B106="CP"),1,0)</f>
        <v>0</v>
      </c>
      <c r="AS106" s="917">
        <f>IF(AND(AC106&lt;=$AR$3,C106="CP"),1,0)</f>
        <v>0</v>
      </c>
      <c r="AV106" s="954"/>
      <c r="AW106" s="963">
        <f t="shared" ref="AW106:BF106" si="295">IF(MONTH(AD106)=AW104,AH106,0)</f>
        <v>0</v>
      </c>
      <c r="AX106" s="963">
        <f t="shared" si="295"/>
        <v>0</v>
      </c>
      <c r="AY106" s="963">
        <f t="shared" si="295"/>
        <v>0</v>
      </c>
      <c r="AZ106" s="963">
        <f t="shared" si="295"/>
        <v>0</v>
      </c>
      <c r="BA106" s="963">
        <f t="shared" si="295"/>
        <v>0</v>
      </c>
      <c r="BB106" s="963">
        <f t="shared" si="295"/>
        <v>0</v>
      </c>
      <c r="BC106" s="963">
        <f t="shared" si="295"/>
        <v>0</v>
      </c>
      <c r="BD106" s="963">
        <f t="shared" si="295"/>
        <v>0</v>
      </c>
      <c r="BE106" s="963">
        <f t="shared" si="295"/>
        <v>0</v>
      </c>
      <c r="BF106" s="963">
        <f t="shared" si="295"/>
        <v>0</v>
      </c>
    </row>
    <row r="107" spans="1:58" ht="14.45" customHeight="1" x14ac:dyDescent="0.3">
      <c r="A107" s="964" t="s">
        <v>19</v>
      </c>
      <c r="B107" s="15" t="b">
        <f>IF(Paramétrage!$O$47="",FALSE,Paramétrage!$O$47)</f>
        <v>0</v>
      </c>
      <c r="C107" s="263"/>
      <c r="D107" s="16" t="b">
        <f>IF(Paramétrage!$Q$47="",FALSE,Paramétrage!$Q$47)</f>
        <v>0</v>
      </c>
      <c r="E107" s="264"/>
      <c r="F107" s="15" t="b">
        <f>IF(Paramétrage!$R$47="",FALSE,Paramétrage!$R$47)</f>
        <v>0</v>
      </c>
      <c r="G107" s="264"/>
      <c r="H107" s="17" t="b">
        <f>IF(Paramétrage!$T$47="",FALSE,Paramétrage!$T$47)</f>
        <v>0</v>
      </c>
      <c r="I107" s="263"/>
      <c r="J107" s="127" t="b">
        <f>IF(Paramétrage!$U$47="",FALSE,Paramétrage!$U$47)</f>
        <v>0</v>
      </c>
      <c r="K107" s="263"/>
      <c r="L107" s="28" t="b">
        <f>IF(Paramétrage!$W$47="",FALSE,Paramétrage!$W$47)</f>
        <v>0</v>
      </c>
      <c r="M107" s="263"/>
      <c r="N107" s="956">
        <f>IF(OR(B107="aa",B107="cp",B107="f",B107="jc",B107="m",B107="css"),0,(L107-J107)+(H107-F107)+(D107-B107))</f>
        <v>0</v>
      </c>
      <c r="O107" s="956">
        <f>IF(OR(C107="m",C107="aa"),N107,IF(C107="cp",0,IF(OR(C107="css",C107="jc"),0,IF(C107="f",0,E107-C107+I107-G107+M107-K107))))</f>
        <v>0</v>
      </c>
      <c r="P107" s="956">
        <f t="shared" si="281"/>
        <v>0</v>
      </c>
      <c r="Q107" s="956">
        <f t="shared" si="273"/>
        <v>0</v>
      </c>
      <c r="R107" s="957">
        <f>IF(OR(C107="aa",C107="cp",C107="f",C107="jc",C107="m",C107="css"),0,IF(C107=0,MAX(B107,D107,F107,H107,J107,L107)-MIN(B107,D107,F107,H107,J107,L107),IF(C107&lt;&gt;0,MAX(C107,E107,G107,I107,K107,M107)-MIN(C107,E107,G107,I107,K107,M107))))</f>
        <v>0</v>
      </c>
      <c r="S107" s="262"/>
      <c r="T107" s="958" t="str">
        <f t="shared" si="293"/>
        <v/>
      </c>
      <c r="U107" s="959" t="str">
        <f>IF(P107=0,"",IF(P107&lt;Paramétrage!$S$12,"PB",IF(AND(Q107&lt;Paramétrage!$S$12,Q107&lt;&gt;0),"PB","")))</f>
        <v/>
      </c>
      <c r="V107" s="959" t="str">
        <f t="shared" si="276"/>
        <v/>
      </c>
      <c r="W107" s="959" t="str">
        <f t="shared" si="277"/>
        <v/>
      </c>
      <c r="X107" s="960" t="str">
        <f>IF(AND(N107=0,O107=0),"",(IF(OR(C107="aa",C107="cp",C107="f",C107="jc",C107="m",C107="css"),"",IF(C107="",IF(OR(D107-B107&gt;6/24,H107-F107&gt;6/24,L107-J107&gt;6/24),"PB",""),IF(OR(E107-C107&gt;6/24,I107-G107&gt;6/24,M107-K107&gt;6/24),"PB","")))))</f>
        <v/>
      </c>
      <c r="Y107" s="959" t="str">
        <f t="shared" si="279"/>
        <v/>
      </c>
      <c r="Z107" s="836"/>
      <c r="AA107" s="837"/>
      <c r="AC107" s="934">
        <f t="shared" si="282"/>
        <v>42673</v>
      </c>
      <c r="AD107" s="961">
        <f>IF(AND(N(AC107)&gt;=Paramétrage!$AU$11,N(AC107)&lt;=Paramétrage!$AU$12),IF(C107="cp",1,0),0)</f>
        <v>0</v>
      </c>
      <c r="AE107" s="962">
        <f t="shared" si="283"/>
        <v>0</v>
      </c>
      <c r="AF107" s="961">
        <f>IF(AND(N(AC107)&gt;=Paramétrage!$AX$11,N(AC107)&lt;=Paramétrage!$AX$12),IF(C107="cp",1,0),0)</f>
        <v>0</v>
      </c>
      <c r="AG107" s="962">
        <f t="shared" si="284"/>
        <v>0</v>
      </c>
      <c r="AI107" s="962">
        <f t="shared" si="285"/>
        <v>0</v>
      </c>
      <c r="AJ107" s="962">
        <f t="shared" si="286"/>
        <v>0</v>
      </c>
      <c r="AM107" s="962"/>
      <c r="AN107" s="962"/>
      <c r="AO107" s="962"/>
      <c r="AP107" s="962"/>
      <c r="AV107" s="954"/>
      <c r="AW107" s="963">
        <f t="shared" ref="AW107:BF107" si="296">IF(MONTH(AD107)=AW105,AH107,0)</f>
        <v>0</v>
      </c>
      <c r="AX107" s="963">
        <f t="shared" si="296"/>
        <v>0</v>
      </c>
      <c r="AY107" s="963">
        <f t="shared" si="296"/>
        <v>0</v>
      </c>
      <c r="AZ107" s="963">
        <f t="shared" si="296"/>
        <v>0</v>
      </c>
      <c r="BA107" s="963">
        <f t="shared" si="296"/>
        <v>0</v>
      </c>
      <c r="BB107" s="963">
        <f t="shared" si="296"/>
        <v>0</v>
      </c>
      <c r="BC107" s="963">
        <f t="shared" si="296"/>
        <v>0</v>
      </c>
      <c r="BD107" s="963">
        <f t="shared" si="296"/>
        <v>0</v>
      </c>
      <c r="BE107" s="963">
        <f t="shared" si="296"/>
        <v>0</v>
      </c>
      <c r="BF107" s="963" t="e">
        <f t="shared" si="296"/>
        <v>#VALUE!</v>
      </c>
    </row>
    <row r="108" spans="1:58" ht="14.45" customHeight="1" thickBot="1" x14ac:dyDescent="0.35">
      <c r="A108" s="966" t="s">
        <v>20</v>
      </c>
      <c r="B108" s="15" t="b">
        <f>IF(Paramétrage!$O$48="",FALSE,Paramétrage!$O$48)</f>
        <v>0</v>
      </c>
      <c r="C108" s="263"/>
      <c r="D108" s="16" t="b">
        <f>IF(Paramétrage!$Q$48="",FALSE,Paramétrage!$Q$48)</f>
        <v>0</v>
      </c>
      <c r="E108" s="264"/>
      <c r="F108" s="15" t="b">
        <f>IF(Paramétrage!$R$48="",FALSE,Paramétrage!$R$48)</f>
        <v>0</v>
      </c>
      <c r="G108" s="264"/>
      <c r="H108" s="17" t="b">
        <f>IF(Paramétrage!$T$48="",FALSE,Paramétrage!$T$48)</f>
        <v>0</v>
      </c>
      <c r="I108" s="263"/>
      <c r="J108" s="127" t="b">
        <f>IF(Paramétrage!$U$48="",FALSE,Paramétrage!$U$48)</f>
        <v>0</v>
      </c>
      <c r="K108" s="263"/>
      <c r="L108" s="28" t="b">
        <f>IF(Paramétrage!$W$48="",FALSE,Paramétrage!$W$48)</f>
        <v>0</v>
      </c>
      <c r="M108" s="263"/>
      <c r="N108" s="956">
        <f>IF(OR(B108="aa",B108="m"),M108,IF(B108="cp",0,IF(B108="jc",0,IF(B108="f",0,(D108-B108)*Paramétrage!$S$13+(H108-F108)*Paramétrage!$S$13+(L108-J108)*Paramétrage!$S$13+(D108-B108+H108-F108+L108-J108)))))</f>
        <v>0</v>
      </c>
      <c r="O108" s="956">
        <f>IF(OR(C108="aa",C108="m"),N108,IF(C108="cp",0,IF(C108="jc",0,IF(C108="f",0,(E108-C108)*Paramétrage!$S$13+(I108-G108)*Paramétrage!$S$13+(M108-K108)*Paramétrage!$S$13+(E108-C108+I108-G108+M108-K108)))))</f>
        <v>0</v>
      </c>
      <c r="P108" s="956">
        <f t="shared" si="281"/>
        <v>0</v>
      </c>
      <c r="Q108" s="956">
        <f t="shared" si="273"/>
        <v>0</v>
      </c>
      <c r="R108" s="957">
        <f t="shared" ref="R108" si="297">IF(OR(C108="aa",C108="cp",C108="f",C108="jc",C108="m",C108=0),MAX(B108,D108,F108,H108,J108,L108)-MIN(B108,D108,F108,H108,J108,L108),IF(C108&lt;&gt;0,MAX(C108,E108,G108,I108,K108,M108)-MIN(C108,E108,G108,I108,K108,M108)))</f>
        <v>0</v>
      </c>
      <c r="S108" s="262"/>
      <c r="T108" s="958" t="str">
        <f t="shared" si="293"/>
        <v/>
      </c>
      <c r="U108" s="959" t="str">
        <f>IF(P108=0,"",IF(P108&lt;Paramétrage!$S$12,"PB",IF(AND(Q108&lt;Paramétrage!$S$12,Q108&lt;&gt;0),"PB","")))</f>
        <v/>
      </c>
      <c r="V108" s="959" t="str">
        <f t="shared" si="276"/>
        <v/>
      </c>
      <c r="W108" s="959" t="str">
        <f t="shared" si="277"/>
        <v/>
      </c>
      <c r="X108" s="960" t="str">
        <f t="shared" ref="X108" si="298">IF(AND(N108=0,O108=0),"",(IF(OR(C108="aa",C108="cp",C108="f",C108="jc",C108="m"),"",IF(C108="",IF(OR(D108-B108&gt;6/24,H108-F108&gt;6/24,L108-J108&gt;6/24),"PB",""),IF(OR(E108-C108&gt;6/24,I108-G108&gt;6/24,M108-K108&gt;6/24),"PB","")))))</f>
        <v/>
      </c>
      <c r="Y108" s="959" t="str">
        <f t="shared" si="279"/>
        <v/>
      </c>
      <c r="Z108" s="836"/>
      <c r="AA108" s="837"/>
      <c r="AC108" s="934">
        <f t="shared" si="282"/>
        <v>42674</v>
      </c>
      <c r="AD108" s="961">
        <f>IF(AND(N(AC108)&gt;=Paramétrage!$AU$11,N(AC108)&lt;=Paramétrage!$AU$12),IF(C108="cp",1,0),0)</f>
        <v>0</v>
      </c>
      <c r="AE108" s="962">
        <f t="shared" si="283"/>
        <v>0</v>
      </c>
      <c r="AF108" s="961">
        <f>IF(AND(N(AC108)&gt;=Paramétrage!$AX$11,N(AC108)&lt;=Paramétrage!$AX$12),IF(C108="cp",1,0),0)</f>
        <v>0</v>
      </c>
      <c r="AG108" s="962">
        <f t="shared" si="284"/>
        <v>0</v>
      </c>
      <c r="AI108" s="962">
        <f t="shared" si="285"/>
        <v>0</v>
      </c>
      <c r="AJ108" s="962">
        <f t="shared" si="286"/>
        <v>0</v>
      </c>
      <c r="AM108" s="962"/>
      <c r="AN108" s="962"/>
      <c r="AO108" s="962"/>
      <c r="AP108" s="962"/>
      <c r="AV108" s="954"/>
      <c r="AW108" s="963">
        <f t="shared" ref="AW108:BF108" si="299">IF(MONTH(AD108)=AW106,AH108,0)</f>
        <v>0</v>
      </c>
      <c r="AX108" s="963">
        <f t="shared" si="299"/>
        <v>0</v>
      </c>
      <c r="AY108" s="963">
        <f t="shared" si="299"/>
        <v>0</v>
      </c>
      <c r="AZ108" s="963">
        <f t="shared" si="299"/>
        <v>0</v>
      </c>
      <c r="BA108" s="963">
        <f t="shared" si="299"/>
        <v>0</v>
      </c>
      <c r="BB108" s="963">
        <f t="shared" si="299"/>
        <v>0</v>
      </c>
      <c r="BC108" s="963">
        <f t="shared" si="299"/>
        <v>0</v>
      </c>
      <c r="BD108" s="963">
        <f t="shared" si="299"/>
        <v>0</v>
      </c>
      <c r="BE108" s="963">
        <f t="shared" si="299"/>
        <v>0</v>
      </c>
      <c r="BF108" s="963">
        <f t="shared" si="299"/>
        <v>0</v>
      </c>
    </row>
    <row r="109" spans="1:58" x14ac:dyDescent="0.25">
      <c r="A109" s="969" t="s">
        <v>78</v>
      </c>
      <c r="B109" s="970"/>
      <c r="C109" s="970"/>
      <c r="D109" s="970"/>
      <c r="E109" s="970"/>
      <c r="F109" s="970"/>
      <c r="G109" s="970"/>
      <c r="H109" s="970"/>
      <c r="I109" s="970"/>
      <c r="J109" s="970"/>
      <c r="K109" s="971"/>
      <c r="L109" s="970"/>
      <c r="M109" s="970"/>
      <c r="N109" s="972">
        <f>SUM(N102:N108)</f>
        <v>0</v>
      </c>
      <c r="O109" s="972">
        <f>SUM(O102:O108)</f>
        <v>0</v>
      </c>
      <c r="P109" s="972">
        <f>SUM(P102:P108)</f>
        <v>0</v>
      </c>
      <c r="Q109" s="972">
        <f>SUM(Q102:Q108)</f>
        <v>0</v>
      </c>
      <c r="R109" s="972"/>
      <c r="S109" s="972"/>
      <c r="T109" s="973"/>
      <c r="U109" s="974"/>
      <c r="V109" s="975" t="str">
        <f>IF((O109*24)&gt;48,"PB","")</f>
        <v/>
      </c>
      <c r="W109" s="974"/>
      <c r="X109" s="972"/>
      <c r="Y109" s="974"/>
      <c r="Z109" s="976" t="s">
        <v>59</v>
      </c>
      <c r="AA109" s="977">
        <f>+O109-N109</f>
        <v>0</v>
      </c>
      <c r="AF109" s="961"/>
      <c r="AV109" s="954"/>
      <c r="AW109" s="963">
        <f t="shared" ref="AW109:BF109" si="300">IF(MONTH(AD109)=AW107,AH109,0)</f>
        <v>0</v>
      </c>
      <c r="AX109" s="963">
        <f t="shared" si="300"/>
        <v>0</v>
      </c>
      <c r="AY109" s="963">
        <f t="shared" si="300"/>
        <v>0</v>
      </c>
      <c r="AZ109" s="963">
        <f t="shared" si="300"/>
        <v>0</v>
      </c>
      <c r="BA109" s="963">
        <f t="shared" si="300"/>
        <v>0</v>
      </c>
      <c r="BB109" s="963">
        <f t="shared" si="300"/>
        <v>0</v>
      </c>
      <c r="BC109" s="963">
        <f t="shared" si="300"/>
        <v>0</v>
      </c>
      <c r="BD109" s="963">
        <f t="shared" si="300"/>
        <v>0</v>
      </c>
      <c r="BE109" s="963">
        <f t="shared" si="300"/>
        <v>0</v>
      </c>
      <c r="BF109" s="963" t="e">
        <f t="shared" si="300"/>
        <v>#VALUE!</v>
      </c>
    </row>
    <row r="110" spans="1:58" x14ac:dyDescent="0.25">
      <c r="A110" s="969"/>
      <c r="B110" s="969"/>
      <c r="C110" s="969"/>
      <c r="D110" s="969"/>
      <c r="E110" s="969"/>
      <c r="F110" s="994"/>
      <c r="G110" s="994"/>
      <c r="H110" s="994"/>
      <c r="I110" s="994"/>
      <c r="J110" s="994"/>
      <c r="K110" s="969"/>
      <c r="L110" s="969"/>
      <c r="M110" s="969"/>
      <c r="N110" s="972"/>
      <c r="O110" s="972"/>
      <c r="P110" s="981"/>
      <c r="Q110" s="981"/>
      <c r="R110" s="981"/>
      <c r="S110" s="981"/>
      <c r="T110" s="980"/>
      <c r="U110" s="980"/>
      <c r="V110" s="980"/>
      <c r="W110" s="980"/>
      <c r="X110" s="981"/>
      <c r="Y110" s="980"/>
      <c r="Z110" s="976"/>
      <c r="AA110" s="977"/>
      <c r="AF110" s="961"/>
      <c r="AV110" s="954"/>
      <c r="AW110" s="963">
        <f t="shared" ref="AW110:BF110" si="301">IF(MONTH(AD110)=AW108,AH110,0)</f>
        <v>0</v>
      </c>
      <c r="AX110" s="963">
        <f t="shared" si="301"/>
        <v>0</v>
      </c>
      <c r="AY110" s="963">
        <f t="shared" si="301"/>
        <v>0</v>
      </c>
      <c r="AZ110" s="963">
        <f t="shared" si="301"/>
        <v>0</v>
      </c>
      <c r="BA110" s="963">
        <f t="shared" si="301"/>
        <v>0</v>
      </c>
      <c r="BB110" s="963">
        <f t="shared" si="301"/>
        <v>0</v>
      </c>
      <c r="BC110" s="963">
        <f t="shared" si="301"/>
        <v>0</v>
      </c>
      <c r="BD110" s="963">
        <f t="shared" si="301"/>
        <v>0</v>
      </c>
      <c r="BE110" s="963">
        <f t="shared" si="301"/>
        <v>0</v>
      </c>
      <c r="BF110" s="963">
        <f t="shared" si="301"/>
        <v>0</v>
      </c>
    </row>
    <row r="111" spans="1:58" ht="16.5" x14ac:dyDescent="0.3">
      <c r="A111" s="969"/>
      <c r="B111" s="969"/>
      <c r="C111" s="969"/>
      <c r="D111" s="969"/>
      <c r="E111" s="969"/>
      <c r="F111" s="928">
        <f>+F99+7</f>
        <v>42675</v>
      </c>
      <c r="G111" s="928"/>
      <c r="H111" s="929" t="s">
        <v>58</v>
      </c>
      <c r="I111" s="928">
        <f>+F111+6</f>
        <v>42681</v>
      </c>
      <c r="J111" s="930"/>
      <c r="K111" s="969"/>
      <c r="L111" s="969"/>
      <c r="M111" s="969"/>
      <c r="N111" s="973"/>
      <c r="O111" s="969"/>
      <c r="P111" s="980"/>
      <c r="Q111" s="980"/>
      <c r="R111" s="980"/>
      <c r="S111" s="981"/>
      <c r="T111" s="980"/>
      <c r="U111" s="980"/>
      <c r="V111" s="980"/>
      <c r="W111" s="980"/>
      <c r="X111" s="980"/>
      <c r="Y111" s="980"/>
      <c r="Z111" s="976"/>
      <c r="AA111" s="995"/>
      <c r="AF111" s="961"/>
      <c r="AV111" s="954"/>
      <c r="AW111" s="963">
        <f t="shared" ref="AW111:BF111" si="302">IF(MONTH(AD111)=AW109,AH111,0)</f>
        <v>0</v>
      </c>
      <c r="AX111" s="963">
        <f t="shared" si="302"/>
        <v>0</v>
      </c>
      <c r="AY111" s="963">
        <f t="shared" si="302"/>
        <v>0</v>
      </c>
      <c r="AZ111" s="963">
        <f t="shared" si="302"/>
        <v>0</v>
      </c>
      <c r="BA111" s="963">
        <f t="shared" si="302"/>
        <v>0</v>
      </c>
      <c r="BB111" s="963">
        <f t="shared" si="302"/>
        <v>0</v>
      </c>
      <c r="BC111" s="963">
        <f t="shared" si="302"/>
        <v>0</v>
      </c>
      <c r="BD111" s="963">
        <f t="shared" si="302"/>
        <v>0</v>
      </c>
      <c r="BE111" s="963">
        <f t="shared" si="302"/>
        <v>0</v>
      </c>
      <c r="BF111" s="963" t="e">
        <f t="shared" si="302"/>
        <v>#VALUE!</v>
      </c>
    </row>
    <row r="112" spans="1:58" ht="14.45" customHeight="1" x14ac:dyDescent="0.25">
      <c r="A112" s="994"/>
      <c r="B112" s="938" t="s">
        <v>17</v>
      </c>
      <c r="C112" s="938"/>
      <c r="D112" s="938" t="s">
        <v>18</v>
      </c>
      <c r="E112" s="938"/>
      <c r="F112" s="938" t="s">
        <v>17</v>
      </c>
      <c r="G112" s="938"/>
      <c r="H112" s="938" t="s">
        <v>18</v>
      </c>
      <c r="I112" s="938"/>
      <c r="J112" s="938" t="s">
        <v>17</v>
      </c>
      <c r="K112" s="938"/>
      <c r="L112" s="938" t="s">
        <v>18</v>
      </c>
      <c r="M112" s="938"/>
      <c r="N112" s="939" t="s">
        <v>61</v>
      </c>
      <c r="O112" s="939" t="s">
        <v>62</v>
      </c>
      <c r="P112" s="939" t="s">
        <v>60</v>
      </c>
      <c r="Q112" s="939" t="s">
        <v>63</v>
      </c>
      <c r="R112" s="939" t="s">
        <v>64</v>
      </c>
      <c r="S112" s="940" t="s">
        <v>223</v>
      </c>
      <c r="T112" s="939" t="s">
        <v>70</v>
      </c>
      <c r="U112" s="941" t="s">
        <v>65</v>
      </c>
      <c r="V112" s="942"/>
      <c r="W112" s="942"/>
      <c r="X112" s="942"/>
      <c r="Y112" s="943"/>
      <c r="Z112" s="944" t="s">
        <v>22</v>
      </c>
      <c r="AA112" s="944"/>
      <c r="AF112" s="961"/>
      <c r="AV112" s="954"/>
      <c r="AW112" s="963">
        <f t="shared" ref="AW112:BF112" si="303">IF(MONTH(AD112)=AW110,AH112,0)</f>
        <v>0</v>
      </c>
      <c r="AX112" s="963">
        <f t="shared" si="303"/>
        <v>0</v>
      </c>
      <c r="AY112" s="963">
        <f t="shared" si="303"/>
        <v>0</v>
      </c>
      <c r="AZ112" s="963">
        <f t="shared" si="303"/>
        <v>0</v>
      </c>
      <c r="BA112" s="963">
        <f t="shared" si="303"/>
        <v>0</v>
      </c>
      <c r="BB112" s="963">
        <f t="shared" si="303"/>
        <v>0</v>
      </c>
      <c r="BC112" s="963">
        <f t="shared" si="303"/>
        <v>0</v>
      </c>
      <c r="BD112" s="963">
        <f t="shared" si="303"/>
        <v>0</v>
      </c>
      <c r="BE112" s="963">
        <f t="shared" si="303"/>
        <v>0</v>
      </c>
      <c r="BF112" s="963">
        <f t="shared" si="303"/>
        <v>0</v>
      </c>
    </row>
    <row r="113" spans="1:58" ht="26.25" thickBot="1" x14ac:dyDescent="0.4">
      <c r="A113" s="937" t="str">
        <f>"S"&amp;_xlfn.ISOWEEKNUM(F111)</f>
        <v>S45</v>
      </c>
      <c r="B113" s="949" t="s">
        <v>0</v>
      </c>
      <c r="C113" s="950" t="s">
        <v>1</v>
      </c>
      <c r="D113" s="949" t="s">
        <v>0</v>
      </c>
      <c r="E113" s="950" t="s">
        <v>1</v>
      </c>
      <c r="F113" s="949" t="s">
        <v>0</v>
      </c>
      <c r="G113" s="950" t="s">
        <v>1</v>
      </c>
      <c r="H113" s="949" t="s">
        <v>0</v>
      </c>
      <c r="I113" s="950" t="s">
        <v>1</v>
      </c>
      <c r="J113" s="949" t="s">
        <v>0</v>
      </c>
      <c r="K113" s="950" t="s">
        <v>1</v>
      </c>
      <c r="L113" s="949" t="s">
        <v>0</v>
      </c>
      <c r="M113" s="950" t="s">
        <v>1</v>
      </c>
      <c r="N113" s="951"/>
      <c r="O113" s="951"/>
      <c r="P113" s="951"/>
      <c r="Q113" s="951"/>
      <c r="R113" s="951"/>
      <c r="S113" s="951"/>
      <c r="T113" s="939"/>
      <c r="U113" s="952" t="s">
        <v>66</v>
      </c>
      <c r="V113" s="952" t="s">
        <v>67</v>
      </c>
      <c r="W113" s="952" t="s">
        <v>68</v>
      </c>
      <c r="X113" s="952" t="s">
        <v>137</v>
      </c>
      <c r="Y113" s="952" t="s">
        <v>69</v>
      </c>
      <c r="Z113" s="944"/>
      <c r="AA113" s="944"/>
      <c r="AF113" s="961"/>
      <c r="AM113" s="917" t="s">
        <v>274</v>
      </c>
      <c r="AV113" s="954"/>
      <c r="AW113" s="963">
        <f t="shared" ref="AW113:BF113" si="304">IF(MONTH(AD113)=AW111,AH113,0)</f>
        <v>0</v>
      </c>
      <c r="AX113" s="963">
        <f t="shared" si="304"/>
        <v>0</v>
      </c>
      <c r="AY113" s="963">
        <f t="shared" si="304"/>
        <v>0</v>
      </c>
      <c r="AZ113" s="963">
        <f t="shared" si="304"/>
        <v>0</v>
      </c>
      <c r="BA113" s="963">
        <f t="shared" si="304"/>
        <v>0</v>
      </c>
      <c r="BB113" s="963">
        <f t="shared" si="304"/>
        <v>0</v>
      </c>
      <c r="BC113" s="963">
        <f t="shared" si="304"/>
        <v>0</v>
      </c>
      <c r="BD113" s="963">
        <f t="shared" si="304"/>
        <v>0</v>
      </c>
      <c r="BE113" s="963">
        <f t="shared" si="304"/>
        <v>0</v>
      </c>
      <c r="BF113" s="963" t="e">
        <f t="shared" si="304"/>
        <v>#VALUE!</v>
      </c>
    </row>
    <row r="114" spans="1:58" ht="14.45" customHeight="1" x14ac:dyDescent="0.3">
      <c r="A114" s="955" t="s">
        <v>12</v>
      </c>
      <c r="B114" s="15" t="b">
        <f>IF(Paramétrage!$O$42="",FALSE,Paramétrage!$O$42)</f>
        <v>0</v>
      </c>
      <c r="C114" s="263"/>
      <c r="D114" s="16" t="b">
        <f>IF(Paramétrage!$Q$42="",FALSE,Paramétrage!$Q$42)</f>
        <v>0</v>
      </c>
      <c r="E114" s="264"/>
      <c r="F114" s="15" t="b">
        <f>IF(Paramétrage!$R$42="",FALSE,Paramétrage!$R$42)</f>
        <v>0</v>
      </c>
      <c r="G114" s="264"/>
      <c r="H114" s="17" t="b">
        <f>IF(Paramétrage!$T$42="",FALSE,Paramétrage!$T$42)</f>
        <v>0</v>
      </c>
      <c r="I114" s="263"/>
      <c r="J114" s="127" t="b">
        <f>IF(Paramétrage!$U$42="",FALSE,Paramétrage!$U$42)</f>
        <v>0</v>
      </c>
      <c r="K114" s="263"/>
      <c r="L114" s="28" t="b">
        <f>IF(Paramétrage!$W$42="",FALSE,Paramétrage!$W$42)</f>
        <v>0</v>
      </c>
      <c r="M114" s="263"/>
      <c r="N114" s="956">
        <f t="shared" ref="N114:N116" si="305">IF(OR(B114="aa",B114="cp",B114="f",B114="jc",B114="m",B114="css"),0,(L114-J114)+(H114-F114)+(D114-B114))</f>
        <v>0</v>
      </c>
      <c r="O114" s="956">
        <f t="shared" ref="O114:O116" si="306">SUM(AM114:AP114)+IF(OR(C114="m",C114="aa"),N114,IF(C114="css",0,IF(C114="cp",0,IF(C114="jc",0,IF(C114="f",0,E114-C114+I114-G114+M114-K114)))))</f>
        <v>0</v>
      </c>
      <c r="P114" s="956">
        <f>IF(OR(C114="aa",C114="cp",C114="f",C114="jc",C114="m",C114="css"),0,IF(C114="",IF(OR(F114="",F114=FALSE),0,F114-D114),IF(G114="",0,G114-E114)))</f>
        <v>0</v>
      </c>
      <c r="Q114" s="956">
        <f>IF(P114=0,0,IF(G114="",IF(OR(J114="",J114=FALSE),0,J114-H114),IF(K114="",0,K114-I114)))</f>
        <v>0</v>
      </c>
      <c r="R114" s="957">
        <f t="shared" ref="R114:R116" si="307">IF(OR(C114="aa",C114="cp",C114="f",C114="jc",C114="m",C114="css"),0,IF(C114=0,MAX(B114,D114,F114,H114,J114,L114)-MIN(B114,D114,F114,H114,J114,L114),IF(C114&lt;&gt;0,MAX(C114,E114,G114,I114,K114,M114)-MIN(C114,E114,G114,I114,K114,M114))))</f>
        <v>0</v>
      </c>
      <c r="S114" s="262"/>
      <c r="T114" s="958" t="str">
        <f t="shared" ref="T114:T115" si="308">IF(AND(B114=FALSE,C114=""),"",IF(AND(B114=0,C114=0),"",(IF(OR(C114="cp",C114="f",C114="jc",C114="css"),"",IF(OR(C114="",C114="aa",C114="m"),(IF(OR(B114="cp",B114="f",B114="jc",B114="css"),"",B114*24+24-MAX(D113,H113,L113)*24)),C114*24+24-MAX(M113,I113,E113)*24)))))</f>
        <v/>
      </c>
      <c r="U114" s="959" t="str">
        <f>IF(P114=0,"",IF(P114&lt;Paramétrage!$S$12,"PB",IF(AND(Q114&lt;Paramétrage!$S$12,Q114&lt;&gt;0),"PB","")))</f>
        <v/>
      </c>
      <c r="V114" s="959" t="str">
        <f t="shared" ref="V114:V120" si="309">IF(C114="",IF((N114*24)&gt;10,"PB",""),IF((O114*24)&gt;10,"PB",""))</f>
        <v/>
      </c>
      <c r="W114" s="959" t="str">
        <f t="shared" ref="W114:W120" si="310">IF((R114*24)&gt;12,"PB","")</f>
        <v/>
      </c>
      <c r="X114" s="960" t="str">
        <f t="shared" ref="X114:X116" si="311">IF(AND(N114=0,O114=0),"",(IF(OR(C114="aa",C114="cp",C114="f",C114="jc",C114="m",C114="css"),"",IF(C114="",IF(OR(D114-B114&gt;6/24,H114-F114&gt;6/24,L114-J114&gt;6/24),"PB",""),IF(OR(E114-C114&gt;6/24,I114-G114&gt;6/24,M114-K114&gt;6/24),"PB","")))))</f>
        <v/>
      </c>
      <c r="Y114" s="959" t="str">
        <f t="shared" ref="Y114:Y120" si="312">IF(T114="","",IF(T114&lt;11,"PB",""))</f>
        <v/>
      </c>
      <c r="Z114" s="836"/>
      <c r="AA114" s="837"/>
      <c r="AC114" s="934">
        <f>AC108+1</f>
        <v>42675</v>
      </c>
      <c r="AD114" s="961">
        <f>IF(AND(N(AC114)&gt;=Paramétrage!$AU$11,N(AC114)&lt;=Paramétrage!$AU$12),IF(C114="cp",1,0),0)</f>
        <v>0</v>
      </c>
      <c r="AE114" s="962">
        <f t="shared" ref="AE114:AE120" si="313">N114</f>
        <v>0</v>
      </c>
      <c r="AF114" s="961">
        <f>IF(AND(N(AC114)&gt;=Paramétrage!$AX$11,N(AC114)&lt;=Paramétrage!$AX$12),IF(C114="cp",1,0),0)</f>
        <v>0</v>
      </c>
      <c r="AG114" s="962">
        <f t="shared" ref="AG114:AG120" si="314">O114</f>
        <v>0</v>
      </c>
      <c r="AI114" s="962">
        <f>AE114+AI108</f>
        <v>0</v>
      </c>
      <c r="AJ114" s="962">
        <f>AG114+AJ108</f>
        <v>0</v>
      </c>
      <c r="AM114" s="962">
        <f>IF(AND($B114="cp",$C114="m"),$Z114,0)</f>
        <v>0</v>
      </c>
      <c r="AN114" s="962">
        <f>IF(AND($B114="jc",$C114="m"),$Z114,0)</f>
        <v>0</v>
      </c>
      <c r="AO114" s="962">
        <f>IF(AND($B114="cp",$C114="aa"),$Z114,0)</f>
        <v>0</v>
      </c>
      <c r="AP114" s="962">
        <f>IF(AND($B114="jc",$C114="aa"),$Z114,0)</f>
        <v>0</v>
      </c>
      <c r="AR114" s="917">
        <f>IF(AND(AC114&lt;=$AR$3,B114="CP"),1,0)</f>
        <v>0</v>
      </c>
      <c r="AS114" s="917">
        <f>IF(AND(AC114&lt;=$AR$3,C114="CP"),1,0)</f>
        <v>0</v>
      </c>
      <c r="AV114" s="954"/>
      <c r="AW114" s="963">
        <f t="shared" ref="AW114:BF114" si="315">IF(MONTH(AD114)=AW112,AH114,0)</f>
        <v>0</v>
      </c>
      <c r="AX114" s="963">
        <f t="shared" si="315"/>
        <v>0</v>
      </c>
      <c r="AY114" s="963">
        <f t="shared" si="315"/>
        <v>0</v>
      </c>
      <c r="AZ114" s="963">
        <f t="shared" si="315"/>
        <v>0</v>
      </c>
      <c r="BA114" s="963">
        <f t="shared" si="315"/>
        <v>0</v>
      </c>
      <c r="BB114" s="963">
        <f t="shared" si="315"/>
        <v>0</v>
      </c>
      <c r="BC114" s="963">
        <f t="shared" si="315"/>
        <v>0</v>
      </c>
      <c r="BD114" s="963">
        <f t="shared" si="315"/>
        <v>0</v>
      </c>
      <c r="BE114" s="963">
        <f t="shared" si="315"/>
        <v>0</v>
      </c>
      <c r="BF114" s="963">
        <f t="shared" si="315"/>
        <v>0</v>
      </c>
    </row>
    <row r="115" spans="1:58" ht="14.45" customHeight="1" x14ac:dyDescent="0.3">
      <c r="A115" s="964" t="s">
        <v>13</v>
      </c>
      <c r="B115" s="15" t="b">
        <f>IF(Paramétrage!$O$43="",FALSE,Paramétrage!$O$43)</f>
        <v>0</v>
      </c>
      <c r="C115" s="263"/>
      <c r="D115" s="16" t="b">
        <f>IF(Paramétrage!$Q$43="",FALSE,Paramétrage!$Q$43)</f>
        <v>0</v>
      </c>
      <c r="E115" s="264"/>
      <c r="F115" s="15" t="b">
        <f>IF(Paramétrage!$R$43="",FALSE,Paramétrage!$R$43)</f>
        <v>0</v>
      </c>
      <c r="G115" s="264"/>
      <c r="H115" s="17" t="b">
        <f>IF(Paramétrage!$T$43="",FALSE,Paramétrage!$T$43)</f>
        <v>0</v>
      </c>
      <c r="I115" s="263"/>
      <c r="J115" s="127" t="b">
        <f>IF(Paramétrage!$U$43="",FALSE,Paramétrage!$U$43)</f>
        <v>0</v>
      </c>
      <c r="K115" s="263"/>
      <c r="L115" s="28" t="b">
        <f>IF(Paramétrage!$W$43="",FALSE,Paramétrage!$W$43)</f>
        <v>0</v>
      </c>
      <c r="M115" s="263"/>
      <c r="N115" s="956">
        <f t="shared" si="305"/>
        <v>0</v>
      </c>
      <c r="O115" s="956">
        <f t="shared" si="306"/>
        <v>0</v>
      </c>
      <c r="P115" s="956">
        <f t="shared" ref="P115:P120" si="316">IF(OR(C115="aa",C115="cp",C115="f",C115="jc",C115="m",C115="css"),0,IF(C115="",IF(OR(F115="",F115=FALSE),0,F115-D115),IF(G115="",0,G115-E115)))</f>
        <v>0</v>
      </c>
      <c r="Q115" s="956">
        <f>IF(P115=0,0,IF(G115="",IF(OR(J115="",J115=FALSE),0,J115-H115),IF(K115="",0,K115-I115)))</f>
        <v>0</v>
      </c>
      <c r="R115" s="957">
        <f t="shared" si="307"/>
        <v>0</v>
      </c>
      <c r="S115" s="262"/>
      <c r="T115" s="958" t="str">
        <f t="shared" si="308"/>
        <v/>
      </c>
      <c r="U115" s="959" t="str">
        <f>IF(P115=0,"",IF(P115&lt;Paramétrage!$S$12,"PB",IF(AND(Q115&lt;Paramétrage!$S$12,Q115&lt;&gt;0),"PB","")))</f>
        <v/>
      </c>
      <c r="V115" s="959" t="str">
        <f t="shared" si="309"/>
        <v/>
      </c>
      <c r="W115" s="959" t="str">
        <f t="shared" si="310"/>
        <v/>
      </c>
      <c r="X115" s="960" t="str">
        <f t="shared" si="311"/>
        <v/>
      </c>
      <c r="Y115" s="959" t="str">
        <f t="shared" si="312"/>
        <v/>
      </c>
      <c r="Z115" s="836"/>
      <c r="AA115" s="837"/>
      <c r="AC115" s="934">
        <f t="shared" ref="AC115:AC120" si="317">AC114+1</f>
        <v>42676</v>
      </c>
      <c r="AD115" s="961">
        <f>IF(AND(N(AC115)&gt;=Paramétrage!$AU$11,N(AC115)&lt;=Paramétrage!$AU$12),IF(C115="cp",1,0),0)</f>
        <v>0</v>
      </c>
      <c r="AE115" s="962">
        <f t="shared" si="313"/>
        <v>0</v>
      </c>
      <c r="AF115" s="961">
        <f>IF(AND(N(AC115)&gt;=Paramétrage!$AX$11,N(AC115)&lt;=Paramétrage!$AX$12),IF(C115="cp",1,0),0)</f>
        <v>0</v>
      </c>
      <c r="AG115" s="962">
        <f t="shared" si="314"/>
        <v>0</v>
      </c>
      <c r="AI115" s="962">
        <f t="shared" ref="AI115:AI120" si="318">AE115+AI114</f>
        <v>0</v>
      </c>
      <c r="AJ115" s="962">
        <f t="shared" ref="AJ115:AJ120" si="319">AG115+AJ114</f>
        <v>0</v>
      </c>
      <c r="AM115" s="962">
        <f t="shared" ref="AM115:AM118" si="320">IF(AND($B115="cp",$C115="m"),$Z115,0)</f>
        <v>0</v>
      </c>
      <c r="AN115" s="962">
        <f t="shared" ref="AN115:AN118" si="321">IF(AND($B115="jc",$C115="m"),$Z115,0)</f>
        <v>0</v>
      </c>
      <c r="AO115" s="962">
        <f t="shared" ref="AO115:AO118" si="322">IF(AND($B115="cp",$C115="aa"),$Z115,0)</f>
        <v>0</v>
      </c>
      <c r="AP115" s="962">
        <f t="shared" ref="AP115:AP118" si="323">IF(AND($B115="jc",$C115="aa"),$Z115,0)</f>
        <v>0</v>
      </c>
      <c r="AR115" s="917">
        <f>IF(AND(AC115&lt;=$AR$3,B115="CP"),1,0)</f>
        <v>0</v>
      </c>
      <c r="AS115" s="917">
        <f>IF(AND(AC115&lt;=$AR$3,C115="CP"),1,0)</f>
        <v>0</v>
      </c>
      <c r="AV115" s="954"/>
      <c r="AW115" s="963">
        <f t="shared" ref="AW115:BF115" si="324">IF(MONTH(AD115)=AW113,AH115,0)</f>
        <v>0</v>
      </c>
      <c r="AX115" s="963">
        <f t="shared" si="324"/>
        <v>0</v>
      </c>
      <c r="AY115" s="963">
        <f t="shared" si="324"/>
        <v>0</v>
      </c>
      <c r="AZ115" s="963">
        <f t="shared" si="324"/>
        <v>0</v>
      </c>
      <c r="BA115" s="963">
        <f t="shared" si="324"/>
        <v>0</v>
      </c>
      <c r="BB115" s="963">
        <f t="shared" si="324"/>
        <v>0</v>
      </c>
      <c r="BC115" s="963">
        <f t="shared" si="324"/>
        <v>0</v>
      </c>
      <c r="BD115" s="963">
        <f t="shared" si="324"/>
        <v>0</v>
      </c>
      <c r="BE115" s="963">
        <f t="shared" si="324"/>
        <v>0</v>
      </c>
      <c r="BF115" s="963" t="e">
        <f t="shared" si="324"/>
        <v>#VALUE!</v>
      </c>
    </row>
    <row r="116" spans="1:58" ht="14.45" customHeight="1" x14ac:dyDescent="0.3">
      <c r="A116" s="964" t="s">
        <v>14</v>
      </c>
      <c r="B116" s="15" t="b">
        <f>IF(Paramétrage!$O$44="",FALSE,Paramétrage!$O$44)</f>
        <v>0</v>
      </c>
      <c r="C116" s="263"/>
      <c r="D116" s="16" t="b">
        <f>IF(Paramétrage!$Q$44="",FALSE,Paramétrage!$Q$44)</f>
        <v>0</v>
      </c>
      <c r="E116" s="264"/>
      <c r="F116" s="15" t="b">
        <f>IF(Paramétrage!$R$44="",FALSE,Paramétrage!$R$44)</f>
        <v>0</v>
      </c>
      <c r="G116" s="264"/>
      <c r="H116" s="17" t="b">
        <f>IF(Paramétrage!$T$44="",FALSE,Paramétrage!$T$44)</f>
        <v>0</v>
      </c>
      <c r="I116" s="263"/>
      <c r="J116" s="127" t="b">
        <f>IF(Paramétrage!$U$44="",FALSE,Paramétrage!$U$44)</f>
        <v>0</v>
      </c>
      <c r="K116" s="263"/>
      <c r="L116" s="28" t="b">
        <f>IF(Paramétrage!$W$44="",FALSE,Paramétrage!$W$44)</f>
        <v>0</v>
      </c>
      <c r="M116" s="263"/>
      <c r="N116" s="956">
        <f t="shared" si="305"/>
        <v>0</v>
      </c>
      <c r="O116" s="956">
        <f t="shared" si="306"/>
        <v>0</v>
      </c>
      <c r="P116" s="956">
        <f t="shared" si="316"/>
        <v>0</v>
      </c>
      <c r="Q116" s="956">
        <f t="shared" ref="Q116:Q120" si="325">IF(P116=0,0,IF(G116="",IF(OR(J116="",J116=FALSE),0,J116-H116),IF(K116="",0,K116-I116)))</f>
        <v>0</v>
      </c>
      <c r="R116" s="957">
        <f t="shared" si="307"/>
        <v>0</v>
      </c>
      <c r="S116" s="262"/>
      <c r="T116" s="958" t="str">
        <f>IF(AND(B116=FALSE,C116=""),"",IF(AND(B116=0,C116=0),"",(IF(OR(C116="cp",C116="f",C116="jc",C116="css"),"",IF(OR(C116="",C116="aa",C116="m"),(IF(OR(B116="cp",B116="f",B116="jc",B116="css"),"",B116*24+24-MAX(D115,H115,L115)*24)),C116*24+24-MAX(M115,I115,E115)*24)))))</f>
        <v/>
      </c>
      <c r="U116" s="959" t="str">
        <f>IF(P116=0,"",IF(P116&lt;Paramétrage!$S$12,"PB",IF(AND(Q116&lt;Paramétrage!$S$12,Q116&lt;&gt;0),"PB","")))</f>
        <v/>
      </c>
      <c r="V116" s="959" t="str">
        <f t="shared" si="309"/>
        <v/>
      </c>
      <c r="W116" s="959" t="str">
        <f t="shared" si="310"/>
        <v/>
      </c>
      <c r="X116" s="960" t="str">
        <f t="shared" si="311"/>
        <v/>
      </c>
      <c r="Y116" s="959" t="str">
        <f t="shared" si="312"/>
        <v/>
      </c>
      <c r="Z116" s="836"/>
      <c r="AA116" s="837"/>
      <c r="AC116" s="934">
        <f t="shared" si="317"/>
        <v>42677</v>
      </c>
      <c r="AD116" s="961">
        <f>IF(AND(N(AC116)&gt;=Paramétrage!$AU$11,N(AC116)&lt;=Paramétrage!$AU$12),IF(C116="cp",1,0),0)</f>
        <v>0</v>
      </c>
      <c r="AE116" s="962">
        <f t="shared" si="313"/>
        <v>0</v>
      </c>
      <c r="AF116" s="961">
        <f>IF(AND(N(AC116)&gt;=Paramétrage!$AX$11,N(AC116)&lt;=Paramétrage!$AX$12),IF(C116="cp",1,0),0)</f>
        <v>0</v>
      </c>
      <c r="AG116" s="962">
        <f t="shared" si="314"/>
        <v>0</v>
      </c>
      <c r="AI116" s="962">
        <f t="shared" si="318"/>
        <v>0</v>
      </c>
      <c r="AJ116" s="962">
        <f t="shared" si="319"/>
        <v>0</v>
      </c>
      <c r="AM116" s="962">
        <f t="shared" si="320"/>
        <v>0</v>
      </c>
      <c r="AN116" s="962">
        <f t="shared" si="321"/>
        <v>0</v>
      </c>
      <c r="AO116" s="962">
        <f t="shared" si="322"/>
        <v>0</v>
      </c>
      <c r="AP116" s="962">
        <f t="shared" si="323"/>
        <v>0</v>
      </c>
      <c r="AR116" s="917">
        <f>IF(AND(AC116&lt;=$AR$3,B116="CP"),1,0)</f>
        <v>0</v>
      </c>
      <c r="AS116" s="917">
        <f>IF(AND(AC116&lt;=$AR$3,C116="CP"),1,0)</f>
        <v>0</v>
      </c>
      <c r="AV116" s="954"/>
      <c r="AW116" s="963">
        <f t="shared" ref="AW116:BF116" si="326">IF(MONTH(AD116)=AW114,AH116,0)</f>
        <v>0</v>
      </c>
      <c r="AX116" s="963">
        <f t="shared" si="326"/>
        <v>0</v>
      </c>
      <c r="AY116" s="963">
        <f t="shared" si="326"/>
        <v>0</v>
      </c>
      <c r="AZ116" s="963">
        <f t="shared" si="326"/>
        <v>0</v>
      </c>
      <c r="BA116" s="963">
        <f t="shared" si="326"/>
        <v>0</v>
      </c>
      <c r="BB116" s="963">
        <f t="shared" si="326"/>
        <v>0</v>
      </c>
      <c r="BC116" s="963">
        <f t="shared" si="326"/>
        <v>0</v>
      </c>
      <c r="BD116" s="963">
        <f t="shared" si="326"/>
        <v>0</v>
      </c>
      <c r="BE116" s="963">
        <f t="shared" si="326"/>
        <v>0</v>
      </c>
      <c r="BF116" s="963">
        <f t="shared" si="326"/>
        <v>0</v>
      </c>
    </row>
    <row r="117" spans="1:58" ht="14.45" customHeight="1" x14ac:dyDescent="0.3">
      <c r="A117" s="964" t="s">
        <v>15</v>
      </c>
      <c r="B117" s="15" t="b">
        <f>IF(Paramétrage!$O$45="",FALSE,Paramétrage!$O$45)</f>
        <v>0</v>
      </c>
      <c r="C117" s="263"/>
      <c r="D117" s="16" t="b">
        <f>IF(Paramétrage!$Q$45="",FALSE,Paramétrage!$Q$45)</f>
        <v>0</v>
      </c>
      <c r="E117" s="264"/>
      <c r="F117" s="15" t="b">
        <f>IF(Paramétrage!$R$45="",FALSE,Paramétrage!$R$45)</f>
        <v>0</v>
      </c>
      <c r="G117" s="264"/>
      <c r="H117" s="17" t="b">
        <f>IF(Paramétrage!$T$45="",FALSE,Paramétrage!$T$45)</f>
        <v>0</v>
      </c>
      <c r="I117" s="263"/>
      <c r="J117" s="127" t="b">
        <f>IF(Paramétrage!$U$45="",FALSE,Paramétrage!$U$45)</f>
        <v>0</v>
      </c>
      <c r="K117" s="263"/>
      <c r="L117" s="28" t="b">
        <f>IF(Paramétrage!$W$45="",FALSE,Paramétrage!$W$45)</f>
        <v>0</v>
      </c>
      <c r="M117" s="263"/>
      <c r="N117" s="956">
        <f>IF(OR(B117="aa",B117="cp",B117="f",B117="jc",B117="m",B117="css"),0,(L117-J117)+(H117-F117)+(D117-B117))</f>
        <v>0</v>
      </c>
      <c r="O117" s="956">
        <f>SUM(AM117:AP117)+IF(OR(C117="m",C117="aa"),N117,IF(C117="css",0,IF(C117="cp",0,IF(C117="jc",0,IF(C117="f",0,E117-C117+I117-G117+M117-K117)))))</f>
        <v>0</v>
      </c>
      <c r="P117" s="956">
        <f t="shared" si="316"/>
        <v>0</v>
      </c>
      <c r="Q117" s="956">
        <f t="shared" si="325"/>
        <v>0</v>
      </c>
      <c r="R117" s="957">
        <f>IF(OR(C117="aa",C117="cp",C117="f",C117="jc",C117="m",C117="css"),0,IF(C117=0,MAX(B117,D117,F117,H117,J117,L117)-MIN(B117,D117,F117,H117,J117,L117),IF(C117&lt;&gt;0,MAX(C117,E117,G117,I117,K117,M117)-MIN(C117,E117,G117,I117,K117,M117))))</f>
        <v>0</v>
      </c>
      <c r="S117" s="262"/>
      <c r="T117" s="958" t="str">
        <f t="shared" ref="T117:T120" si="327">IF(AND(B117=FALSE,C117=""),"",IF(AND(B117=0,C117=0),"",(IF(OR(C117="cp",C117="f",C117="jc",C117="css"),"",IF(OR(C117="",C117="aa",C117="m"),(IF(OR(B117="cp",B117="f",B117="jc",B117="css"),"",B117*24+24-MAX(D116,H116,L116)*24)),C117*24+24-MAX(M116,I116,E116)*24)))))</f>
        <v/>
      </c>
      <c r="U117" s="959" t="str">
        <f>IF(P117=0,"",IF(P117&lt;Paramétrage!$S$12,"PB",IF(AND(Q117&lt;Paramétrage!$S$12,Q117&lt;&gt;0),"PB","")))</f>
        <v/>
      </c>
      <c r="V117" s="959" t="str">
        <f t="shared" si="309"/>
        <v/>
      </c>
      <c r="W117" s="959" t="str">
        <f t="shared" si="310"/>
        <v/>
      </c>
      <c r="X117" s="960" t="str">
        <f>IF(AND(N117=0,O117=0),"",(IF(OR(C117="aa",C117="cp",C117="f",C117="jc",C117="m",C117="css"),"",IF(C117="",IF(OR(D117-B117&gt;6/24,H117-F117&gt;6/24,L117-J117&gt;6/24),"PB",""),IF(OR(E117-C117&gt;6/24,I117-G117&gt;6/24,M117-K117&gt;6/24),"PB","")))))</f>
        <v/>
      </c>
      <c r="Y117" s="959" t="str">
        <f t="shared" si="312"/>
        <v/>
      </c>
      <c r="Z117" s="836"/>
      <c r="AA117" s="837"/>
      <c r="AB117" s="967"/>
      <c r="AC117" s="934">
        <f t="shared" si="317"/>
        <v>42678</v>
      </c>
      <c r="AD117" s="961">
        <f>IF(AND(N(AC117)&gt;=Paramétrage!$AU$11,N(AC117)&lt;=Paramétrage!$AU$12),IF(C117="cp",1,0),0)</f>
        <v>0</v>
      </c>
      <c r="AE117" s="962">
        <f t="shared" si="313"/>
        <v>0</v>
      </c>
      <c r="AF117" s="961">
        <f>IF(AND(N(AC117)&gt;=Paramétrage!$AX$11,N(AC117)&lt;=Paramétrage!$AX$12),IF(C117="cp",1,0),0)</f>
        <v>0</v>
      </c>
      <c r="AG117" s="962">
        <f t="shared" si="314"/>
        <v>0</v>
      </c>
      <c r="AI117" s="962">
        <f t="shared" si="318"/>
        <v>0</v>
      </c>
      <c r="AJ117" s="962">
        <f t="shared" si="319"/>
        <v>0</v>
      </c>
      <c r="AM117" s="962">
        <f t="shared" si="320"/>
        <v>0</v>
      </c>
      <c r="AN117" s="962">
        <f t="shared" si="321"/>
        <v>0</v>
      </c>
      <c r="AO117" s="962">
        <f t="shared" si="322"/>
        <v>0</v>
      </c>
      <c r="AP117" s="962">
        <f t="shared" si="323"/>
        <v>0</v>
      </c>
      <c r="AR117" s="917">
        <f>IF(AND(AC117&lt;=$AR$3,B117="CP"),1,0)</f>
        <v>0</v>
      </c>
      <c r="AS117" s="917">
        <f>IF(AND(AC117&lt;=$AR$3,C117="CP"),1,0)</f>
        <v>0</v>
      </c>
      <c r="AV117" s="954"/>
      <c r="AW117" s="963">
        <f t="shared" ref="AW117:BF117" si="328">IF(MONTH(AD117)=AW115,AH117,0)</f>
        <v>0</v>
      </c>
      <c r="AX117" s="963">
        <f t="shared" si="328"/>
        <v>0</v>
      </c>
      <c r="AY117" s="963">
        <f t="shared" si="328"/>
        <v>0</v>
      </c>
      <c r="AZ117" s="963">
        <f t="shared" si="328"/>
        <v>0</v>
      </c>
      <c r="BA117" s="963">
        <f t="shared" si="328"/>
        <v>0</v>
      </c>
      <c r="BB117" s="963">
        <f t="shared" si="328"/>
        <v>0</v>
      </c>
      <c r="BC117" s="963">
        <f t="shared" si="328"/>
        <v>0</v>
      </c>
      <c r="BD117" s="963">
        <f t="shared" si="328"/>
        <v>0</v>
      </c>
      <c r="BE117" s="963">
        <f t="shared" si="328"/>
        <v>0</v>
      </c>
      <c r="BF117" s="963" t="e">
        <f t="shared" si="328"/>
        <v>#VALUE!</v>
      </c>
    </row>
    <row r="118" spans="1:58" ht="14.45" customHeight="1" x14ac:dyDescent="0.3">
      <c r="A118" s="964" t="s">
        <v>16</v>
      </c>
      <c r="B118" s="15" t="b">
        <f>IF(Paramétrage!$O$46="",FALSE,Paramétrage!$O$46)</f>
        <v>0</v>
      </c>
      <c r="C118" s="263"/>
      <c r="D118" s="16" t="b">
        <f>IF(Paramétrage!$Q$46="",FALSE,Paramétrage!$Q$46)</f>
        <v>0</v>
      </c>
      <c r="E118" s="264"/>
      <c r="F118" s="15" t="b">
        <f>IF(Paramétrage!$R$46="",FALSE,Paramétrage!$R$46)</f>
        <v>0</v>
      </c>
      <c r="G118" s="264"/>
      <c r="H118" s="17" t="b">
        <f>IF(Paramétrage!$T$46="",FALSE,Paramétrage!$T$46)</f>
        <v>0</v>
      </c>
      <c r="I118" s="263"/>
      <c r="J118" s="127" t="b">
        <f>IF(Paramétrage!$U$46="",FALSE,Paramétrage!$U$46)</f>
        <v>0</v>
      </c>
      <c r="K118" s="263"/>
      <c r="L118" s="28" t="b">
        <f>IF(Paramétrage!$W$46="",FALSE,Paramétrage!$W$46)</f>
        <v>0</v>
      </c>
      <c r="M118" s="263"/>
      <c r="N118" s="956">
        <f>IF(OR(B118="aa",B118="cp",B118="f",B118="jc",B118="m",B118="css"),0,(L118-J118)+(H118-F118)+(D118-B118))</f>
        <v>0</v>
      </c>
      <c r="O118" s="956">
        <f>SUM(AM118:AP118)+IF(OR(C118="m",C118="aa"),N118,IF(C118="css",0,IF(C118="cp",0,IF(C118="jc",0,IF(C118="f",0,E118-C118+I118-G118+M118-K118)))))</f>
        <v>0</v>
      </c>
      <c r="P118" s="956">
        <f t="shared" si="316"/>
        <v>0</v>
      </c>
      <c r="Q118" s="956">
        <f t="shared" si="325"/>
        <v>0</v>
      </c>
      <c r="R118" s="957">
        <f>IF(OR(C118="aa",C118="cp",C118="f",C118="jc",C118="m",C118="css"),0,IF(C118=0,MAX(B118,D118,F118,H118,J118,L118)-MIN(B118,D118,F118,H118,J118,L118),IF(C118&lt;&gt;0,MAX(C118,E118,G118,I118,K118,M118)-MIN(C118,E118,G118,I118,K118,M118))))</f>
        <v>0</v>
      </c>
      <c r="S118" s="262"/>
      <c r="T118" s="958" t="str">
        <f t="shared" si="327"/>
        <v/>
      </c>
      <c r="U118" s="959" t="str">
        <f>IF(P118=0,"",IF(P118&lt;Paramétrage!$S$12,"PB",IF(AND(Q118&lt;Paramétrage!$S$12,Q118&lt;&gt;0),"PB","")))</f>
        <v/>
      </c>
      <c r="V118" s="959" t="str">
        <f t="shared" si="309"/>
        <v/>
      </c>
      <c r="W118" s="959" t="str">
        <f t="shared" si="310"/>
        <v/>
      </c>
      <c r="X118" s="960" t="str">
        <f>IF(AND(N118=0,O118=0),"",(IF(OR(C118="aa",C118="cp",C118="f",C118="jc",C118="m",C118="css"),"",IF(C118="",IF(OR(D118-B118&gt;6/24,H118-F118&gt;6/24,L118-J118&gt;6/24),"PB",""),IF(OR(E118-C118&gt;6/24,I118-G118&gt;6/24,M118-K118&gt;6/24),"PB","")))))</f>
        <v/>
      </c>
      <c r="Y118" s="959" t="str">
        <f t="shared" si="312"/>
        <v/>
      </c>
      <c r="Z118" s="836"/>
      <c r="AA118" s="837"/>
      <c r="AC118" s="934">
        <f t="shared" si="317"/>
        <v>42679</v>
      </c>
      <c r="AD118" s="961">
        <f>IF(AND(N(AC118)&gt;=Paramétrage!$AU$11,N(AC118)&lt;=Paramétrage!$AU$12),IF(C118="cp",1,0),0)</f>
        <v>0</v>
      </c>
      <c r="AE118" s="962">
        <f t="shared" si="313"/>
        <v>0</v>
      </c>
      <c r="AF118" s="961">
        <f>IF(AND(N(AC118)&gt;=Paramétrage!$AX$11,N(AC118)&lt;=Paramétrage!$AX$12),IF(C118="cp",1,0),0)</f>
        <v>0</v>
      </c>
      <c r="AG118" s="962">
        <f t="shared" si="314"/>
        <v>0</v>
      </c>
      <c r="AI118" s="962">
        <f t="shared" si="318"/>
        <v>0</v>
      </c>
      <c r="AJ118" s="962">
        <f t="shared" si="319"/>
        <v>0</v>
      </c>
      <c r="AM118" s="962">
        <f t="shared" si="320"/>
        <v>0</v>
      </c>
      <c r="AN118" s="962">
        <f t="shared" si="321"/>
        <v>0</v>
      </c>
      <c r="AO118" s="962">
        <f t="shared" si="322"/>
        <v>0</v>
      </c>
      <c r="AP118" s="962">
        <f t="shared" si="323"/>
        <v>0</v>
      </c>
      <c r="AR118" s="917">
        <f>IF(AND(AC118&lt;=$AR$3,B118="CP"),1,0)</f>
        <v>0</v>
      </c>
      <c r="AS118" s="917">
        <f>IF(AND(AC118&lt;=$AR$3,C118="CP"),1,0)</f>
        <v>0</v>
      </c>
      <c r="AV118" s="954"/>
      <c r="AW118" s="963">
        <f t="shared" ref="AW118:BF118" si="329">IF(MONTH(AD118)=AW116,AH118,0)</f>
        <v>0</v>
      </c>
      <c r="AX118" s="963">
        <f t="shared" si="329"/>
        <v>0</v>
      </c>
      <c r="AY118" s="963">
        <f t="shared" si="329"/>
        <v>0</v>
      </c>
      <c r="AZ118" s="963">
        <f t="shared" si="329"/>
        <v>0</v>
      </c>
      <c r="BA118" s="963">
        <f t="shared" si="329"/>
        <v>0</v>
      </c>
      <c r="BB118" s="963">
        <f t="shared" si="329"/>
        <v>0</v>
      </c>
      <c r="BC118" s="963">
        <f t="shared" si="329"/>
        <v>0</v>
      </c>
      <c r="BD118" s="963">
        <f t="shared" si="329"/>
        <v>0</v>
      </c>
      <c r="BE118" s="963">
        <f t="shared" si="329"/>
        <v>0</v>
      </c>
      <c r="BF118" s="963">
        <f t="shared" si="329"/>
        <v>0</v>
      </c>
    </row>
    <row r="119" spans="1:58" ht="14.45" customHeight="1" x14ac:dyDescent="0.3">
      <c r="A119" s="964" t="s">
        <v>19</v>
      </c>
      <c r="B119" s="15" t="b">
        <f>IF(Paramétrage!$O$47="",FALSE,Paramétrage!$O$47)</f>
        <v>0</v>
      </c>
      <c r="C119" s="263"/>
      <c r="D119" s="16" t="b">
        <f>IF(Paramétrage!$Q$47="",FALSE,Paramétrage!$Q$47)</f>
        <v>0</v>
      </c>
      <c r="E119" s="264"/>
      <c r="F119" s="15" t="b">
        <f>IF(Paramétrage!$R$47="",FALSE,Paramétrage!$R$47)</f>
        <v>0</v>
      </c>
      <c r="G119" s="264"/>
      <c r="H119" s="17" t="b">
        <f>IF(Paramétrage!$T$47="",FALSE,Paramétrage!$T$47)</f>
        <v>0</v>
      </c>
      <c r="I119" s="263"/>
      <c r="J119" s="127" t="b">
        <f>IF(Paramétrage!$U$47="",FALSE,Paramétrage!$U$47)</f>
        <v>0</v>
      </c>
      <c r="K119" s="263"/>
      <c r="L119" s="28" t="b">
        <f>IF(Paramétrage!$W$47="",FALSE,Paramétrage!$W$47)</f>
        <v>0</v>
      </c>
      <c r="M119" s="263"/>
      <c r="N119" s="956">
        <f>IF(OR(B119="aa",B119="cp",B119="f",B119="jc",B119="m",B119="css"),0,(L119-J119)+(H119-F119)+(D119-B119))</f>
        <v>0</v>
      </c>
      <c r="O119" s="956">
        <f>IF(OR(C119="m",C119="aa"),N119,IF(C119="cp",0,IF(OR(C119="css",C119="jc"),0,IF(C119="f",0,E119-C119+I119-G119+M119-K119))))</f>
        <v>0</v>
      </c>
      <c r="P119" s="956">
        <f t="shared" si="316"/>
        <v>0</v>
      </c>
      <c r="Q119" s="956">
        <f t="shared" si="325"/>
        <v>0</v>
      </c>
      <c r="R119" s="957">
        <f>IF(OR(C119="aa",C119="cp",C119="f",C119="jc",C119="m",C119="css"),0,IF(C119=0,MAX(B119,D119,F119,H119,J119,L119)-MIN(B119,D119,F119,H119,J119,L119),IF(C119&lt;&gt;0,MAX(C119,E119,G119,I119,K119,M119)-MIN(C119,E119,G119,I119,K119,M119))))</f>
        <v>0</v>
      </c>
      <c r="S119" s="262"/>
      <c r="T119" s="958" t="str">
        <f t="shared" si="327"/>
        <v/>
      </c>
      <c r="U119" s="959" t="str">
        <f>IF(P119=0,"",IF(P119&lt;Paramétrage!$S$12,"PB",IF(AND(Q119&lt;Paramétrage!$S$12,Q119&lt;&gt;0),"PB","")))</f>
        <v/>
      </c>
      <c r="V119" s="959" t="str">
        <f t="shared" si="309"/>
        <v/>
      </c>
      <c r="W119" s="959" t="str">
        <f t="shared" si="310"/>
        <v/>
      </c>
      <c r="X119" s="960" t="str">
        <f>IF(AND(N119=0,O119=0),"",(IF(OR(C119="aa",C119="cp",C119="f",C119="jc",C119="m",C119="css"),"",IF(C119="",IF(OR(D119-B119&gt;6/24,H119-F119&gt;6/24,L119-J119&gt;6/24),"PB",""),IF(OR(E119-C119&gt;6/24,I119-G119&gt;6/24,M119-K119&gt;6/24),"PB","")))))</f>
        <v/>
      </c>
      <c r="Y119" s="959" t="str">
        <f t="shared" si="312"/>
        <v/>
      </c>
      <c r="Z119" s="836"/>
      <c r="AA119" s="837"/>
      <c r="AC119" s="934">
        <f t="shared" si="317"/>
        <v>42680</v>
      </c>
      <c r="AD119" s="961">
        <f>IF(AND(N(AC119)&gt;=Paramétrage!$AU$11,N(AC119)&lt;=Paramétrage!$AU$12),IF(C119="cp",1,0),0)</f>
        <v>0</v>
      </c>
      <c r="AE119" s="962">
        <f t="shared" si="313"/>
        <v>0</v>
      </c>
      <c r="AF119" s="961">
        <f>IF(AND(N(AC119)&gt;=Paramétrage!$AX$11,N(AC119)&lt;=Paramétrage!$AX$12),IF(C119="cp",1,0),0)</f>
        <v>0</v>
      </c>
      <c r="AG119" s="962">
        <f t="shared" si="314"/>
        <v>0</v>
      </c>
      <c r="AI119" s="962">
        <f t="shared" si="318"/>
        <v>0</v>
      </c>
      <c r="AJ119" s="962">
        <f t="shared" si="319"/>
        <v>0</v>
      </c>
      <c r="AM119" s="962"/>
      <c r="AN119" s="962"/>
      <c r="AO119" s="962"/>
      <c r="AP119" s="962"/>
      <c r="AV119" s="954"/>
      <c r="AW119" s="963">
        <f t="shared" ref="AW119:BF119" si="330">IF(MONTH(AD119)=AW117,AH119,0)</f>
        <v>0</v>
      </c>
      <c r="AX119" s="963">
        <f t="shared" si="330"/>
        <v>0</v>
      </c>
      <c r="AY119" s="963">
        <f t="shared" si="330"/>
        <v>0</v>
      </c>
      <c r="AZ119" s="963">
        <f t="shared" si="330"/>
        <v>0</v>
      </c>
      <c r="BA119" s="963">
        <f t="shared" si="330"/>
        <v>0</v>
      </c>
      <c r="BB119" s="963">
        <f t="shared" si="330"/>
        <v>0</v>
      </c>
      <c r="BC119" s="963">
        <f t="shared" si="330"/>
        <v>0</v>
      </c>
      <c r="BD119" s="963">
        <f t="shared" si="330"/>
        <v>0</v>
      </c>
      <c r="BE119" s="963">
        <f t="shared" si="330"/>
        <v>0</v>
      </c>
      <c r="BF119" s="963" t="e">
        <f t="shared" si="330"/>
        <v>#VALUE!</v>
      </c>
    </row>
    <row r="120" spans="1:58" ht="14.45" customHeight="1" thickBot="1" x14ac:dyDescent="0.35">
      <c r="A120" s="966" t="s">
        <v>20</v>
      </c>
      <c r="B120" s="15" t="b">
        <f>IF(Paramétrage!$O$48="",FALSE,Paramétrage!$O$48)</f>
        <v>0</v>
      </c>
      <c r="C120" s="263"/>
      <c r="D120" s="16" t="b">
        <f>IF(Paramétrage!$Q$48="",FALSE,Paramétrage!$Q$48)</f>
        <v>0</v>
      </c>
      <c r="E120" s="264"/>
      <c r="F120" s="15" t="b">
        <f>IF(Paramétrage!$R$48="",FALSE,Paramétrage!$R$48)</f>
        <v>0</v>
      </c>
      <c r="G120" s="264"/>
      <c r="H120" s="17" t="b">
        <f>IF(Paramétrage!$T$48="",FALSE,Paramétrage!$T$48)</f>
        <v>0</v>
      </c>
      <c r="I120" s="263"/>
      <c r="J120" s="127" t="b">
        <f>IF(Paramétrage!$U$48="",FALSE,Paramétrage!$U$48)</f>
        <v>0</v>
      </c>
      <c r="K120" s="263"/>
      <c r="L120" s="28" t="b">
        <f>IF(Paramétrage!$W$48="",FALSE,Paramétrage!$W$48)</f>
        <v>0</v>
      </c>
      <c r="M120" s="263"/>
      <c r="N120" s="956">
        <f>IF(OR(B120="aa",B120="m"),M120,IF(B120="cp",0,IF(B120="jc",0,IF(B120="f",0,(D120-B120)*Paramétrage!$S$13+(H120-F120)*Paramétrage!$S$13+(L120-J120)*Paramétrage!$S$13+(D120-B120+H120-F120+L120-J120)))))</f>
        <v>0</v>
      </c>
      <c r="O120" s="956">
        <f>IF(OR(C120="aa",C120="m"),N120,IF(C120="cp",0,IF(C120="jc",0,IF(C120="f",0,(E120-C120)*Paramétrage!$S$13+(I120-G120)*Paramétrage!$S$13+(M120-K120)*Paramétrage!$S$13+(E120-C120+I120-G120+M120-K120)))))</f>
        <v>0</v>
      </c>
      <c r="P120" s="956">
        <f t="shared" si="316"/>
        <v>0</v>
      </c>
      <c r="Q120" s="956">
        <f t="shared" si="325"/>
        <v>0</v>
      </c>
      <c r="R120" s="957">
        <f t="shared" ref="R120" si="331">IF(OR(C120="aa",C120="cp",C120="f",C120="jc",C120="m",C120=0),MAX(B120,D120,F120,H120,J120,L120)-MIN(B120,D120,F120,H120,J120,L120),IF(C120&lt;&gt;0,MAX(C120,E120,G120,I120,K120,M120)-MIN(C120,E120,G120,I120,K120,M120)))</f>
        <v>0</v>
      </c>
      <c r="S120" s="262"/>
      <c r="T120" s="958" t="str">
        <f t="shared" si="327"/>
        <v/>
      </c>
      <c r="U120" s="959" t="str">
        <f>IF(P120=0,"",IF(P120&lt;Paramétrage!$S$12,"PB",IF(AND(Q120&lt;Paramétrage!$S$12,Q120&lt;&gt;0),"PB","")))</f>
        <v/>
      </c>
      <c r="V120" s="959" t="str">
        <f t="shared" si="309"/>
        <v/>
      </c>
      <c r="W120" s="959" t="str">
        <f t="shared" si="310"/>
        <v/>
      </c>
      <c r="X120" s="960" t="str">
        <f t="shared" ref="X120" si="332">IF(AND(N120=0,O120=0),"",(IF(OR(C120="aa",C120="cp",C120="f",C120="jc",C120="m"),"",IF(C120="",IF(OR(D120-B120&gt;6/24,H120-F120&gt;6/24,L120-J120&gt;6/24),"PB",""),IF(OR(E120-C120&gt;6/24,I120-G120&gt;6/24,M120-K120&gt;6/24),"PB","")))))</f>
        <v/>
      </c>
      <c r="Y120" s="959" t="str">
        <f t="shared" si="312"/>
        <v/>
      </c>
      <c r="Z120" s="836"/>
      <c r="AA120" s="837"/>
      <c r="AC120" s="934">
        <f t="shared" si="317"/>
        <v>42681</v>
      </c>
      <c r="AD120" s="961">
        <f>IF(AND(N(AC120)&gt;=Paramétrage!$AU$11,N(AC120)&lt;=Paramétrage!$AU$12),IF(C120="cp",1,0),0)</f>
        <v>0</v>
      </c>
      <c r="AE120" s="962">
        <f t="shared" si="313"/>
        <v>0</v>
      </c>
      <c r="AF120" s="961">
        <f>IF(AND(N(AC120)&gt;=Paramétrage!$AX$11,N(AC120)&lt;=Paramétrage!$AX$12),IF(C120="cp",1,0),0)</f>
        <v>0</v>
      </c>
      <c r="AG120" s="962">
        <f t="shared" si="314"/>
        <v>0</v>
      </c>
      <c r="AI120" s="962">
        <f t="shared" si="318"/>
        <v>0</v>
      </c>
      <c r="AJ120" s="962">
        <f t="shared" si="319"/>
        <v>0</v>
      </c>
      <c r="AM120" s="962"/>
      <c r="AN120" s="962"/>
      <c r="AO120" s="962"/>
      <c r="AP120" s="962"/>
      <c r="AV120" s="954"/>
      <c r="AW120" s="963">
        <f t="shared" ref="AW120:BF120" si="333">IF(MONTH(AD120)=AW118,AH120,0)</f>
        <v>0</v>
      </c>
      <c r="AX120" s="963">
        <f t="shared" si="333"/>
        <v>0</v>
      </c>
      <c r="AY120" s="963">
        <f t="shared" si="333"/>
        <v>0</v>
      </c>
      <c r="AZ120" s="963">
        <f t="shared" si="333"/>
        <v>0</v>
      </c>
      <c r="BA120" s="963">
        <f t="shared" si="333"/>
        <v>0</v>
      </c>
      <c r="BB120" s="963">
        <f t="shared" si="333"/>
        <v>0</v>
      </c>
      <c r="BC120" s="963">
        <f t="shared" si="333"/>
        <v>0</v>
      </c>
      <c r="BD120" s="963">
        <f t="shared" si="333"/>
        <v>0</v>
      </c>
      <c r="BE120" s="963">
        <f t="shared" si="333"/>
        <v>0</v>
      </c>
      <c r="BF120" s="963">
        <f t="shared" si="333"/>
        <v>0</v>
      </c>
    </row>
    <row r="121" spans="1:58" x14ac:dyDescent="0.25">
      <c r="A121" s="969" t="s">
        <v>78</v>
      </c>
      <c r="B121" s="970"/>
      <c r="C121" s="970"/>
      <c r="D121" s="970"/>
      <c r="E121" s="970"/>
      <c r="F121" s="970"/>
      <c r="G121" s="970"/>
      <c r="H121" s="970"/>
      <c r="I121" s="970"/>
      <c r="J121" s="970"/>
      <c r="K121" s="971"/>
      <c r="L121" s="970"/>
      <c r="M121" s="970"/>
      <c r="N121" s="972">
        <f>SUM(N114:N120)</f>
        <v>0</v>
      </c>
      <c r="O121" s="972">
        <f>SUM(O114:O120)</f>
        <v>0</v>
      </c>
      <c r="P121" s="972">
        <f>SUM(P114:P120)</f>
        <v>0</v>
      </c>
      <c r="Q121" s="972">
        <f>SUM(Q114:Q120)</f>
        <v>0</v>
      </c>
      <c r="R121" s="972"/>
      <c r="S121" s="972"/>
      <c r="T121" s="973"/>
      <c r="U121" s="974"/>
      <c r="V121" s="975" t="str">
        <f>IF((O121*24)&gt;48,"PB","")</f>
        <v/>
      </c>
      <c r="W121" s="974"/>
      <c r="X121" s="972"/>
      <c r="Y121" s="974"/>
      <c r="Z121" s="976" t="s">
        <v>59</v>
      </c>
      <c r="AA121" s="977">
        <f>+O121-N121</f>
        <v>0</v>
      </c>
      <c r="AF121" s="961"/>
      <c r="AV121" s="954"/>
      <c r="AW121" s="963">
        <f t="shared" ref="AW121:BF121" si="334">IF(MONTH(AD121)=AW119,AH121,0)</f>
        <v>0</v>
      </c>
      <c r="AX121" s="963">
        <f t="shared" si="334"/>
        <v>0</v>
      </c>
      <c r="AY121" s="963">
        <f t="shared" si="334"/>
        <v>0</v>
      </c>
      <c r="AZ121" s="963">
        <f t="shared" si="334"/>
        <v>0</v>
      </c>
      <c r="BA121" s="963">
        <f t="shared" si="334"/>
        <v>0</v>
      </c>
      <c r="BB121" s="963">
        <f t="shared" si="334"/>
        <v>0</v>
      </c>
      <c r="BC121" s="963">
        <f t="shared" si="334"/>
        <v>0</v>
      </c>
      <c r="BD121" s="963">
        <f t="shared" si="334"/>
        <v>0</v>
      </c>
      <c r="BE121" s="963">
        <f t="shared" si="334"/>
        <v>0</v>
      </c>
      <c r="BF121" s="963" t="e">
        <f t="shared" si="334"/>
        <v>#VALUE!</v>
      </c>
    </row>
    <row r="122" spans="1:58" x14ac:dyDescent="0.25">
      <c r="A122" s="969"/>
      <c r="B122" s="969"/>
      <c r="C122" s="969"/>
      <c r="D122" s="969"/>
      <c r="E122" s="969"/>
      <c r="F122" s="994"/>
      <c r="G122" s="994"/>
      <c r="H122" s="994"/>
      <c r="I122" s="994"/>
      <c r="J122" s="994"/>
      <c r="K122" s="969"/>
      <c r="L122" s="969"/>
      <c r="M122" s="969"/>
      <c r="N122" s="973"/>
      <c r="O122" s="969"/>
      <c r="P122" s="980"/>
      <c r="Q122" s="980"/>
      <c r="R122" s="980"/>
      <c r="S122" s="981"/>
      <c r="T122" s="980"/>
      <c r="U122" s="980"/>
      <c r="V122" s="980"/>
      <c r="W122" s="980"/>
      <c r="X122" s="980"/>
      <c r="Y122" s="980"/>
      <c r="Z122" s="976"/>
      <c r="AA122" s="977"/>
      <c r="AF122" s="961"/>
      <c r="AV122" s="954"/>
      <c r="AW122" s="963">
        <f t="shared" ref="AW122:BF122" si="335">IF(MONTH(AD122)=AW120,AH122,0)</f>
        <v>0</v>
      </c>
      <c r="AX122" s="963">
        <f t="shared" si="335"/>
        <v>0</v>
      </c>
      <c r="AY122" s="963">
        <f t="shared" si="335"/>
        <v>0</v>
      </c>
      <c r="AZ122" s="963">
        <f t="shared" si="335"/>
        <v>0</v>
      </c>
      <c r="BA122" s="963">
        <f t="shared" si="335"/>
        <v>0</v>
      </c>
      <c r="BB122" s="963">
        <f t="shared" si="335"/>
        <v>0</v>
      </c>
      <c r="BC122" s="963">
        <f t="shared" si="335"/>
        <v>0</v>
      </c>
      <c r="BD122" s="963">
        <f t="shared" si="335"/>
        <v>0</v>
      </c>
      <c r="BE122" s="963">
        <f t="shared" si="335"/>
        <v>0</v>
      </c>
      <c r="BF122" s="963">
        <f t="shared" si="335"/>
        <v>0</v>
      </c>
    </row>
    <row r="123" spans="1:58" ht="16.5" x14ac:dyDescent="0.3">
      <c r="A123" s="969"/>
      <c r="B123" s="969"/>
      <c r="C123" s="969"/>
      <c r="D123" s="969"/>
      <c r="E123" s="969"/>
      <c r="F123" s="928">
        <f>+F111+7</f>
        <v>42682</v>
      </c>
      <c r="G123" s="928"/>
      <c r="H123" s="929" t="s">
        <v>58</v>
      </c>
      <c r="I123" s="928">
        <f>+F123+6</f>
        <v>42688</v>
      </c>
      <c r="J123" s="930"/>
      <c r="K123" s="969"/>
      <c r="L123" s="969"/>
      <c r="M123" s="969"/>
      <c r="N123" s="973"/>
      <c r="O123" s="969"/>
      <c r="P123" s="980"/>
      <c r="Q123" s="980"/>
      <c r="R123" s="980"/>
      <c r="S123" s="981"/>
      <c r="T123" s="980"/>
      <c r="U123" s="980"/>
      <c r="V123" s="980"/>
      <c r="W123" s="980"/>
      <c r="X123" s="980"/>
      <c r="Y123" s="980"/>
      <c r="Z123" s="976"/>
      <c r="AA123" s="995"/>
      <c r="AF123" s="961"/>
      <c r="AV123" s="954"/>
      <c r="AW123" s="963">
        <f t="shared" ref="AW123:BF123" si="336">IF(MONTH(AD123)=AW121,AH123,0)</f>
        <v>0</v>
      </c>
      <c r="AX123" s="963">
        <f t="shared" si="336"/>
        <v>0</v>
      </c>
      <c r="AY123" s="963">
        <f t="shared" si="336"/>
        <v>0</v>
      </c>
      <c r="AZ123" s="963">
        <f t="shared" si="336"/>
        <v>0</v>
      </c>
      <c r="BA123" s="963">
        <f t="shared" si="336"/>
        <v>0</v>
      </c>
      <c r="BB123" s="963">
        <f t="shared" si="336"/>
        <v>0</v>
      </c>
      <c r="BC123" s="963">
        <f t="shared" si="336"/>
        <v>0</v>
      </c>
      <c r="BD123" s="963">
        <f t="shared" si="336"/>
        <v>0</v>
      </c>
      <c r="BE123" s="963">
        <f t="shared" si="336"/>
        <v>0</v>
      </c>
      <c r="BF123" s="963" t="e">
        <f t="shared" si="336"/>
        <v>#VALUE!</v>
      </c>
    </row>
    <row r="124" spans="1:58" ht="14.45" customHeight="1" x14ac:dyDescent="0.25">
      <c r="A124" s="994"/>
      <c r="B124" s="938" t="s">
        <v>17</v>
      </c>
      <c r="C124" s="938"/>
      <c r="D124" s="938" t="s">
        <v>18</v>
      </c>
      <c r="E124" s="938"/>
      <c r="F124" s="938" t="s">
        <v>17</v>
      </c>
      <c r="G124" s="938"/>
      <c r="H124" s="938" t="s">
        <v>18</v>
      </c>
      <c r="I124" s="938"/>
      <c r="J124" s="938" t="s">
        <v>17</v>
      </c>
      <c r="K124" s="938"/>
      <c r="L124" s="938" t="s">
        <v>18</v>
      </c>
      <c r="M124" s="938"/>
      <c r="N124" s="939" t="s">
        <v>61</v>
      </c>
      <c r="O124" s="939" t="s">
        <v>62</v>
      </c>
      <c r="P124" s="939" t="s">
        <v>60</v>
      </c>
      <c r="Q124" s="939" t="s">
        <v>63</v>
      </c>
      <c r="R124" s="939" t="s">
        <v>64</v>
      </c>
      <c r="S124" s="940" t="s">
        <v>223</v>
      </c>
      <c r="T124" s="939" t="s">
        <v>70</v>
      </c>
      <c r="U124" s="941" t="s">
        <v>65</v>
      </c>
      <c r="V124" s="942"/>
      <c r="W124" s="942"/>
      <c r="X124" s="942"/>
      <c r="Y124" s="943"/>
      <c r="Z124" s="944" t="s">
        <v>22</v>
      </c>
      <c r="AA124" s="944"/>
      <c r="AF124" s="961"/>
      <c r="AV124" s="954"/>
      <c r="AW124" s="963">
        <f t="shared" ref="AW124:BF124" si="337">IF(MONTH(AD124)=AW122,AH124,0)</f>
        <v>0</v>
      </c>
      <c r="AX124" s="963">
        <f t="shared" si="337"/>
        <v>0</v>
      </c>
      <c r="AY124" s="963">
        <f t="shared" si="337"/>
        <v>0</v>
      </c>
      <c r="AZ124" s="963">
        <f t="shared" si="337"/>
        <v>0</v>
      </c>
      <c r="BA124" s="963">
        <f t="shared" si="337"/>
        <v>0</v>
      </c>
      <c r="BB124" s="963">
        <f t="shared" si="337"/>
        <v>0</v>
      </c>
      <c r="BC124" s="963">
        <f t="shared" si="337"/>
        <v>0</v>
      </c>
      <c r="BD124" s="963">
        <f t="shared" si="337"/>
        <v>0</v>
      </c>
      <c r="BE124" s="963">
        <f t="shared" si="337"/>
        <v>0</v>
      </c>
      <c r="BF124" s="963">
        <f t="shared" si="337"/>
        <v>0</v>
      </c>
    </row>
    <row r="125" spans="1:58" ht="26.25" thickBot="1" x14ac:dyDescent="0.4">
      <c r="A125" s="937" t="str">
        <f>"S"&amp;_xlfn.ISOWEEKNUM(F123)</f>
        <v>S46</v>
      </c>
      <c r="B125" s="949" t="s">
        <v>0</v>
      </c>
      <c r="C125" s="950" t="s">
        <v>1</v>
      </c>
      <c r="D125" s="949" t="s">
        <v>0</v>
      </c>
      <c r="E125" s="950" t="s">
        <v>1</v>
      </c>
      <c r="F125" s="949" t="s">
        <v>0</v>
      </c>
      <c r="G125" s="950" t="s">
        <v>1</v>
      </c>
      <c r="H125" s="949" t="s">
        <v>0</v>
      </c>
      <c r="I125" s="950" t="s">
        <v>1</v>
      </c>
      <c r="J125" s="949" t="s">
        <v>0</v>
      </c>
      <c r="K125" s="950" t="s">
        <v>1</v>
      </c>
      <c r="L125" s="949" t="s">
        <v>0</v>
      </c>
      <c r="M125" s="950" t="s">
        <v>1</v>
      </c>
      <c r="N125" s="951"/>
      <c r="O125" s="951"/>
      <c r="P125" s="951"/>
      <c r="Q125" s="951"/>
      <c r="R125" s="951"/>
      <c r="S125" s="951"/>
      <c r="T125" s="939"/>
      <c r="U125" s="952" t="s">
        <v>66</v>
      </c>
      <c r="V125" s="952" t="s">
        <v>67</v>
      </c>
      <c r="W125" s="952" t="s">
        <v>68</v>
      </c>
      <c r="X125" s="952" t="s">
        <v>137</v>
      </c>
      <c r="Y125" s="952" t="s">
        <v>69</v>
      </c>
      <c r="Z125" s="944"/>
      <c r="AA125" s="944"/>
      <c r="AF125" s="961"/>
      <c r="AM125" s="917" t="s">
        <v>274</v>
      </c>
      <c r="AV125" s="954"/>
      <c r="AW125" s="963">
        <f t="shared" ref="AW125:BF125" si="338">IF(MONTH(AD125)=AW123,AH125,0)</f>
        <v>0</v>
      </c>
      <c r="AX125" s="963">
        <f t="shared" si="338"/>
        <v>0</v>
      </c>
      <c r="AY125" s="963">
        <f t="shared" si="338"/>
        <v>0</v>
      </c>
      <c r="AZ125" s="963">
        <f t="shared" si="338"/>
        <v>0</v>
      </c>
      <c r="BA125" s="963">
        <f t="shared" si="338"/>
        <v>0</v>
      </c>
      <c r="BB125" s="963">
        <f t="shared" si="338"/>
        <v>0</v>
      </c>
      <c r="BC125" s="963">
        <f t="shared" si="338"/>
        <v>0</v>
      </c>
      <c r="BD125" s="963">
        <f t="shared" si="338"/>
        <v>0</v>
      </c>
      <c r="BE125" s="963">
        <f t="shared" si="338"/>
        <v>0</v>
      </c>
      <c r="BF125" s="963" t="e">
        <f t="shared" si="338"/>
        <v>#VALUE!</v>
      </c>
    </row>
    <row r="126" spans="1:58" ht="14.45" customHeight="1" x14ac:dyDescent="0.3">
      <c r="A126" s="955" t="s">
        <v>12</v>
      </c>
      <c r="B126" s="15" t="b">
        <f>IF(Paramétrage!$O$42="",FALSE,Paramétrage!$O$42)</f>
        <v>0</v>
      </c>
      <c r="C126" s="263"/>
      <c r="D126" s="16" t="b">
        <f>IF(Paramétrage!$Q$42="",FALSE,Paramétrage!$Q$42)</f>
        <v>0</v>
      </c>
      <c r="E126" s="264"/>
      <c r="F126" s="15" t="b">
        <f>IF(Paramétrage!$R$42="",FALSE,Paramétrage!$R$42)</f>
        <v>0</v>
      </c>
      <c r="G126" s="264"/>
      <c r="H126" s="17" t="b">
        <f>IF(Paramétrage!$T$42="",FALSE,Paramétrage!$T$42)</f>
        <v>0</v>
      </c>
      <c r="I126" s="263"/>
      <c r="J126" s="127" t="b">
        <f>IF(Paramétrage!$U$42="",FALSE,Paramétrage!$U$42)</f>
        <v>0</v>
      </c>
      <c r="K126" s="263"/>
      <c r="L126" s="28" t="b">
        <f>IF(Paramétrage!$W$42="",FALSE,Paramétrage!$W$42)</f>
        <v>0</v>
      </c>
      <c r="M126" s="263"/>
      <c r="N126" s="956">
        <f t="shared" ref="N126:N128" si="339">IF(OR(B126="aa",B126="cp",B126="f",B126="jc",B126="m",B126="css"),0,(L126-J126)+(H126-F126)+(D126-B126))</f>
        <v>0</v>
      </c>
      <c r="O126" s="956">
        <f t="shared" ref="O126:O128" si="340">SUM(AM126:AP126)+IF(OR(C126="m",C126="aa"),N126,IF(C126="css",0,IF(C126="cp",0,IF(C126="jc",0,IF(C126="f",0,E126-C126+I126-G126+M126-K126)))))</f>
        <v>0</v>
      </c>
      <c r="P126" s="956">
        <f>IF(OR(C126="aa",C126="cp",C126="f",C126="jc",C126="m",C126="css"),0,IF(C126="",IF(OR(F126="",F126=FALSE),0,F126-D126),IF(G126="",0,G126-E126)))</f>
        <v>0</v>
      </c>
      <c r="Q126" s="956">
        <f t="shared" ref="Q126:Q132" si="341">IF(P126=0,0,IF(G126="",IF(OR(J126="",J126=FALSE),0,J126-H126),IF(K126="",0,K126-I126)))</f>
        <v>0</v>
      </c>
      <c r="R126" s="957">
        <f t="shared" ref="R126:R128" si="342">IF(OR(C126="aa",C126="cp",C126="f",C126="jc",C126="m",C126="css"),0,IF(C126=0,MAX(B126,D126,F126,H126,J126,L126)-MIN(B126,D126,F126,H126,J126,L126),IF(C126&lt;&gt;0,MAX(C126,E126,G126,I126,K126,M126)-MIN(C126,E126,G126,I126,K126,M126))))</f>
        <v>0</v>
      </c>
      <c r="S126" s="262"/>
      <c r="T126" s="958" t="str">
        <f t="shared" ref="T126:T127" si="343">IF(AND(B126=FALSE,C126=""),"",IF(AND(B126=0,C126=0),"",(IF(OR(C126="cp",C126="f",C126="jc",C126="css"),"",IF(OR(C126="",C126="aa",C126="m"),(IF(OR(B126="cp",B126="f",B126="jc",B126="css"),"",B126*24+24-MAX(D125,H125,L125)*24)),C126*24+24-MAX(M125,I125,E125)*24)))))</f>
        <v/>
      </c>
      <c r="U126" s="959" t="str">
        <f>IF(P126=0,"",IF(P126&lt;Paramétrage!$S$12,"PB",IF(AND(Q126&lt;Paramétrage!$S$12,Q126&lt;&gt;0),"PB","")))</f>
        <v/>
      </c>
      <c r="V126" s="959" t="str">
        <f t="shared" ref="V126:V132" si="344">IF(C126="",IF((N126*24)&gt;10,"PB",""),IF((O126*24)&gt;10,"PB",""))</f>
        <v/>
      </c>
      <c r="W126" s="959" t="str">
        <f t="shared" ref="W126:W132" si="345">IF((R126*24)&gt;12,"PB","")</f>
        <v/>
      </c>
      <c r="X126" s="960" t="str">
        <f t="shared" ref="X126:X128" si="346">IF(AND(N126=0,O126=0),"",(IF(OR(C126="aa",C126="cp",C126="f",C126="jc",C126="m",C126="css"),"",IF(C126="",IF(OR(D126-B126&gt;6/24,H126-F126&gt;6/24,L126-J126&gt;6/24),"PB",""),IF(OR(E126-C126&gt;6/24,I126-G126&gt;6/24,M126-K126&gt;6/24),"PB","")))))</f>
        <v/>
      </c>
      <c r="Y126" s="959" t="str">
        <f t="shared" ref="Y126:Y132" si="347">IF(T126="","",IF(T126&lt;11,"PB",""))</f>
        <v/>
      </c>
      <c r="Z126" s="836"/>
      <c r="AA126" s="837"/>
      <c r="AC126" s="934">
        <f>AC120+1</f>
        <v>42682</v>
      </c>
      <c r="AD126" s="961">
        <f>IF(AND(N(AC126)&gt;=Paramétrage!$AU$11,N(AC126)&lt;=Paramétrage!$AU$12),IF(C126="cp",1,0),0)</f>
        <v>0</v>
      </c>
      <c r="AE126" s="962">
        <f t="shared" ref="AE126:AE132" si="348">N126</f>
        <v>0</v>
      </c>
      <c r="AF126" s="961">
        <f>IF(AND(N(AC126)&gt;=Paramétrage!$AX$11,N(AC126)&lt;=Paramétrage!$AX$12),IF(C126="cp",1,0),0)</f>
        <v>0</v>
      </c>
      <c r="AG126" s="962">
        <f>O126</f>
        <v>0</v>
      </c>
      <c r="AI126" s="962">
        <f>AE126+AI120</f>
        <v>0</v>
      </c>
      <c r="AJ126" s="962">
        <f>AG126+AJ120</f>
        <v>0</v>
      </c>
      <c r="AM126" s="962">
        <f>IF(AND($B126="cp",$C126="m"),$Z126,0)</f>
        <v>0</v>
      </c>
      <c r="AN126" s="962">
        <f>IF(AND($B126="jc",$C126="m"),$Z126,0)</f>
        <v>0</v>
      </c>
      <c r="AO126" s="962">
        <f>IF(AND($B126="cp",$C126="aa"),$Z126,0)</f>
        <v>0</v>
      </c>
      <c r="AP126" s="962">
        <f>IF(AND($B126="jc",$C126="aa"),$Z126,0)</f>
        <v>0</v>
      </c>
      <c r="AR126" s="917">
        <f>IF(AND(AC126&lt;=$AR$3,B126="CP"),1,0)</f>
        <v>0</v>
      </c>
      <c r="AS126" s="917">
        <f>IF(AND(AC126&lt;=$AR$3,C126="CP"),1,0)</f>
        <v>0</v>
      </c>
      <c r="AV126" s="954"/>
      <c r="AW126" s="963">
        <f t="shared" ref="AW126:BF126" si="349">IF(MONTH(AD126)=AW124,AH126,0)</f>
        <v>0</v>
      </c>
      <c r="AX126" s="963">
        <f t="shared" si="349"/>
        <v>0</v>
      </c>
      <c r="AY126" s="963">
        <f t="shared" si="349"/>
        <v>0</v>
      </c>
      <c r="AZ126" s="963">
        <f t="shared" si="349"/>
        <v>0</v>
      </c>
      <c r="BA126" s="963">
        <f t="shared" si="349"/>
        <v>0</v>
      </c>
      <c r="BB126" s="963">
        <f t="shared" si="349"/>
        <v>0</v>
      </c>
      <c r="BC126" s="963">
        <f t="shared" si="349"/>
        <v>0</v>
      </c>
      <c r="BD126" s="963">
        <f t="shared" si="349"/>
        <v>0</v>
      </c>
      <c r="BE126" s="963">
        <f t="shared" si="349"/>
        <v>0</v>
      </c>
      <c r="BF126" s="963">
        <f t="shared" si="349"/>
        <v>0</v>
      </c>
    </row>
    <row r="127" spans="1:58" ht="14.45" customHeight="1" x14ac:dyDescent="0.3">
      <c r="A127" s="964" t="s">
        <v>13</v>
      </c>
      <c r="B127" s="15" t="b">
        <f>IF(Paramétrage!$O$43="",FALSE,Paramétrage!$O$43)</f>
        <v>0</v>
      </c>
      <c r="C127" s="263"/>
      <c r="D127" s="16" t="b">
        <f>IF(Paramétrage!$Q$43="",FALSE,Paramétrage!$Q$43)</f>
        <v>0</v>
      </c>
      <c r="E127" s="264"/>
      <c r="F127" s="15" t="b">
        <f>IF(Paramétrage!$R$43="",FALSE,Paramétrage!$R$43)</f>
        <v>0</v>
      </c>
      <c r="G127" s="264"/>
      <c r="H127" s="17" t="b">
        <f>IF(Paramétrage!$T$43="",FALSE,Paramétrage!$T$43)</f>
        <v>0</v>
      </c>
      <c r="I127" s="263"/>
      <c r="J127" s="127" t="b">
        <f>IF(Paramétrage!$U$43="",FALSE,Paramétrage!$U$43)</f>
        <v>0</v>
      </c>
      <c r="K127" s="263"/>
      <c r="L127" s="28" t="b">
        <f>IF(Paramétrage!$W$43="",FALSE,Paramétrage!$W$43)</f>
        <v>0</v>
      </c>
      <c r="M127" s="263"/>
      <c r="N127" s="956">
        <f t="shared" si="339"/>
        <v>0</v>
      </c>
      <c r="O127" s="956">
        <f t="shared" si="340"/>
        <v>0</v>
      </c>
      <c r="P127" s="956">
        <f t="shared" ref="P127:P132" si="350">IF(OR(C127="aa",C127="cp",C127="f",C127="jc",C127="m",C127="css"),0,IF(C127="",IF(OR(F127="",F127=FALSE),0,F127-D127),IF(G127="",0,G127-E127)))</f>
        <v>0</v>
      </c>
      <c r="Q127" s="956">
        <f t="shared" si="341"/>
        <v>0</v>
      </c>
      <c r="R127" s="957">
        <f t="shared" si="342"/>
        <v>0</v>
      </c>
      <c r="S127" s="262"/>
      <c r="T127" s="958" t="str">
        <f t="shared" si="343"/>
        <v/>
      </c>
      <c r="U127" s="959" t="str">
        <f>IF(P127=0,"",IF(P127&lt;Paramétrage!$S$12,"PB",IF(AND(Q127&lt;Paramétrage!$S$12,Q127&lt;&gt;0),"PB","")))</f>
        <v/>
      </c>
      <c r="V127" s="959" t="str">
        <f t="shared" si="344"/>
        <v/>
      </c>
      <c r="W127" s="959" t="str">
        <f t="shared" si="345"/>
        <v/>
      </c>
      <c r="X127" s="960" t="str">
        <f t="shared" si="346"/>
        <v/>
      </c>
      <c r="Y127" s="959" t="str">
        <f t="shared" si="347"/>
        <v/>
      </c>
      <c r="Z127" s="836"/>
      <c r="AA127" s="837"/>
      <c r="AC127" s="934">
        <f t="shared" ref="AC127:AC132" si="351">AC126+1</f>
        <v>42683</v>
      </c>
      <c r="AD127" s="961">
        <f>IF(AND(N(AC127)&gt;=Paramétrage!$AU$11,N(AC127)&lt;=Paramétrage!$AU$12),IF(C127="cp",1,0),0)</f>
        <v>0</v>
      </c>
      <c r="AE127" s="962">
        <f t="shared" si="348"/>
        <v>0</v>
      </c>
      <c r="AF127" s="961">
        <f>IF(AND(N(AC127)&gt;=Paramétrage!$AX$11,N(AC127)&lt;=Paramétrage!$AX$12),IF(C127="cp",1,0),0)</f>
        <v>0</v>
      </c>
      <c r="AG127" s="962">
        <f t="shared" ref="AG127:AG132" si="352">O127</f>
        <v>0</v>
      </c>
      <c r="AI127" s="962">
        <f t="shared" ref="AI127:AI132" si="353">AE127+AI126</f>
        <v>0</v>
      </c>
      <c r="AJ127" s="962">
        <f t="shared" ref="AJ127:AJ132" si="354">AG127+AJ126</f>
        <v>0</v>
      </c>
      <c r="AM127" s="962">
        <f t="shared" ref="AM127:AM130" si="355">IF(AND($B127="cp",$C127="m"),$Z127,0)</f>
        <v>0</v>
      </c>
      <c r="AN127" s="962">
        <f t="shared" ref="AN127:AN130" si="356">IF(AND($B127="jc",$C127="m"),$Z127,0)</f>
        <v>0</v>
      </c>
      <c r="AO127" s="962">
        <f t="shared" ref="AO127:AO130" si="357">IF(AND($B127="cp",$C127="aa"),$Z127,0)</f>
        <v>0</v>
      </c>
      <c r="AP127" s="962">
        <f t="shared" ref="AP127:AP130" si="358">IF(AND($B127="jc",$C127="aa"),$Z127,0)</f>
        <v>0</v>
      </c>
      <c r="AR127" s="917">
        <f>IF(AND(AC127&lt;=$AR$3,B127="CP"),1,0)</f>
        <v>0</v>
      </c>
      <c r="AS127" s="917">
        <f>IF(AND(AC127&lt;=$AR$3,C127="CP"),1,0)</f>
        <v>0</v>
      </c>
      <c r="AV127" s="954"/>
      <c r="AW127" s="963">
        <f t="shared" ref="AW127:BF127" si="359">IF(MONTH(AD127)=AW125,AH127,0)</f>
        <v>0</v>
      </c>
      <c r="AX127" s="963">
        <f t="shared" si="359"/>
        <v>0</v>
      </c>
      <c r="AY127" s="963">
        <f t="shared" si="359"/>
        <v>0</v>
      </c>
      <c r="AZ127" s="963">
        <f t="shared" si="359"/>
        <v>0</v>
      </c>
      <c r="BA127" s="963">
        <f t="shared" si="359"/>
        <v>0</v>
      </c>
      <c r="BB127" s="963">
        <f t="shared" si="359"/>
        <v>0</v>
      </c>
      <c r="BC127" s="963">
        <f t="shared" si="359"/>
        <v>0</v>
      </c>
      <c r="BD127" s="963">
        <f t="shared" si="359"/>
        <v>0</v>
      </c>
      <c r="BE127" s="963">
        <f t="shared" si="359"/>
        <v>0</v>
      </c>
      <c r="BF127" s="963" t="e">
        <f t="shared" si="359"/>
        <v>#VALUE!</v>
      </c>
    </row>
    <row r="128" spans="1:58" ht="14.45" customHeight="1" x14ac:dyDescent="0.3">
      <c r="A128" s="964" t="s">
        <v>14</v>
      </c>
      <c r="B128" s="15" t="b">
        <f>IF(Paramétrage!$O$44="",FALSE,Paramétrage!$O$44)</f>
        <v>0</v>
      </c>
      <c r="C128" s="263"/>
      <c r="D128" s="16" t="b">
        <f>IF(Paramétrage!$Q$44="",FALSE,Paramétrage!$Q$44)</f>
        <v>0</v>
      </c>
      <c r="E128" s="264"/>
      <c r="F128" s="15" t="b">
        <f>IF(Paramétrage!$R$44="",FALSE,Paramétrage!$R$44)</f>
        <v>0</v>
      </c>
      <c r="G128" s="264"/>
      <c r="H128" s="17" t="b">
        <f>IF(Paramétrage!$T$44="",FALSE,Paramétrage!$T$44)</f>
        <v>0</v>
      </c>
      <c r="I128" s="263"/>
      <c r="J128" s="127" t="b">
        <f>IF(Paramétrage!$U$44="",FALSE,Paramétrage!$U$44)</f>
        <v>0</v>
      </c>
      <c r="K128" s="263"/>
      <c r="L128" s="28" t="b">
        <f>IF(Paramétrage!$W$44="",FALSE,Paramétrage!$W$44)</f>
        <v>0</v>
      </c>
      <c r="M128" s="263"/>
      <c r="N128" s="956">
        <f t="shared" si="339"/>
        <v>0</v>
      </c>
      <c r="O128" s="956">
        <f t="shared" si="340"/>
        <v>0</v>
      </c>
      <c r="P128" s="956">
        <f t="shared" si="350"/>
        <v>0</v>
      </c>
      <c r="Q128" s="956">
        <f t="shared" si="341"/>
        <v>0</v>
      </c>
      <c r="R128" s="957">
        <f t="shared" si="342"/>
        <v>0</v>
      </c>
      <c r="S128" s="262"/>
      <c r="T128" s="958" t="str">
        <f>IF(AND(B128=FALSE,C128=""),"",IF(AND(B128=0,C128=0),"",(IF(OR(C128="cp",C128="f",C128="jc",C128="css"),"",IF(OR(C128="",C128="aa",C128="m"),(IF(OR(B128="cp",B128="f",B128="jc",B128="css"),"",B128*24+24-MAX(D127,H127,L127)*24)),C128*24+24-MAX(M127,I127,E127)*24)))))</f>
        <v/>
      </c>
      <c r="U128" s="959" t="str">
        <f>IF(P128=0,"",IF(P128&lt;Paramétrage!$S$12,"PB",IF(AND(Q128&lt;Paramétrage!$S$12,Q128&lt;&gt;0),"PB","")))</f>
        <v/>
      </c>
      <c r="V128" s="959" t="str">
        <f t="shared" si="344"/>
        <v/>
      </c>
      <c r="W128" s="959" t="str">
        <f t="shared" si="345"/>
        <v/>
      </c>
      <c r="X128" s="960" t="str">
        <f t="shared" si="346"/>
        <v/>
      </c>
      <c r="Y128" s="959" t="str">
        <f t="shared" si="347"/>
        <v/>
      </c>
      <c r="Z128" s="836"/>
      <c r="AA128" s="837"/>
      <c r="AC128" s="934">
        <f t="shared" si="351"/>
        <v>42684</v>
      </c>
      <c r="AD128" s="961">
        <f>IF(AND(N(AC128)&gt;=Paramétrage!$AU$11,N(AC128)&lt;=Paramétrage!$AU$12),IF(C128="cp",1,0),0)</f>
        <v>0</v>
      </c>
      <c r="AE128" s="962">
        <f t="shared" si="348"/>
        <v>0</v>
      </c>
      <c r="AF128" s="961">
        <f>IF(AND(N(AC128)&gt;=Paramétrage!$AX$11,N(AC128)&lt;=Paramétrage!$AX$12),IF(C128="cp",1,0),0)</f>
        <v>0</v>
      </c>
      <c r="AG128" s="962">
        <f t="shared" si="352"/>
        <v>0</v>
      </c>
      <c r="AI128" s="962">
        <f t="shared" si="353"/>
        <v>0</v>
      </c>
      <c r="AJ128" s="962">
        <f t="shared" si="354"/>
        <v>0</v>
      </c>
      <c r="AM128" s="962">
        <f t="shared" si="355"/>
        <v>0</v>
      </c>
      <c r="AN128" s="962">
        <f t="shared" si="356"/>
        <v>0</v>
      </c>
      <c r="AO128" s="962">
        <f t="shared" si="357"/>
        <v>0</v>
      </c>
      <c r="AP128" s="962">
        <f t="shared" si="358"/>
        <v>0</v>
      </c>
      <c r="AR128" s="917">
        <f>IF(AND(AC128&lt;=$AR$3,B128="CP"),1,0)</f>
        <v>0</v>
      </c>
      <c r="AS128" s="917">
        <f>IF(AND(AC128&lt;=$AR$3,C128="CP"),1,0)</f>
        <v>0</v>
      </c>
      <c r="AV128" s="954"/>
      <c r="AW128" s="963">
        <f t="shared" ref="AW128:BF128" si="360">IF(MONTH(AD128)=AW126,AH128,0)</f>
        <v>0</v>
      </c>
      <c r="AX128" s="963">
        <f t="shared" si="360"/>
        <v>0</v>
      </c>
      <c r="AY128" s="963">
        <f t="shared" si="360"/>
        <v>0</v>
      </c>
      <c r="AZ128" s="963">
        <f t="shared" si="360"/>
        <v>0</v>
      </c>
      <c r="BA128" s="963">
        <f t="shared" si="360"/>
        <v>0</v>
      </c>
      <c r="BB128" s="963">
        <f t="shared" si="360"/>
        <v>0</v>
      </c>
      <c r="BC128" s="963">
        <f t="shared" si="360"/>
        <v>0</v>
      </c>
      <c r="BD128" s="963">
        <f t="shared" si="360"/>
        <v>0</v>
      </c>
      <c r="BE128" s="963">
        <f t="shared" si="360"/>
        <v>0</v>
      </c>
      <c r="BF128" s="963">
        <f t="shared" si="360"/>
        <v>0</v>
      </c>
    </row>
    <row r="129" spans="1:58" ht="14.45" customHeight="1" x14ac:dyDescent="0.3">
      <c r="A129" s="964" t="s">
        <v>15</v>
      </c>
      <c r="B129" s="15" t="b">
        <f>IF(Paramétrage!$O$45="",FALSE,Paramétrage!$O$45)</f>
        <v>0</v>
      </c>
      <c r="C129" s="263"/>
      <c r="D129" s="16" t="b">
        <f>IF(Paramétrage!$Q$45="",FALSE,Paramétrage!$Q$45)</f>
        <v>0</v>
      </c>
      <c r="E129" s="264"/>
      <c r="F129" s="15" t="b">
        <f>IF(Paramétrage!$R$45="",FALSE,Paramétrage!$R$45)</f>
        <v>0</v>
      </c>
      <c r="G129" s="264"/>
      <c r="H129" s="17" t="b">
        <f>IF(Paramétrage!$T$45="",FALSE,Paramétrage!$T$45)</f>
        <v>0</v>
      </c>
      <c r="I129" s="263"/>
      <c r="J129" s="127" t="b">
        <f>IF(Paramétrage!$U$45="",FALSE,Paramétrage!$U$45)</f>
        <v>0</v>
      </c>
      <c r="K129" s="263"/>
      <c r="L129" s="28" t="b">
        <f>IF(Paramétrage!$W$45="",FALSE,Paramétrage!$W$45)</f>
        <v>0</v>
      </c>
      <c r="M129" s="263"/>
      <c r="N129" s="956">
        <f>IF(OR(B129="aa",B129="cp",B129="f",B129="jc",B129="m",B129="css"),0,(L129-J129)+(H129-F129)+(D129-B129))</f>
        <v>0</v>
      </c>
      <c r="O129" s="956">
        <f>SUM(AM129:AP129)+IF(OR(C129="m",C129="aa"),N129,IF(C129="css",0,IF(C129="cp",0,IF(C129="jc",0,IF(C129="f",0,E129-C129+I129-G129+M129-K129)))))</f>
        <v>0</v>
      </c>
      <c r="P129" s="956">
        <f t="shared" si="350"/>
        <v>0</v>
      </c>
      <c r="Q129" s="956">
        <f t="shared" si="341"/>
        <v>0</v>
      </c>
      <c r="R129" s="957">
        <f>IF(OR(C129="aa",C129="cp",C129="f",C129="jc",C129="m",C129="css"),0,IF(C129=0,MAX(B129,D129,F129,H129,J129,L129)-MIN(B129,D129,F129,H129,J129,L129),IF(C129&lt;&gt;0,MAX(C129,E129,G129,I129,K129,M129)-MIN(C129,E129,G129,I129,K129,M129))))</f>
        <v>0</v>
      </c>
      <c r="S129" s="262"/>
      <c r="T129" s="958" t="str">
        <f t="shared" ref="T129:T132" si="361">IF(AND(B129=FALSE,C129=""),"",IF(AND(B129=0,C129=0),"",(IF(OR(C129="cp",C129="f",C129="jc",C129="css"),"",IF(OR(C129="",C129="aa",C129="m"),(IF(OR(B129="cp",B129="f",B129="jc",B129="css"),"",B129*24+24-MAX(D128,H128,L128)*24)),C129*24+24-MAX(M128,I128,E128)*24)))))</f>
        <v/>
      </c>
      <c r="U129" s="959" t="str">
        <f>IF(P129=0,"",IF(P129&lt;Paramétrage!$S$12,"PB",IF(AND(Q129&lt;Paramétrage!$S$12,Q129&lt;&gt;0),"PB","")))</f>
        <v/>
      </c>
      <c r="V129" s="959" t="str">
        <f t="shared" si="344"/>
        <v/>
      </c>
      <c r="W129" s="959" t="str">
        <f t="shared" si="345"/>
        <v/>
      </c>
      <c r="X129" s="960" t="str">
        <f>IF(AND(N129=0,O129=0),"",(IF(OR(C129="aa",C129="cp",C129="f",C129="jc",C129="m",C129="css"),"",IF(C129="",IF(OR(D129-B129&gt;6/24,H129-F129&gt;6/24,L129-J129&gt;6/24),"PB",""),IF(OR(E129-C129&gt;6/24,I129-G129&gt;6/24,M129-K129&gt;6/24),"PB","")))))</f>
        <v/>
      </c>
      <c r="Y129" s="959" t="str">
        <f t="shared" si="347"/>
        <v/>
      </c>
      <c r="Z129" s="836"/>
      <c r="AA129" s="837"/>
      <c r="AB129" s="967"/>
      <c r="AC129" s="934">
        <f t="shared" si="351"/>
        <v>42685</v>
      </c>
      <c r="AD129" s="961">
        <f>IF(AND(N(AC129)&gt;=Paramétrage!$AU$11,N(AC129)&lt;=Paramétrage!$AU$12),IF(C129="cp",1,0),0)</f>
        <v>0</v>
      </c>
      <c r="AE129" s="962">
        <f t="shared" si="348"/>
        <v>0</v>
      </c>
      <c r="AF129" s="961">
        <f>IF(AND(N(AC129)&gt;=Paramétrage!$AX$11,N(AC129)&lt;=Paramétrage!$AX$12),IF(C129="cp",1,0),0)</f>
        <v>0</v>
      </c>
      <c r="AG129" s="962">
        <f t="shared" si="352"/>
        <v>0</v>
      </c>
      <c r="AI129" s="962">
        <f t="shared" si="353"/>
        <v>0</v>
      </c>
      <c r="AJ129" s="962">
        <f t="shared" si="354"/>
        <v>0</v>
      </c>
      <c r="AM129" s="962">
        <f t="shared" si="355"/>
        <v>0</v>
      </c>
      <c r="AN129" s="962">
        <f t="shared" si="356"/>
        <v>0</v>
      </c>
      <c r="AO129" s="962">
        <f t="shared" si="357"/>
        <v>0</v>
      </c>
      <c r="AP129" s="962">
        <f t="shared" si="358"/>
        <v>0</v>
      </c>
      <c r="AR129" s="917">
        <f>IF(AND(AC129&lt;=$AR$3,B129="CP"),1,0)</f>
        <v>0</v>
      </c>
      <c r="AS129" s="917">
        <f>IF(AND(AC129&lt;=$AR$3,C129="CP"),1,0)</f>
        <v>0</v>
      </c>
      <c r="AV129" s="954"/>
      <c r="AW129" s="963">
        <f t="shared" ref="AW129:BF129" si="362">IF(MONTH(AD129)=AW127,AH129,0)</f>
        <v>0</v>
      </c>
      <c r="AX129" s="963">
        <f t="shared" si="362"/>
        <v>0</v>
      </c>
      <c r="AY129" s="963">
        <f t="shared" si="362"/>
        <v>0</v>
      </c>
      <c r="AZ129" s="963">
        <f t="shared" si="362"/>
        <v>0</v>
      </c>
      <c r="BA129" s="963">
        <f t="shared" si="362"/>
        <v>0</v>
      </c>
      <c r="BB129" s="963">
        <f t="shared" si="362"/>
        <v>0</v>
      </c>
      <c r="BC129" s="963">
        <f t="shared" si="362"/>
        <v>0</v>
      </c>
      <c r="BD129" s="963">
        <f t="shared" si="362"/>
        <v>0</v>
      </c>
      <c r="BE129" s="963">
        <f t="shared" si="362"/>
        <v>0</v>
      </c>
      <c r="BF129" s="963" t="e">
        <f t="shared" si="362"/>
        <v>#VALUE!</v>
      </c>
    </row>
    <row r="130" spans="1:58" ht="14.45" customHeight="1" x14ac:dyDescent="0.3">
      <c r="A130" s="964" t="s">
        <v>16</v>
      </c>
      <c r="B130" s="15" t="b">
        <f>IF(Paramétrage!$O$46="",FALSE,Paramétrage!$O$46)</f>
        <v>0</v>
      </c>
      <c r="C130" s="263"/>
      <c r="D130" s="16" t="b">
        <f>IF(Paramétrage!$Q$46="",FALSE,Paramétrage!$Q$46)</f>
        <v>0</v>
      </c>
      <c r="E130" s="264"/>
      <c r="F130" s="15" t="b">
        <f>IF(Paramétrage!$R$46="",FALSE,Paramétrage!$R$46)</f>
        <v>0</v>
      </c>
      <c r="G130" s="264"/>
      <c r="H130" s="17" t="b">
        <f>IF(Paramétrage!$T$46="",FALSE,Paramétrage!$T$46)</f>
        <v>0</v>
      </c>
      <c r="I130" s="263"/>
      <c r="J130" s="127" t="b">
        <f>IF(Paramétrage!$U$46="",FALSE,Paramétrage!$U$46)</f>
        <v>0</v>
      </c>
      <c r="K130" s="263"/>
      <c r="L130" s="28" t="b">
        <f>IF(Paramétrage!$W$46="",FALSE,Paramétrage!$W$46)</f>
        <v>0</v>
      </c>
      <c r="M130" s="263"/>
      <c r="N130" s="956">
        <f>IF(OR(B130="aa",B130="cp",B130="f",B130="jc",B130="m",B130="css"),0,(L130-J130)+(H130-F130)+(D130-B130))</f>
        <v>0</v>
      </c>
      <c r="O130" s="956">
        <f>SUM(AM130:AP130)+IF(OR(C130="m",C130="aa"),N130,IF(C130="css",0,IF(C130="cp",0,IF(C130="jc",0,IF(C130="f",0,E130-C130+I130-G130+M130-K130)))))</f>
        <v>0</v>
      </c>
      <c r="P130" s="956">
        <f t="shared" si="350"/>
        <v>0</v>
      </c>
      <c r="Q130" s="956">
        <f t="shared" si="341"/>
        <v>0</v>
      </c>
      <c r="R130" s="957">
        <f>IF(OR(C130="aa",C130="cp",C130="f",C130="jc",C130="m",C130="css"),0,IF(C130=0,MAX(B130,D130,F130,H130,J130,L130)-MIN(B130,D130,F130,H130,J130,L130),IF(C130&lt;&gt;0,MAX(C130,E130,G130,I130,K130,M130)-MIN(C130,E130,G130,I130,K130,M130))))</f>
        <v>0</v>
      </c>
      <c r="S130" s="262"/>
      <c r="T130" s="958" t="str">
        <f t="shared" si="361"/>
        <v/>
      </c>
      <c r="U130" s="959" t="str">
        <f>IF(P130=0,"",IF(P130&lt;Paramétrage!$S$12,"PB",IF(AND(Q130&lt;Paramétrage!$S$12,Q130&lt;&gt;0),"PB","")))</f>
        <v/>
      </c>
      <c r="V130" s="959" t="str">
        <f t="shared" si="344"/>
        <v/>
      </c>
      <c r="W130" s="959" t="str">
        <f t="shared" si="345"/>
        <v/>
      </c>
      <c r="X130" s="960" t="str">
        <f>IF(AND(N130=0,O130=0),"",(IF(OR(C130="aa",C130="cp",C130="f",C130="jc",C130="m",C130="css"),"",IF(C130="",IF(OR(D130-B130&gt;6/24,H130-F130&gt;6/24,L130-J130&gt;6/24),"PB",""),IF(OR(E130-C130&gt;6/24,I130-G130&gt;6/24,M130-K130&gt;6/24),"PB","")))))</f>
        <v/>
      </c>
      <c r="Y130" s="959" t="str">
        <f t="shared" si="347"/>
        <v/>
      </c>
      <c r="Z130" s="836"/>
      <c r="AA130" s="837"/>
      <c r="AC130" s="934">
        <f t="shared" si="351"/>
        <v>42686</v>
      </c>
      <c r="AD130" s="961">
        <f>IF(AND(N(AC130)&gt;=Paramétrage!$AU$11,N(AC130)&lt;=Paramétrage!$AU$12),IF(C130="cp",1,0),0)</f>
        <v>0</v>
      </c>
      <c r="AE130" s="962">
        <f t="shared" si="348"/>
        <v>0</v>
      </c>
      <c r="AF130" s="961">
        <f>IF(AND(N(AC130)&gt;=Paramétrage!$AX$11,N(AC130)&lt;=Paramétrage!$AX$12),IF(C130="cp",1,0),0)</f>
        <v>0</v>
      </c>
      <c r="AG130" s="962">
        <f t="shared" si="352"/>
        <v>0</v>
      </c>
      <c r="AI130" s="962">
        <f t="shared" si="353"/>
        <v>0</v>
      </c>
      <c r="AJ130" s="962">
        <f t="shared" si="354"/>
        <v>0</v>
      </c>
      <c r="AM130" s="962">
        <f t="shared" si="355"/>
        <v>0</v>
      </c>
      <c r="AN130" s="962">
        <f t="shared" si="356"/>
        <v>0</v>
      </c>
      <c r="AO130" s="962">
        <f t="shared" si="357"/>
        <v>0</v>
      </c>
      <c r="AP130" s="962">
        <f t="shared" si="358"/>
        <v>0</v>
      </c>
      <c r="AR130" s="917">
        <f>IF(AND(AC130&lt;=$AR$3,B130="CP"),1,0)</f>
        <v>0</v>
      </c>
      <c r="AS130" s="917">
        <f>IF(AND(AC130&lt;=$AR$3,C130="CP"),1,0)</f>
        <v>0</v>
      </c>
      <c r="AV130" s="954"/>
      <c r="AW130" s="963">
        <f t="shared" ref="AW130:BF130" si="363">IF(MONTH(AD130)=AW128,AH130,0)</f>
        <v>0</v>
      </c>
      <c r="AX130" s="963">
        <f t="shared" si="363"/>
        <v>0</v>
      </c>
      <c r="AY130" s="963">
        <f t="shared" si="363"/>
        <v>0</v>
      </c>
      <c r="AZ130" s="963">
        <f t="shared" si="363"/>
        <v>0</v>
      </c>
      <c r="BA130" s="963">
        <f t="shared" si="363"/>
        <v>0</v>
      </c>
      <c r="BB130" s="963">
        <f t="shared" si="363"/>
        <v>0</v>
      </c>
      <c r="BC130" s="963">
        <f t="shared" si="363"/>
        <v>0</v>
      </c>
      <c r="BD130" s="963">
        <f t="shared" si="363"/>
        <v>0</v>
      </c>
      <c r="BE130" s="963">
        <f t="shared" si="363"/>
        <v>0</v>
      </c>
      <c r="BF130" s="963">
        <f t="shared" si="363"/>
        <v>0</v>
      </c>
    </row>
    <row r="131" spans="1:58" ht="14.45" customHeight="1" x14ac:dyDescent="0.3">
      <c r="A131" s="964" t="s">
        <v>19</v>
      </c>
      <c r="B131" s="15" t="b">
        <f>IF(Paramétrage!$O$47="",FALSE,Paramétrage!$O$47)</f>
        <v>0</v>
      </c>
      <c r="C131" s="263"/>
      <c r="D131" s="16" t="b">
        <f>IF(Paramétrage!$Q$47="",FALSE,Paramétrage!$Q$47)</f>
        <v>0</v>
      </c>
      <c r="E131" s="264"/>
      <c r="F131" s="15" t="b">
        <f>IF(Paramétrage!$R$47="",FALSE,Paramétrage!$R$47)</f>
        <v>0</v>
      </c>
      <c r="G131" s="264"/>
      <c r="H131" s="17" t="b">
        <f>IF(Paramétrage!$T$47="",FALSE,Paramétrage!$T$47)</f>
        <v>0</v>
      </c>
      <c r="I131" s="263"/>
      <c r="J131" s="127" t="b">
        <f>IF(Paramétrage!$U$47="",FALSE,Paramétrage!$U$47)</f>
        <v>0</v>
      </c>
      <c r="K131" s="263"/>
      <c r="L131" s="28" t="b">
        <f>IF(Paramétrage!$W$47="",FALSE,Paramétrage!$W$47)</f>
        <v>0</v>
      </c>
      <c r="M131" s="263"/>
      <c r="N131" s="956">
        <f>IF(OR(B131="aa",B131="cp",B131="f",B131="jc",B131="m",B131="css"),0,(L131-J131)+(H131-F131)+(D131-B131))</f>
        <v>0</v>
      </c>
      <c r="O131" s="956">
        <f>IF(OR(C131="m",C131="aa"),N131,IF(C131="cp",0,IF(OR(C131="css",C131="jc"),0,IF(C131="f",0,E131-C131+I131-G131+M131-K131))))</f>
        <v>0</v>
      </c>
      <c r="P131" s="956">
        <f t="shared" si="350"/>
        <v>0</v>
      </c>
      <c r="Q131" s="956">
        <f t="shared" si="341"/>
        <v>0</v>
      </c>
      <c r="R131" s="957">
        <f>IF(OR(C131="aa",C131="cp",C131="f",C131="jc",C131="m",C131="css"),0,IF(C131=0,MAX(B131,D131,F131,H131,J131,L131)-MIN(B131,D131,F131,H131,J131,L131),IF(C131&lt;&gt;0,MAX(C131,E131,G131,I131,K131,M131)-MIN(C131,E131,G131,I131,K131,M131))))</f>
        <v>0</v>
      </c>
      <c r="S131" s="262"/>
      <c r="T131" s="958" t="str">
        <f t="shared" si="361"/>
        <v/>
      </c>
      <c r="U131" s="959" t="str">
        <f>IF(P131=0,"",IF(P131&lt;Paramétrage!$S$12,"PB",IF(AND(Q131&lt;Paramétrage!$S$12,Q131&lt;&gt;0),"PB","")))</f>
        <v/>
      </c>
      <c r="V131" s="959" t="str">
        <f t="shared" si="344"/>
        <v/>
      </c>
      <c r="W131" s="959" t="str">
        <f t="shared" si="345"/>
        <v/>
      </c>
      <c r="X131" s="960" t="str">
        <f>IF(AND(N131=0,O131=0),"",(IF(OR(C131="aa",C131="cp",C131="f",C131="jc",C131="m",C131="css"),"",IF(C131="",IF(OR(D131-B131&gt;6/24,H131-F131&gt;6/24,L131-J131&gt;6/24),"PB",""),IF(OR(E131-C131&gt;6/24,I131-G131&gt;6/24,M131-K131&gt;6/24),"PB","")))))</f>
        <v/>
      </c>
      <c r="Y131" s="959" t="str">
        <f t="shared" si="347"/>
        <v/>
      </c>
      <c r="Z131" s="836"/>
      <c r="AA131" s="837"/>
      <c r="AC131" s="934">
        <f t="shared" si="351"/>
        <v>42687</v>
      </c>
      <c r="AD131" s="961">
        <f>IF(AND(N(AC131)&gt;=Paramétrage!$AU$11,N(AC131)&lt;=Paramétrage!$AU$12),IF(C131="cp",1,0),0)</f>
        <v>0</v>
      </c>
      <c r="AE131" s="962">
        <f t="shared" si="348"/>
        <v>0</v>
      </c>
      <c r="AF131" s="961">
        <f>IF(AND(N(AC131)&gt;=Paramétrage!$AX$11,N(AC131)&lt;=Paramétrage!$AX$12),IF(C131="cp",1,0),0)</f>
        <v>0</v>
      </c>
      <c r="AG131" s="962">
        <f t="shared" si="352"/>
        <v>0</v>
      </c>
      <c r="AI131" s="962">
        <f t="shared" si="353"/>
        <v>0</v>
      </c>
      <c r="AJ131" s="962">
        <f t="shared" si="354"/>
        <v>0</v>
      </c>
      <c r="AM131" s="962"/>
      <c r="AN131" s="962"/>
      <c r="AO131" s="962"/>
      <c r="AP131" s="962"/>
      <c r="AV131" s="954"/>
      <c r="AW131" s="963">
        <f t="shared" ref="AW131:BF131" si="364">IF(MONTH(AD131)=AW129,AH131,0)</f>
        <v>0</v>
      </c>
      <c r="AX131" s="963">
        <f t="shared" si="364"/>
        <v>0</v>
      </c>
      <c r="AY131" s="963">
        <f t="shared" si="364"/>
        <v>0</v>
      </c>
      <c r="AZ131" s="963">
        <f t="shared" si="364"/>
        <v>0</v>
      </c>
      <c r="BA131" s="963">
        <f t="shared" si="364"/>
        <v>0</v>
      </c>
      <c r="BB131" s="963">
        <f t="shared" si="364"/>
        <v>0</v>
      </c>
      <c r="BC131" s="963">
        <f t="shared" si="364"/>
        <v>0</v>
      </c>
      <c r="BD131" s="963">
        <f t="shared" si="364"/>
        <v>0</v>
      </c>
      <c r="BE131" s="963">
        <f t="shared" si="364"/>
        <v>0</v>
      </c>
      <c r="BF131" s="963" t="e">
        <f t="shared" si="364"/>
        <v>#VALUE!</v>
      </c>
    </row>
    <row r="132" spans="1:58" ht="14.45" customHeight="1" thickBot="1" x14ac:dyDescent="0.35">
      <c r="A132" s="966" t="s">
        <v>20</v>
      </c>
      <c r="B132" s="15" t="b">
        <f>IF(Paramétrage!$O$48="",FALSE,Paramétrage!$O$48)</f>
        <v>0</v>
      </c>
      <c r="C132" s="263"/>
      <c r="D132" s="16" t="b">
        <f>IF(Paramétrage!$Q$48="",FALSE,Paramétrage!$Q$48)</f>
        <v>0</v>
      </c>
      <c r="E132" s="264"/>
      <c r="F132" s="15" t="b">
        <f>IF(Paramétrage!$R$48="",FALSE,Paramétrage!$R$48)</f>
        <v>0</v>
      </c>
      <c r="G132" s="264"/>
      <c r="H132" s="17" t="b">
        <f>IF(Paramétrage!$T$48="",FALSE,Paramétrage!$T$48)</f>
        <v>0</v>
      </c>
      <c r="I132" s="263"/>
      <c r="J132" s="127" t="b">
        <f>IF(Paramétrage!$U$48="",FALSE,Paramétrage!$U$48)</f>
        <v>0</v>
      </c>
      <c r="K132" s="263"/>
      <c r="L132" s="28" t="b">
        <f>IF(Paramétrage!$W$48="",FALSE,Paramétrage!$W$48)</f>
        <v>0</v>
      </c>
      <c r="M132" s="263"/>
      <c r="N132" s="956">
        <f>IF(OR(B132="aa",B132="m"),M132,IF(B132="cp",0,IF(B132="jc",0,IF(B132="f",0,(D132-B132)*Paramétrage!$S$13+(H132-F132)*Paramétrage!$S$13+(L132-J132)*Paramétrage!$S$13+(D132-B132+H132-F132+L132-J132)))))</f>
        <v>0</v>
      </c>
      <c r="O132" s="956">
        <f>IF(OR(C132="aa",C132="m"),N132,IF(C132="cp",0,IF(C132="jc",0,IF(C132="f",0,(E132-C132)*Paramétrage!$S$13+(I132-G132)*Paramétrage!$S$13+(M132-K132)*Paramétrage!$S$13+(E132-C132+I132-G132+M132-K132)))))</f>
        <v>0</v>
      </c>
      <c r="P132" s="956">
        <f t="shared" si="350"/>
        <v>0</v>
      </c>
      <c r="Q132" s="956">
        <f t="shared" si="341"/>
        <v>0</v>
      </c>
      <c r="R132" s="957">
        <f t="shared" ref="R132" si="365">IF(OR(C132="aa",C132="cp",C132="f",C132="jc",C132="m",C132=0),MAX(B132,D132,F132,H132,J132,L132)-MIN(B132,D132,F132,H132,J132,L132),IF(C132&lt;&gt;0,MAX(C132,E132,G132,I132,K132,M132)-MIN(C132,E132,G132,I132,K132,M132)))</f>
        <v>0</v>
      </c>
      <c r="S132" s="262"/>
      <c r="T132" s="958" t="str">
        <f t="shared" si="361"/>
        <v/>
      </c>
      <c r="U132" s="959" t="str">
        <f>IF(P132=0,"",IF(P132&lt;Paramétrage!$S$12,"PB",IF(AND(Q132&lt;Paramétrage!$S$12,Q132&lt;&gt;0),"PB","")))</f>
        <v/>
      </c>
      <c r="V132" s="959" t="str">
        <f t="shared" si="344"/>
        <v/>
      </c>
      <c r="W132" s="959" t="str">
        <f t="shared" si="345"/>
        <v/>
      </c>
      <c r="X132" s="960" t="str">
        <f t="shared" ref="X132" si="366">IF(AND(N132=0,O132=0),"",(IF(OR(C132="aa",C132="cp",C132="f",C132="jc",C132="m"),"",IF(C132="",IF(OR(D132-B132&gt;6/24,H132-F132&gt;6/24,L132-J132&gt;6/24),"PB",""),IF(OR(E132-C132&gt;6/24,I132-G132&gt;6/24,M132-K132&gt;6/24),"PB","")))))</f>
        <v/>
      </c>
      <c r="Y132" s="959" t="str">
        <f t="shared" si="347"/>
        <v/>
      </c>
      <c r="Z132" s="836"/>
      <c r="AA132" s="837"/>
      <c r="AC132" s="934">
        <f t="shared" si="351"/>
        <v>42688</v>
      </c>
      <c r="AD132" s="961">
        <f>IF(AND(N(AC132)&gt;=Paramétrage!$AU$11,N(AC132)&lt;=Paramétrage!$AU$12),IF(C132="cp",1,0),0)</f>
        <v>0</v>
      </c>
      <c r="AE132" s="962">
        <f t="shared" si="348"/>
        <v>0</v>
      </c>
      <c r="AF132" s="961">
        <f>IF(AND(N(AC132)&gt;=Paramétrage!$AX$11,N(AC132)&lt;=Paramétrage!$AX$12),IF(C132="cp",1,0),0)</f>
        <v>0</v>
      </c>
      <c r="AG132" s="962">
        <f t="shared" si="352"/>
        <v>0</v>
      </c>
      <c r="AI132" s="962">
        <f t="shared" si="353"/>
        <v>0</v>
      </c>
      <c r="AJ132" s="962">
        <f t="shared" si="354"/>
        <v>0</v>
      </c>
      <c r="AM132" s="962"/>
      <c r="AN132" s="962"/>
      <c r="AO132" s="962"/>
      <c r="AP132" s="962"/>
      <c r="AV132" s="954"/>
      <c r="AW132" s="963">
        <f t="shared" ref="AW132:BF132" si="367">IF(MONTH(AD132)=AW130,AH132,0)</f>
        <v>0</v>
      </c>
      <c r="AX132" s="963">
        <f t="shared" si="367"/>
        <v>0</v>
      </c>
      <c r="AY132" s="963">
        <f t="shared" si="367"/>
        <v>0</v>
      </c>
      <c r="AZ132" s="963">
        <f t="shared" si="367"/>
        <v>0</v>
      </c>
      <c r="BA132" s="963">
        <f t="shared" si="367"/>
        <v>0</v>
      </c>
      <c r="BB132" s="963">
        <f t="shared" si="367"/>
        <v>0</v>
      </c>
      <c r="BC132" s="963">
        <f t="shared" si="367"/>
        <v>0</v>
      </c>
      <c r="BD132" s="963">
        <f t="shared" si="367"/>
        <v>0</v>
      </c>
      <c r="BE132" s="963">
        <f t="shared" si="367"/>
        <v>0</v>
      </c>
      <c r="BF132" s="963">
        <f t="shared" si="367"/>
        <v>0</v>
      </c>
    </row>
    <row r="133" spans="1:58" x14ac:dyDescent="0.25">
      <c r="A133" s="969" t="s">
        <v>78</v>
      </c>
      <c r="B133" s="970"/>
      <c r="C133" s="970"/>
      <c r="D133" s="970"/>
      <c r="E133" s="970"/>
      <c r="F133" s="970"/>
      <c r="G133" s="970"/>
      <c r="H133" s="970"/>
      <c r="I133" s="970"/>
      <c r="J133" s="970"/>
      <c r="K133" s="971"/>
      <c r="L133" s="970"/>
      <c r="M133" s="970"/>
      <c r="N133" s="972">
        <f>SUM(N126:N132)</f>
        <v>0</v>
      </c>
      <c r="O133" s="972">
        <f>SUM(O126:O132)</f>
        <v>0</v>
      </c>
      <c r="P133" s="972">
        <f>SUM(P126:P132)</f>
        <v>0</v>
      </c>
      <c r="Q133" s="972">
        <f>SUM(Q126:Q132)</f>
        <v>0</v>
      </c>
      <c r="R133" s="972"/>
      <c r="S133" s="972"/>
      <c r="T133" s="973"/>
      <c r="U133" s="974"/>
      <c r="V133" s="975" t="str">
        <f>IF((O133*24)&gt;48,"PB","")</f>
        <v/>
      </c>
      <c r="W133" s="974"/>
      <c r="X133" s="972"/>
      <c r="Y133" s="974"/>
      <c r="Z133" s="976" t="s">
        <v>59</v>
      </c>
      <c r="AA133" s="977">
        <f>+O133-N133</f>
        <v>0</v>
      </c>
      <c r="AF133" s="961"/>
      <c r="AV133" s="954"/>
      <c r="AW133" s="963">
        <f t="shared" ref="AW133:BF133" si="368">IF(MONTH(AD133)=AW131,AH133,0)</f>
        <v>0</v>
      </c>
      <c r="AX133" s="963">
        <f t="shared" si="368"/>
        <v>0</v>
      </c>
      <c r="AY133" s="963">
        <f t="shared" si="368"/>
        <v>0</v>
      </c>
      <c r="AZ133" s="963">
        <f t="shared" si="368"/>
        <v>0</v>
      </c>
      <c r="BA133" s="963">
        <f t="shared" si="368"/>
        <v>0</v>
      </c>
      <c r="BB133" s="963">
        <f t="shared" si="368"/>
        <v>0</v>
      </c>
      <c r="BC133" s="963">
        <f t="shared" si="368"/>
        <v>0</v>
      </c>
      <c r="BD133" s="963">
        <f t="shared" si="368"/>
        <v>0</v>
      </c>
      <c r="BE133" s="963">
        <f t="shared" si="368"/>
        <v>0</v>
      </c>
      <c r="BF133" s="963" t="e">
        <f t="shared" si="368"/>
        <v>#VALUE!</v>
      </c>
    </row>
    <row r="134" spans="1:58" x14ac:dyDescent="0.25">
      <c r="A134" s="969"/>
      <c r="B134" s="969"/>
      <c r="C134" s="969"/>
      <c r="D134" s="969"/>
      <c r="E134" s="969"/>
      <c r="F134" s="994"/>
      <c r="G134" s="994"/>
      <c r="H134" s="994"/>
      <c r="I134" s="994"/>
      <c r="J134" s="994"/>
      <c r="K134" s="969"/>
      <c r="L134" s="969"/>
      <c r="M134" s="969"/>
      <c r="N134" s="973"/>
      <c r="O134" s="969"/>
      <c r="P134" s="980"/>
      <c r="Q134" s="980"/>
      <c r="R134" s="980"/>
      <c r="S134" s="981"/>
      <c r="T134" s="980"/>
      <c r="U134" s="980"/>
      <c r="V134" s="980"/>
      <c r="W134" s="980"/>
      <c r="X134" s="980"/>
      <c r="Y134" s="980"/>
      <c r="Z134" s="976"/>
      <c r="AA134" s="977"/>
      <c r="AF134" s="961"/>
      <c r="AV134" s="954"/>
      <c r="AW134" s="963">
        <f t="shared" ref="AW134:BF134" si="369">IF(MONTH(AD134)=AW132,AH134,0)</f>
        <v>0</v>
      </c>
      <c r="AX134" s="963">
        <f t="shared" si="369"/>
        <v>0</v>
      </c>
      <c r="AY134" s="963">
        <f t="shared" si="369"/>
        <v>0</v>
      </c>
      <c r="AZ134" s="963">
        <f t="shared" si="369"/>
        <v>0</v>
      </c>
      <c r="BA134" s="963">
        <f t="shared" si="369"/>
        <v>0</v>
      </c>
      <c r="BB134" s="963">
        <f t="shared" si="369"/>
        <v>0</v>
      </c>
      <c r="BC134" s="963">
        <f t="shared" si="369"/>
        <v>0</v>
      </c>
      <c r="BD134" s="963">
        <f t="shared" si="369"/>
        <v>0</v>
      </c>
      <c r="BE134" s="963">
        <f t="shared" si="369"/>
        <v>0</v>
      </c>
      <c r="BF134" s="963">
        <f t="shared" si="369"/>
        <v>0</v>
      </c>
    </row>
    <row r="135" spans="1:58" ht="16.5" x14ac:dyDescent="0.3">
      <c r="A135" s="969"/>
      <c r="B135" s="969"/>
      <c r="C135" s="969"/>
      <c r="D135" s="969"/>
      <c r="E135" s="969"/>
      <c r="F135" s="928">
        <f>+F123+7</f>
        <v>42689</v>
      </c>
      <c r="G135" s="928"/>
      <c r="H135" s="929" t="s">
        <v>58</v>
      </c>
      <c r="I135" s="928">
        <f>+F135+6</f>
        <v>42695</v>
      </c>
      <c r="J135" s="930"/>
      <c r="K135" s="969"/>
      <c r="L135" s="969"/>
      <c r="M135" s="969"/>
      <c r="N135" s="973"/>
      <c r="O135" s="969"/>
      <c r="P135" s="980"/>
      <c r="Q135" s="980"/>
      <c r="R135" s="980"/>
      <c r="S135" s="981"/>
      <c r="T135" s="980"/>
      <c r="U135" s="980"/>
      <c r="V135" s="980"/>
      <c r="W135" s="980"/>
      <c r="X135" s="980"/>
      <c r="Y135" s="980"/>
      <c r="Z135" s="976"/>
      <c r="AA135" s="995"/>
      <c r="AF135" s="961"/>
      <c r="AV135" s="954"/>
      <c r="AW135" s="963">
        <f t="shared" ref="AW135:BF135" si="370">IF(MONTH(AD135)=AW133,AH135,0)</f>
        <v>0</v>
      </c>
      <c r="AX135" s="963">
        <f t="shared" si="370"/>
        <v>0</v>
      </c>
      <c r="AY135" s="963">
        <f t="shared" si="370"/>
        <v>0</v>
      </c>
      <c r="AZ135" s="963">
        <f t="shared" si="370"/>
        <v>0</v>
      </c>
      <c r="BA135" s="963">
        <f t="shared" si="370"/>
        <v>0</v>
      </c>
      <c r="BB135" s="963">
        <f t="shared" si="370"/>
        <v>0</v>
      </c>
      <c r="BC135" s="963">
        <f t="shared" si="370"/>
        <v>0</v>
      </c>
      <c r="BD135" s="963">
        <f t="shared" si="370"/>
        <v>0</v>
      </c>
      <c r="BE135" s="963">
        <f t="shared" si="370"/>
        <v>0</v>
      </c>
      <c r="BF135" s="963" t="e">
        <f t="shared" si="370"/>
        <v>#VALUE!</v>
      </c>
    </row>
    <row r="136" spans="1:58" ht="14.45" customHeight="1" x14ac:dyDescent="0.25">
      <c r="A136" s="994"/>
      <c r="B136" s="938" t="s">
        <v>17</v>
      </c>
      <c r="C136" s="938"/>
      <c r="D136" s="938" t="s">
        <v>18</v>
      </c>
      <c r="E136" s="938"/>
      <c r="F136" s="938" t="s">
        <v>17</v>
      </c>
      <c r="G136" s="938"/>
      <c r="H136" s="938" t="s">
        <v>18</v>
      </c>
      <c r="I136" s="938"/>
      <c r="J136" s="938" t="s">
        <v>17</v>
      </c>
      <c r="K136" s="938"/>
      <c r="L136" s="938" t="s">
        <v>18</v>
      </c>
      <c r="M136" s="938"/>
      <c r="N136" s="939" t="s">
        <v>61</v>
      </c>
      <c r="O136" s="939" t="s">
        <v>62</v>
      </c>
      <c r="P136" s="939" t="s">
        <v>60</v>
      </c>
      <c r="Q136" s="939" t="s">
        <v>63</v>
      </c>
      <c r="R136" s="939" t="s">
        <v>64</v>
      </c>
      <c r="S136" s="940" t="s">
        <v>223</v>
      </c>
      <c r="T136" s="939" t="s">
        <v>70</v>
      </c>
      <c r="U136" s="941" t="s">
        <v>65</v>
      </c>
      <c r="V136" s="942"/>
      <c r="W136" s="942"/>
      <c r="X136" s="942"/>
      <c r="Y136" s="943"/>
      <c r="Z136" s="944" t="s">
        <v>22</v>
      </c>
      <c r="AA136" s="944"/>
      <c r="AF136" s="961"/>
      <c r="AV136" s="954"/>
      <c r="AW136" s="963">
        <f t="shared" ref="AW136:BF136" si="371">IF(MONTH(AD136)=AW134,AH136,0)</f>
        <v>0</v>
      </c>
      <c r="AX136" s="963">
        <f t="shared" si="371"/>
        <v>0</v>
      </c>
      <c r="AY136" s="963">
        <f t="shared" si="371"/>
        <v>0</v>
      </c>
      <c r="AZ136" s="963">
        <f t="shared" si="371"/>
        <v>0</v>
      </c>
      <c r="BA136" s="963">
        <f t="shared" si="371"/>
        <v>0</v>
      </c>
      <c r="BB136" s="963">
        <f t="shared" si="371"/>
        <v>0</v>
      </c>
      <c r="BC136" s="963">
        <f t="shared" si="371"/>
        <v>0</v>
      </c>
      <c r="BD136" s="963">
        <f t="shared" si="371"/>
        <v>0</v>
      </c>
      <c r="BE136" s="963">
        <f t="shared" si="371"/>
        <v>0</v>
      </c>
      <c r="BF136" s="963">
        <f t="shared" si="371"/>
        <v>0</v>
      </c>
    </row>
    <row r="137" spans="1:58" ht="26.25" thickBot="1" x14ac:dyDescent="0.4">
      <c r="A137" s="937" t="str">
        <f>"S"&amp;_xlfn.ISOWEEKNUM(F135)</f>
        <v>S47</v>
      </c>
      <c r="B137" s="949" t="s">
        <v>0</v>
      </c>
      <c r="C137" s="950" t="s">
        <v>1</v>
      </c>
      <c r="D137" s="949" t="s">
        <v>0</v>
      </c>
      <c r="E137" s="950" t="s">
        <v>1</v>
      </c>
      <c r="F137" s="949" t="s">
        <v>0</v>
      </c>
      <c r="G137" s="950" t="s">
        <v>1</v>
      </c>
      <c r="H137" s="949" t="s">
        <v>0</v>
      </c>
      <c r="I137" s="950" t="s">
        <v>1</v>
      </c>
      <c r="J137" s="949" t="s">
        <v>0</v>
      </c>
      <c r="K137" s="950" t="s">
        <v>1</v>
      </c>
      <c r="L137" s="949" t="s">
        <v>0</v>
      </c>
      <c r="M137" s="950" t="s">
        <v>1</v>
      </c>
      <c r="N137" s="951"/>
      <c r="O137" s="951"/>
      <c r="P137" s="951"/>
      <c r="Q137" s="951"/>
      <c r="R137" s="951"/>
      <c r="S137" s="951"/>
      <c r="T137" s="939"/>
      <c r="U137" s="952" t="s">
        <v>66</v>
      </c>
      <c r="V137" s="952" t="s">
        <v>67</v>
      </c>
      <c r="W137" s="952" t="s">
        <v>68</v>
      </c>
      <c r="X137" s="952" t="s">
        <v>137</v>
      </c>
      <c r="Y137" s="952" t="s">
        <v>69</v>
      </c>
      <c r="Z137" s="944"/>
      <c r="AA137" s="944"/>
      <c r="AF137" s="961"/>
      <c r="AM137" s="917" t="s">
        <v>274</v>
      </c>
      <c r="AV137" s="954"/>
      <c r="AW137" s="963">
        <f t="shared" ref="AW137:BF137" si="372">IF(MONTH(AD137)=AW135,AH137,0)</f>
        <v>0</v>
      </c>
      <c r="AX137" s="963">
        <f t="shared" si="372"/>
        <v>0</v>
      </c>
      <c r="AY137" s="963">
        <f t="shared" si="372"/>
        <v>0</v>
      </c>
      <c r="AZ137" s="963">
        <f t="shared" si="372"/>
        <v>0</v>
      </c>
      <c r="BA137" s="963">
        <f t="shared" si="372"/>
        <v>0</v>
      </c>
      <c r="BB137" s="963">
        <f t="shared" si="372"/>
        <v>0</v>
      </c>
      <c r="BC137" s="963">
        <f t="shared" si="372"/>
        <v>0</v>
      </c>
      <c r="BD137" s="963">
        <f t="shared" si="372"/>
        <v>0</v>
      </c>
      <c r="BE137" s="963">
        <f t="shared" si="372"/>
        <v>0</v>
      </c>
      <c r="BF137" s="963" t="e">
        <f t="shared" si="372"/>
        <v>#VALUE!</v>
      </c>
    </row>
    <row r="138" spans="1:58" ht="14.45" customHeight="1" x14ac:dyDescent="0.3">
      <c r="A138" s="955" t="s">
        <v>12</v>
      </c>
      <c r="B138" s="15" t="b">
        <f>IF(Paramétrage!$O$42="",FALSE,Paramétrage!$O$42)</f>
        <v>0</v>
      </c>
      <c r="C138" s="263"/>
      <c r="D138" s="16" t="b">
        <f>IF(Paramétrage!$Q$42="",FALSE,Paramétrage!$Q$42)</f>
        <v>0</v>
      </c>
      <c r="E138" s="264"/>
      <c r="F138" s="15" t="b">
        <f>IF(Paramétrage!$R$42="",FALSE,Paramétrage!$R$42)</f>
        <v>0</v>
      </c>
      <c r="G138" s="264"/>
      <c r="H138" s="17" t="b">
        <f>IF(Paramétrage!$T$42="",FALSE,Paramétrage!$T$42)</f>
        <v>0</v>
      </c>
      <c r="I138" s="263"/>
      <c r="J138" s="127" t="b">
        <f>IF(Paramétrage!$U$42="",FALSE,Paramétrage!$U$42)</f>
        <v>0</v>
      </c>
      <c r="K138" s="263"/>
      <c r="L138" s="28" t="b">
        <f>IF(Paramétrage!$W$42="",FALSE,Paramétrage!$W$42)</f>
        <v>0</v>
      </c>
      <c r="M138" s="263"/>
      <c r="N138" s="956">
        <f t="shared" ref="N138:N140" si="373">IF(OR(B138="aa",B138="cp",B138="f",B138="jc",B138="m",B138="css"),0,(L138-J138)+(H138-F138)+(D138-B138))</f>
        <v>0</v>
      </c>
      <c r="O138" s="956">
        <f t="shared" ref="O138:O140" si="374">SUM(AM138:AP138)+IF(OR(C138="m",C138="aa"),N138,IF(C138="css",0,IF(C138="cp",0,IF(C138="jc",0,IF(C138="f",0,E138-C138+I138-G138+M138-K138)))))</f>
        <v>0</v>
      </c>
      <c r="P138" s="956">
        <f>IF(OR(C138="aa",C138="cp",C138="f",C138="jc",C138="m",C138="css"),0,IF(C138="",IF(OR(F138="",F138=FALSE),0,F138-D138),IF(G138="",0,G138-E138)))</f>
        <v>0</v>
      </c>
      <c r="Q138" s="956">
        <f t="shared" ref="Q138:Q144" si="375">IF(P138=0,0,IF(G138="",IF(OR(J138="",J138=FALSE),0,J138-H138),IF(K138="",0,K138-I138)))</f>
        <v>0</v>
      </c>
      <c r="R138" s="957">
        <f t="shared" ref="R138:R140" si="376">IF(OR(C138="aa",C138="cp",C138="f",C138="jc",C138="m",C138="css"),0,IF(C138=0,MAX(B138,D138,F138,H138,J138,L138)-MIN(B138,D138,F138,H138,J138,L138),IF(C138&lt;&gt;0,MAX(C138,E138,G138,I138,K138,M138)-MIN(C138,E138,G138,I138,K138,M138))))</f>
        <v>0</v>
      </c>
      <c r="S138" s="262"/>
      <c r="T138" s="958" t="str">
        <f t="shared" ref="T138:T139" si="377">IF(AND(B138=FALSE,C138=""),"",IF(AND(B138=0,C138=0),"",(IF(OR(C138="cp",C138="f",C138="jc",C138="css"),"",IF(OR(C138="",C138="aa",C138="m"),(IF(OR(B138="cp",B138="f",B138="jc",B138="css"),"",B138*24+24-MAX(D137,H137,L137)*24)),C138*24+24-MAX(M137,I137,E137)*24)))))</f>
        <v/>
      </c>
      <c r="U138" s="959" t="str">
        <f>IF(P138=0,"",IF(P138&lt;Paramétrage!$S$12,"PB",IF(AND(Q138&lt;Paramétrage!$S$12,Q138&lt;&gt;0),"PB","")))</f>
        <v/>
      </c>
      <c r="V138" s="959" t="str">
        <f t="shared" ref="V138:V144" si="378">IF(C138="",IF((N138*24)&gt;10,"PB",""),IF((O138*24)&gt;10,"PB",""))</f>
        <v/>
      </c>
      <c r="W138" s="959" t="str">
        <f t="shared" ref="W138:W144" si="379">IF((R138*24)&gt;12,"PB","")</f>
        <v/>
      </c>
      <c r="X138" s="960" t="str">
        <f t="shared" ref="X138:X140" si="380">IF(AND(N138=0,O138=0),"",(IF(OR(C138="aa",C138="cp",C138="f",C138="jc",C138="m",C138="css"),"",IF(C138="",IF(OR(D138-B138&gt;6/24,H138-F138&gt;6/24,L138-J138&gt;6/24),"PB",""),IF(OR(E138-C138&gt;6/24,I138-G138&gt;6/24,M138-K138&gt;6/24),"PB","")))))</f>
        <v/>
      </c>
      <c r="Y138" s="959" t="str">
        <f t="shared" ref="Y138:Y144" si="381">IF(T138="","",IF(T138&lt;11,"PB",""))</f>
        <v/>
      </c>
      <c r="Z138" s="836"/>
      <c r="AA138" s="837"/>
      <c r="AC138" s="934">
        <f>AC132+1</f>
        <v>42689</v>
      </c>
      <c r="AD138" s="961">
        <f>IF(AND(N(AC138)&gt;=Paramétrage!$AU$11,N(AC138)&lt;=Paramétrage!$AU$12),IF(C138="cp",1,0),0)</f>
        <v>0</v>
      </c>
      <c r="AE138" s="962">
        <f t="shared" ref="AE138:AE143" si="382">N138</f>
        <v>0</v>
      </c>
      <c r="AF138" s="961">
        <f>IF(AND(N(AC138)&gt;=Paramétrage!$AX$11,N(AC138)&lt;=Paramétrage!$AX$12),IF(C138="cp",1,0),0)</f>
        <v>0</v>
      </c>
      <c r="AG138" s="962">
        <f t="shared" ref="AG138:AG144" si="383">O138</f>
        <v>0</v>
      </c>
      <c r="AI138" s="962">
        <f>AE138+AI132</f>
        <v>0</v>
      </c>
      <c r="AJ138" s="962">
        <f>AG138+AJ132</f>
        <v>0</v>
      </c>
      <c r="AM138" s="962">
        <f>IF(AND($B138="cp",$C138="m"),$Z138,0)</f>
        <v>0</v>
      </c>
      <c r="AN138" s="962">
        <f>IF(AND($B138="jc",$C138="m"),$Z138,0)</f>
        <v>0</v>
      </c>
      <c r="AO138" s="962">
        <f>IF(AND($B138="cp",$C138="aa"),$Z138,0)</f>
        <v>0</v>
      </c>
      <c r="AP138" s="962">
        <f>IF(AND($B138="jc",$C138="aa"),$Z138,0)</f>
        <v>0</v>
      </c>
      <c r="AR138" s="917">
        <f>IF(AND(AC138&lt;=$AR$3,B138="CP"),1,0)</f>
        <v>0</v>
      </c>
      <c r="AS138" s="917">
        <f>IF(AND(AC138&lt;=$AR$3,C138="CP"),1,0)</f>
        <v>0</v>
      </c>
      <c r="AV138" s="954"/>
      <c r="AW138" s="963">
        <f t="shared" ref="AW138:BF138" si="384">IF(MONTH(AD138)=AW136,AH138,0)</f>
        <v>0</v>
      </c>
      <c r="AX138" s="963">
        <f t="shared" si="384"/>
        <v>0</v>
      </c>
      <c r="AY138" s="963">
        <f t="shared" si="384"/>
        <v>0</v>
      </c>
      <c r="AZ138" s="963">
        <f t="shared" si="384"/>
        <v>0</v>
      </c>
      <c r="BA138" s="963">
        <f t="shared" si="384"/>
        <v>0</v>
      </c>
      <c r="BB138" s="963">
        <f t="shared" si="384"/>
        <v>0</v>
      </c>
      <c r="BC138" s="963">
        <f t="shared" si="384"/>
        <v>0</v>
      </c>
      <c r="BD138" s="963">
        <f t="shared" si="384"/>
        <v>0</v>
      </c>
      <c r="BE138" s="963">
        <f t="shared" si="384"/>
        <v>0</v>
      </c>
      <c r="BF138" s="963">
        <f t="shared" si="384"/>
        <v>0</v>
      </c>
    </row>
    <row r="139" spans="1:58" ht="14.45" customHeight="1" x14ac:dyDescent="0.3">
      <c r="A139" s="964" t="s">
        <v>13</v>
      </c>
      <c r="B139" s="15" t="b">
        <f>IF(Paramétrage!$O$43="",FALSE,Paramétrage!$O$43)</f>
        <v>0</v>
      </c>
      <c r="C139" s="263"/>
      <c r="D139" s="16" t="b">
        <f>IF(Paramétrage!$Q$43="",FALSE,Paramétrage!$Q$43)</f>
        <v>0</v>
      </c>
      <c r="E139" s="264"/>
      <c r="F139" s="15" t="b">
        <f>IF(Paramétrage!$R$43="",FALSE,Paramétrage!$R$43)</f>
        <v>0</v>
      </c>
      <c r="G139" s="264"/>
      <c r="H139" s="17" t="b">
        <f>IF(Paramétrage!$T$43="",FALSE,Paramétrage!$T$43)</f>
        <v>0</v>
      </c>
      <c r="I139" s="263"/>
      <c r="J139" s="127" t="b">
        <f>IF(Paramétrage!$U$43="",FALSE,Paramétrage!$U$43)</f>
        <v>0</v>
      </c>
      <c r="K139" s="263"/>
      <c r="L139" s="28" t="b">
        <f>IF(Paramétrage!$W$43="",FALSE,Paramétrage!$W$43)</f>
        <v>0</v>
      </c>
      <c r="M139" s="263"/>
      <c r="N139" s="956">
        <f t="shared" si="373"/>
        <v>0</v>
      </c>
      <c r="O139" s="956">
        <f t="shared" si="374"/>
        <v>0</v>
      </c>
      <c r="P139" s="956">
        <f t="shared" ref="P139:P144" si="385">IF(OR(C139="aa",C139="cp",C139="f",C139="jc",C139="m",C139="css"),0,IF(C139="",IF(OR(F139="",F139=FALSE),0,F139-D139),IF(G139="",0,G139-E139)))</f>
        <v>0</v>
      </c>
      <c r="Q139" s="956">
        <f t="shared" si="375"/>
        <v>0</v>
      </c>
      <c r="R139" s="957">
        <f t="shared" si="376"/>
        <v>0</v>
      </c>
      <c r="S139" s="262"/>
      <c r="T139" s="958" t="str">
        <f t="shared" si="377"/>
        <v/>
      </c>
      <c r="U139" s="959" t="str">
        <f>IF(P139=0,"",IF(P139&lt;Paramétrage!$S$12,"PB",IF(AND(Q139&lt;Paramétrage!$S$12,Q139&lt;&gt;0),"PB","")))</f>
        <v/>
      </c>
      <c r="V139" s="959" t="str">
        <f t="shared" si="378"/>
        <v/>
      </c>
      <c r="W139" s="959" t="str">
        <f t="shared" si="379"/>
        <v/>
      </c>
      <c r="X139" s="960" t="str">
        <f t="shared" si="380"/>
        <v/>
      </c>
      <c r="Y139" s="959" t="str">
        <f t="shared" si="381"/>
        <v/>
      </c>
      <c r="Z139" s="836"/>
      <c r="AA139" s="837"/>
      <c r="AC139" s="934">
        <f t="shared" ref="AC139:AC144" si="386">AC138+1</f>
        <v>42690</v>
      </c>
      <c r="AD139" s="961">
        <f>IF(AND(N(AC139)&gt;=Paramétrage!$AU$11,N(AC139)&lt;=Paramétrage!$AU$12),IF(C139="cp",1,0),0)</f>
        <v>0</v>
      </c>
      <c r="AE139" s="962">
        <f t="shared" si="382"/>
        <v>0</v>
      </c>
      <c r="AF139" s="961">
        <f>IF(AND(N(AC139)&gt;=Paramétrage!$AX$11,N(AC139)&lt;=Paramétrage!$AX$12),IF(C139="cp",1,0),0)</f>
        <v>0</v>
      </c>
      <c r="AG139" s="962">
        <f t="shared" si="383"/>
        <v>0</v>
      </c>
      <c r="AI139" s="962">
        <f t="shared" ref="AI139:AI144" si="387">AE139+AI138</f>
        <v>0</v>
      </c>
      <c r="AJ139" s="962">
        <f t="shared" ref="AJ139:AJ144" si="388">AG139+AJ138</f>
        <v>0</v>
      </c>
      <c r="AM139" s="962">
        <f t="shared" ref="AM139:AM142" si="389">IF(AND($B139="cp",$C139="m"),$Z139,0)</f>
        <v>0</v>
      </c>
      <c r="AN139" s="962">
        <f t="shared" ref="AN139:AN142" si="390">IF(AND($B139="jc",$C139="m"),$Z139,0)</f>
        <v>0</v>
      </c>
      <c r="AO139" s="962">
        <f t="shared" ref="AO139:AO142" si="391">IF(AND($B139="cp",$C139="aa"),$Z139,0)</f>
        <v>0</v>
      </c>
      <c r="AP139" s="962">
        <f t="shared" ref="AP139:AP142" si="392">IF(AND($B139="jc",$C139="aa"),$Z139,0)</f>
        <v>0</v>
      </c>
      <c r="AR139" s="917">
        <f>IF(AND(AC139&lt;=$AR$3,B139="CP"),1,0)</f>
        <v>0</v>
      </c>
      <c r="AS139" s="917">
        <f>IF(AND(AC139&lt;=$AR$3,C139="CP"),1,0)</f>
        <v>0</v>
      </c>
      <c r="AV139" s="954"/>
      <c r="AW139" s="963">
        <f t="shared" ref="AW139:BF139" si="393">IF(MONTH(AD139)=AW137,AH139,0)</f>
        <v>0</v>
      </c>
      <c r="AX139" s="963">
        <f t="shared" si="393"/>
        <v>0</v>
      </c>
      <c r="AY139" s="963">
        <f t="shared" si="393"/>
        <v>0</v>
      </c>
      <c r="AZ139" s="963">
        <f t="shared" si="393"/>
        <v>0</v>
      </c>
      <c r="BA139" s="963">
        <f t="shared" si="393"/>
        <v>0</v>
      </c>
      <c r="BB139" s="963">
        <f t="shared" si="393"/>
        <v>0</v>
      </c>
      <c r="BC139" s="963">
        <f t="shared" si="393"/>
        <v>0</v>
      </c>
      <c r="BD139" s="963">
        <f t="shared" si="393"/>
        <v>0</v>
      </c>
      <c r="BE139" s="963">
        <f t="shared" si="393"/>
        <v>0</v>
      </c>
      <c r="BF139" s="963" t="e">
        <f t="shared" si="393"/>
        <v>#VALUE!</v>
      </c>
    </row>
    <row r="140" spans="1:58" ht="14.45" customHeight="1" x14ac:dyDescent="0.3">
      <c r="A140" s="964" t="s">
        <v>14</v>
      </c>
      <c r="B140" s="15" t="b">
        <f>IF(Paramétrage!$O$44="",FALSE,Paramétrage!$O$44)</f>
        <v>0</v>
      </c>
      <c r="C140" s="263"/>
      <c r="D140" s="16" t="b">
        <f>IF(Paramétrage!$Q$44="",FALSE,Paramétrage!$Q$44)</f>
        <v>0</v>
      </c>
      <c r="E140" s="264"/>
      <c r="F140" s="15" t="b">
        <f>IF(Paramétrage!$R$44="",FALSE,Paramétrage!$R$44)</f>
        <v>0</v>
      </c>
      <c r="G140" s="264"/>
      <c r="H140" s="17" t="b">
        <f>IF(Paramétrage!$T$44="",FALSE,Paramétrage!$T$44)</f>
        <v>0</v>
      </c>
      <c r="I140" s="263"/>
      <c r="J140" s="127" t="b">
        <f>IF(Paramétrage!$U$44="",FALSE,Paramétrage!$U$44)</f>
        <v>0</v>
      </c>
      <c r="K140" s="263"/>
      <c r="L140" s="28" t="b">
        <f>IF(Paramétrage!$W$44="",FALSE,Paramétrage!$W$44)</f>
        <v>0</v>
      </c>
      <c r="M140" s="263"/>
      <c r="N140" s="956">
        <f t="shared" si="373"/>
        <v>0</v>
      </c>
      <c r="O140" s="956">
        <f t="shared" si="374"/>
        <v>0</v>
      </c>
      <c r="P140" s="956">
        <f t="shared" si="385"/>
        <v>0</v>
      </c>
      <c r="Q140" s="956">
        <f t="shared" si="375"/>
        <v>0</v>
      </c>
      <c r="R140" s="957">
        <f t="shared" si="376"/>
        <v>0</v>
      </c>
      <c r="S140" s="262"/>
      <c r="T140" s="958" t="str">
        <f>IF(AND(B140=FALSE,C140=""),"",IF(AND(B140=0,C140=0),"",(IF(OR(C140="cp",C140="f",C140="jc",C140="css"),"",IF(OR(C140="",C140="aa",C140="m"),(IF(OR(B140="cp",B140="f",B140="jc",B140="css"),"",B140*24+24-MAX(D139,H139,L139)*24)),C140*24+24-MAX(M139,I139,E139)*24)))))</f>
        <v/>
      </c>
      <c r="U140" s="959" t="str">
        <f>IF(P140=0,"",IF(P140&lt;Paramétrage!$S$12,"PB",IF(AND(Q140&lt;Paramétrage!$S$12,Q140&lt;&gt;0),"PB","")))</f>
        <v/>
      </c>
      <c r="V140" s="959" t="str">
        <f t="shared" si="378"/>
        <v/>
      </c>
      <c r="W140" s="959" t="str">
        <f t="shared" si="379"/>
        <v/>
      </c>
      <c r="X140" s="960" t="str">
        <f t="shared" si="380"/>
        <v/>
      </c>
      <c r="Y140" s="959" t="str">
        <f t="shared" si="381"/>
        <v/>
      </c>
      <c r="Z140" s="836"/>
      <c r="AA140" s="837"/>
      <c r="AC140" s="934">
        <f t="shared" si="386"/>
        <v>42691</v>
      </c>
      <c r="AD140" s="961">
        <f>IF(AND(N(AC140)&gt;=Paramétrage!$AU$11,N(AC140)&lt;=Paramétrage!$AU$12),IF(C140="cp",1,0),0)</f>
        <v>0</v>
      </c>
      <c r="AE140" s="962">
        <f t="shared" si="382"/>
        <v>0</v>
      </c>
      <c r="AF140" s="961">
        <f>IF(AND(N(AC140)&gt;=Paramétrage!$AX$11,N(AC140)&lt;=Paramétrage!$AX$12),IF(C140="cp",1,0),0)</f>
        <v>0</v>
      </c>
      <c r="AG140" s="962">
        <f t="shared" si="383"/>
        <v>0</v>
      </c>
      <c r="AI140" s="962">
        <f t="shared" si="387"/>
        <v>0</v>
      </c>
      <c r="AJ140" s="962">
        <f t="shared" si="388"/>
        <v>0</v>
      </c>
      <c r="AM140" s="962">
        <f t="shared" si="389"/>
        <v>0</v>
      </c>
      <c r="AN140" s="962">
        <f t="shared" si="390"/>
        <v>0</v>
      </c>
      <c r="AO140" s="962">
        <f t="shared" si="391"/>
        <v>0</v>
      </c>
      <c r="AP140" s="962">
        <f t="shared" si="392"/>
        <v>0</v>
      </c>
      <c r="AR140" s="917">
        <f>IF(AND(AC140&lt;=$AR$3,B140="CP"),1,0)</f>
        <v>0</v>
      </c>
      <c r="AS140" s="917">
        <f>IF(AND(AC140&lt;=$AR$3,C140="CP"),1,0)</f>
        <v>0</v>
      </c>
      <c r="AV140" s="954"/>
      <c r="AW140" s="963">
        <f t="shared" ref="AW140:BF140" si="394">IF(MONTH(AD140)=AW138,AH140,0)</f>
        <v>0</v>
      </c>
      <c r="AX140" s="963">
        <f t="shared" si="394"/>
        <v>0</v>
      </c>
      <c r="AY140" s="963">
        <f t="shared" si="394"/>
        <v>0</v>
      </c>
      <c r="AZ140" s="963">
        <f t="shared" si="394"/>
        <v>0</v>
      </c>
      <c r="BA140" s="963">
        <f t="shared" si="394"/>
        <v>0</v>
      </c>
      <c r="BB140" s="963">
        <f t="shared" si="394"/>
        <v>0</v>
      </c>
      <c r="BC140" s="963">
        <f t="shared" si="394"/>
        <v>0</v>
      </c>
      <c r="BD140" s="963">
        <f t="shared" si="394"/>
        <v>0</v>
      </c>
      <c r="BE140" s="963">
        <f t="shared" si="394"/>
        <v>0</v>
      </c>
      <c r="BF140" s="963">
        <f t="shared" si="394"/>
        <v>0</v>
      </c>
    </row>
    <row r="141" spans="1:58" ht="14.45" customHeight="1" x14ac:dyDescent="0.3">
      <c r="A141" s="964" t="s">
        <v>15</v>
      </c>
      <c r="B141" s="15" t="b">
        <f>IF(Paramétrage!$O$45="",FALSE,Paramétrage!$O$45)</f>
        <v>0</v>
      </c>
      <c r="C141" s="263"/>
      <c r="D141" s="16" t="b">
        <f>IF(Paramétrage!$Q$45="",FALSE,Paramétrage!$Q$45)</f>
        <v>0</v>
      </c>
      <c r="E141" s="264"/>
      <c r="F141" s="15" t="b">
        <f>IF(Paramétrage!$R$45="",FALSE,Paramétrage!$R$45)</f>
        <v>0</v>
      </c>
      <c r="G141" s="264"/>
      <c r="H141" s="17" t="b">
        <f>IF(Paramétrage!$T$45="",FALSE,Paramétrage!$T$45)</f>
        <v>0</v>
      </c>
      <c r="I141" s="263"/>
      <c r="J141" s="127" t="b">
        <f>IF(Paramétrage!$U$45="",FALSE,Paramétrage!$U$45)</f>
        <v>0</v>
      </c>
      <c r="K141" s="263"/>
      <c r="L141" s="28" t="b">
        <f>IF(Paramétrage!$W$45="",FALSE,Paramétrage!$W$45)</f>
        <v>0</v>
      </c>
      <c r="M141" s="263"/>
      <c r="N141" s="956">
        <f>IF(OR(B141="aa",B141="cp",B141="f",B141="jc",B141="m",B141="css"),0,(L141-J141)+(H141-F141)+(D141-B141))</f>
        <v>0</v>
      </c>
      <c r="O141" s="956">
        <f>SUM(AM141:AP141)+IF(OR(C141="m",C141="aa"),N141,IF(C141="css",0,IF(C141="cp",0,IF(C141="jc",0,IF(C141="f",0,E141-C141+I141-G141+M141-K141)))))</f>
        <v>0</v>
      </c>
      <c r="P141" s="956">
        <f t="shared" si="385"/>
        <v>0</v>
      </c>
      <c r="Q141" s="956">
        <f t="shared" si="375"/>
        <v>0</v>
      </c>
      <c r="R141" s="957">
        <f>IF(OR(C141="aa",C141="cp",C141="f",C141="jc",C141="m",C141="css"),0,IF(C141=0,MAX(B141,D141,F141,H141,J141,L141)-MIN(B141,D141,F141,H141,J141,L141),IF(C141&lt;&gt;0,MAX(C141,E141,G141,I141,K141,M141)-MIN(C141,E141,G141,I141,K141,M141))))</f>
        <v>0</v>
      </c>
      <c r="S141" s="262"/>
      <c r="T141" s="958" t="str">
        <f t="shared" ref="T141:T144" si="395">IF(AND(B141=FALSE,C141=""),"",IF(AND(B141=0,C141=0),"",(IF(OR(C141="cp",C141="f",C141="jc",C141="css"),"",IF(OR(C141="",C141="aa",C141="m"),(IF(OR(B141="cp",B141="f",B141="jc",B141="css"),"",B141*24+24-MAX(D140,H140,L140)*24)),C141*24+24-MAX(M140,I140,E140)*24)))))</f>
        <v/>
      </c>
      <c r="U141" s="959" t="str">
        <f>IF(P141=0,"",IF(P141&lt;Paramétrage!$S$12,"PB",IF(AND(Q141&lt;Paramétrage!$S$12,Q141&lt;&gt;0),"PB","")))</f>
        <v/>
      </c>
      <c r="V141" s="959" t="str">
        <f t="shared" si="378"/>
        <v/>
      </c>
      <c r="W141" s="959" t="str">
        <f t="shared" si="379"/>
        <v/>
      </c>
      <c r="X141" s="960" t="str">
        <f>IF(AND(N141=0,O141=0),"",(IF(OR(C141="aa",C141="cp",C141="f",C141="jc",C141="m",C141="css"),"",IF(C141="",IF(OR(D141-B141&gt;6/24,H141-F141&gt;6/24,L141-J141&gt;6/24),"PB",""),IF(OR(E141-C141&gt;6/24,I141-G141&gt;6/24,M141-K141&gt;6/24),"PB","")))))</f>
        <v/>
      </c>
      <c r="Y141" s="959" t="str">
        <f t="shared" si="381"/>
        <v/>
      </c>
      <c r="Z141" s="836"/>
      <c r="AA141" s="837"/>
      <c r="AB141" s="967"/>
      <c r="AC141" s="934">
        <f t="shared" si="386"/>
        <v>42692</v>
      </c>
      <c r="AD141" s="961">
        <f>IF(AND(N(AC141)&gt;=Paramétrage!$AU$11,N(AC141)&lt;=Paramétrage!$AU$12),IF(C141="cp",1,0),0)</f>
        <v>0</v>
      </c>
      <c r="AE141" s="962">
        <f t="shared" si="382"/>
        <v>0</v>
      </c>
      <c r="AF141" s="961">
        <f>IF(AND(N(AC141)&gt;=Paramétrage!$AX$11,N(AC141)&lt;=Paramétrage!$AX$12),IF(C141="cp",1,0),0)</f>
        <v>0</v>
      </c>
      <c r="AG141" s="962">
        <f t="shared" si="383"/>
        <v>0</v>
      </c>
      <c r="AI141" s="962">
        <f t="shared" si="387"/>
        <v>0</v>
      </c>
      <c r="AJ141" s="962">
        <f t="shared" si="388"/>
        <v>0</v>
      </c>
      <c r="AM141" s="962">
        <f t="shared" si="389"/>
        <v>0</v>
      </c>
      <c r="AN141" s="962">
        <f t="shared" si="390"/>
        <v>0</v>
      </c>
      <c r="AO141" s="962">
        <f t="shared" si="391"/>
        <v>0</v>
      </c>
      <c r="AP141" s="962">
        <f t="shared" si="392"/>
        <v>0</v>
      </c>
      <c r="AR141" s="917">
        <f>IF(AND(AC141&lt;=$AR$3,B141="CP"),1,0)</f>
        <v>0</v>
      </c>
      <c r="AS141" s="917">
        <f>IF(AND(AC141&lt;=$AR$3,C141="CP"),1,0)</f>
        <v>0</v>
      </c>
      <c r="AV141" s="954"/>
      <c r="AW141" s="963">
        <f t="shared" ref="AW141:BF141" si="396">IF(MONTH(AD141)=AW139,AH141,0)</f>
        <v>0</v>
      </c>
      <c r="AX141" s="963">
        <f t="shared" si="396"/>
        <v>0</v>
      </c>
      <c r="AY141" s="963">
        <f t="shared" si="396"/>
        <v>0</v>
      </c>
      <c r="AZ141" s="963">
        <f t="shared" si="396"/>
        <v>0</v>
      </c>
      <c r="BA141" s="963">
        <f t="shared" si="396"/>
        <v>0</v>
      </c>
      <c r="BB141" s="963">
        <f t="shared" si="396"/>
        <v>0</v>
      </c>
      <c r="BC141" s="963">
        <f t="shared" si="396"/>
        <v>0</v>
      </c>
      <c r="BD141" s="963">
        <f t="shared" si="396"/>
        <v>0</v>
      </c>
      <c r="BE141" s="963">
        <f t="shared" si="396"/>
        <v>0</v>
      </c>
      <c r="BF141" s="963" t="e">
        <f t="shared" si="396"/>
        <v>#VALUE!</v>
      </c>
    </row>
    <row r="142" spans="1:58" ht="14.45" customHeight="1" x14ac:dyDescent="0.3">
      <c r="A142" s="964" t="s">
        <v>16</v>
      </c>
      <c r="B142" s="15" t="b">
        <f>IF(Paramétrage!$O$46="",FALSE,Paramétrage!$O$46)</f>
        <v>0</v>
      </c>
      <c r="C142" s="263"/>
      <c r="D142" s="16" t="b">
        <f>IF(Paramétrage!$Q$46="",FALSE,Paramétrage!$Q$46)</f>
        <v>0</v>
      </c>
      <c r="E142" s="264"/>
      <c r="F142" s="15" t="b">
        <f>IF(Paramétrage!$R$46="",FALSE,Paramétrage!$R$46)</f>
        <v>0</v>
      </c>
      <c r="G142" s="264"/>
      <c r="H142" s="17" t="b">
        <f>IF(Paramétrage!$T$46="",FALSE,Paramétrage!$T$46)</f>
        <v>0</v>
      </c>
      <c r="I142" s="263"/>
      <c r="J142" s="127" t="b">
        <f>IF(Paramétrage!$U$46="",FALSE,Paramétrage!$U$46)</f>
        <v>0</v>
      </c>
      <c r="K142" s="263"/>
      <c r="L142" s="28" t="b">
        <f>IF(Paramétrage!$W$46="",FALSE,Paramétrage!$W$46)</f>
        <v>0</v>
      </c>
      <c r="M142" s="263"/>
      <c r="N142" s="956">
        <f>IF(OR(B142="aa",B142="cp",B142="f",B142="jc",B142="m",B142="css"),0,(L142-J142)+(H142-F142)+(D142-B142))</f>
        <v>0</v>
      </c>
      <c r="O142" s="956">
        <f>SUM(AM142:AP142)+IF(OR(C142="m",C142="aa"),N142,IF(C142="css",0,IF(C142="cp",0,IF(C142="jc",0,IF(C142="f",0,E142-C142+I142-G142+M142-K142)))))</f>
        <v>0</v>
      </c>
      <c r="P142" s="956">
        <f t="shared" si="385"/>
        <v>0</v>
      </c>
      <c r="Q142" s="956">
        <f t="shared" si="375"/>
        <v>0</v>
      </c>
      <c r="R142" s="957">
        <f>IF(OR(C142="aa",C142="cp",C142="f",C142="jc",C142="m",C142="css"),0,IF(C142=0,MAX(B142,D142,F142,H142,J142,L142)-MIN(B142,D142,F142,H142,J142,L142),IF(C142&lt;&gt;0,MAX(C142,E142,G142,I142,K142,M142)-MIN(C142,E142,G142,I142,K142,M142))))</f>
        <v>0</v>
      </c>
      <c r="S142" s="262"/>
      <c r="T142" s="958" t="str">
        <f t="shared" si="395"/>
        <v/>
      </c>
      <c r="U142" s="959" t="str">
        <f>IF(P142=0,"",IF(P142&lt;Paramétrage!$S$12,"PB",IF(AND(Q142&lt;Paramétrage!$S$12,Q142&lt;&gt;0),"PB","")))</f>
        <v/>
      </c>
      <c r="V142" s="959" t="str">
        <f t="shared" si="378"/>
        <v/>
      </c>
      <c r="W142" s="959" t="str">
        <f t="shared" si="379"/>
        <v/>
      </c>
      <c r="X142" s="960" t="str">
        <f>IF(AND(N142=0,O142=0),"",(IF(OR(C142="aa",C142="cp",C142="f",C142="jc",C142="m",C142="css"),"",IF(C142="",IF(OR(D142-B142&gt;6/24,H142-F142&gt;6/24,L142-J142&gt;6/24),"PB",""),IF(OR(E142-C142&gt;6/24,I142-G142&gt;6/24,M142-K142&gt;6/24),"PB","")))))</f>
        <v/>
      </c>
      <c r="Y142" s="959" t="str">
        <f t="shared" si="381"/>
        <v/>
      </c>
      <c r="Z142" s="836"/>
      <c r="AA142" s="837"/>
      <c r="AB142" s="967"/>
      <c r="AC142" s="934">
        <f t="shared" si="386"/>
        <v>42693</v>
      </c>
      <c r="AD142" s="961">
        <f>IF(AND(N(AC142)&gt;=Paramétrage!$AU$11,N(AC142)&lt;=Paramétrage!$AU$12),IF(C142="cp",1,0),0)</f>
        <v>0</v>
      </c>
      <c r="AE142" s="962">
        <f t="shared" si="382"/>
        <v>0</v>
      </c>
      <c r="AF142" s="961">
        <f>IF(AND(N(AC142)&gt;=Paramétrage!$AX$11,N(AC142)&lt;=Paramétrage!$AX$12),IF(C142="cp",1,0),0)</f>
        <v>0</v>
      </c>
      <c r="AG142" s="962">
        <f t="shared" si="383"/>
        <v>0</v>
      </c>
      <c r="AI142" s="962">
        <f t="shared" si="387"/>
        <v>0</v>
      </c>
      <c r="AJ142" s="962">
        <f t="shared" si="388"/>
        <v>0</v>
      </c>
      <c r="AM142" s="962">
        <f t="shared" si="389"/>
        <v>0</v>
      </c>
      <c r="AN142" s="962">
        <f t="shared" si="390"/>
        <v>0</v>
      </c>
      <c r="AO142" s="962">
        <f t="shared" si="391"/>
        <v>0</v>
      </c>
      <c r="AP142" s="962">
        <f t="shared" si="392"/>
        <v>0</v>
      </c>
      <c r="AR142" s="917">
        <f>IF(AND(AC142&lt;=$AR$3,B142="CP"),1,0)</f>
        <v>0</v>
      </c>
      <c r="AS142" s="917">
        <f>IF(AND(AC142&lt;=$AR$3,C142="CP"),1,0)</f>
        <v>0</v>
      </c>
      <c r="AV142" s="954"/>
      <c r="AW142" s="963">
        <f t="shared" ref="AW142:BF142" si="397">IF(MONTH(AD142)=AW140,AH142,0)</f>
        <v>0</v>
      </c>
      <c r="AX142" s="963">
        <f t="shared" si="397"/>
        <v>0</v>
      </c>
      <c r="AY142" s="963">
        <f t="shared" si="397"/>
        <v>0</v>
      </c>
      <c r="AZ142" s="963">
        <f t="shared" si="397"/>
        <v>0</v>
      </c>
      <c r="BA142" s="963">
        <f t="shared" si="397"/>
        <v>0</v>
      </c>
      <c r="BB142" s="963">
        <f t="shared" si="397"/>
        <v>0</v>
      </c>
      <c r="BC142" s="963">
        <f t="shared" si="397"/>
        <v>0</v>
      </c>
      <c r="BD142" s="963">
        <f t="shared" si="397"/>
        <v>0</v>
      </c>
      <c r="BE142" s="963">
        <f t="shared" si="397"/>
        <v>0</v>
      </c>
      <c r="BF142" s="963">
        <f t="shared" si="397"/>
        <v>0</v>
      </c>
    </row>
    <row r="143" spans="1:58" ht="14.45" customHeight="1" x14ac:dyDescent="0.3">
      <c r="A143" s="964" t="s">
        <v>19</v>
      </c>
      <c r="B143" s="15" t="b">
        <f>IF(Paramétrage!$O$47="",FALSE,Paramétrage!$O$47)</f>
        <v>0</v>
      </c>
      <c r="C143" s="263"/>
      <c r="D143" s="16" t="b">
        <f>IF(Paramétrage!$Q$47="",FALSE,Paramétrage!$Q$47)</f>
        <v>0</v>
      </c>
      <c r="E143" s="264"/>
      <c r="F143" s="15" t="b">
        <f>IF(Paramétrage!$R$47="",FALSE,Paramétrage!$R$47)</f>
        <v>0</v>
      </c>
      <c r="G143" s="264"/>
      <c r="H143" s="17" t="b">
        <f>IF(Paramétrage!$T$47="",FALSE,Paramétrage!$T$47)</f>
        <v>0</v>
      </c>
      <c r="I143" s="263"/>
      <c r="J143" s="127" t="b">
        <f>IF(Paramétrage!$U$47="",FALSE,Paramétrage!$U$47)</f>
        <v>0</v>
      </c>
      <c r="K143" s="263"/>
      <c r="L143" s="28" t="b">
        <f>IF(Paramétrage!$W$47="",FALSE,Paramétrage!$W$47)</f>
        <v>0</v>
      </c>
      <c r="M143" s="263"/>
      <c r="N143" s="956">
        <f>IF(OR(B143="aa",B143="cp",B143="f",B143="jc",B143="m",B143="css"),0,(L143-J143)+(H143-F143)+(D143-B143))</f>
        <v>0</v>
      </c>
      <c r="O143" s="956">
        <f>IF(OR(C143="m",C143="aa"),N143,IF(C143="cp",0,IF(OR(C143="css",C143="jc"),0,IF(C143="f",0,E143-C143+I143-G143+M143-K143))))</f>
        <v>0</v>
      </c>
      <c r="P143" s="956">
        <f t="shared" si="385"/>
        <v>0</v>
      </c>
      <c r="Q143" s="956">
        <f t="shared" si="375"/>
        <v>0</v>
      </c>
      <c r="R143" s="957">
        <f>IF(OR(C143="aa",C143="cp",C143="f",C143="jc",C143="m",C143="css"),0,IF(C143=0,MAX(B143,D143,F143,H143,J143,L143)-MIN(B143,D143,F143,H143,J143,L143),IF(C143&lt;&gt;0,MAX(C143,E143,G143,I143,K143,M143)-MIN(C143,E143,G143,I143,K143,M143))))</f>
        <v>0</v>
      </c>
      <c r="S143" s="262"/>
      <c r="T143" s="958" t="str">
        <f t="shared" si="395"/>
        <v/>
      </c>
      <c r="U143" s="959" t="str">
        <f>IF(P143=0,"",IF(P143&lt;Paramétrage!$S$12,"PB",IF(AND(Q143&lt;Paramétrage!$S$12,Q143&lt;&gt;0),"PB","")))</f>
        <v/>
      </c>
      <c r="V143" s="959" t="str">
        <f t="shared" si="378"/>
        <v/>
      </c>
      <c r="W143" s="959" t="str">
        <f t="shared" si="379"/>
        <v/>
      </c>
      <c r="X143" s="960" t="str">
        <f>IF(AND(N143=0,O143=0),"",(IF(OR(C143="aa",C143="cp",C143="f",C143="jc",C143="m",C143="css"),"",IF(C143="",IF(OR(D143-B143&gt;6/24,H143-F143&gt;6/24,L143-J143&gt;6/24),"PB",""),IF(OR(E143-C143&gt;6/24,I143-G143&gt;6/24,M143-K143&gt;6/24),"PB","")))))</f>
        <v/>
      </c>
      <c r="Y143" s="959" t="str">
        <f t="shared" si="381"/>
        <v/>
      </c>
      <c r="Z143" s="836"/>
      <c r="AA143" s="837"/>
      <c r="AC143" s="934">
        <f t="shared" si="386"/>
        <v>42694</v>
      </c>
      <c r="AD143" s="961">
        <f>IF(AND(N(AC143)&gt;=Paramétrage!$AU$11,N(AC143)&lt;=Paramétrage!$AU$12),IF(C143="cp",1,0),0)</f>
        <v>0</v>
      </c>
      <c r="AE143" s="962">
        <f t="shared" si="382"/>
        <v>0</v>
      </c>
      <c r="AF143" s="961">
        <f>IF(AND(N(AC143)&gt;=Paramétrage!$AX$11,N(AC143)&lt;=Paramétrage!$AX$12),IF(C143="cp",1,0),0)</f>
        <v>0</v>
      </c>
      <c r="AG143" s="962">
        <f t="shared" si="383"/>
        <v>0</v>
      </c>
      <c r="AI143" s="962">
        <f t="shared" si="387"/>
        <v>0</v>
      </c>
      <c r="AJ143" s="962">
        <f t="shared" si="388"/>
        <v>0</v>
      </c>
      <c r="AM143" s="962"/>
      <c r="AN143" s="962"/>
      <c r="AO143" s="962"/>
      <c r="AP143" s="962"/>
      <c r="AV143" s="954"/>
      <c r="AW143" s="963">
        <f t="shared" ref="AW143:BF143" si="398">IF(MONTH(AD143)=AW141,AH143,0)</f>
        <v>0</v>
      </c>
      <c r="AX143" s="963">
        <f t="shared" si="398"/>
        <v>0</v>
      </c>
      <c r="AY143" s="963">
        <f t="shared" si="398"/>
        <v>0</v>
      </c>
      <c r="AZ143" s="963">
        <f t="shared" si="398"/>
        <v>0</v>
      </c>
      <c r="BA143" s="963">
        <f t="shared" si="398"/>
        <v>0</v>
      </c>
      <c r="BB143" s="963">
        <f t="shared" si="398"/>
        <v>0</v>
      </c>
      <c r="BC143" s="963">
        <f t="shared" si="398"/>
        <v>0</v>
      </c>
      <c r="BD143" s="963">
        <f t="shared" si="398"/>
        <v>0</v>
      </c>
      <c r="BE143" s="963">
        <f t="shared" si="398"/>
        <v>0</v>
      </c>
      <c r="BF143" s="963" t="e">
        <f t="shared" si="398"/>
        <v>#VALUE!</v>
      </c>
    </row>
    <row r="144" spans="1:58" ht="14.45" customHeight="1" thickBot="1" x14ac:dyDescent="0.35">
      <c r="A144" s="966" t="s">
        <v>20</v>
      </c>
      <c r="B144" s="15" t="b">
        <f>IF(Paramétrage!$O$48="",FALSE,Paramétrage!$O$48)</f>
        <v>0</v>
      </c>
      <c r="C144" s="263"/>
      <c r="D144" s="16" t="b">
        <f>IF(Paramétrage!$Q$48="",FALSE,Paramétrage!$Q$48)</f>
        <v>0</v>
      </c>
      <c r="E144" s="264"/>
      <c r="F144" s="15" t="b">
        <f>IF(Paramétrage!$R$48="",FALSE,Paramétrage!$R$48)</f>
        <v>0</v>
      </c>
      <c r="G144" s="264"/>
      <c r="H144" s="17" t="b">
        <f>IF(Paramétrage!$T$48="",FALSE,Paramétrage!$T$48)</f>
        <v>0</v>
      </c>
      <c r="I144" s="263"/>
      <c r="J144" s="127" t="b">
        <f>IF(Paramétrage!$U$48="",FALSE,Paramétrage!$U$48)</f>
        <v>0</v>
      </c>
      <c r="K144" s="263"/>
      <c r="L144" s="28" t="b">
        <f>IF(Paramétrage!$W$48="",FALSE,Paramétrage!$W$48)</f>
        <v>0</v>
      </c>
      <c r="M144" s="263"/>
      <c r="N144" s="956">
        <f>IF(OR(B144="aa",B144="m"),M144,IF(B144="cp",0,IF(B144="jc",0,IF(B144="f",0,(D144-B144)*Paramétrage!$S$13+(H144-F144)*Paramétrage!$S$13+(L144-J144)*Paramétrage!$S$13+(D144-B144+H144-F144+L144-J144)))))</f>
        <v>0</v>
      </c>
      <c r="O144" s="956">
        <f>IF(OR(C144="aa",C144="m"),N144,IF(C144="cp",0,IF(C144="jc",0,IF(C144="f",0,(E144-C144)*Paramétrage!$S$13+(I144-G144)*Paramétrage!$S$13+(M144-K144)*Paramétrage!$S$13+(E144-C144+I144-G144+M144-K144)))))</f>
        <v>0</v>
      </c>
      <c r="P144" s="956">
        <f t="shared" si="385"/>
        <v>0</v>
      </c>
      <c r="Q144" s="956">
        <f t="shared" si="375"/>
        <v>0</v>
      </c>
      <c r="R144" s="957">
        <f t="shared" ref="R144" si="399">IF(OR(C144="aa",C144="cp",C144="f",C144="jc",C144="m",C144=0),MAX(B144,D144,F144,H144,J144,L144)-MIN(B144,D144,F144,H144,J144,L144),IF(C144&lt;&gt;0,MAX(C144,E144,G144,I144,K144,M144)-MIN(C144,E144,G144,I144,K144,M144)))</f>
        <v>0</v>
      </c>
      <c r="S144" s="262"/>
      <c r="T144" s="958" t="str">
        <f t="shared" si="395"/>
        <v/>
      </c>
      <c r="U144" s="959" t="str">
        <f>IF(P144=0,"",IF(P144&lt;Paramétrage!$S$12,"PB",IF(AND(Q144&lt;Paramétrage!$S$12,Q144&lt;&gt;0),"PB","")))</f>
        <v/>
      </c>
      <c r="V144" s="959" t="str">
        <f t="shared" si="378"/>
        <v/>
      </c>
      <c r="W144" s="959" t="str">
        <f t="shared" si="379"/>
        <v/>
      </c>
      <c r="X144" s="960" t="str">
        <f t="shared" ref="X144" si="400">IF(AND(N144=0,O144=0),"",(IF(OR(C144="aa",C144="cp",C144="f",C144="jc",C144="m"),"",IF(C144="",IF(OR(D144-B144&gt;6/24,H144-F144&gt;6/24,L144-J144&gt;6/24),"PB",""),IF(OR(E144-C144&gt;6/24,I144-G144&gt;6/24,M144-K144&gt;6/24),"PB","")))))</f>
        <v/>
      </c>
      <c r="Y144" s="959" t="str">
        <f t="shared" si="381"/>
        <v/>
      </c>
      <c r="Z144" s="836"/>
      <c r="AA144" s="837"/>
      <c r="AC144" s="934">
        <f t="shared" si="386"/>
        <v>42695</v>
      </c>
      <c r="AD144" s="961">
        <f>IF(AND(N(AC144)&gt;=Paramétrage!$AU$11,N(AC144)&lt;=Paramétrage!$AU$12),IF(C144="cp",1,0),0)</f>
        <v>0</v>
      </c>
      <c r="AE144" s="962">
        <f>N144</f>
        <v>0</v>
      </c>
      <c r="AF144" s="961">
        <f>IF(AND(N(AC144)&gt;=Paramétrage!$AX$11,N(AC144)&lt;=Paramétrage!$AX$12),IF(C144="cp",1,0),0)</f>
        <v>0</v>
      </c>
      <c r="AG144" s="962">
        <f t="shared" si="383"/>
        <v>0</v>
      </c>
      <c r="AI144" s="962">
        <f t="shared" si="387"/>
        <v>0</v>
      </c>
      <c r="AJ144" s="962">
        <f t="shared" si="388"/>
        <v>0</v>
      </c>
      <c r="AM144" s="962"/>
      <c r="AN144" s="962"/>
      <c r="AO144" s="962"/>
      <c r="AP144" s="962"/>
      <c r="AV144" s="954"/>
      <c r="AW144" s="963">
        <f t="shared" ref="AW144:BF144" si="401">IF(MONTH(AD144)=AW142,AH144,0)</f>
        <v>0</v>
      </c>
      <c r="AX144" s="963">
        <f t="shared" si="401"/>
        <v>0</v>
      </c>
      <c r="AY144" s="963">
        <f t="shared" si="401"/>
        <v>0</v>
      </c>
      <c r="AZ144" s="963">
        <f t="shared" si="401"/>
        <v>0</v>
      </c>
      <c r="BA144" s="963">
        <f t="shared" si="401"/>
        <v>0</v>
      </c>
      <c r="BB144" s="963">
        <f t="shared" si="401"/>
        <v>0</v>
      </c>
      <c r="BC144" s="963">
        <f t="shared" si="401"/>
        <v>0</v>
      </c>
      <c r="BD144" s="963">
        <f t="shared" si="401"/>
        <v>0</v>
      </c>
      <c r="BE144" s="963">
        <f t="shared" si="401"/>
        <v>0</v>
      </c>
      <c r="BF144" s="963">
        <f t="shared" si="401"/>
        <v>0</v>
      </c>
    </row>
    <row r="145" spans="1:58" x14ac:dyDescent="0.25">
      <c r="A145" s="969" t="s">
        <v>78</v>
      </c>
      <c r="B145" s="970"/>
      <c r="C145" s="970"/>
      <c r="D145" s="970"/>
      <c r="E145" s="970"/>
      <c r="F145" s="970"/>
      <c r="G145" s="970"/>
      <c r="H145" s="970"/>
      <c r="I145" s="970"/>
      <c r="J145" s="970"/>
      <c r="K145" s="971"/>
      <c r="L145" s="970"/>
      <c r="M145" s="970"/>
      <c r="N145" s="972">
        <f>SUM(N138:N144)</f>
        <v>0</v>
      </c>
      <c r="O145" s="972">
        <f>SUM(O138:O144)</f>
        <v>0</v>
      </c>
      <c r="P145" s="972">
        <f>SUM(P138:P144)</f>
        <v>0</v>
      </c>
      <c r="Q145" s="972">
        <f>SUM(Q138:Q144)</f>
        <v>0</v>
      </c>
      <c r="R145" s="972"/>
      <c r="S145" s="972"/>
      <c r="T145" s="973"/>
      <c r="U145" s="974"/>
      <c r="V145" s="975" t="str">
        <f>IF((O145*24)&gt;48,"PB","")</f>
        <v/>
      </c>
      <c r="W145" s="974"/>
      <c r="X145" s="972"/>
      <c r="Y145" s="974"/>
      <c r="Z145" s="976" t="s">
        <v>59</v>
      </c>
      <c r="AA145" s="977">
        <f>+O145-N145</f>
        <v>0</v>
      </c>
      <c r="AF145" s="961"/>
      <c r="AV145" s="954"/>
      <c r="AW145" s="963">
        <f t="shared" ref="AW145:BF145" si="402">IF(MONTH(AD145)=AW143,AH145,0)</f>
        <v>0</v>
      </c>
      <c r="AX145" s="963">
        <f t="shared" si="402"/>
        <v>0</v>
      </c>
      <c r="AY145" s="963">
        <f t="shared" si="402"/>
        <v>0</v>
      </c>
      <c r="AZ145" s="963">
        <f t="shared" si="402"/>
        <v>0</v>
      </c>
      <c r="BA145" s="963">
        <f t="shared" si="402"/>
        <v>0</v>
      </c>
      <c r="BB145" s="963">
        <f t="shared" si="402"/>
        <v>0</v>
      </c>
      <c r="BC145" s="963">
        <f t="shared" si="402"/>
        <v>0</v>
      </c>
      <c r="BD145" s="963">
        <f t="shared" si="402"/>
        <v>0</v>
      </c>
      <c r="BE145" s="963">
        <f t="shared" si="402"/>
        <v>0</v>
      </c>
      <c r="BF145" s="963" t="e">
        <f t="shared" si="402"/>
        <v>#VALUE!</v>
      </c>
    </row>
    <row r="146" spans="1:58" x14ac:dyDescent="0.25">
      <c r="A146" s="969"/>
      <c r="B146" s="970"/>
      <c r="C146" s="970"/>
      <c r="D146" s="970"/>
      <c r="E146" s="970"/>
      <c r="F146" s="970"/>
      <c r="G146" s="970"/>
      <c r="H146" s="970"/>
      <c r="I146" s="970"/>
      <c r="J146" s="970"/>
      <c r="K146" s="971"/>
      <c r="L146" s="970"/>
      <c r="M146" s="970"/>
      <c r="N146" s="973"/>
      <c r="O146" s="973"/>
      <c r="P146" s="973"/>
      <c r="Q146" s="973"/>
      <c r="R146" s="973"/>
      <c r="S146" s="972"/>
      <c r="T146" s="973"/>
      <c r="U146" s="974"/>
      <c r="V146" s="978"/>
      <c r="W146" s="974"/>
      <c r="X146" s="973"/>
      <c r="Y146" s="974"/>
      <c r="Z146" s="976"/>
      <c r="AA146" s="977"/>
      <c r="AF146" s="961"/>
      <c r="AV146" s="954"/>
      <c r="AW146" s="963">
        <f t="shared" ref="AW146:BF146" si="403">IF(MONTH(AD146)=AW144,AH146,0)</f>
        <v>0</v>
      </c>
      <c r="AX146" s="963">
        <f t="shared" si="403"/>
        <v>0</v>
      </c>
      <c r="AY146" s="963">
        <f t="shared" si="403"/>
        <v>0</v>
      </c>
      <c r="AZ146" s="963">
        <f t="shared" si="403"/>
        <v>0</v>
      </c>
      <c r="BA146" s="963">
        <f t="shared" si="403"/>
        <v>0</v>
      </c>
      <c r="BB146" s="963">
        <f t="shared" si="403"/>
        <v>0</v>
      </c>
      <c r="BC146" s="963">
        <f t="shared" si="403"/>
        <v>0</v>
      </c>
      <c r="BD146" s="963">
        <f t="shared" si="403"/>
        <v>0</v>
      </c>
      <c r="BE146" s="963">
        <f t="shared" si="403"/>
        <v>0</v>
      </c>
      <c r="BF146" s="963">
        <f t="shared" si="403"/>
        <v>0</v>
      </c>
    </row>
    <row r="147" spans="1:58" ht="16.5" x14ac:dyDescent="0.3">
      <c r="A147" s="969"/>
      <c r="B147" s="969"/>
      <c r="C147" s="969"/>
      <c r="D147" s="969"/>
      <c r="E147" s="969"/>
      <c r="F147" s="928">
        <f>+F135+7</f>
        <v>42696</v>
      </c>
      <c r="G147" s="928"/>
      <c r="H147" s="929" t="s">
        <v>58</v>
      </c>
      <c r="I147" s="928">
        <f>+F147+6</f>
        <v>42702</v>
      </c>
      <c r="J147" s="930"/>
      <c r="K147" s="969"/>
      <c r="L147" s="969"/>
      <c r="M147" s="969"/>
      <c r="N147" s="973"/>
      <c r="O147" s="969"/>
      <c r="P147" s="980"/>
      <c r="Q147" s="980"/>
      <c r="R147" s="980"/>
      <c r="S147" s="981"/>
      <c r="T147" s="980"/>
      <c r="U147" s="980"/>
      <c r="V147" s="980"/>
      <c r="W147" s="980"/>
      <c r="X147" s="980"/>
      <c r="Y147" s="980"/>
      <c r="Z147" s="976"/>
      <c r="AA147" s="995"/>
      <c r="AF147" s="961"/>
      <c r="AV147" s="954"/>
      <c r="AW147" s="963">
        <f t="shared" ref="AW147:BF147" si="404">IF(MONTH(AD147)=AW145,AH147,0)</f>
        <v>0</v>
      </c>
      <c r="AX147" s="963">
        <f t="shared" si="404"/>
        <v>0</v>
      </c>
      <c r="AY147" s="963">
        <f t="shared" si="404"/>
        <v>0</v>
      </c>
      <c r="AZ147" s="963">
        <f t="shared" si="404"/>
        <v>0</v>
      </c>
      <c r="BA147" s="963">
        <f t="shared" si="404"/>
        <v>0</v>
      </c>
      <c r="BB147" s="963">
        <f t="shared" si="404"/>
        <v>0</v>
      </c>
      <c r="BC147" s="963">
        <f t="shared" si="404"/>
        <v>0</v>
      </c>
      <c r="BD147" s="963">
        <f t="shared" si="404"/>
        <v>0</v>
      </c>
      <c r="BE147" s="963">
        <f t="shared" si="404"/>
        <v>0</v>
      </c>
      <c r="BF147" s="963" t="e">
        <f t="shared" si="404"/>
        <v>#VALUE!</v>
      </c>
    </row>
    <row r="148" spans="1:58" ht="14.45" customHeight="1" x14ac:dyDescent="0.25">
      <c r="A148" s="994"/>
      <c r="B148" s="938" t="s">
        <v>17</v>
      </c>
      <c r="C148" s="938"/>
      <c r="D148" s="938" t="s">
        <v>18</v>
      </c>
      <c r="E148" s="938"/>
      <c r="F148" s="938" t="s">
        <v>17</v>
      </c>
      <c r="G148" s="938"/>
      <c r="H148" s="938" t="s">
        <v>18</v>
      </c>
      <c r="I148" s="938"/>
      <c r="J148" s="938" t="s">
        <v>17</v>
      </c>
      <c r="K148" s="938"/>
      <c r="L148" s="938" t="s">
        <v>18</v>
      </c>
      <c r="M148" s="938"/>
      <c r="N148" s="939" t="s">
        <v>61</v>
      </c>
      <c r="O148" s="939" t="s">
        <v>62</v>
      </c>
      <c r="P148" s="939" t="s">
        <v>60</v>
      </c>
      <c r="Q148" s="939" t="s">
        <v>63</v>
      </c>
      <c r="R148" s="939" t="s">
        <v>64</v>
      </c>
      <c r="S148" s="940" t="s">
        <v>223</v>
      </c>
      <c r="T148" s="939" t="s">
        <v>70</v>
      </c>
      <c r="U148" s="941" t="s">
        <v>65</v>
      </c>
      <c r="V148" s="942"/>
      <c r="W148" s="942"/>
      <c r="X148" s="942"/>
      <c r="Y148" s="943"/>
      <c r="Z148" s="944" t="s">
        <v>22</v>
      </c>
      <c r="AA148" s="944"/>
      <c r="AF148" s="961"/>
      <c r="AV148" s="954"/>
      <c r="AW148" s="963">
        <f t="shared" ref="AW148:BF148" si="405">IF(MONTH(AD148)=AW146,AH148,0)</f>
        <v>0</v>
      </c>
      <c r="AX148" s="963">
        <f t="shared" si="405"/>
        <v>0</v>
      </c>
      <c r="AY148" s="963">
        <f t="shared" si="405"/>
        <v>0</v>
      </c>
      <c r="AZ148" s="963">
        <f t="shared" si="405"/>
        <v>0</v>
      </c>
      <c r="BA148" s="963">
        <f t="shared" si="405"/>
        <v>0</v>
      </c>
      <c r="BB148" s="963">
        <f t="shared" si="405"/>
        <v>0</v>
      </c>
      <c r="BC148" s="963">
        <f t="shared" si="405"/>
        <v>0</v>
      </c>
      <c r="BD148" s="963">
        <f t="shared" si="405"/>
        <v>0</v>
      </c>
      <c r="BE148" s="963">
        <f t="shared" si="405"/>
        <v>0</v>
      </c>
      <c r="BF148" s="963">
        <f t="shared" si="405"/>
        <v>0</v>
      </c>
    </row>
    <row r="149" spans="1:58" ht="26.25" thickBot="1" x14ac:dyDescent="0.4">
      <c r="A149" s="937" t="str">
        <f>"S"&amp;_xlfn.ISOWEEKNUM(F147)</f>
        <v>S48</v>
      </c>
      <c r="B149" s="949" t="s">
        <v>0</v>
      </c>
      <c r="C149" s="950" t="s">
        <v>1</v>
      </c>
      <c r="D149" s="949" t="s">
        <v>0</v>
      </c>
      <c r="E149" s="950" t="s">
        <v>1</v>
      </c>
      <c r="F149" s="949" t="s">
        <v>0</v>
      </c>
      <c r="G149" s="950" t="s">
        <v>1</v>
      </c>
      <c r="H149" s="949" t="s">
        <v>0</v>
      </c>
      <c r="I149" s="950" t="s">
        <v>1</v>
      </c>
      <c r="J149" s="949" t="s">
        <v>0</v>
      </c>
      <c r="K149" s="950" t="s">
        <v>1</v>
      </c>
      <c r="L149" s="949" t="s">
        <v>0</v>
      </c>
      <c r="M149" s="950" t="s">
        <v>1</v>
      </c>
      <c r="N149" s="951"/>
      <c r="O149" s="951"/>
      <c r="P149" s="951"/>
      <c r="Q149" s="951"/>
      <c r="R149" s="951"/>
      <c r="S149" s="951"/>
      <c r="T149" s="939"/>
      <c r="U149" s="952" t="s">
        <v>66</v>
      </c>
      <c r="V149" s="952" t="s">
        <v>67</v>
      </c>
      <c r="W149" s="952" t="s">
        <v>68</v>
      </c>
      <c r="X149" s="952" t="s">
        <v>137</v>
      </c>
      <c r="Y149" s="952" t="s">
        <v>69</v>
      </c>
      <c r="Z149" s="944"/>
      <c r="AA149" s="944"/>
      <c r="AF149" s="961"/>
      <c r="AM149" s="917" t="s">
        <v>274</v>
      </c>
      <c r="AV149" s="954"/>
      <c r="AW149" s="963">
        <f t="shared" ref="AW149:BF149" si="406">IF(MONTH(AD149)=AW147,AH149,0)</f>
        <v>0</v>
      </c>
      <c r="AX149" s="963">
        <f t="shared" si="406"/>
        <v>0</v>
      </c>
      <c r="AY149" s="963">
        <f t="shared" si="406"/>
        <v>0</v>
      </c>
      <c r="AZ149" s="963">
        <f t="shared" si="406"/>
        <v>0</v>
      </c>
      <c r="BA149" s="963">
        <f t="shared" si="406"/>
        <v>0</v>
      </c>
      <c r="BB149" s="963">
        <f t="shared" si="406"/>
        <v>0</v>
      </c>
      <c r="BC149" s="963">
        <f t="shared" si="406"/>
        <v>0</v>
      </c>
      <c r="BD149" s="963">
        <f t="shared" si="406"/>
        <v>0</v>
      </c>
      <c r="BE149" s="963">
        <f t="shared" si="406"/>
        <v>0</v>
      </c>
      <c r="BF149" s="963" t="e">
        <f t="shared" si="406"/>
        <v>#VALUE!</v>
      </c>
    </row>
    <row r="150" spans="1:58" ht="14.45" customHeight="1" x14ac:dyDescent="0.3">
      <c r="A150" s="955" t="s">
        <v>12</v>
      </c>
      <c r="B150" s="15" t="b">
        <f>IF(Paramétrage!$O$42="",FALSE,Paramétrage!$O$42)</f>
        <v>0</v>
      </c>
      <c r="C150" s="263"/>
      <c r="D150" s="16" t="b">
        <f>IF(Paramétrage!$Q$42="",FALSE,Paramétrage!$Q$42)</f>
        <v>0</v>
      </c>
      <c r="E150" s="264"/>
      <c r="F150" s="15" t="b">
        <f>IF(Paramétrage!$R$42="",FALSE,Paramétrage!$R$42)</f>
        <v>0</v>
      </c>
      <c r="G150" s="264"/>
      <c r="H150" s="17" t="b">
        <f>IF(Paramétrage!$T$42="",FALSE,Paramétrage!$T$42)</f>
        <v>0</v>
      </c>
      <c r="I150" s="263"/>
      <c r="J150" s="127" t="b">
        <f>IF(Paramétrage!$U$42="",FALSE,Paramétrage!$U$42)</f>
        <v>0</v>
      </c>
      <c r="K150" s="263"/>
      <c r="L150" s="28" t="b">
        <f>IF(Paramétrage!$W$42="",FALSE,Paramétrage!$W$42)</f>
        <v>0</v>
      </c>
      <c r="M150" s="263"/>
      <c r="N150" s="956">
        <f t="shared" ref="N150:N152" si="407">IF(OR(B150="aa",B150="cp",B150="f",B150="jc",B150="m",B150="css"),0,(L150-J150)+(H150-F150)+(D150-B150))</f>
        <v>0</v>
      </c>
      <c r="O150" s="956">
        <f t="shared" ref="O150:O152" si="408">SUM(AM150:AP150)+IF(OR(C150="m",C150="aa"),N150,IF(C150="css",0,IF(C150="cp",0,IF(C150="jc",0,IF(C150="f",0,E150-C150+I150-G150+M150-K150)))))</f>
        <v>0</v>
      </c>
      <c r="P150" s="956">
        <f>IF(OR(C150="aa",C150="cp",C150="f",C150="jc",C150="m",C150="css"),0,IF(C150="",IF(OR(F150="",F150=FALSE),0,F150-D150),IF(G150="",0,G150-E150)))</f>
        <v>0</v>
      </c>
      <c r="Q150" s="956">
        <f t="shared" ref="Q150:Q156" si="409">IF(P150=0,0,IF(G150="",IF(OR(J150="",J150=FALSE),0,J150-H150),IF(K150="",0,K150-I150)))</f>
        <v>0</v>
      </c>
      <c r="R150" s="957">
        <f t="shared" ref="R150:R152" si="410">IF(OR(C150="aa",C150="cp",C150="f",C150="jc",C150="m",C150="css"),0,IF(C150=0,MAX(B150,D150,F150,H150,J150,L150)-MIN(B150,D150,F150,H150,J150,L150),IF(C150&lt;&gt;0,MAX(C150,E150,G150,I150,K150,M150)-MIN(C150,E150,G150,I150,K150,M150))))</f>
        <v>0</v>
      </c>
      <c r="S150" s="262"/>
      <c r="T150" s="958" t="str">
        <f t="shared" ref="T150:T151" si="411">IF(AND(B150=FALSE,C150=""),"",IF(AND(B150=0,C150=0),"",(IF(OR(C150="cp",C150="f",C150="jc",C150="css"),"",IF(OR(C150="",C150="aa",C150="m"),(IF(OR(B150="cp",B150="f",B150="jc",B150="css"),"",B150*24+24-MAX(D149,H149,L149)*24)),C150*24+24-MAX(M149,I149,E149)*24)))))</f>
        <v/>
      </c>
      <c r="U150" s="959" t="str">
        <f>IF(P150=0,"",IF(P150&lt;Paramétrage!$S$12,"PB",IF(AND(Q150&lt;Paramétrage!$S$12,Q150&lt;&gt;0),"PB","")))</f>
        <v/>
      </c>
      <c r="V150" s="959" t="str">
        <f t="shared" ref="V150:V156" si="412">IF(C150="",IF((N150*24)&gt;10,"PB",""),IF((O150*24)&gt;10,"PB",""))</f>
        <v/>
      </c>
      <c r="W150" s="959" t="str">
        <f t="shared" ref="W150:W156" si="413">IF((R150*24)&gt;12,"PB","")</f>
        <v/>
      </c>
      <c r="X150" s="960" t="str">
        <f t="shared" ref="X150:X152" si="414">IF(AND(N150=0,O150=0),"",(IF(OR(C150="aa",C150="cp",C150="f",C150="jc",C150="m",C150="css"),"",IF(C150="",IF(OR(D150-B150&gt;6/24,H150-F150&gt;6/24,L150-J150&gt;6/24),"PB",""),IF(OR(E150-C150&gt;6/24,I150-G150&gt;6/24,M150-K150&gt;6/24),"PB","")))))</f>
        <v/>
      </c>
      <c r="Y150" s="959" t="str">
        <f t="shared" ref="Y150:Y156" si="415">IF(T150="","",IF(T150&lt;11,"PB",""))</f>
        <v/>
      </c>
      <c r="Z150" s="836"/>
      <c r="AA150" s="837"/>
      <c r="AC150" s="934">
        <f>AC144+1</f>
        <v>42696</v>
      </c>
      <c r="AD150" s="961">
        <f>IF(AND(N(AC150)&gt;=Paramétrage!$AU$11,N(AC150)&lt;=Paramétrage!$AU$12),IF(C150="cp",1,0),0)</f>
        <v>0</v>
      </c>
      <c r="AE150" s="962">
        <f>N150</f>
        <v>0</v>
      </c>
      <c r="AF150" s="961">
        <f>IF(AND(N(AC150)&gt;=Paramétrage!$AX$11,N(AC150)&lt;=Paramétrage!$AX$12),IF(C150="cp",1,0),0)</f>
        <v>0</v>
      </c>
      <c r="AG150" s="962">
        <f>O150</f>
        <v>0</v>
      </c>
      <c r="AI150" s="962">
        <f>AE150+AI144</f>
        <v>0</v>
      </c>
      <c r="AJ150" s="962">
        <f>AG150+AJ144</f>
        <v>0</v>
      </c>
      <c r="AM150" s="962">
        <f>IF(AND($B150="cp",$C150="m"),$Z150,0)</f>
        <v>0</v>
      </c>
      <c r="AN150" s="962">
        <f>IF(AND($B150="jc",$C150="m"),$Z150,0)</f>
        <v>0</v>
      </c>
      <c r="AO150" s="962">
        <f>IF(AND($B150="cp",$C150="aa"),$Z150,0)</f>
        <v>0</v>
      </c>
      <c r="AP150" s="962">
        <f>IF(AND($B150="jc",$C150="aa"),$Z150,0)</f>
        <v>0</v>
      </c>
      <c r="AR150" s="917">
        <f>IF(AND(AC150&lt;=$AR$3,B150="CP"),1,0)</f>
        <v>0</v>
      </c>
      <c r="AS150" s="917">
        <f>IF(AND(AC150&lt;=$AR$3,C150="CP"),1,0)</f>
        <v>0</v>
      </c>
      <c r="AV150" s="954"/>
      <c r="AW150" s="963">
        <f t="shared" ref="AW150:BF150" si="416">IF(MONTH(AD150)=AW148,AH150,0)</f>
        <v>0</v>
      </c>
      <c r="AX150" s="963">
        <f t="shared" si="416"/>
        <v>0</v>
      </c>
      <c r="AY150" s="963">
        <f t="shared" si="416"/>
        <v>0</v>
      </c>
      <c r="AZ150" s="963">
        <f t="shared" si="416"/>
        <v>0</v>
      </c>
      <c r="BA150" s="963">
        <f t="shared" si="416"/>
        <v>0</v>
      </c>
      <c r="BB150" s="963">
        <f t="shared" si="416"/>
        <v>0</v>
      </c>
      <c r="BC150" s="963">
        <f t="shared" si="416"/>
        <v>0</v>
      </c>
      <c r="BD150" s="963">
        <f t="shared" si="416"/>
        <v>0</v>
      </c>
      <c r="BE150" s="963">
        <f t="shared" si="416"/>
        <v>0</v>
      </c>
      <c r="BF150" s="963">
        <f t="shared" si="416"/>
        <v>0</v>
      </c>
    </row>
    <row r="151" spans="1:58" ht="14.45" customHeight="1" x14ac:dyDescent="0.3">
      <c r="A151" s="964" t="s">
        <v>13</v>
      </c>
      <c r="B151" s="15" t="b">
        <f>IF(Paramétrage!$O$43="",FALSE,Paramétrage!$O$43)</f>
        <v>0</v>
      </c>
      <c r="C151" s="263"/>
      <c r="D151" s="16" t="b">
        <f>IF(Paramétrage!$Q$43="",FALSE,Paramétrage!$Q$43)</f>
        <v>0</v>
      </c>
      <c r="E151" s="264"/>
      <c r="F151" s="15" t="b">
        <f>IF(Paramétrage!$R$43="",FALSE,Paramétrage!$R$43)</f>
        <v>0</v>
      </c>
      <c r="G151" s="264"/>
      <c r="H151" s="17" t="b">
        <f>IF(Paramétrage!$T$43="",FALSE,Paramétrage!$T$43)</f>
        <v>0</v>
      </c>
      <c r="I151" s="263"/>
      <c r="J151" s="127" t="b">
        <f>IF(Paramétrage!$U$43="",FALSE,Paramétrage!$U$43)</f>
        <v>0</v>
      </c>
      <c r="K151" s="263"/>
      <c r="L151" s="28" t="b">
        <f>IF(Paramétrage!$W$43="",FALSE,Paramétrage!$W$43)</f>
        <v>0</v>
      </c>
      <c r="M151" s="263"/>
      <c r="N151" s="956">
        <f t="shared" si="407"/>
        <v>0</v>
      </c>
      <c r="O151" s="956">
        <f t="shared" si="408"/>
        <v>0</v>
      </c>
      <c r="P151" s="956">
        <f t="shared" ref="P151:P156" si="417">IF(OR(C151="aa",C151="cp",C151="f",C151="jc",C151="m",C151="css"),0,IF(C151="",IF(OR(F151="",F151=FALSE),0,F151-D151),IF(G151="",0,G151-E151)))</f>
        <v>0</v>
      </c>
      <c r="Q151" s="956">
        <f t="shared" si="409"/>
        <v>0</v>
      </c>
      <c r="R151" s="957">
        <f t="shared" si="410"/>
        <v>0</v>
      </c>
      <c r="S151" s="262"/>
      <c r="T151" s="958" t="str">
        <f t="shared" si="411"/>
        <v/>
      </c>
      <c r="U151" s="959" t="str">
        <f>IF(P151=0,"",IF(P151&lt;Paramétrage!$S$12,"PB",IF(AND(Q151&lt;Paramétrage!$S$12,Q151&lt;&gt;0),"PB","")))</f>
        <v/>
      </c>
      <c r="V151" s="959" t="str">
        <f t="shared" si="412"/>
        <v/>
      </c>
      <c r="W151" s="959" t="str">
        <f t="shared" si="413"/>
        <v/>
      </c>
      <c r="X151" s="960" t="str">
        <f t="shared" si="414"/>
        <v/>
      </c>
      <c r="Y151" s="959" t="str">
        <f t="shared" si="415"/>
        <v/>
      </c>
      <c r="Z151" s="836"/>
      <c r="AA151" s="837"/>
      <c r="AC151" s="934">
        <f t="shared" ref="AC151:AC156" si="418">AC150+1</f>
        <v>42697</v>
      </c>
      <c r="AD151" s="961">
        <f>IF(AND(N(AC151)&gt;=Paramétrage!$AU$11,N(AC151)&lt;=Paramétrage!$AU$12),IF(C151="cp",1,0),0)</f>
        <v>0</v>
      </c>
      <c r="AE151" s="962">
        <f t="shared" ref="AE151:AE156" si="419">N151</f>
        <v>0</v>
      </c>
      <c r="AF151" s="961">
        <f>IF(AND(N(AC151)&gt;=Paramétrage!$AX$11,N(AC151)&lt;=Paramétrage!$AX$12),IF(C151="cp",1,0),0)</f>
        <v>0</v>
      </c>
      <c r="AG151" s="962">
        <f t="shared" ref="AG151:AG156" si="420">O151</f>
        <v>0</v>
      </c>
      <c r="AI151" s="962">
        <f t="shared" ref="AI151:AI156" si="421">AE151+AI150</f>
        <v>0</v>
      </c>
      <c r="AJ151" s="962">
        <f t="shared" ref="AJ151:AJ156" si="422">AG151+AJ150</f>
        <v>0</v>
      </c>
      <c r="AM151" s="962">
        <f t="shared" ref="AM151:AM154" si="423">IF(AND($B151="cp",$C151="m"),$Z151,0)</f>
        <v>0</v>
      </c>
      <c r="AN151" s="962">
        <f t="shared" ref="AN151:AN154" si="424">IF(AND($B151="jc",$C151="m"),$Z151,0)</f>
        <v>0</v>
      </c>
      <c r="AO151" s="962">
        <f t="shared" ref="AO151:AO154" si="425">IF(AND($B151="cp",$C151="aa"),$Z151,0)</f>
        <v>0</v>
      </c>
      <c r="AP151" s="962">
        <f t="shared" ref="AP151:AP154" si="426">IF(AND($B151="jc",$C151="aa"),$Z151,0)</f>
        <v>0</v>
      </c>
      <c r="AR151" s="917">
        <f>IF(AND(AC151&lt;=$AR$3,B151="CP"),1,0)</f>
        <v>0</v>
      </c>
      <c r="AS151" s="917">
        <f>IF(AND(AC151&lt;=$AR$3,C151="CP"),1,0)</f>
        <v>0</v>
      </c>
      <c r="AV151" s="954"/>
      <c r="AW151" s="963">
        <f t="shared" ref="AW151:BF151" si="427">IF(MONTH(AD151)=AW149,AH151,0)</f>
        <v>0</v>
      </c>
      <c r="AX151" s="963">
        <f t="shared" si="427"/>
        <v>0</v>
      </c>
      <c r="AY151" s="963">
        <f t="shared" si="427"/>
        <v>0</v>
      </c>
      <c r="AZ151" s="963">
        <f t="shared" si="427"/>
        <v>0</v>
      </c>
      <c r="BA151" s="963">
        <f t="shared" si="427"/>
        <v>0</v>
      </c>
      <c r="BB151" s="963">
        <f t="shared" si="427"/>
        <v>0</v>
      </c>
      <c r="BC151" s="963">
        <f t="shared" si="427"/>
        <v>0</v>
      </c>
      <c r="BD151" s="963">
        <f t="shared" si="427"/>
        <v>0</v>
      </c>
      <c r="BE151" s="963">
        <f t="shared" si="427"/>
        <v>0</v>
      </c>
      <c r="BF151" s="963" t="e">
        <f t="shared" si="427"/>
        <v>#VALUE!</v>
      </c>
    </row>
    <row r="152" spans="1:58" ht="14.45" customHeight="1" x14ac:dyDescent="0.3">
      <c r="A152" s="964" t="s">
        <v>14</v>
      </c>
      <c r="B152" s="15" t="b">
        <f>IF(Paramétrage!$O$44="",FALSE,Paramétrage!$O$44)</f>
        <v>0</v>
      </c>
      <c r="C152" s="263"/>
      <c r="D152" s="16" t="b">
        <f>IF(Paramétrage!$Q$44="",FALSE,Paramétrage!$Q$44)</f>
        <v>0</v>
      </c>
      <c r="E152" s="264"/>
      <c r="F152" s="15" t="b">
        <f>IF(Paramétrage!$R$44="",FALSE,Paramétrage!$R$44)</f>
        <v>0</v>
      </c>
      <c r="G152" s="264"/>
      <c r="H152" s="17" t="b">
        <f>IF(Paramétrage!$T$44="",FALSE,Paramétrage!$T$44)</f>
        <v>0</v>
      </c>
      <c r="I152" s="263"/>
      <c r="J152" s="127" t="b">
        <f>IF(Paramétrage!$U$44="",FALSE,Paramétrage!$U$44)</f>
        <v>0</v>
      </c>
      <c r="K152" s="263"/>
      <c r="L152" s="28" t="b">
        <f>IF(Paramétrage!$W$44="",FALSE,Paramétrage!$W$44)</f>
        <v>0</v>
      </c>
      <c r="M152" s="263"/>
      <c r="N152" s="956">
        <f t="shared" si="407"/>
        <v>0</v>
      </c>
      <c r="O152" s="956">
        <f t="shared" si="408"/>
        <v>0</v>
      </c>
      <c r="P152" s="956">
        <f t="shared" si="417"/>
        <v>0</v>
      </c>
      <c r="Q152" s="956">
        <f t="shared" si="409"/>
        <v>0</v>
      </c>
      <c r="R152" s="957">
        <f t="shared" si="410"/>
        <v>0</v>
      </c>
      <c r="S152" s="262"/>
      <c r="T152" s="958" t="str">
        <f>IF(AND(B152=FALSE,C152=""),"",IF(AND(B152=0,C152=0),"",(IF(OR(C152="cp",C152="f",C152="jc",C152="css"),"",IF(OR(C152="",C152="aa",C152="m"),(IF(OR(B152="cp",B152="f",B152="jc",B152="css"),"",B152*24+24-MAX(D151,H151,L151)*24)),C152*24+24-MAX(M151,I151,E151)*24)))))</f>
        <v/>
      </c>
      <c r="U152" s="959" t="str">
        <f>IF(P152=0,"",IF(P152&lt;Paramétrage!$S$12,"PB",IF(AND(Q152&lt;Paramétrage!$S$12,Q152&lt;&gt;0),"PB","")))</f>
        <v/>
      </c>
      <c r="V152" s="959" t="str">
        <f t="shared" si="412"/>
        <v/>
      </c>
      <c r="W152" s="959" t="str">
        <f t="shared" si="413"/>
        <v/>
      </c>
      <c r="X152" s="960" t="str">
        <f t="shared" si="414"/>
        <v/>
      </c>
      <c r="Y152" s="959" t="str">
        <f t="shared" si="415"/>
        <v/>
      </c>
      <c r="Z152" s="836"/>
      <c r="AA152" s="837"/>
      <c r="AC152" s="934">
        <f t="shared" si="418"/>
        <v>42698</v>
      </c>
      <c r="AD152" s="961">
        <f>IF(AND(N(AC152)&gt;=Paramétrage!$AU$11,N(AC152)&lt;=Paramétrage!$AU$12),IF(C152="cp",1,0),0)</f>
        <v>0</v>
      </c>
      <c r="AE152" s="962">
        <f t="shared" si="419"/>
        <v>0</v>
      </c>
      <c r="AF152" s="961">
        <f>IF(AND(N(AC152)&gt;=Paramétrage!$AX$11,N(AC152)&lt;=Paramétrage!$AX$12),IF(C152="cp",1,0),0)</f>
        <v>0</v>
      </c>
      <c r="AG152" s="962">
        <f t="shared" si="420"/>
        <v>0</v>
      </c>
      <c r="AI152" s="962">
        <f t="shared" si="421"/>
        <v>0</v>
      </c>
      <c r="AJ152" s="962">
        <f t="shared" si="422"/>
        <v>0</v>
      </c>
      <c r="AM152" s="962">
        <f t="shared" si="423"/>
        <v>0</v>
      </c>
      <c r="AN152" s="962">
        <f t="shared" si="424"/>
        <v>0</v>
      </c>
      <c r="AO152" s="962">
        <f t="shared" si="425"/>
        <v>0</v>
      </c>
      <c r="AP152" s="962">
        <f t="shared" si="426"/>
        <v>0</v>
      </c>
      <c r="AR152" s="917">
        <f>IF(AND(AC152&lt;=$AR$3,B152="CP"),1,0)</f>
        <v>0</v>
      </c>
      <c r="AS152" s="917">
        <f>IF(AND(AC152&lt;=$AR$3,C152="CP"),1,0)</f>
        <v>0</v>
      </c>
      <c r="AV152" s="954"/>
      <c r="AW152" s="963">
        <f t="shared" ref="AW152:BF152" si="428">IF(MONTH(AD152)=AW150,AH152,0)</f>
        <v>0</v>
      </c>
      <c r="AX152" s="963">
        <f t="shared" si="428"/>
        <v>0</v>
      </c>
      <c r="AY152" s="963">
        <f t="shared" si="428"/>
        <v>0</v>
      </c>
      <c r="AZ152" s="963">
        <f t="shared" si="428"/>
        <v>0</v>
      </c>
      <c r="BA152" s="963">
        <f t="shared" si="428"/>
        <v>0</v>
      </c>
      <c r="BB152" s="963">
        <f t="shared" si="428"/>
        <v>0</v>
      </c>
      <c r="BC152" s="963">
        <f t="shared" si="428"/>
        <v>0</v>
      </c>
      <c r="BD152" s="963">
        <f t="shared" si="428"/>
        <v>0</v>
      </c>
      <c r="BE152" s="963">
        <f t="shared" si="428"/>
        <v>0</v>
      </c>
      <c r="BF152" s="963">
        <f t="shared" si="428"/>
        <v>0</v>
      </c>
    </row>
    <row r="153" spans="1:58" ht="14.45" customHeight="1" x14ac:dyDescent="0.3">
      <c r="A153" s="964" t="s">
        <v>15</v>
      </c>
      <c r="B153" s="15" t="b">
        <f>IF(Paramétrage!$O$45="",FALSE,Paramétrage!$O$45)</f>
        <v>0</v>
      </c>
      <c r="C153" s="263"/>
      <c r="D153" s="16" t="b">
        <f>IF(Paramétrage!$Q$45="",FALSE,Paramétrage!$Q$45)</f>
        <v>0</v>
      </c>
      <c r="E153" s="264"/>
      <c r="F153" s="15" t="b">
        <f>IF(Paramétrage!$R$45="",FALSE,Paramétrage!$R$45)</f>
        <v>0</v>
      </c>
      <c r="G153" s="264"/>
      <c r="H153" s="17" t="b">
        <f>IF(Paramétrage!$T$45="",FALSE,Paramétrage!$T$45)</f>
        <v>0</v>
      </c>
      <c r="I153" s="263"/>
      <c r="J153" s="127" t="b">
        <f>IF(Paramétrage!$U$45="",FALSE,Paramétrage!$U$45)</f>
        <v>0</v>
      </c>
      <c r="K153" s="263"/>
      <c r="L153" s="28" t="b">
        <f>IF(Paramétrage!$W$45="",FALSE,Paramétrage!$W$45)</f>
        <v>0</v>
      </c>
      <c r="M153" s="263"/>
      <c r="N153" s="956">
        <f>IF(OR(B153="aa",B153="cp",B153="f",B153="jc",B153="m",B153="css"),0,(L153-J153)+(H153-F153)+(D153-B153))</f>
        <v>0</v>
      </c>
      <c r="O153" s="956">
        <f>SUM(AM153:AP153)+IF(OR(C153="m",C153="aa"),N153,IF(C153="css",0,IF(C153="cp",0,IF(C153="jc",0,IF(C153="f",0,E153-C153+I153-G153+M153-K153)))))</f>
        <v>0</v>
      </c>
      <c r="P153" s="956">
        <f t="shared" si="417"/>
        <v>0</v>
      </c>
      <c r="Q153" s="956">
        <f t="shared" si="409"/>
        <v>0</v>
      </c>
      <c r="R153" s="957">
        <f>IF(OR(C153="aa",C153="cp",C153="f",C153="jc",C153="m",C153="css"),0,IF(C153=0,MAX(B153,D153,F153,H153,J153,L153)-MIN(B153,D153,F153,H153,J153,L153),IF(C153&lt;&gt;0,MAX(C153,E153,G153,I153,K153,M153)-MIN(C153,E153,G153,I153,K153,M153))))</f>
        <v>0</v>
      </c>
      <c r="S153" s="262"/>
      <c r="T153" s="958" t="str">
        <f t="shared" ref="T153:T156" si="429">IF(AND(B153=FALSE,C153=""),"",IF(AND(B153=0,C153=0),"",(IF(OR(C153="cp",C153="f",C153="jc",C153="css"),"",IF(OR(C153="",C153="aa",C153="m"),(IF(OR(B153="cp",B153="f",B153="jc",B153="css"),"",B153*24+24-MAX(D152,H152,L152)*24)),C153*24+24-MAX(M152,I152,E152)*24)))))</f>
        <v/>
      </c>
      <c r="U153" s="959" t="str">
        <f>IF(P153=0,"",IF(P153&lt;Paramétrage!$S$12,"PB",IF(AND(Q153&lt;Paramétrage!$S$12,Q153&lt;&gt;0),"PB","")))</f>
        <v/>
      </c>
      <c r="V153" s="959" t="str">
        <f t="shared" si="412"/>
        <v/>
      </c>
      <c r="W153" s="959" t="str">
        <f t="shared" si="413"/>
        <v/>
      </c>
      <c r="X153" s="960" t="str">
        <f>IF(AND(N153=0,O153=0),"",(IF(OR(C153="aa",C153="cp",C153="f",C153="jc",C153="m",C153="css"),"",IF(C153="",IF(OR(D153-B153&gt;6/24,H153-F153&gt;6/24,L153-J153&gt;6/24),"PB",""),IF(OR(E153-C153&gt;6/24,I153-G153&gt;6/24,M153-K153&gt;6/24),"PB","")))))</f>
        <v/>
      </c>
      <c r="Y153" s="959" t="str">
        <f t="shared" si="415"/>
        <v/>
      </c>
      <c r="Z153" s="836"/>
      <c r="AA153" s="837"/>
      <c r="AB153" s="967"/>
      <c r="AC153" s="934">
        <f t="shared" si="418"/>
        <v>42699</v>
      </c>
      <c r="AD153" s="961">
        <f>IF(AND(N(AC153)&gt;=Paramétrage!$AU$11,N(AC153)&lt;=Paramétrage!$AU$12),IF(C153="cp",1,0),0)</f>
        <v>0</v>
      </c>
      <c r="AE153" s="962">
        <f t="shared" si="419"/>
        <v>0</v>
      </c>
      <c r="AF153" s="961">
        <f>IF(AND(N(AC153)&gt;=Paramétrage!$AX$11,N(AC153)&lt;=Paramétrage!$AX$12),IF(C153="cp",1,0),0)</f>
        <v>0</v>
      </c>
      <c r="AG153" s="962">
        <f t="shared" si="420"/>
        <v>0</v>
      </c>
      <c r="AI153" s="962">
        <f t="shared" si="421"/>
        <v>0</v>
      </c>
      <c r="AJ153" s="962">
        <f t="shared" si="422"/>
        <v>0</v>
      </c>
      <c r="AM153" s="962">
        <f t="shared" si="423"/>
        <v>0</v>
      </c>
      <c r="AN153" s="962">
        <f t="shared" si="424"/>
        <v>0</v>
      </c>
      <c r="AO153" s="962">
        <f t="shared" si="425"/>
        <v>0</v>
      </c>
      <c r="AP153" s="962">
        <f t="shared" si="426"/>
        <v>0</v>
      </c>
      <c r="AR153" s="917">
        <f>IF(AND(AC153&lt;=$AR$3,B153="CP"),1,0)</f>
        <v>0</v>
      </c>
      <c r="AS153" s="917">
        <f>IF(AND(AC153&lt;=$AR$3,C153="CP"),1,0)</f>
        <v>0</v>
      </c>
      <c r="AV153" s="954"/>
      <c r="AW153" s="963">
        <f t="shared" ref="AW153:BF153" si="430">IF(MONTH(AD153)=AW151,AH153,0)</f>
        <v>0</v>
      </c>
      <c r="AX153" s="963">
        <f t="shared" si="430"/>
        <v>0</v>
      </c>
      <c r="AY153" s="963">
        <f t="shared" si="430"/>
        <v>0</v>
      </c>
      <c r="AZ153" s="963">
        <f t="shared" si="430"/>
        <v>0</v>
      </c>
      <c r="BA153" s="963">
        <f t="shared" si="430"/>
        <v>0</v>
      </c>
      <c r="BB153" s="963">
        <f t="shared" si="430"/>
        <v>0</v>
      </c>
      <c r="BC153" s="963">
        <f t="shared" si="430"/>
        <v>0</v>
      </c>
      <c r="BD153" s="963">
        <f t="shared" si="430"/>
        <v>0</v>
      </c>
      <c r="BE153" s="963">
        <f t="shared" si="430"/>
        <v>0</v>
      </c>
      <c r="BF153" s="963" t="e">
        <f t="shared" si="430"/>
        <v>#VALUE!</v>
      </c>
    </row>
    <row r="154" spans="1:58" ht="14.45" customHeight="1" x14ac:dyDescent="0.3">
      <c r="A154" s="964" t="s">
        <v>16</v>
      </c>
      <c r="B154" s="15" t="b">
        <f>IF(Paramétrage!$O$46="",FALSE,Paramétrage!$O$46)</f>
        <v>0</v>
      </c>
      <c r="C154" s="263"/>
      <c r="D154" s="16" t="b">
        <f>IF(Paramétrage!$Q$46="",FALSE,Paramétrage!$Q$46)</f>
        <v>0</v>
      </c>
      <c r="E154" s="264"/>
      <c r="F154" s="15" t="b">
        <f>IF(Paramétrage!$R$46="",FALSE,Paramétrage!$R$46)</f>
        <v>0</v>
      </c>
      <c r="G154" s="264"/>
      <c r="H154" s="17" t="b">
        <f>IF(Paramétrage!$T$46="",FALSE,Paramétrage!$T$46)</f>
        <v>0</v>
      </c>
      <c r="I154" s="263"/>
      <c r="J154" s="127" t="b">
        <f>IF(Paramétrage!$U$46="",FALSE,Paramétrage!$U$46)</f>
        <v>0</v>
      </c>
      <c r="K154" s="263"/>
      <c r="L154" s="28" t="b">
        <f>IF(Paramétrage!$W$46="",FALSE,Paramétrage!$W$46)</f>
        <v>0</v>
      </c>
      <c r="M154" s="263"/>
      <c r="N154" s="956">
        <f>IF(OR(B154="aa",B154="cp",B154="f",B154="jc",B154="m",B154="css"),0,(L154-J154)+(H154-F154)+(D154-B154))</f>
        <v>0</v>
      </c>
      <c r="O154" s="956">
        <f>SUM(AM154:AP154)+IF(OR(C154="m",C154="aa"),N154,IF(C154="css",0,IF(C154="cp",0,IF(C154="jc",0,IF(C154="f",0,E154-C154+I154-G154+M154-K154)))))</f>
        <v>0</v>
      </c>
      <c r="P154" s="956">
        <f t="shared" si="417"/>
        <v>0</v>
      </c>
      <c r="Q154" s="956">
        <f t="shared" si="409"/>
        <v>0</v>
      </c>
      <c r="R154" s="957">
        <f>IF(OR(C154="aa",C154="cp",C154="f",C154="jc",C154="m",C154="css"),0,IF(C154=0,MAX(B154,D154,F154,H154,J154,L154)-MIN(B154,D154,F154,H154,J154,L154),IF(C154&lt;&gt;0,MAX(C154,E154,G154,I154,K154,M154)-MIN(C154,E154,G154,I154,K154,M154))))</f>
        <v>0</v>
      </c>
      <c r="S154" s="262"/>
      <c r="T154" s="958" t="str">
        <f t="shared" si="429"/>
        <v/>
      </c>
      <c r="U154" s="959" t="str">
        <f>IF(P154=0,"",IF(P154&lt;Paramétrage!$S$12,"PB",IF(AND(Q154&lt;Paramétrage!$S$12,Q154&lt;&gt;0),"PB","")))</f>
        <v/>
      </c>
      <c r="V154" s="959" t="str">
        <f t="shared" si="412"/>
        <v/>
      </c>
      <c r="W154" s="959" t="str">
        <f t="shared" si="413"/>
        <v/>
      </c>
      <c r="X154" s="960" t="str">
        <f>IF(AND(N154=0,O154=0),"",(IF(OR(C154="aa",C154="cp",C154="f",C154="jc",C154="m",C154="css"),"",IF(C154="",IF(OR(D154-B154&gt;6/24,H154-F154&gt;6/24,L154-J154&gt;6/24),"PB",""),IF(OR(E154-C154&gt;6/24,I154-G154&gt;6/24,M154-K154&gt;6/24),"PB","")))))</f>
        <v/>
      </c>
      <c r="Y154" s="959" t="str">
        <f t="shared" si="415"/>
        <v/>
      </c>
      <c r="Z154" s="836"/>
      <c r="AA154" s="837"/>
      <c r="AB154" s="967"/>
      <c r="AC154" s="934">
        <f t="shared" si="418"/>
        <v>42700</v>
      </c>
      <c r="AD154" s="961">
        <f>IF(AND(N(AC154)&gt;=Paramétrage!$AU$11,N(AC154)&lt;=Paramétrage!$AU$12),IF(C154="cp",1,0),0)</f>
        <v>0</v>
      </c>
      <c r="AE154" s="962">
        <f t="shared" si="419"/>
        <v>0</v>
      </c>
      <c r="AF154" s="961">
        <f>IF(AND(N(AC154)&gt;=Paramétrage!$AX$11,N(AC154)&lt;=Paramétrage!$AX$12),IF(C154="cp",1,0),0)</f>
        <v>0</v>
      </c>
      <c r="AG154" s="962">
        <f t="shared" si="420"/>
        <v>0</v>
      </c>
      <c r="AI154" s="962">
        <f t="shared" si="421"/>
        <v>0</v>
      </c>
      <c r="AJ154" s="962">
        <f t="shared" si="422"/>
        <v>0</v>
      </c>
      <c r="AM154" s="962">
        <f t="shared" si="423"/>
        <v>0</v>
      </c>
      <c r="AN154" s="962">
        <f t="shared" si="424"/>
        <v>0</v>
      </c>
      <c r="AO154" s="962">
        <f t="shared" si="425"/>
        <v>0</v>
      </c>
      <c r="AP154" s="962">
        <f t="shared" si="426"/>
        <v>0</v>
      </c>
      <c r="AR154" s="917">
        <f>IF(AND(AC154&lt;=$AR$3,B154="CP"),1,0)</f>
        <v>0</v>
      </c>
      <c r="AS154" s="917">
        <f>IF(AND(AC154&lt;=$AR$3,C154="CP"),1,0)</f>
        <v>0</v>
      </c>
      <c r="AV154" s="954"/>
      <c r="AW154" s="963">
        <f t="shared" ref="AW154:BF154" si="431">IF(MONTH(AD154)=AW152,AH154,0)</f>
        <v>0</v>
      </c>
      <c r="AX154" s="963">
        <f t="shared" si="431"/>
        <v>0</v>
      </c>
      <c r="AY154" s="963">
        <f t="shared" si="431"/>
        <v>0</v>
      </c>
      <c r="AZ154" s="963">
        <f t="shared" si="431"/>
        <v>0</v>
      </c>
      <c r="BA154" s="963">
        <f t="shared" si="431"/>
        <v>0</v>
      </c>
      <c r="BB154" s="963">
        <f t="shared" si="431"/>
        <v>0</v>
      </c>
      <c r="BC154" s="963">
        <f t="shared" si="431"/>
        <v>0</v>
      </c>
      <c r="BD154" s="963">
        <f t="shared" si="431"/>
        <v>0</v>
      </c>
      <c r="BE154" s="963">
        <f t="shared" si="431"/>
        <v>0</v>
      </c>
      <c r="BF154" s="963">
        <f t="shared" si="431"/>
        <v>0</v>
      </c>
    </row>
    <row r="155" spans="1:58" ht="14.45" customHeight="1" x14ac:dyDescent="0.3">
      <c r="A155" s="964" t="s">
        <v>19</v>
      </c>
      <c r="B155" s="15" t="b">
        <f>IF(Paramétrage!$O$47="",FALSE,Paramétrage!$O$47)</f>
        <v>0</v>
      </c>
      <c r="C155" s="263"/>
      <c r="D155" s="16" t="b">
        <f>IF(Paramétrage!$Q$47="",FALSE,Paramétrage!$Q$47)</f>
        <v>0</v>
      </c>
      <c r="E155" s="264"/>
      <c r="F155" s="15" t="b">
        <f>IF(Paramétrage!$R$47="",FALSE,Paramétrage!$R$47)</f>
        <v>0</v>
      </c>
      <c r="G155" s="264"/>
      <c r="H155" s="17" t="b">
        <f>IF(Paramétrage!$T$47="",FALSE,Paramétrage!$T$47)</f>
        <v>0</v>
      </c>
      <c r="I155" s="263"/>
      <c r="J155" s="127" t="b">
        <f>IF(Paramétrage!$U$47="",FALSE,Paramétrage!$U$47)</f>
        <v>0</v>
      </c>
      <c r="K155" s="263"/>
      <c r="L155" s="28" t="b">
        <f>IF(Paramétrage!$W$47="",FALSE,Paramétrage!$W$47)</f>
        <v>0</v>
      </c>
      <c r="M155" s="263"/>
      <c r="N155" s="956">
        <f>IF(OR(B155="aa",B155="cp",B155="f",B155="jc",B155="m",B155="css"),0,(L155-J155)+(H155-F155)+(D155-B155))</f>
        <v>0</v>
      </c>
      <c r="O155" s="956">
        <f>IF(OR(C155="m",C155="aa"),N155,IF(C155="cp",0,IF(OR(C155="css",C155="jc"),0,IF(C155="f",0,E155-C155+I155-G155+M155-K155))))</f>
        <v>0</v>
      </c>
      <c r="P155" s="956">
        <f t="shared" si="417"/>
        <v>0</v>
      </c>
      <c r="Q155" s="956">
        <f t="shared" si="409"/>
        <v>0</v>
      </c>
      <c r="R155" s="957">
        <f>IF(OR(C155="aa",C155="cp",C155="f",C155="jc",C155="m",C155="css"),0,IF(C155=0,MAX(B155,D155,F155,H155,J155,L155)-MIN(B155,D155,F155,H155,J155,L155),IF(C155&lt;&gt;0,MAX(C155,E155,G155,I155,K155,M155)-MIN(C155,E155,G155,I155,K155,M155))))</f>
        <v>0</v>
      </c>
      <c r="S155" s="262"/>
      <c r="T155" s="958" t="str">
        <f t="shared" si="429"/>
        <v/>
      </c>
      <c r="U155" s="959" t="str">
        <f>IF(P155=0,"",IF(P155&lt;Paramétrage!$S$12,"PB",IF(AND(Q155&lt;Paramétrage!$S$12,Q155&lt;&gt;0),"PB","")))</f>
        <v/>
      </c>
      <c r="V155" s="959" t="str">
        <f t="shared" si="412"/>
        <v/>
      </c>
      <c r="W155" s="959" t="str">
        <f t="shared" si="413"/>
        <v/>
      </c>
      <c r="X155" s="960" t="str">
        <f>IF(AND(N155=0,O155=0),"",(IF(OR(C155="aa",C155="cp",C155="f",C155="jc",C155="m",C155="css"),"",IF(C155="",IF(OR(D155-B155&gt;6/24,H155-F155&gt;6/24,L155-J155&gt;6/24),"PB",""),IF(OR(E155-C155&gt;6/24,I155-G155&gt;6/24,M155-K155&gt;6/24),"PB","")))))</f>
        <v/>
      </c>
      <c r="Y155" s="959" t="str">
        <f t="shared" si="415"/>
        <v/>
      </c>
      <c r="Z155" s="836"/>
      <c r="AA155" s="837"/>
      <c r="AC155" s="934">
        <f t="shared" si="418"/>
        <v>42701</v>
      </c>
      <c r="AD155" s="961">
        <f>IF(AND(N(AC155)&gt;=Paramétrage!$AU$11,N(AC155)&lt;=Paramétrage!$AU$12),IF(C155="cp",1,0),0)</f>
        <v>0</v>
      </c>
      <c r="AE155" s="962">
        <f t="shared" si="419"/>
        <v>0</v>
      </c>
      <c r="AF155" s="961">
        <f>IF(AND(N(AC155)&gt;=Paramétrage!$AX$11,N(AC155)&lt;=Paramétrage!$AX$12),IF(C155="cp",1,0),0)</f>
        <v>0</v>
      </c>
      <c r="AG155" s="962">
        <f t="shared" si="420"/>
        <v>0</v>
      </c>
      <c r="AI155" s="962">
        <f t="shared" si="421"/>
        <v>0</v>
      </c>
      <c r="AJ155" s="962">
        <f t="shared" si="422"/>
        <v>0</v>
      </c>
      <c r="AM155" s="962"/>
      <c r="AN155" s="962"/>
      <c r="AO155" s="962"/>
      <c r="AP155" s="962"/>
      <c r="AV155" s="954"/>
      <c r="AW155" s="963">
        <f t="shared" ref="AW155:BF155" si="432">IF(MONTH(AD155)=AW153,AH155,0)</f>
        <v>0</v>
      </c>
      <c r="AX155" s="963">
        <f t="shared" si="432"/>
        <v>0</v>
      </c>
      <c r="AY155" s="963">
        <f t="shared" si="432"/>
        <v>0</v>
      </c>
      <c r="AZ155" s="963">
        <f t="shared" si="432"/>
        <v>0</v>
      </c>
      <c r="BA155" s="963">
        <f t="shared" si="432"/>
        <v>0</v>
      </c>
      <c r="BB155" s="963">
        <f t="shared" si="432"/>
        <v>0</v>
      </c>
      <c r="BC155" s="963">
        <f t="shared" si="432"/>
        <v>0</v>
      </c>
      <c r="BD155" s="963">
        <f t="shared" si="432"/>
        <v>0</v>
      </c>
      <c r="BE155" s="963">
        <f t="shared" si="432"/>
        <v>0</v>
      </c>
      <c r="BF155" s="963" t="e">
        <f t="shared" si="432"/>
        <v>#VALUE!</v>
      </c>
    </row>
    <row r="156" spans="1:58" ht="14.45" customHeight="1" thickBot="1" x14ac:dyDescent="0.35">
      <c r="A156" s="966" t="s">
        <v>20</v>
      </c>
      <c r="B156" s="15" t="b">
        <f>IF(Paramétrage!$O$48="",FALSE,Paramétrage!$O$48)</f>
        <v>0</v>
      </c>
      <c r="C156" s="263"/>
      <c r="D156" s="16" t="b">
        <f>IF(Paramétrage!$Q$48="",FALSE,Paramétrage!$Q$48)</f>
        <v>0</v>
      </c>
      <c r="E156" s="264"/>
      <c r="F156" s="15" t="b">
        <f>IF(Paramétrage!$R$48="",FALSE,Paramétrage!$R$48)</f>
        <v>0</v>
      </c>
      <c r="G156" s="264"/>
      <c r="H156" s="17" t="b">
        <f>IF(Paramétrage!$T$48="",FALSE,Paramétrage!$T$48)</f>
        <v>0</v>
      </c>
      <c r="I156" s="263"/>
      <c r="J156" s="127" t="b">
        <f>IF(Paramétrage!$U$48="",FALSE,Paramétrage!$U$48)</f>
        <v>0</v>
      </c>
      <c r="K156" s="263"/>
      <c r="L156" s="28" t="b">
        <f>IF(Paramétrage!$W$48="",FALSE,Paramétrage!$W$48)</f>
        <v>0</v>
      </c>
      <c r="M156" s="263"/>
      <c r="N156" s="956">
        <f>IF(OR(B156="aa",B156="m"),M156,IF(B156="cp",0,IF(B156="jc",0,IF(B156="f",0,(D156-B156)*Paramétrage!$S$13+(H156-F156)*Paramétrage!$S$13+(L156-J156)*Paramétrage!$S$13+(D156-B156+H156-F156+L156-J156)))))</f>
        <v>0</v>
      </c>
      <c r="O156" s="956">
        <f>IF(OR(C156="aa",C156="m"),N156,IF(C156="cp",0,IF(C156="jc",0,IF(C156="f",0,(E156-C156)*Paramétrage!$S$13+(I156-G156)*Paramétrage!$S$13+(M156-K156)*Paramétrage!$S$13+(E156-C156+I156-G156+M156-K156)))))</f>
        <v>0</v>
      </c>
      <c r="P156" s="956">
        <f t="shared" si="417"/>
        <v>0</v>
      </c>
      <c r="Q156" s="956">
        <f t="shared" si="409"/>
        <v>0</v>
      </c>
      <c r="R156" s="957">
        <f t="shared" ref="R156" si="433">IF(OR(C156="aa",C156="cp",C156="f",C156="jc",C156="m",C156=0),MAX(B156,D156,F156,H156,J156,L156)-MIN(B156,D156,F156,H156,J156,L156),IF(C156&lt;&gt;0,MAX(C156,E156,G156,I156,K156,M156)-MIN(C156,E156,G156,I156,K156,M156)))</f>
        <v>0</v>
      </c>
      <c r="S156" s="262"/>
      <c r="T156" s="958" t="str">
        <f t="shared" si="429"/>
        <v/>
      </c>
      <c r="U156" s="959" t="str">
        <f>IF(P156=0,"",IF(P156&lt;Paramétrage!$S$12,"PB",IF(AND(Q156&lt;Paramétrage!$S$12,Q156&lt;&gt;0),"PB","")))</f>
        <v/>
      </c>
      <c r="V156" s="959" t="str">
        <f t="shared" si="412"/>
        <v/>
      </c>
      <c r="W156" s="959" t="str">
        <f t="shared" si="413"/>
        <v/>
      </c>
      <c r="X156" s="960" t="str">
        <f t="shared" ref="X156" si="434">IF(AND(N156=0,O156=0),"",(IF(OR(C156="aa",C156="cp",C156="f",C156="jc",C156="m"),"",IF(C156="",IF(OR(D156-B156&gt;6/24,H156-F156&gt;6/24,L156-J156&gt;6/24),"PB",""),IF(OR(E156-C156&gt;6/24,I156-G156&gt;6/24,M156-K156&gt;6/24),"PB","")))))</f>
        <v/>
      </c>
      <c r="Y156" s="959" t="str">
        <f t="shared" si="415"/>
        <v/>
      </c>
      <c r="Z156" s="836"/>
      <c r="AA156" s="837"/>
      <c r="AC156" s="934">
        <f t="shared" si="418"/>
        <v>42702</v>
      </c>
      <c r="AD156" s="961">
        <f>IF(AND(N(AC156)&gt;=Paramétrage!$AU$11,N(AC156)&lt;=Paramétrage!$AU$12),IF(C156="cp",1,0),0)</f>
        <v>0</v>
      </c>
      <c r="AE156" s="962">
        <f t="shared" si="419"/>
        <v>0</v>
      </c>
      <c r="AF156" s="961">
        <f>IF(AND(N(AC156)&gt;=Paramétrage!$AX$11,N(AC156)&lt;=Paramétrage!$AX$12),IF(C156="cp",1,0),0)</f>
        <v>0</v>
      </c>
      <c r="AG156" s="962">
        <f t="shared" si="420"/>
        <v>0</v>
      </c>
      <c r="AI156" s="962">
        <f t="shared" si="421"/>
        <v>0</v>
      </c>
      <c r="AJ156" s="962">
        <f t="shared" si="422"/>
        <v>0</v>
      </c>
      <c r="AM156" s="962"/>
      <c r="AN156" s="962"/>
      <c r="AO156" s="962"/>
      <c r="AP156" s="962"/>
      <c r="AV156" s="954"/>
      <c r="AW156" s="963">
        <f t="shared" ref="AW156:BF156" si="435">IF(MONTH(AD156)=AW154,AH156,0)</f>
        <v>0</v>
      </c>
      <c r="AX156" s="963">
        <f t="shared" si="435"/>
        <v>0</v>
      </c>
      <c r="AY156" s="963">
        <f t="shared" si="435"/>
        <v>0</v>
      </c>
      <c r="AZ156" s="963">
        <f t="shared" si="435"/>
        <v>0</v>
      </c>
      <c r="BA156" s="963">
        <f t="shared" si="435"/>
        <v>0</v>
      </c>
      <c r="BB156" s="963">
        <f t="shared" si="435"/>
        <v>0</v>
      </c>
      <c r="BC156" s="963">
        <f t="shared" si="435"/>
        <v>0</v>
      </c>
      <c r="BD156" s="963">
        <f t="shared" si="435"/>
        <v>0</v>
      </c>
      <c r="BE156" s="963">
        <f t="shared" si="435"/>
        <v>0</v>
      </c>
      <c r="BF156" s="963">
        <f t="shared" si="435"/>
        <v>0</v>
      </c>
    </row>
    <row r="157" spans="1:58" x14ac:dyDescent="0.25">
      <c r="A157" s="969" t="s">
        <v>78</v>
      </c>
      <c r="B157" s="970"/>
      <c r="C157" s="970"/>
      <c r="D157" s="970"/>
      <c r="E157" s="970"/>
      <c r="F157" s="970"/>
      <c r="G157" s="970"/>
      <c r="H157" s="970"/>
      <c r="I157" s="970"/>
      <c r="J157" s="970"/>
      <c r="K157" s="971"/>
      <c r="L157" s="970"/>
      <c r="M157" s="970"/>
      <c r="N157" s="972">
        <f>SUM(N150:N156)</f>
        <v>0</v>
      </c>
      <c r="O157" s="972">
        <f>SUM(O150:O156)</f>
        <v>0</v>
      </c>
      <c r="P157" s="972">
        <f>SUM(P150:P156)</f>
        <v>0</v>
      </c>
      <c r="Q157" s="972">
        <f>SUM(Q150:Q156)</f>
        <v>0</v>
      </c>
      <c r="R157" s="972"/>
      <c r="S157" s="972"/>
      <c r="T157" s="973"/>
      <c r="U157" s="974"/>
      <c r="V157" s="975" t="str">
        <f>IF((O157*24)&gt;48,"PB","")</f>
        <v/>
      </c>
      <c r="W157" s="974"/>
      <c r="X157" s="972"/>
      <c r="Y157" s="974"/>
      <c r="Z157" s="976" t="s">
        <v>59</v>
      </c>
      <c r="AA157" s="977">
        <f>+O157-N157</f>
        <v>0</v>
      </c>
      <c r="AM157" s="935"/>
      <c r="AN157" s="935"/>
      <c r="AO157" s="935"/>
      <c r="AP157" s="935"/>
      <c r="AV157" s="954"/>
      <c r="AW157" s="963">
        <f t="shared" ref="AW157:BF157" si="436">IF(MONTH(AD157)=AW155,AH157,0)</f>
        <v>0</v>
      </c>
      <c r="AX157" s="963">
        <f t="shared" si="436"/>
        <v>0</v>
      </c>
      <c r="AY157" s="963">
        <f t="shared" si="436"/>
        <v>0</v>
      </c>
      <c r="AZ157" s="963">
        <f t="shared" si="436"/>
        <v>0</v>
      </c>
      <c r="BA157" s="963">
        <f t="shared" si="436"/>
        <v>0</v>
      </c>
      <c r="BB157" s="963">
        <f t="shared" si="436"/>
        <v>0</v>
      </c>
      <c r="BC157" s="963">
        <f t="shared" si="436"/>
        <v>0</v>
      </c>
      <c r="BD157" s="963">
        <f t="shared" si="436"/>
        <v>0</v>
      </c>
      <c r="BE157" s="963">
        <f t="shared" si="436"/>
        <v>0</v>
      </c>
      <c r="BF157" s="963" t="e">
        <f t="shared" si="436"/>
        <v>#VALUE!</v>
      </c>
    </row>
    <row r="158" spans="1:58" x14ac:dyDescent="0.25">
      <c r="A158" s="969"/>
      <c r="B158" s="970"/>
      <c r="C158" s="970"/>
      <c r="D158" s="970"/>
      <c r="E158" s="970"/>
      <c r="F158" s="970"/>
      <c r="G158" s="970"/>
      <c r="H158" s="970"/>
      <c r="I158" s="970"/>
      <c r="J158" s="970"/>
      <c r="K158" s="971"/>
      <c r="L158" s="970"/>
      <c r="M158" s="970"/>
      <c r="N158" s="973"/>
      <c r="O158" s="973"/>
      <c r="P158" s="973"/>
      <c r="Q158" s="973"/>
      <c r="R158" s="973"/>
      <c r="S158" s="973"/>
      <c r="T158" s="973"/>
      <c r="U158" s="974"/>
      <c r="V158" s="978"/>
      <c r="W158" s="974"/>
      <c r="X158" s="973"/>
      <c r="Y158" s="974"/>
      <c r="Z158" s="976"/>
      <c r="AA158" s="977"/>
      <c r="AM158" s="935"/>
      <c r="AN158" s="935"/>
      <c r="AO158" s="935"/>
      <c r="AP158" s="935"/>
      <c r="AV158" s="954"/>
      <c r="AW158" s="963">
        <f t="shared" ref="AW158:BF158" si="437">IF(MONTH(AD158)=AW156,AH158,0)</f>
        <v>0</v>
      </c>
      <c r="AX158" s="963">
        <f t="shared" si="437"/>
        <v>0</v>
      </c>
      <c r="AY158" s="963">
        <f t="shared" si="437"/>
        <v>0</v>
      </c>
      <c r="AZ158" s="963">
        <f t="shared" si="437"/>
        <v>0</v>
      </c>
      <c r="BA158" s="963">
        <f t="shared" si="437"/>
        <v>0</v>
      </c>
      <c r="BB158" s="963">
        <f t="shared" si="437"/>
        <v>0</v>
      </c>
      <c r="BC158" s="963">
        <f t="shared" si="437"/>
        <v>0</v>
      </c>
      <c r="BD158" s="963">
        <f t="shared" si="437"/>
        <v>0</v>
      </c>
      <c r="BE158" s="963">
        <f t="shared" si="437"/>
        <v>0</v>
      </c>
      <c r="BF158" s="963">
        <f t="shared" si="437"/>
        <v>0</v>
      </c>
    </row>
    <row r="159" spans="1:58" ht="16.5" x14ac:dyDescent="0.3">
      <c r="A159" s="997" t="s">
        <v>79</v>
      </c>
      <c r="B159" s="997"/>
      <c r="C159" s="997"/>
      <c r="D159" s="997"/>
      <c r="E159" s="997"/>
      <c r="F159" s="998">
        <f>N157+N145+N133+N121+N109+N97+N85+N73+N61+N49+N37+N25+N13</f>
        <v>0</v>
      </c>
      <c r="G159" s="998"/>
      <c r="H159" s="997"/>
      <c r="I159" s="997"/>
      <c r="J159" s="997"/>
      <c r="K159" s="997"/>
      <c r="L159" s="999"/>
      <c r="M159" s="999"/>
      <c r="N159" s="997"/>
      <c r="O159" s="997"/>
      <c r="P159" s="997"/>
      <c r="Q159" s="997"/>
      <c r="R159" s="1000"/>
      <c r="S159" s="1000"/>
      <c r="T159" s="1000"/>
      <c r="U159" s="1000"/>
      <c r="V159" s="1000"/>
      <c r="W159" s="1000"/>
      <c r="X159" s="1000"/>
      <c r="Y159" s="1000"/>
      <c r="Z159" s="1001"/>
      <c r="AA159" s="1002"/>
      <c r="AV159" s="954"/>
      <c r="AW159" s="963">
        <f t="shared" ref="AW159:BF159" si="438">IF(MONTH(AD159)=AW157,AH159,0)</f>
        <v>0</v>
      </c>
      <c r="AX159" s="963">
        <f t="shared" si="438"/>
        <v>0</v>
      </c>
      <c r="AY159" s="963">
        <f t="shared" si="438"/>
        <v>0</v>
      </c>
      <c r="AZ159" s="963">
        <f t="shared" si="438"/>
        <v>0</v>
      </c>
      <c r="BA159" s="963">
        <f t="shared" si="438"/>
        <v>0</v>
      </c>
      <c r="BB159" s="963">
        <f t="shared" si="438"/>
        <v>0</v>
      </c>
      <c r="BC159" s="963">
        <f t="shared" si="438"/>
        <v>0</v>
      </c>
      <c r="BD159" s="963">
        <f t="shared" si="438"/>
        <v>0</v>
      </c>
      <c r="BE159" s="963">
        <f t="shared" si="438"/>
        <v>0</v>
      </c>
      <c r="BF159" s="963" t="e">
        <f t="shared" si="438"/>
        <v>#VALUE!</v>
      </c>
    </row>
    <row r="160" spans="1:58" ht="18.75" x14ac:dyDescent="0.3">
      <c r="A160" s="1003" t="s">
        <v>80</v>
      </c>
      <c r="B160" s="1003"/>
      <c r="C160" s="1003"/>
      <c r="D160" s="1003"/>
      <c r="E160" s="1003"/>
      <c r="F160" s="1004">
        <f>O157+O145+O133+O121+O109+O97+O85+O73+O61+O49+O37+O25+O13</f>
        <v>0</v>
      </c>
      <c r="G160" s="1004"/>
      <c r="H160" s="997"/>
      <c r="I160" s="997"/>
      <c r="J160" s="997"/>
      <c r="K160" s="997"/>
      <c r="L160" s="999"/>
      <c r="M160" s="999"/>
      <c r="N160" s="997"/>
      <c r="O160" s="997"/>
      <c r="P160" s="997"/>
      <c r="Q160" s="997"/>
      <c r="R160" s="1005" t="s">
        <v>120</v>
      </c>
      <c r="S160" s="1005"/>
      <c r="T160" s="1005"/>
      <c r="U160" s="1005"/>
      <c r="V160" s="1005"/>
      <c r="W160" s="1005"/>
      <c r="X160" s="1005"/>
      <c r="Y160" s="1005"/>
      <c r="Z160" s="1005"/>
      <c r="AA160" s="1005"/>
      <c r="AV160" s="954"/>
      <c r="AW160" s="963">
        <f t="shared" ref="AW160:BF160" si="439">IF(MONTH(AD160)=AW158,AH160,0)</f>
        <v>0</v>
      </c>
      <c r="AX160" s="963">
        <f t="shared" si="439"/>
        <v>0</v>
      </c>
      <c r="AY160" s="963">
        <f t="shared" si="439"/>
        <v>0</v>
      </c>
      <c r="AZ160" s="963">
        <f t="shared" si="439"/>
        <v>0</v>
      </c>
      <c r="BA160" s="963">
        <f t="shared" si="439"/>
        <v>0</v>
      </c>
      <c r="BB160" s="963">
        <f t="shared" si="439"/>
        <v>0</v>
      </c>
      <c r="BC160" s="963">
        <f t="shared" si="439"/>
        <v>0</v>
      </c>
      <c r="BD160" s="963">
        <f t="shared" si="439"/>
        <v>0</v>
      </c>
      <c r="BE160" s="963">
        <f t="shared" si="439"/>
        <v>0</v>
      </c>
      <c r="BF160" s="963">
        <f t="shared" si="439"/>
        <v>0</v>
      </c>
    </row>
    <row r="161" spans="1:58" ht="16.5" x14ac:dyDescent="0.3">
      <c r="A161" s="1003" t="s">
        <v>81</v>
      </c>
      <c r="B161" s="1003"/>
      <c r="C161" s="1003"/>
      <c r="D161" s="1003"/>
      <c r="E161" s="1003"/>
      <c r="F161" s="1004">
        <f>+annualisation!$B$21</f>
        <v>0</v>
      </c>
      <c r="G161" s="1004"/>
      <c r="H161" s="997"/>
      <c r="I161" s="997"/>
      <c r="J161" s="997"/>
      <c r="K161" s="997"/>
      <c r="L161" s="999"/>
      <c r="M161" s="999"/>
      <c r="N161" s="997"/>
      <c r="O161" s="997"/>
      <c r="P161" s="997"/>
      <c r="Q161" s="997"/>
      <c r="R161" s="1000"/>
      <c r="S161" s="1000"/>
      <c r="T161" s="1000"/>
      <c r="U161" s="1000"/>
      <c r="V161" s="1000"/>
      <c r="W161" s="1000"/>
      <c r="X161" s="1000"/>
      <c r="Y161" s="1000"/>
      <c r="Z161" s="1001"/>
      <c r="AA161" s="1002"/>
      <c r="AV161" s="954"/>
      <c r="AW161" s="963">
        <f t="shared" ref="AW161:BF161" si="440">IF(MONTH(AD161)=AW159,AH161,0)</f>
        <v>0</v>
      </c>
      <c r="AX161" s="963">
        <f t="shared" si="440"/>
        <v>0</v>
      </c>
      <c r="AY161" s="963">
        <f t="shared" si="440"/>
        <v>0</v>
      </c>
      <c r="AZ161" s="963">
        <f t="shared" si="440"/>
        <v>0</v>
      </c>
      <c r="BA161" s="963">
        <f t="shared" si="440"/>
        <v>0</v>
      </c>
      <c r="BB161" s="963">
        <f t="shared" si="440"/>
        <v>0</v>
      </c>
      <c r="BC161" s="963">
        <f t="shared" si="440"/>
        <v>0</v>
      </c>
      <c r="BD161" s="963">
        <f t="shared" si="440"/>
        <v>0</v>
      </c>
      <c r="BE161" s="963">
        <f t="shared" si="440"/>
        <v>0</v>
      </c>
      <c r="BF161" s="963" t="e">
        <f t="shared" si="440"/>
        <v>#VALUE!</v>
      </c>
    </row>
    <row r="162" spans="1:58" ht="16.5" customHeight="1" x14ac:dyDescent="0.3">
      <c r="A162" s="1003" t="s">
        <v>71</v>
      </c>
      <c r="B162" s="1003"/>
      <c r="C162" s="1003"/>
      <c r="D162" s="1003"/>
      <c r="E162" s="1003"/>
      <c r="F162" s="1004">
        <f>+annualisation!F78</f>
        <v>0</v>
      </c>
      <c r="G162" s="1004"/>
      <c r="H162" s="997"/>
      <c r="I162" s="997"/>
      <c r="J162" s="997"/>
      <c r="K162" s="997"/>
      <c r="L162" s="999"/>
      <c r="M162" s="999"/>
      <c r="N162" s="997"/>
      <c r="O162" s="997"/>
      <c r="P162" s="1006"/>
      <c r="Q162" s="1007" t="s">
        <v>155</v>
      </c>
      <c r="R162" s="1008"/>
      <c r="S162" s="1009" t="str">
        <f>Paramétrage!$K$5&amp;" "&amp;Paramétrage!$C$5</f>
        <v xml:space="preserve"> </v>
      </c>
      <c r="T162" s="1009"/>
      <c r="U162" s="1009"/>
      <c r="V162" s="1009"/>
      <c r="W162" s="1009"/>
      <c r="X162" s="1009"/>
      <c r="Y162" s="1010"/>
      <c r="Z162" s="1011" t="s">
        <v>154</v>
      </c>
      <c r="AA162" s="1011"/>
      <c r="AC162" s="934">
        <f>'T2'!AC6</f>
        <v>42703</v>
      </c>
      <c r="AD162" s="968">
        <f>'T2'!AD6</f>
        <v>0</v>
      </c>
      <c r="AE162" s="962">
        <f>'T2'!N6</f>
        <v>0</v>
      </c>
      <c r="AF162" s="968">
        <f>'T2'!AF6</f>
        <v>0</v>
      </c>
      <c r="AG162" s="962">
        <f>'T2'!O6</f>
        <v>0</v>
      </c>
      <c r="AI162" s="962">
        <f>AE162+AI156</f>
        <v>0</v>
      </c>
      <c r="AJ162" s="962">
        <f>AG162+AJ156</f>
        <v>0</v>
      </c>
      <c r="AV162" s="954"/>
      <c r="AW162" s="963">
        <f t="shared" ref="AW162:BF162" si="441">IF(MONTH(AD162)=AW160,AH162,0)</f>
        <v>0</v>
      </c>
      <c r="AX162" s="963">
        <f t="shared" si="441"/>
        <v>0</v>
      </c>
      <c r="AY162" s="963">
        <f t="shared" si="441"/>
        <v>0</v>
      </c>
      <c r="AZ162" s="963">
        <f t="shared" si="441"/>
        <v>0</v>
      </c>
      <c r="BA162" s="963">
        <f t="shared" si="441"/>
        <v>0</v>
      </c>
      <c r="BB162" s="963">
        <f t="shared" si="441"/>
        <v>0</v>
      </c>
      <c r="BC162" s="963">
        <f t="shared" si="441"/>
        <v>0</v>
      </c>
      <c r="BD162" s="963">
        <f t="shared" si="441"/>
        <v>0</v>
      </c>
      <c r="BE162" s="963">
        <f t="shared" si="441"/>
        <v>0</v>
      </c>
      <c r="BF162" s="963">
        <f t="shared" si="441"/>
        <v>0</v>
      </c>
    </row>
    <row r="163" spans="1:58" ht="16.5" x14ac:dyDescent="0.3">
      <c r="A163" s="1003" t="s">
        <v>180</v>
      </c>
      <c r="B163" s="1003"/>
      <c r="C163" s="1003"/>
      <c r="D163" s="1003"/>
      <c r="E163" s="1003"/>
      <c r="F163" s="1012">
        <f>COUNTIF(C6:C12,"cp")+COUNTIF(C18:C24,"cp")+COUNTIF(C30:C36,"cp")+COUNTIF(C42:C48,"cp")+COUNTIF(C54:C60,"cp")+COUNTIF(C66:C72,"cp")+COUNTIF(C78:C84,"cp")+COUNTIF(C90:C96,"cp")+COUNTIF(C102:C108,"cp")+COUNTIF(C114:C120,"cp")+COUNTIF(C126:C132,"cp")+COUNTIF(C138:C144,"cp")+COUNTIF(C150:C156,"cp")</f>
        <v>0</v>
      </c>
      <c r="G163" s="1012"/>
      <c r="H163" s="1013" t="s">
        <v>23</v>
      </c>
      <c r="I163" s="1014"/>
      <c r="J163" s="1015" t="str">
        <f>ROUND(Paramétrage!AD11,2)-'T1'!F163&amp;" jours"</f>
        <v>25 jours</v>
      </c>
      <c r="K163" s="1016"/>
      <c r="L163" s="999"/>
      <c r="M163" s="999"/>
      <c r="N163" s="997"/>
      <c r="O163" s="997"/>
      <c r="P163" s="997"/>
      <c r="Q163" s="1017"/>
      <c r="R163" s="1018"/>
      <c r="S163" s="1019"/>
      <c r="T163" s="1019"/>
      <c r="U163" s="1019"/>
      <c r="V163" s="1019"/>
      <c r="W163" s="1019"/>
      <c r="X163" s="1019"/>
      <c r="Y163" s="1020"/>
      <c r="Z163" s="1011"/>
      <c r="AA163" s="1011"/>
      <c r="AC163" s="934">
        <f>'T2'!AC7</f>
        <v>42704</v>
      </c>
      <c r="AD163" s="968">
        <f>'T2'!AD7</f>
        <v>0</v>
      </c>
      <c r="AE163" s="962">
        <f>'T2'!N7</f>
        <v>0</v>
      </c>
      <c r="AF163" s="968">
        <f>'T2'!AF7</f>
        <v>0</v>
      </c>
      <c r="AG163" s="962">
        <f>'T2'!O7</f>
        <v>0</v>
      </c>
      <c r="AI163" s="962">
        <f t="shared" ref="AI163:AI168" si="442">AE163+AI162</f>
        <v>0</v>
      </c>
      <c r="AJ163" s="962">
        <f t="shared" ref="AJ163:AJ168" si="443">AG163+AJ162</f>
        <v>0</v>
      </c>
      <c r="AV163" s="954"/>
      <c r="AW163" s="963">
        <f t="shared" ref="AW163:BF163" si="444">IF(MONTH(AD163)=AW161,AH163,0)</f>
        <v>0</v>
      </c>
      <c r="AX163" s="963">
        <f t="shared" si="444"/>
        <v>0</v>
      </c>
      <c r="AY163" s="963">
        <f t="shared" si="444"/>
        <v>0</v>
      </c>
      <c r="AZ163" s="963">
        <f t="shared" si="444"/>
        <v>0</v>
      </c>
      <c r="BA163" s="963">
        <f t="shared" si="444"/>
        <v>0</v>
      </c>
      <c r="BB163" s="963">
        <f t="shared" si="444"/>
        <v>0</v>
      </c>
      <c r="BC163" s="963">
        <f t="shared" si="444"/>
        <v>0</v>
      </c>
      <c r="BD163" s="963">
        <f t="shared" si="444"/>
        <v>0</v>
      </c>
      <c r="BE163" s="963">
        <f t="shared" si="444"/>
        <v>0</v>
      </c>
      <c r="BF163" s="963" t="e">
        <f t="shared" si="444"/>
        <v>#VALUE!</v>
      </c>
    </row>
    <row r="164" spans="1:58" ht="16.5" x14ac:dyDescent="0.3">
      <c r="A164" s="1003" t="s">
        <v>181</v>
      </c>
      <c r="B164" s="1003"/>
      <c r="C164" s="1003"/>
      <c r="D164" s="1003"/>
      <c r="E164" s="1003"/>
      <c r="F164" s="1012">
        <f>COUNTIF(C6:C12,"jc")+COUNTIF(C18:C24,"jc")+COUNTIF(C30:C36,"jc")+COUNTIF(C42:C48,"jc")+COUNTIF(C54:C60,"jc")+COUNTIF(C66:C72,"jc")+COUNTIF(C78:C84,"jc")+COUNTIF(C90:C96,"jc")+COUNTIF(C102:C108,"jc")+COUNTIF(C114:C120,"jc")+COUNTIF(C126:C132,"jc")+COUNTIF(C138:C144,"jc")+COUNTIF(C150:C156,"jc")</f>
        <v>0</v>
      </c>
      <c r="G164" s="1012"/>
      <c r="H164" s="997"/>
      <c r="I164" s="997"/>
      <c r="J164" s="997"/>
      <c r="K164" s="997"/>
      <c r="L164" s="999"/>
      <c r="M164" s="999"/>
      <c r="N164" s="997"/>
      <c r="O164" s="997"/>
      <c r="P164" s="997"/>
      <c r="Q164" s="1021"/>
      <c r="R164" s="1022"/>
      <c r="S164" s="1023"/>
      <c r="T164" s="1023"/>
      <c r="U164" s="1023"/>
      <c r="V164" s="1023"/>
      <c r="W164" s="1023"/>
      <c r="X164" s="1023"/>
      <c r="Y164" s="1024"/>
      <c r="Z164" s="1011"/>
      <c r="AA164" s="1011"/>
      <c r="AC164" s="934">
        <f>'T2'!AC8</f>
        <v>42705</v>
      </c>
      <c r="AD164" s="968">
        <f>'T2'!AD8</f>
        <v>0</v>
      </c>
      <c r="AE164" s="962">
        <f>'T2'!N8</f>
        <v>0</v>
      </c>
      <c r="AF164" s="968">
        <f>'T2'!AF8</f>
        <v>0</v>
      </c>
      <c r="AG164" s="962">
        <f>'T2'!O8</f>
        <v>0</v>
      </c>
      <c r="AI164" s="962">
        <f t="shared" si="442"/>
        <v>0</v>
      </c>
      <c r="AJ164" s="962">
        <f t="shared" si="443"/>
        <v>0</v>
      </c>
      <c r="AV164" s="954"/>
      <c r="AW164" s="963">
        <f t="shared" ref="AW164:BF164" si="445">IF(MONTH(AD164)=AW162,AH164,0)</f>
        <v>0</v>
      </c>
      <c r="AX164" s="963">
        <f t="shared" si="445"/>
        <v>0</v>
      </c>
      <c r="AY164" s="963">
        <f t="shared" si="445"/>
        <v>0</v>
      </c>
      <c r="AZ164" s="963">
        <f t="shared" si="445"/>
        <v>0</v>
      </c>
      <c r="BA164" s="963">
        <f t="shared" si="445"/>
        <v>0</v>
      </c>
      <c r="BB164" s="963">
        <f t="shared" si="445"/>
        <v>0</v>
      </c>
      <c r="BC164" s="963">
        <f t="shared" si="445"/>
        <v>0</v>
      </c>
      <c r="BD164" s="963">
        <f t="shared" si="445"/>
        <v>0</v>
      </c>
      <c r="BE164" s="963">
        <f t="shared" si="445"/>
        <v>0</v>
      </c>
      <c r="BF164" s="963">
        <f t="shared" si="445"/>
        <v>0</v>
      </c>
    </row>
    <row r="165" spans="1:58" ht="16.5" x14ac:dyDescent="0.3">
      <c r="A165" s="1003" t="s">
        <v>82</v>
      </c>
      <c r="B165" s="1003"/>
      <c r="C165" s="1003"/>
      <c r="D165" s="1003"/>
      <c r="E165" s="1003"/>
      <c r="F165" s="1012">
        <f>COUNTIF(C6:C12,"m")+COUNTIF(C18:C24,"m")+COUNTIF(C30:C36,"m")+COUNTIF(C42:C48,"m")+COUNTIF(C54:C60,"m")+COUNTIF(C66:C72,"m")+COUNTIF(C78:C84,"m")+COUNTIF(C90:C96,"m")+COUNTIF(C102:C108,"m")+COUNTIF(C114:C120,"m")+COUNTIF(C126:C132,"m")+COUNTIF(C138:C144,"m")+COUNTIF(C150:C156,"m")</f>
        <v>0</v>
      </c>
      <c r="G165" s="1012"/>
      <c r="H165" s="997"/>
      <c r="I165" s="997"/>
      <c r="J165" s="997"/>
      <c r="K165" s="997"/>
      <c r="L165" s="999"/>
      <c r="M165" s="999"/>
      <c r="N165" s="997"/>
      <c r="O165" s="997"/>
      <c r="P165" s="1025" t="str">
        <f>A5</f>
        <v>S36</v>
      </c>
      <c r="Q165" s="1026"/>
      <c r="R165" s="1027"/>
      <c r="S165" s="1028"/>
      <c r="T165" s="1028"/>
      <c r="U165" s="1028"/>
      <c r="V165" s="1028"/>
      <c r="W165" s="1028"/>
      <c r="X165" s="1028"/>
      <c r="Y165" s="1027"/>
      <c r="Z165" s="1029"/>
      <c r="AA165" s="1030"/>
      <c r="AC165" s="934">
        <f>'T2'!AC9</f>
        <v>42706</v>
      </c>
      <c r="AD165" s="968">
        <f>'T2'!AD9</f>
        <v>0</v>
      </c>
      <c r="AE165" s="962">
        <f>'T2'!N9</f>
        <v>0</v>
      </c>
      <c r="AF165" s="968">
        <f>'T2'!AF9</f>
        <v>0</v>
      </c>
      <c r="AG165" s="962">
        <f>'T2'!O9</f>
        <v>0</v>
      </c>
      <c r="AI165" s="962">
        <f t="shared" si="442"/>
        <v>0</v>
      </c>
      <c r="AJ165" s="962">
        <f t="shared" si="443"/>
        <v>0</v>
      </c>
      <c r="AV165" s="954"/>
      <c r="AW165" s="963">
        <f t="shared" ref="AW165:BF165" si="446">IF(MONTH(AD165)=AW163,AH165,0)</f>
        <v>0</v>
      </c>
      <c r="AX165" s="963">
        <f t="shared" si="446"/>
        <v>0</v>
      </c>
      <c r="AY165" s="963">
        <f t="shared" si="446"/>
        <v>0</v>
      </c>
      <c r="AZ165" s="963">
        <f t="shared" si="446"/>
        <v>0</v>
      </c>
      <c r="BA165" s="963">
        <f t="shared" si="446"/>
        <v>0</v>
      </c>
      <c r="BB165" s="963">
        <f t="shared" si="446"/>
        <v>0</v>
      </c>
      <c r="BC165" s="963">
        <f t="shared" si="446"/>
        <v>0</v>
      </c>
      <c r="BD165" s="963">
        <f t="shared" si="446"/>
        <v>0</v>
      </c>
      <c r="BE165" s="963">
        <f t="shared" si="446"/>
        <v>0</v>
      </c>
      <c r="BF165" s="963" t="e">
        <f t="shared" si="446"/>
        <v>#VALUE!</v>
      </c>
    </row>
    <row r="166" spans="1:58" ht="16.5" x14ac:dyDescent="0.3">
      <c r="A166" s="1003" t="s">
        <v>222</v>
      </c>
      <c r="B166" s="1000"/>
      <c r="C166" s="1000"/>
      <c r="D166" s="1000"/>
      <c r="E166" s="1000"/>
      <c r="F166" s="1012">
        <f>COUNTIF(C6:C156,"aa")</f>
        <v>0</v>
      </c>
      <c r="G166" s="1012"/>
      <c r="H166" s="1000"/>
      <c r="I166" s="1000"/>
      <c r="J166" s="999"/>
      <c r="K166" s="999"/>
      <c r="L166" s="999"/>
      <c r="M166" s="999"/>
      <c r="N166" s="997"/>
      <c r="O166" s="997"/>
      <c r="P166" s="1025"/>
      <c r="Q166" s="1031"/>
      <c r="R166" s="1032"/>
      <c r="S166" s="1033"/>
      <c r="T166" s="1033"/>
      <c r="U166" s="1033"/>
      <c r="V166" s="1033"/>
      <c r="W166" s="1033"/>
      <c r="X166" s="1033"/>
      <c r="Y166" s="1032"/>
      <c r="Z166" s="1034"/>
      <c r="AA166" s="1035"/>
      <c r="AC166" s="934">
        <f>'T2'!AC10</f>
        <v>42707</v>
      </c>
      <c r="AD166" s="968">
        <f>'T2'!AD10</f>
        <v>0</v>
      </c>
      <c r="AE166" s="962">
        <f>'T2'!N10</f>
        <v>0</v>
      </c>
      <c r="AF166" s="968">
        <f>'T2'!AF10</f>
        <v>0</v>
      </c>
      <c r="AG166" s="962">
        <f>'T2'!O10</f>
        <v>0</v>
      </c>
      <c r="AI166" s="962">
        <f t="shared" si="442"/>
        <v>0</v>
      </c>
      <c r="AJ166" s="962">
        <f t="shared" si="443"/>
        <v>0</v>
      </c>
      <c r="AV166" s="954"/>
      <c r="AW166" s="963">
        <f t="shared" ref="AW166:BF166" si="447">IF(MONTH(AD166)=AW164,AH166,0)</f>
        <v>0</v>
      </c>
      <c r="AX166" s="963">
        <f t="shared" si="447"/>
        <v>0</v>
      </c>
      <c r="AY166" s="963">
        <f t="shared" si="447"/>
        <v>0</v>
      </c>
      <c r="AZ166" s="963">
        <f t="shared" si="447"/>
        <v>0</v>
      </c>
      <c r="BA166" s="963">
        <f t="shared" si="447"/>
        <v>0</v>
      </c>
      <c r="BB166" s="963">
        <f t="shared" si="447"/>
        <v>0</v>
      </c>
      <c r="BC166" s="963">
        <f t="shared" si="447"/>
        <v>0</v>
      </c>
      <c r="BD166" s="963">
        <f t="shared" si="447"/>
        <v>0</v>
      </c>
      <c r="BE166" s="963">
        <f t="shared" si="447"/>
        <v>0</v>
      </c>
      <c r="BF166" s="963">
        <f t="shared" si="447"/>
        <v>0</v>
      </c>
    </row>
    <row r="167" spans="1:58" ht="16.5" x14ac:dyDescent="0.3">
      <c r="A167" s="1000"/>
      <c r="B167" s="1000"/>
      <c r="C167" s="1000"/>
      <c r="D167" s="1000"/>
      <c r="E167" s="1000"/>
      <c r="F167" s="1036"/>
      <c r="G167" s="1000"/>
      <c r="H167" s="1000"/>
      <c r="I167" s="1000"/>
      <c r="J167" s="999"/>
      <c r="K167" s="999"/>
      <c r="L167" s="999"/>
      <c r="M167" s="999"/>
      <c r="N167" s="997"/>
      <c r="O167" s="997"/>
      <c r="P167" s="1025" t="str">
        <f>A17</f>
        <v>S37</v>
      </c>
      <c r="Q167" s="1026"/>
      <c r="R167" s="1027"/>
      <c r="S167" s="1028"/>
      <c r="T167" s="1028"/>
      <c r="U167" s="1028"/>
      <c r="V167" s="1028"/>
      <c r="W167" s="1028"/>
      <c r="X167" s="1028"/>
      <c r="Y167" s="1027"/>
      <c r="Z167" s="1029"/>
      <c r="AA167" s="1030"/>
      <c r="AC167" s="934">
        <f>'T2'!AC11</f>
        <v>42708</v>
      </c>
      <c r="AD167" s="968">
        <f>'T2'!AD11</f>
        <v>0</v>
      </c>
      <c r="AE167" s="962">
        <f>'T2'!N11</f>
        <v>0</v>
      </c>
      <c r="AF167" s="968">
        <f>'T2'!AF11</f>
        <v>0</v>
      </c>
      <c r="AG167" s="962">
        <f>'T2'!O11</f>
        <v>0</v>
      </c>
      <c r="AI167" s="962">
        <f t="shared" si="442"/>
        <v>0</v>
      </c>
      <c r="AJ167" s="962">
        <f t="shared" si="443"/>
        <v>0</v>
      </c>
      <c r="AV167" s="954"/>
      <c r="AW167" s="963">
        <f t="shared" ref="AW167:BF167" si="448">IF(MONTH(AD167)=AW165,AH167,0)</f>
        <v>0</v>
      </c>
      <c r="AX167" s="963">
        <f t="shared" si="448"/>
        <v>0</v>
      </c>
      <c r="AY167" s="963">
        <f t="shared" si="448"/>
        <v>0</v>
      </c>
      <c r="AZ167" s="963">
        <f t="shared" si="448"/>
        <v>0</v>
      </c>
      <c r="BA167" s="963">
        <f t="shared" si="448"/>
        <v>0</v>
      </c>
      <c r="BB167" s="963">
        <f t="shared" si="448"/>
        <v>0</v>
      </c>
      <c r="BC167" s="963">
        <f t="shared" si="448"/>
        <v>0</v>
      </c>
      <c r="BD167" s="963">
        <f t="shared" si="448"/>
        <v>0</v>
      </c>
      <c r="BE167" s="963">
        <f t="shared" si="448"/>
        <v>0</v>
      </c>
      <c r="BF167" s="963" t="e">
        <f t="shared" si="448"/>
        <v>#VALUE!</v>
      </c>
    </row>
    <row r="168" spans="1:58" ht="16.5" x14ac:dyDescent="0.3">
      <c r="A168" s="1000"/>
      <c r="B168" s="1000"/>
      <c r="C168" s="1000"/>
      <c r="D168" s="1000"/>
      <c r="E168" s="1000"/>
      <c r="F168" s="1000"/>
      <c r="G168" s="1000"/>
      <c r="H168" s="1000"/>
      <c r="I168" s="1000"/>
      <c r="J168" s="999"/>
      <c r="K168" s="999"/>
      <c r="L168" s="999"/>
      <c r="M168" s="999"/>
      <c r="N168" s="997"/>
      <c r="O168" s="997"/>
      <c r="P168" s="1025"/>
      <c r="Q168" s="1031"/>
      <c r="R168" s="1032"/>
      <c r="S168" s="1033"/>
      <c r="T168" s="1033"/>
      <c r="U168" s="1033"/>
      <c r="V168" s="1033"/>
      <c r="W168" s="1033"/>
      <c r="X168" s="1033"/>
      <c r="Y168" s="1032"/>
      <c r="Z168" s="1034"/>
      <c r="AA168" s="1035"/>
      <c r="AC168" s="934">
        <f>'T2'!AC12</f>
        <v>42709</v>
      </c>
      <c r="AD168" s="968">
        <f>'T2'!AD12</f>
        <v>0</v>
      </c>
      <c r="AE168" s="962">
        <f>'T2'!N12</f>
        <v>0</v>
      </c>
      <c r="AF168" s="968">
        <f>'T2'!AF12</f>
        <v>0</v>
      </c>
      <c r="AG168" s="962">
        <f>'T2'!O12</f>
        <v>0</v>
      </c>
      <c r="AI168" s="962">
        <f t="shared" si="442"/>
        <v>0</v>
      </c>
      <c r="AJ168" s="962">
        <f t="shared" si="443"/>
        <v>0</v>
      </c>
      <c r="AV168" s="954"/>
      <c r="AW168" s="963">
        <f t="shared" ref="AW168:BF168" si="449">IF(MONTH(AD168)=AW166,AH168,0)</f>
        <v>0</v>
      </c>
      <c r="AX168" s="963">
        <f t="shared" si="449"/>
        <v>0</v>
      </c>
      <c r="AY168" s="963">
        <f t="shared" si="449"/>
        <v>0</v>
      </c>
      <c r="AZ168" s="963">
        <f t="shared" si="449"/>
        <v>0</v>
      </c>
      <c r="BA168" s="963">
        <f t="shared" si="449"/>
        <v>0</v>
      </c>
      <c r="BB168" s="963">
        <f t="shared" si="449"/>
        <v>0</v>
      </c>
      <c r="BC168" s="963">
        <f t="shared" si="449"/>
        <v>0</v>
      </c>
      <c r="BD168" s="963">
        <f t="shared" si="449"/>
        <v>0</v>
      </c>
      <c r="BE168" s="963">
        <f t="shared" si="449"/>
        <v>0</v>
      </c>
      <c r="BF168" s="963">
        <f t="shared" si="449"/>
        <v>0</v>
      </c>
    </row>
    <row r="169" spans="1:58" ht="16.5" x14ac:dyDescent="0.3">
      <c r="A169" s="1000"/>
      <c r="B169" s="1000"/>
      <c r="C169" s="1000"/>
      <c r="D169" s="1000"/>
      <c r="E169" s="1000"/>
      <c r="F169" s="1000"/>
      <c r="G169" s="1000"/>
      <c r="H169" s="1000"/>
      <c r="I169" s="1000"/>
      <c r="J169" s="999"/>
      <c r="K169" s="999"/>
      <c r="L169" s="999"/>
      <c r="M169" s="999"/>
      <c r="N169" s="997"/>
      <c r="O169" s="997"/>
      <c r="P169" s="1025" t="str">
        <f>A29</f>
        <v>S38</v>
      </c>
      <c r="Q169" s="1026"/>
      <c r="R169" s="1027"/>
      <c r="S169" s="1028"/>
      <c r="T169" s="1028"/>
      <c r="U169" s="1028"/>
      <c r="V169" s="1028"/>
      <c r="W169" s="1028"/>
      <c r="X169" s="1028"/>
      <c r="Y169" s="1027"/>
      <c r="Z169" s="1029"/>
      <c r="AA169" s="1030"/>
      <c r="AV169" s="954"/>
      <c r="AW169" s="963">
        <f t="shared" ref="AW169:BF169" si="450">IF(MONTH(AD169)=AW167,AH169,0)</f>
        <v>0</v>
      </c>
      <c r="AX169" s="963">
        <f t="shared" si="450"/>
        <v>0</v>
      </c>
      <c r="AY169" s="963">
        <f t="shared" si="450"/>
        <v>0</v>
      </c>
      <c r="AZ169" s="963">
        <f t="shared" si="450"/>
        <v>0</v>
      </c>
      <c r="BA169" s="963">
        <f t="shared" si="450"/>
        <v>0</v>
      </c>
      <c r="BB169" s="963">
        <f t="shared" si="450"/>
        <v>0</v>
      </c>
      <c r="BC169" s="963">
        <f t="shared" si="450"/>
        <v>0</v>
      </c>
      <c r="BD169" s="963">
        <f t="shared" si="450"/>
        <v>0</v>
      </c>
      <c r="BE169" s="963">
        <f t="shared" si="450"/>
        <v>0</v>
      </c>
      <c r="BF169" s="963" t="e">
        <f t="shared" si="450"/>
        <v>#VALUE!</v>
      </c>
    </row>
    <row r="170" spans="1:58" ht="16.5" customHeight="1" x14ac:dyDescent="0.3">
      <c r="A170" s="1005" t="str">
        <f>IF(Paramétrage!F30="o","Signatures","")</f>
        <v/>
      </c>
      <c r="B170" s="1005"/>
      <c r="C170" s="1005"/>
      <c r="D170" s="1005"/>
      <c r="E170" s="1005"/>
      <c r="F170" s="1005"/>
      <c r="G170" s="1005"/>
      <c r="H170" s="1000"/>
      <c r="I170" s="1000"/>
      <c r="J170" s="999"/>
      <c r="K170" s="999"/>
      <c r="L170" s="999"/>
      <c r="M170" s="999"/>
      <c r="N170" s="997"/>
      <c r="O170" s="997"/>
      <c r="P170" s="1025"/>
      <c r="Q170" s="1031"/>
      <c r="R170" s="1032"/>
      <c r="S170" s="1033"/>
      <c r="T170" s="1033"/>
      <c r="U170" s="1033"/>
      <c r="V170" s="1033"/>
      <c r="W170" s="1033"/>
      <c r="X170" s="1033"/>
      <c r="Y170" s="1032"/>
      <c r="Z170" s="1034"/>
      <c r="AA170" s="1035"/>
      <c r="AV170" s="954"/>
      <c r="AW170" s="963">
        <f t="shared" ref="AW170:BF170" si="451">IF(MONTH(AD170)=AW168,AH170,0)</f>
        <v>0</v>
      </c>
      <c r="AX170" s="963">
        <f t="shared" si="451"/>
        <v>0</v>
      </c>
      <c r="AY170" s="963">
        <f t="shared" si="451"/>
        <v>0</v>
      </c>
      <c r="AZ170" s="963">
        <f t="shared" si="451"/>
        <v>0</v>
      </c>
      <c r="BA170" s="963">
        <f t="shared" si="451"/>
        <v>0</v>
      </c>
      <c r="BB170" s="963">
        <f t="shared" si="451"/>
        <v>0</v>
      </c>
      <c r="BC170" s="963">
        <f t="shared" si="451"/>
        <v>0</v>
      </c>
      <c r="BD170" s="963">
        <f t="shared" si="451"/>
        <v>0</v>
      </c>
      <c r="BE170" s="963">
        <f t="shared" si="451"/>
        <v>0</v>
      </c>
      <c r="BF170" s="963">
        <f t="shared" si="451"/>
        <v>0</v>
      </c>
    </row>
    <row r="171" spans="1:58" ht="16.5" customHeight="1" x14ac:dyDescent="0.3">
      <c r="A171" s="1000"/>
      <c r="B171" s="1000"/>
      <c r="C171" s="1000"/>
      <c r="D171" s="1000"/>
      <c r="E171" s="1000"/>
      <c r="F171" s="1000"/>
      <c r="G171" s="1000"/>
      <c r="H171" s="1000"/>
      <c r="I171" s="1000"/>
      <c r="J171" s="999"/>
      <c r="K171" s="999"/>
      <c r="L171" s="999"/>
      <c r="M171" s="999"/>
      <c r="N171" s="997"/>
      <c r="O171" s="997"/>
      <c r="P171" s="1025" t="str">
        <f>A41</f>
        <v>S39</v>
      </c>
      <c r="Q171" s="1026"/>
      <c r="R171" s="1027"/>
      <c r="S171" s="1028"/>
      <c r="T171" s="1028"/>
      <c r="U171" s="1028"/>
      <c r="V171" s="1028"/>
      <c r="W171" s="1028"/>
      <c r="X171" s="1028"/>
      <c r="Y171" s="1027"/>
      <c r="Z171" s="1029"/>
      <c r="AA171" s="1030"/>
      <c r="AV171" s="954"/>
      <c r="AW171" s="963">
        <f t="shared" ref="AW171:BF171" si="452">IF(MONTH(AD171)=AW169,AH171,0)</f>
        <v>0</v>
      </c>
      <c r="AX171" s="963">
        <f t="shared" si="452"/>
        <v>0</v>
      </c>
      <c r="AY171" s="963">
        <f t="shared" si="452"/>
        <v>0</v>
      </c>
      <c r="AZ171" s="963">
        <f t="shared" si="452"/>
        <v>0</v>
      </c>
      <c r="BA171" s="963">
        <f t="shared" si="452"/>
        <v>0</v>
      </c>
      <c r="BB171" s="963">
        <f t="shared" si="452"/>
        <v>0</v>
      </c>
      <c r="BC171" s="963">
        <f t="shared" si="452"/>
        <v>0</v>
      </c>
      <c r="BD171" s="963">
        <f t="shared" si="452"/>
        <v>0</v>
      </c>
      <c r="BE171" s="963">
        <f t="shared" si="452"/>
        <v>0</v>
      </c>
      <c r="BF171" s="963" t="e">
        <f t="shared" si="452"/>
        <v>#VALUE!</v>
      </c>
    </row>
    <row r="172" spans="1:58" ht="16.5" customHeight="1" x14ac:dyDescent="0.3">
      <c r="A172" s="1037" t="str">
        <f>Paramétrage!K5&amp;" "&amp;Paramétrage!C5</f>
        <v xml:space="preserve"> </v>
      </c>
      <c r="B172" s="1037"/>
      <c r="C172" s="1037"/>
      <c r="D172" s="1038" t="s">
        <v>121</v>
      </c>
      <c r="E172" s="1038"/>
      <c r="F172" s="1038"/>
      <c r="G172" s="1038"/>
      <c r="H172" s="1000"/>
      <c r="I172" s="1000"/>
      <c r="J172" s="999"/>
      <c r="K172" s="999"/>
      <c r="L172" s="999"/>
      <c r="M172" s="999"/>
      <c r="N172" s="997"/>
      <c r="O172" s="997"/>
      <c r="P172" s="1025"/>
      <c r="Q172" s="1031"/>
      <c r="R172" s="1032"/>
      <c r="S172" s="1033"/>
      <c r="T172" s="1033"/>
      <c r="U172" s="1033"/>
      <c r="V172" s="1033"/>
      <c r="W172" s="1033"/>
      <c r="X172" s="1033"/>
      <c r="Y172" s="1032"/>
      <c r="Z172" s="1034"/>
      <c r="AA172" s="1035"/>
      <c r="AV172" s="954"/>
      <c r="AW172" s="963">
        <f t="shared" ref="AW172:BF172" si="453">IF(MONTH(AD172)=AW170,AH172,0)</f>
        <v>0</v>
      </c>
      <c r="AX172" s="963">
        <f t="shared" si="453"/>
        <v>0</v>
      </c>
      <c r="AY172" s="963">
        <f t="shared" si="453"/>
        <v>0</v>
      </c>
      <c r="AZ172" s="963">
        <f t="shared" si="453"/>
        <v>0</v>
      </c>
      <c r="BA172" s="963">
        <f t="shared" si="453"/>
        <v>0</v>
      </c>
      <c r="BB172" s="963">
        <f t="shared" si="453"/>
        <v>0</v>
      </c>
      <c r="BC172" s="963">
        <f t="shared" si="453"/>
        <v>0</v>
      </c>
      <c r="BD172" s="963">
        <f t="shared" si="453"/>
        <v>0</v>
      </c>
      <c r="BE172" s="963">
        <f t="shared" si="453"/>
        <v>0</v>
      </c>
      <c r="BF172" s="963">
        <f t="shared" si="453"/>
        <v>0</v>
      </c>
    </row>
    <row r="173" spans="1:58" ht="16.5" x14ac:dyDescent="0.3">
      <c r="A173" s="1037"/>
      <c r="B173" s="1037"/>
      <c r="C173" s="1037"/>
      <c r="D173" s="1038"/>
      <c r="E173" s="1038"/>
      <c r="F173" s="1038"/>
      <c r="G173" s="1038"/>
      <c r="H173" s="1000"/>
      <c r="I173" s="1000"/>
      <c r="J173" s="999"/>
      <c r="K173" s="999"/>
      <c r="L173" s="999"/>
      <c r="M173" s="999"/>
      <c r="N173" s="997"/>
      <c r="O173" s="997"/>
      <c r="P173" s="1025" t="str">
        <f>A53</f>
        <v>S40</v>
      </c>
      <c r="Q173" s="1026"/>
      <c r="R173" s="1027"/>
      <c r="S173" s="1028"/>
      <c r="T173" s="1028"/>
      <c r="U173" s="1028"/>
      <c r="V173" s="1028"/>
      <c r="W173" s="1028"/>
      <c r="X173" s="1028"/>
      <c r="Y173" s="1027"/>
      <c r="Z173" s="1029"/>
      <c r="AA173" s="1030"/>
      <c r="AV173" s="954"/>
      <c r="AW173" s="963">
        <f t="shared" ref="AW173:BF173" si="454">IF(MONTH(AD173)=AW171,AH173,0)</f>
        <v>0</v>
      </c>
      <c r="AX173" s="963">
        <f t="shared" si="454"/>
        <v>0</v>
      </c>
      <c r="AY173" s="963">
        <f t="shared" si="454"/>
        <v>0</v>
      </c>
      <c r="AZ173" s="963">
        <f t="shared" si="454"/>
        <v>0</v>
      </c>
      <c r="BA173" s="963">
        <f t="shared" si="454"/>
        <v>0</v>
      </c>
      <c r="BB173" s="963">
        <f t="shared" si="454"/>
        <v>0</v>
      </c>
      <c r="BC173" s="963">
        <f t="shared" si="454"/>
        <v>0</v>
      </c>
      <c r="BD173" s="963">
        <f t="shared" si="454"/>
        <v>0</v>
      </c>
      <c r="BE173" s="963">
        <f t="shared" si="454"/>
        <v>0</v>
      </c>
      <c r="BF173" s="963" t="e">
        <f t="shared" si="454"/>
        <v>#VALUE!</v>
      </c>
    </row>
    <row r="174" spans="1:58" ht="16.5" x14ac:dyDescent="0.3">
      <c r="A174" s="1000"/>
      <c r="B174" s="1000"/>
      <c r="C174" s="1000"/>
      <c r="D174" s="1000"/>
      <c r="E174" s="1000"/>
      <c r="F174" s="1000"/>
      <c r="G174" s="1039"/>
      <c r="H174" s="1000"/>
      <c r="I174" s="1000"/>
      <c r="J174" s="999"/>
      <c r="K174" s="999"/>
      <c r="L174" s="999"/>
      <c r="M174" s="999"/>
      <c r="N174" s="997"/>
      <c r="O174" s="997"/>
      <c r="P174" s="1025"/>
      <c r="Q174" s="1031"/>
      <c r="R174" s="1032"/>
      <c r="S174" s="1033"/>
      <c r="T174" s="1033"/>
      <c r="U174" s="1033"/>
      <c r="V174" s="1033"/>
      <c r="W174" s="1033"/>
      <c r="X174" s="1033"/>
      <c r="Y174" s="1032"/>
      <c r="Z174" s="1034"/>
      <c r="AA174" s="1035"/>
      <c r="AC174" s="934">
        <f>'T2'!AC18</f>
        <v>42710</v>
      </c>
      <c r="AD174" s="968">
        <f>'T2'!AD18</f>
        <v>0</v>
      </c>
      <c r="AE174" s="962">
        <f>'T2'!N18</f>
        <v>0</v>
      </c>
      <c r="AF174" s="968">
        <f>'T2'!AF18</f>
        <v>0</v>
      </c>
      <c r="AG174" s="962">
        <f>'T2'!O18</f>
        <v>0</v>
      </c>
      <c r="AI174" s="962">
        <f>AE174+AI168</f>
        <v>0</v>
      </c>
      <c r="AJ174" s="962">
        <f>AG174+AJ168</f>
        <v>0</v>
      </c>
      <c r="AV174" s="954"/>
      <c r="AW174" s="963">
        <f t="shared" ref="AW174:BF174" si="455">IF(MONTH(AD174)=AW172,AH174,0)</f>
        <v>0</v>
      </c>
      <c r="AX174" s="963">
        <f t="shared" si="455"/>
        <v>0</v>
      </c>
      <c r="AY174" s="963">
        <f t="shared" si="455"/>
        <v>0</v>
      </c>
      <c r="AZ174" s="963">
        <f t="shared" si="455"/>
        <v>0</v>
      </c>
      <c r="BA174" s="963">
        <f t="shared" si="455"/>
        <v>0</v>
      </c>
      <c r="BB174" s="963">
        <f t="shared" si="455"/>
        <v>0</v>
      </c>
      <c r="BC174" s="963">
        <f t="shared" si="455"/>
        <v>0</v>
      </c>
      <c r="BD174" s="963">
        <f t="shared" si="455"/>
        <v>0</v>
      </c>
      <c r="BE174" s="963">
        <f t="shared" si="455"/>
        <v>0</v>
      </c>
      <c r="BF174" s="963">
        <f t="shared" si="455"/>
        <v>0</v>
      </c>
    </row>
    <row r="175" spans="1:58" ht="16.5" x14ac:dyDescent="0.3">
      <c r="A175" s="1000"/>
      <c r="B175" s="1000"/>
      <c r="C175" s="1000"/>
      <c r="D175" s="1000"/>
      <c r="E175" s="1000"/>
      <c r="F175" s="1000"/>
      <c r="G175" s="1039"/>
      <c r="H175" s="1000"/>
      <c r="I175" s="1000"/>
      <c r="J175" s="999"/>
      <c r="K175" s="999"/>
      <c r="L175" s="999"/>
      <c r="M175" s="999"/>
      <c r="N175" s="997"/>
      <c r="O175" s="997"/>
      <c r="P175" s="1025" t="str">
        <f>A65</f>
        <v>S41</v>
      </c>
      <c r="Q175" s="1026"/>
      <c r="R175" s="1027"/>
      <c r="S175" s="1028"/>
      <c r="T175" s="1028"/>
      <c r="U175" s="1028"/>
      <c r="V175" s="1028"/>
      <c r="W175" s="1028"/>
      <c r="X175" s="1028"/>
      <c r="Y175" s="1027"/>
      <c r="Z175" s="1029"/>
      <c r="AA175" s="1030"/>
      <c r="AC175" s="934">
        <f>'T2'!AC19</f>
        <v>42711</v>
      </c>
      <c r="AD175" s="968">
        <f>'T2'!AD19</f>
        <v>0</v>
      </c>
      <c r="AE175" s="962">
        <f>'T2'!N19</f>
        <v>0</v>
      </c>
      <c r="AF175" s="968">
        <f>'T2'!AF19</f>
        <v>0</v>
      </c>
      <c r="AG175" s="962">
        <f>'T2'!O19</f>
        <v>0</v>
      </c>
      <c r="AI175" s="962">
        <f t="shared" ref="AI175:AI180" si="456">AE175+AI174</f>
        <v>0</v>
      </c>
      <c r="AJ175" s="962">
        <f t="shared" ref="AJ175:AJ180" si="457">AG175+AJ174</f>
        <v>0</v>
      </c>
      <c r="AV175" s="954"/>
      <c r="AW175" s="963">
        <f t="shared" ref="AW175:BF175" si="458">IF(MONTH(AD175)=AW173,AH175,0)</f>
        <v>0</v>
      </c>
      <c r="AX175" s="963">
        <f t="shared" si="458"/>
        <v>0</v>
      </c>
      <c r="AY175" s="963">
        <f t="shared" si="458"/>
        <v>0</v>
      </c>
      <c r="AZ175" s="963">
        <f t="shared" si="458"/>
        <v>0</v>
      </c>
      <c r="BA175" s="963">
        <f t="shared" si="458"/>
        <v>0</v>
      </c>
      <c r="BB175" s="963">
        <f t="shared" si="458"/>
        <v>0</v>
      </c>
      <c r="BC175" s="963">
        <f t="shared" si="458"/>
        <v>0</v>
      </c>
      <c r="BD175" s="963">
        <f t="shared" si="458"/>
        <v>0</v>
      </c>
      <c r="BE175" s="963">
        <f t="shared" si="458"/>
        <v>0</v>
      </c>
      <c r="BF175" s="963" t="e">
        <f t="shared" si="458"/>
        <v>#VALUE!</v>
      </c>
    </row>
    <row r="176" spans="1:58" ht="16.5" x14ac:dyDescent="0.3">
      <c r="A176" s="1000"/>
      <c r="B176" s="1000"/>
      <c r="C176" s="1000"/>
      <c r="D176" s="1000"/>
      <c r="E176" s="1000"/>
      <c r="F176" s="1000"/>
      <c r="G176" s="1039"/>
      <c r="H176" s="1000"/>
      <c r="I176" s="1000"/>
      <c r="J176" s="999"/>
      <c r="K176" s="999"/>
      <c r="L176" s="999"/>
      <c r="M176" s="999"/>
      <c r="N176" s="997"/>
      <c r="O176" s="997"/>
      <c r="P176" s="1025"/>
      <c r="Q176" s="1031"/>
      <c r="R176" s="1032"/>
      <c r="S176" s="1033"/>
      <c r="T176" s="1033"/>
      <c r="U176" s="1033"/>
      <c r="V176" s="1033"/>
      <c r="W176" s="1033"/>
      <c r="X176" s="1033"/>
      <c r="Y176" s="1032"/>
      <c r="Z176" s="1034"/>
      <c r="AA176" s="1035"/>
      <c r="AC176" s="934">
        <f>'T2'!AC20</f>
        <v>42712</v>
      </c>
      <c r="AD176" s="968">
        <f>'T2'!AD20</f>
        <v>0</v>
      </c>
      <c r="AE176" s="962">
        <f>'T2'!N20</f>
        <v>0</v>
      </c>
      <c r="AF176" s="968">
        <f>'T2'!AF20</f>
        <v>0</v>
      </c>
      <c r="AG176" s="962">
        <f>'T2'!O20</f>
        <v>0</v>
      </c>
      <c r="AI176" s="962">
        <f t="shared" si="456"/>
        <v>0</v>
      </c>
      <c r="AJ176" s="962">
        <f t="shared" si="457"/>
        <v>0</v>
      </c>
      <c r="AV176" s="954"/>
      <c r="AW176" s="963">
        <f t="shared" ref="AW176:BF176" si="459">IF(MONTH(AD176)=AW174,AH176,0)</f>
        <v>0</v>
      </c>
      <c r="AX176" s="963">
        <f t="shared" si="459"/>
        <v>0</v>
      </c>
      <c r="AY176" s="963">
        <f t="shared" si="459"/>
        <v>0</v>
      </c>
      <c r="AZ176" s="963">
        <f t="shared" si="459"/>
        <v>0</v>
      </c>
      <c r="BA176" s="963">
        <f t="shared" si="459"/>
        <v>0</v>
      </c>
      <c r="BB176" s="963">
        <f t="shared" si="459"/>
        <v>0</v>
      </c>
      <c r="BC176" s="963">
        <f t="shared" si="459"/>
        <v>0</v>
      </c>
      <c r="BD176" s="963">
        <f t="shared" si="459"/>
        <v>0</v>
      </c>
      <c r="BE176" s="963">
        <f t="shared" si="459"/>
        <v>0</v>
      </c>
      <c r="BF176" s="963">
        <f t="shared" si="459"/>
        <v>0</v>
      </c>
    </row>
    <row r="177" spans="1:58" ht="16.5" x14ac:dyDescent="0.3">
      <c r="A177" s="1000"/>
      <c r="B177" s="1000"/>
      <c r="C177" s="1000"/>
      <c r="D177" s="1000"/>
      <c r="E177" s="1000"/>
      <c r="F177" s="1000"/>
      <c r="G177" s="1039"/>
      <c r="H177" s="1000"/>
      <c r="I177" s="1000"/>
      <c r="J177" s="999"/>
      <c r="K177" s="999"/>
      <c r="L177" s="999"/>
      <c r="M177" s="999"/>
      <c r="N177" s="997"/>
      <c r="O177" s="997"/>
      <c r="P177" s="1025" t="str">
        <f>A77</f>
        <v>S42</v>
      </c>
      <c r="Q177" s="1026"/>
      <c r="R177" s="1027"/>
      <c r="S177" s="1028"/>
      <c r="T177" s="1028"/>
      <c r="U177" s="1028"/>
      <c r="V177" s="1028"/>
      <c r="W177" s="1028"/>
      <c r="X177" s="1028"/>
      <c r="Y177" s="1027"/>
      <c r="Z177" s="1029"/>
      <c r="AA177" s="1030"/>
      <c r="AC177" s="934">
        <f>'T2'!AC21</f>
        <v>42713</v>
      </c>
      <c r="AD177" s="968">
        <f>'T2'!AD21</f>
        <v>0</v>
      </c>
      <c r="AE177" s="962">
        <f>'T2'!N21</f>
        <v>0</v>
      </c>
      <c r="AF177" s="968">
        <f>'T2'!AF21</f>
        <v>0</v>
      </c>
      <c r="AG177" s="962">
        <f>'T2'!O21</f>
        <v>0</v>
      </c>
      <c r="AI177" s="962">
        <f t="shared" si="456"/>
        <v>0</v>
      </c>
      <c r="AJ177" s="962">
        <f t="shared" si="457"/>
        <v>0</v>
      </c>
      <c r="AV177" s="954"/>
      <c r="AW177" s="963">
        <f t="shared" ref="AW177:BF177" si="460">IF(MONTH(AD177)=AW175,AH177,0)</f>
        <v>0</v>
      </c>
      <c r="AX177" s="963">
        <f t="shared" si="460"/>
        <v>0</v>
      </c>
      <c r="AY177" s="963">
        <f t="shared" si="460"/>
        <v>0</v>
      </c>
      <c r="AZ177" s="963">
        <f t="shared" si="460"/>
        <v>0</v>
      </c>
      <c r="BA177" s="963">
        <f t="shared" si="460"/>
        <v>0</v>
      </c>
      <c r="BB177" s="963">
        <f t="shared" si="460"/>
        <v>0</v>
      </c>
      <c r="BC177" s="963">
        <f t="shared" si="460"/>
        <v>0</v>
      </c>
      <c r="BD177" s="963">
        <f t="shared" si="460"/>
        <v>0</v>
      </c>
      <c r="BE177" s="963">
        <f t="shared" si="460"/>
        <v>0</v>
      </c>
      <c r="BF177" s="963" t="e">
        <f t="shared" si="460"/>
        <v>#VALUE!</v>
      </c>
    </row>
    <row r="178" spans="1:58" ht="16.5" x14ac:dyDescent="0.3">
      <c r="A178" s="1000"/>
      <c r="B178" s="1000"/>
      <c r="C178" s="1000"/>
      <c r="D178" s="1000"/>
      <c r="E178" s="1000"/>
      <c r="F178" s="1000"/>
      <c r="G178" s="1039"/>
      <c r="H178" s="1000"/>
      <c r="I178" s="1000"/>
      <c r="J178" s="999"/>
      <c r="K178" s="999"/>
      <c r="L178" s="999"/>
      <c r="M178" s="999"/>
      <c r="N178" s="997"/>
      <c r="O178" s="997"/>
      <c r="P178" s="1025"/>
      <c r="Q178" s="1031"/>
      <c r="R178" s="1032"/>
      <c r="S178" s="1033"/>
      <c r="T178" s="1033"/>
      <c r="U178" s="1033"/>
      <c r="V178" s="1033"/>
      <c r="W178" s="1033"/>
      <c r="X178" s="1033"/>
      <c r="Y178" s="1032"/>
      <c r="Z178" s="1034"/>
      <c r="AA178" s="1035"/>
      <c r="AC178" s="934">
        <f>'T2'!AC22</f>
        <v>42714</v>
      </c>
      <c r="AD178" s="968">
        <f>'T2'!AD22</f>
        <v>0</v>
      </c>
      <c r="AE178" s="962">
        <f>'T2'!N22</f>
        <v>0</v>
      </c>
      <c r="AF178" s="968">
        <f>'T2'!AF22</f>
        <v>0</v>
      </c>
      <c r="AG178" s="962">
        <f>'T2'!O22</f>
        <v>0</v>
      </c>
      <c r="AI178" s="962">
        <f t="shared" si="456"/>
        <v>0</v>
      </c>
      <c r="AJ178" s="962">
        <f t="shared" si="457"/>
        <v>0</v>
      </c>
      <c r="AV178" s="954"/>
      <c r="AW178" s="963">
        <f t="shared" ref="AW178:BF178" si="461">IF(MONTH(AD178)=AW176,AH178,0)</f>
        <v>0</v>
      </c>
      <c r="AX178" s="963">
        <f t="shared" si="461"/>
        <v>0</v>
      </c>
      <c r="AY178" s="963">
        <f t="shared" si="461"/>
        <v>0</v>
      </c>
      <c r="AZ178" s="963">
        <f t="shared" si="461"/>
        <v>0</v>
      </c>
      <c r="BA178" s="963">
        <f t="shared" si="461"/>
        <v>0</v>
      </c>
      <c r="BB178" s="963">
        <f t="shared" si="461"/>
        <v>0</v>
      </c>
      <c r="BC178" s="963">
        <f t="shared" si="461"/>
        <v>0</v>
      </c>
      <c r="BD178" s="963">
        <f t="shared" si="461"/>
        <v>0</v>
      </c>
      <c r="BE178" s="963">
        <f t="shared" si="461"/>
        <v>0</v>
      </c>
      <c r="BF178" s="963">
        <f t="shared" si="461"/>
        <v>0</v>
      </c>
    </row>
    <row r="179" spans="1:58" ht="16.5" x14ac:dyDescent="0.3">
      <c r="A179" s="1000"/>
      <c r="B179" s="1000"/>
      <c r="C179" s="1000"/>
      <c r="D179" s="1000"/>
      <c r="E179" s="1000"/>
      <c r="F179" s="1000"/>
      <c r="G179" s="1039"/>
      <c r="H179" s="1000"/>
      <c r="I179" s="1000"/>
      <c r="J179" s="999"/>
      <c r="K179" s="999"/>
      <c r="L179" s="999"/>
      <c r="M179" s="999"/>
      <c r="N179" s="997"/>
      <c r="O179" s="997"/>
      <c r="P179" s="1025" t="str">
        <f>A89</f>
        <v>S43</v>
      </c>
      <c r="Q179" s="1026"/>
      <c r="R179" s="1027"/>
      <c r="S179" s="1028"/>
      <c r="T179" s="1028"/>
      <c r="U179" s="1028"/>
      <c r="V179" s="1028"/>
      <c r="W179" s="1028"/>
      <c r="X179" s="1028"/>
      <c r="Y179" s="1027"/>
      <c r="Z179" s="1029"/>
      <c r="AA179" s="1030"/>
      <c r="AC179" s="934">
        <f>'T2'!AC23</f>
        <v>42715</v>
      </c>
      <c r="AD179" s="968">
        <f>'T2'!AD23</f>
        <v>0</v>
      </c>
      <c r="AE179" s="962">
        <f>'T2'!N23</f>
        <v>0</v>
      </c>
      <c r="AF179" s="968">
        <f>'T2'!AF23</f>
        <v>0</v>
      </c>
      <c r="AG179" s="962">
        <f>'T2'!O23</f>
        <v>0</v>
      </c>
      <c r="AI179" s="962">
        <f t="shared" si="456"/>
        <v>0</v>
      </c>
      <c r="AJ179" s="962">
        <f t="shared" si="457"/>
        <v>0</v>
      </c>
      <c r="AV179" s="954"/>
      <c r="AW179" s="963">
        <f t="shared" ref="AW179:BF179" si="462">IF(MONTH(AD179)=AW177,AH179,0)</f>
        <v>0</v>
      </c>
      <c r="AX179" s="963">
        <f t="shared" si="462"/>
        <v>0</v>
      </c>
      <c r="AY179" s="963">
        <f t="shared" si="462"/>
        <v>0</v>
      </c>
      <c r="AZ179" s="963">
        <f t="shared" si="462"/>
        <v>0</v>
      </c>
      <c r="BA179" s="963">
        <f t="shared" si="462"/>
        <v>0</v>
      </c>
      <c r="BB179" s="963">
        <f t="shared" si="462"/>
        <v>0</v>
      </c>
      <c r="BC179" s="963">
        <f t="shared" si="462"/>
        <v>0</v>
      </c>
      <c r="BD179" s="963">
        <f t="shared" si="462"/>
        <v>0</v>
      </c>
      <c r="BE179" s="963">
        <f t="shared" si="462"/>
        <v>0</v>
      </c>
      <c r="BF179" s="963" t="e">
        <f t="shared" si="462"/>
        <v>#VALUE!</v>
      </c>
    </row>
    <row r="180" spans="1:58" ht="16.5" x14ac:dyDescent="0.3">
      <c r="A180" s="1000"/>
      <c r="B180" s="1000"/>
      <c r="C180" s="1000"/>
      <c r="D180" s="1000"/>
      <c r="E180" s="1000"/>
      <c r="F180" s="1000"/>
      <c r="G180" s="1000"/>
      <c r="H180" s="1000"/>
      <c r="I180" s="1000"/>
      <c r="J180" s="999"/>
      <c r="K180" s="999"/>
      <c r="L180" s="999"/>
      <c r="M180" s="999"/>
      <c r="N180" s="997"/>
      <c r="O180" s="997"/>
      <c r="P180" s="1025"/>
      <c r="Q180" s="1031"/>
      <c r="R180" s="1032"/>
      <c r="S180" s="1033"/>
      <c r="T180" s="1033"/>
      <c r="U180" s="1033"/>
      <c r="V180" s="1033"/>
      <c r="W180" s="1033"/>
      <c r="X180" s="1033"/>
      <c r="Y180" s="1032"/>
      <c r="Z180" s="1034"/>
      <c r="AA180" s="1035"/>
      <c r="AC180" s="934">
        <f>'T2'!AC24</f>
        <v>42716</v>
      </c>
      <c r="AD180" s="968">
        <f>'T2'!AD24</f>
        <v>0</v>
      </c>
      <c r="AE180" s="962">
        <f>'T2'!N24</f>
        <v>0</v>
      </c>
      <c r="AF180" s="968">
        <f>'T2'!AF24</f>
        <v>0</v>
      </c>
      <c r="AG180" s="962">
        <f>'T2'!O24</f>
        <v>0</v>
      </c>
      <c r="AI180" s="962">
        <f t="shared" si="456"/>
        <v>0</v>
      </c>
      <c r="AJ180" s="962">
        <f t="shared" si="457"/>
        <v>0</v>
      </c>
      <c r="AV180" s="954"/>
      <c r="AW180" s="963">
        <f t="shared" ref="AW180:BF180" si="463">IF(MONTH(AD180)=AW178,AH180,0)</f>
        <v>0</v>
      </c>
      <c r="AX180" s="963">
        <f t="shared" si="463"/>
        <v>0</v>
      </c>
      <c r="AY180" s="963">
        <f t="shared" si="463"/>
        <v>0</v>
      </c>
      <c r="AZ180" s="963">
        <f t="shared" si="463"/>
        <v>0</v>
      </c>
      <c r="BA180" s="963">
        <f t="shared" si="463"/>
        <v>0</v>
      </c>
      <c r="BB180" s="963">
        <f t="shared" si="463"/>
        <v>0</v>
      </c>
      <c r="BC180" s="963">
        <f t="shared" si="463"/>
        <v>0</v>
      </c>
      <c r="BD180" s="963">
        <f t="shared" si="463"/>
        <v>0</v>
      </c>
      <c r="BE180" s="963">
        <f t="shared" si="463"/>
        <v>0</v>
      </c>
      <c r="BF180" s="963">
        <f t="shared" si="463"/>
        <v>0</v>
      </c>
    </row>
    <row r="181" spans="1:58" ht="16.5" x14ac:dyDescent="0.3">
      <c r="A181" s="1040" t="s">
        <v>347</v>
      </c>
      <c r="B181" s="1000"/>
      <c r="C181" s="1000"/>
      <c r="D181" s="1000"/>
      <c r="E181" s="1000"/>
      <c r="F181" s="1000"/>
      <c r="G181" s="1000"/>
      <c r="H181" s="1000"/>
      <c r="I181" s="1000"/>
      <c r="J181" s="999"/>
      <c r="K181" s="999"/>
      <c r="L181" s="999"/>
      <c r="M181" s="999"/>
      <c r="N181" s="997"/>
      <c r="O181" s="997"/>
      <c r="P181" s="1025" t="str">
        <f>A101</f>
        <v>S44</v>
      </c>
      <c r="Q181" s="1026"/>
      <c r="R181" s="1027"/>
      <c r="S181" s="1028"/>
      <c r="T181" s="1028"/>
      <c r="U181" s="1028"/>
      <c r="V181" s="1028"/>
      <c r="W181" s="1028"/>
      <c r="X181" s="1028"/>
      <c r="Y181" s="1027"/>
      <c r="Z181" s="1029"/>
      <c r="AA181" s="1030"/>
      <c r="AV181" s="954"/>
      <c r="AW181" s="963">
        <f t="shared" ref="AW181:BF181" si="464">IF(MONTH(AD181)=AW179,AH181,0)</f>
        <v>0</v>
      </c>
      <c r="AX181" s="963">
        <f t="shared" si="464"/>
        <v>0</v>
      </c>
      <c r="AY181" s="963">
        <f t="shared" si="464"/>
        <v>0</v>
      </c>
      <c r="AZ181" s="963">
        <f t="shared" si="464"/>
        <v>0</v>
      </c>
      <c r="BA181" s="963">
        <f t="shared" si="464"/>
        <v>0</v>
      </c>
      <c r="BB181" s="963">
        <f t="shared" si="464"/>
        <v>0</v>
      </c>
      <c r="BC181" s="963">
        <f t="shared" si="464"/>
        <v>0</v>
      </c>
      <c r="BD181" s="963">
        <f t="shared" si="464"/>
        <v>0</v>
      </c>
      <c r="BE181" s="963">
        <f t="shared" si="464"/>
        <v>0</v>
      </c>
      <c r="BF181" s="963" t="e">
        <f t="shared" si="464"/>
        <v>#VALUE!</v>
      </c>
    </row>
    <row r="182" spans="1:58" ht="16.5" x14ac:dyDescent="0.3">
      <c r="A182" s="1000"/>
      <c r="B182" s="1000"/>
      <c r="C182" s="1000"/>
      <c r="D182" s="1000"/>
      <c r="E182" s="1000"/>
      <c r="F182" s="1000"/>
      <c r="G182" s="1000"/>
      <c r="H182" s="1000"/>
      <c r="I182" s="1000"/>
      <c r="J182" s="999"/>
      <c r="K182" s="999"/>
      <c r="L182" s="999"/>
      <c r="M182" s="999"/>
      <c r="N182" s="997"/>
      <c r="O182" s="997"/>
      <c r="P182" s="1025"/>
      <c r="Q182" s="1031"/>
      <c r="R182" s="1032"/>
      <c r="S182" s="1033"/>
      <c r="T182" s="1033"/>
      <c r="U182" s="1033"/>
      <c r="V182" s="1033"/>
      <c r="W182" s="1033"/>
      <c r="X182" s="1033"/>
      <c r="Y182" s="1032"/>
      <c r="Z182" s="1034"/>
      <c r="AA182" s="1035"/>
      <c r="AV182" s="954"/>
      <c r="AW182" s="963">
        <f t="shared" ref="AW182:BF182" si="465">IF(MONTH(AD182)=AW180,AH182,0)</f>
        <v>0</v>
      </c>
      <c r="AX182" s="963">
        <f t="shared" si="465"/>
        <v>0</v>
      </c>
      <c r="AY182" s="963">
        <f t="shared" si="465"/>
        <v>0</v>
      </c>
      <c r="AZ182" s="963">
        <f t="shared" si="465"/>
        <v>0</v>
      </c>
      <c r="BA182" s="963">
        <f t="shared" si="465"/>
        <v>0</v>
      </c>
      <c r="BB182" s="963">
        <f t="shared" si="465"/>
        <v>0</v>
      </c>
      <c r="BC182" s="963">
        <f t="shared" si="465"/>
        <v>0</v>
      </c>
      <c r="BD182" s="963">
        <f t="shared" si="465"/>
        <v>0</v>
      </c>
      <c r="BE182" s="963">
        <f t="shared" si="465"/>
        <v>0</v>
      </c>
      <c r="BF182" s="963">
        <f t="shared" si="465"/>
        <v>0</v>
      </c>
    </row>
    <row r="183" spans="1:58" ht="16.5" x14ac:dyDescent="0.3">
      <c r="A183" s="1000"/>
      <c r="B183" s="1000"/>
      <c r="C183" s="1000"/>
      <c r="D183" s="1000"/>
      <c r="E183" s="1000"/>
      <c r="F183" s="1000"/>
      <c r="G183" s="1000"/>
      <c r="H183" s="1000"/>
      <c r="I183" s="1000"/>
      <c r="J183" s="999"/>
      <c r="K183" s="999"/>
      <c r="L183" s="999"/>
      <c r="M183" s="999"/>
      <c r="N183" s="997"/>
      <c r="O183" s="997"/>
      <c r="P183" s="1025" t="str">
        <f>A113</f>
        <v>S45</v>
      </c>
      <c r="Q183" s="1026"/>
      <c r="R183" s="1027"/>
      <c r="S183" s="1028"/>
      <c r="T183" s="1028"/>
      <c r="U183" s="1028"/>
      <c r="V183" s="1028"/>
      <c r="W183" s="1028"/>
      <c r="X183" s="1028"/>
      <c r="Y183" s="1027"/>
      <c r="Z183" s="1029"/>
      <c r="AA183" s="1030"/>
      <c r="AV183" s="954"/>
      <c r="AW183" s="963">
        <f t="shared" ref="AW183:BF183" si="466">IF(MONTH(AD183)=AW181,AH183,0)</f>
        <v>0</v>
      </c>
      <c r="AX183" s="963">
        <f t="shared" si="466"/>
        <v>0</v>
      </c>
      <c r="AY183" s="963">
        <f t="shared" si="466"/>
        <v>0</v>
      </c>
      <c r="AZ183" s="963">
        <f t="shared" si="466"/>
        <v>0</v>
      </c>
      <c r="BA183" s="963">
        <f t="shared" si="466"/>
        <v>0</v>
      </c>
      <c r="BB183" s="963">
        <f t="shared" si="466"/>
        <v>0</v>
      </c>
      <c r="BC183" s="963">
        <f t="shared" si="466"/>
        <v>0</v>
      </c>
      <c r="BD183" s="963">
        <f t="shared" si="466"/>
        <v>0</v>
      </c>
      <c r="BE183" s="963">
        <f t="shared" si="466"/>
        <v>0</v>
      </c>
      <c r="BF183" s="963" t="e">
        <f t="shared" si="466"/>
        <v>#VALUE!</v>
      </c>
    </row>
    <row r="184" spans="1:58" ht="16.5" x14ac:dyDescent="0.3">
      <c r="A184" s="1000"/>
      <c r="B184" s="1000"/>
      <c r="C184" s="1000"/>
      <c r="D184" s="1000"/>
      <c r="E184" s="1000"/>
      <c r="F184" s="1000"/>
      <c r="G184" s="1000"/>
      <c r="H184" s="1000"/>
      <c r="I184" s="1000"/>
      <c r="J184" s="999"/>
      <c r="K184" s="999"/>
      <c r="L184" s="999"/>
      <c r="M184" s="999"/>
      <c r="N184" s="997"/>
      <c r="O184" s="997"/>
      <c r="P184" s="1025"/>
      <c r="Q184" s="1031"/>
      <c r="R184" s="1032"/>
      <c r="S184" s="1033"/>
      <c r="T184" s="1033"/>
      <c r="U184" s="1033"/>
      <c r="V184" s="1033"/>
      <c r="W184" s="1033"/>
      <c r="X184" s="1033"/>
      <c r="Y184" s="1032"/>
      <c r="Z184" s="1034"/>
      <c r="AA184" s="1035"/>
      <c r="AV184" s="954"/>
      <c r="AW184" s="963">
        <f t="shared" ref="AW184:BF184" si="467">IF(MONTH(AD184)=AW182,AH184,0)</f>
        <v>0</v>
      </c>
      <c r="AX184" s="963">
        <f t="shared" si="467"/>
        <v>0</v>
      </c>
      <c r="AY184" s="963">
        <f t="shared" si="467"/>
        <v>0</v>
      </c>
      <c r="AZ184" s="963">
        <f t="shared" si="467"/>
        <v>0</v>
      </c>
      <c r="BA184" s="963">
        <f t="shared" si="467"/>
        <v>0</v>
      </c>
      <c r="BB184" s="963">
        <f t="shared" si="467"/>
        <v>0</v>
      </c>
      <c r="BC184" s="963">
        <f t="shared" si="467"/>
        <v>0</v>
      </c>
      <c r="BD184" s="963">
        <f t="shared" si="467"/>
        <v>0</v>
      </c>
      <c r="BE184" s="963">
        <f t="shared" si="467"/>
        <v>0</v>
      </c>
      <c r="BF184" s="963">
        <f t="shared" si="467"/>
        <v>0</v>
      </c>
    </row>
    <row r="185" spans="1:58" ht="16.5" x14ac:dyDescent="0.3">
      <c r="A185" s="1000"/>
      <c r="B185" s="1000"/>
      <c r="C185" s="1000"/>
      <c r="D185" s="1000"/>
      <c r="E185" s="1000"/>
      <c r="F185" s="1000"/>
      <c r="G185" s="1000"/>
      <c r="H185" s="1000"/>
      <c r="I185" s="1000"/>
      <c r="J185" s="999"/>
      <c r="K185" s="999"/>
      <c r="L185" s="999"/>
      <c r="M185" s="999"/>
      <c r="N185" s="997"/>
      <c r="O185" s="997"/>
      <c r="P185" s="1025" t="str">
        <f>A125</f>
        <v>S46</v>
      </c>
      <c r="Q185" s="1026"/>
      <c r="R185" s="1027"/>
      <c r="S185" s="1028"/>
      <c r="T185" s="1028"/>
      <c r="U185" s="1028"/>
      <c r="V185" s="1028"/>
      <c r="W185" s="1028"/>
      <c r="X185" s="1028"/>
      <c r="Y185" s="1027"/>
      <c r="Z185" s="1029"/>
      <c r="AA185" s="1030"/>
      <c r="AV185" s="954"/>
      <c r="AW185" s="963">
        <f t="shared" ref="AW185:BF185" si="468">IF(MONTH(AD185)=AW183,AH185,0)</f>
        <v>0</v>
      </c>
      <c r="AX185" s="963">
        <f t="shared" si="468"/>
        <v>0</v>
      </c>
      <c r="AY185" s="963">
        <f t="shared" si="468"/>
        <v>0</v>
      </c>
      <c r="AZ185" s="963">
        <f t="shared" si="468"/>
        <v>0</v>
      </c>
      <c r="BA185" s="963">
        <f t="shared" si="468"/>
        <v>0</v>
      </c>
      <c r="BB185" s="963">
        <f t="shared" si="468"/>
        <v>0</v>
      </c>
      <c r="BC185" s="963">
        <f t="shared" si="468"/>
        <v>0</v>
      </c>
      <c r="BD185" s="963">
        <f t="shared" si="468"/>
        <v>0</v>
      </c>
      <c r="BE185" s="963">
        <f t="shared" si="468"/>
        <v>0</v>
      </c>
      <c r="BF185" s="963" t="e">
        <f t="shared" si="468"/>
        <v>#VALUE!</v>
      </c>
    </row>
    <row r="186" spans="1:58" ht="16.5" x14ac:dyDescent="0.3">
      <c r="A186" s="1000"/>
      <c r="B186" s="1000"/>
      <c r="C186" s="1000"/>
      <c r="D186" s="1000"/>
      <c r="E186" s="1000"/>
      <c r="F186" s="1000"/>
      <c r="G186" s="1000"/>
      <c r="H186" s="1000"/>
      <c r="I186" s="1000"/>
      <c r="J186" s="999"/>
      <c r="K186" s="999"/>
      <c r="L186" s="999"/>
      <c r="M186" s="999"/>
      <c r="N186" s="997"/>
      <c r="O186" s="997"/>
      <c r="P186" s="1025"/>
      <c r="Q186" s="1031"/>
      <c r="R186" s="1032"/>
      <c r="S186" s="1033"/>
      <c r="T186" s="1033"/>
      <c r="U186" s="1033"/>
      <c r="V186" s="1033"/>
      <c r="W186" s="1033"/>
      <c r="X186" s="1033"/>
      <c r="Y186" s="1032"/>
      <c r="Z186" s="1034"/>
      <c r="AA186" s="1035"/>
      <c r="AC186" s="934">
        <f>'T2'!AC30</f>
        <v>42717</v>
      </c>
      <c r="AD186" s="968">
        <f>'T2'!AD30</f>
        <v>0</v>
      </c>
      <c r="AE186" s="962">
        <f>'T2'!N30</f>
        <v>0</v>
      </c>
      <c r="AF186" s="968">
        <f>'T2'!AF30</f>
        <v>0</v>
      </c>
      <c r="AG186" s="962">
        <f>'T2'!O30</f>
        <v>0</v>
      </c>
      <c r="AI186" s="962">
        <f>AE186+AI180</f>
        <v>0</v>
      </c>
      <c r="AJ186" s="962">
        <f>AG186+AJ180</f>
        <v>0</v>
      </c>
      <c r="AV186" s="954"/>
      <c r="AW186" s="963">
        <f t="shared" ref="AW186:BF186" si="469">IF(MONTH(AD186)=AW184,AH186,0)</f>
        <v>0</v>
      </c>
      <c r="AX186" s="963">
        <f t="shared" si="469"/>
        <v>0</v>
      </c>
      <c r="AY186" s="963">
        <f t="shared" si="469"/>
        <v>0</v>
      </c>
      <c r="AZ186" s="963">
        <f t="shared" si="469"/>
        <v>0</v>
      </c>
      <c r="BA186" s="963">
        <f t="shared" si="469"/>
        <v>0</v>
      </c>
      <c r="BB186" s="963">
        <f t="shared" si="469"/>
        <v>0</v>
      </c>
      <c r="BC186" s="963">
        <f t="shared" si="469"/>
        <v>0</v>
      </c>
      <c r="BD186" s="963">
        <f t="shared" si="469"/>
        <v>0</v>
      </c>
      <c r="BE186" s="963">
        <f t="shared" si="469"/>
        <v>0</v>
      </c>
      <c r="BF186" s="963">
        <f t="shared" si="469"/>
        <v>0</v>
      </c>
    </row>
    <row r="187" spans="1:58" ht="16.5" x14ac:dyDescent="0.3">
      <c r="A187" s="1000"/>
      <c r="B187" s="1000"/>
      <c r="C187" s="1000"/>
      <c r="D187" s="1000"/>
      <c r="E187" s="1000"/>
      <c r="F187" s="1000"/>
      <c r="G187" s="1000"/>
      <c r="H187" s="1000"/>
      <c r="I187" s="1000"/>
      <c r="J187" s="999"/>
      <c r="K187" s="999"/>
      <c r="L187" s="999"/>
      <c r="M187" s="999"/>
      <c r="N187" s="997"/>
      <c r="O187" s="997"/>
      <c r="P187" s="1025" t="str">
        <f>A137</f>
        <v>S47</v>
      </c>
      <c r="Q187" s="1026"/>
      <c r="R187" s="1027"/>
      <c r="S187" s="1028"/>
      <c r="T187" s="1028"/>
      <c r="U187" s="1028"/>
      <c r="V187" s="1028"/>
      <c r="W187" s="1028"/>
      <c r="X187" s="1028"/>
      <c r="Y187" s="1027"/>
      <c r="Z187" s="1029"/>
      <c r="AA187" s="1030"/>
      <c r="AC187" s="934">
        <f>'T2'!AC31</f>
        <v>42718</v>
      </c>
      <c r="AD187" s="968">
        <f>'T2'!AD31</f>
        <v>0</v>
      </c>
      <c r="AE187" s="962">
        <f>'T2'!N31</f>
        <v>0</v>
      </c>
      <c r="AF187" s="968">
        <f>'T2'!AF31</f>
        <v>0</v>
      </c>
      <c r="AG187" s="962">
        <f>'T2'!O31</f>
        <v>0</v>
      </c>
      <c r="AI187" s="962">
        <f t="shared" ref="AI187:AI192" si="470">AE187+AI186</f>
        <v>0</v>
      </c>
      <c r="AJ187" s="962">
        <f t="shared" ref="AJ187:AJ192" si="471">AG187+AJ186</f>
        <v>0</v>
      </c>
      <c r="AV187" s="954"/>
      <c r="AW187" s="963">
        <f t="shared" ref="AW187:BF187" si="472">IF(MONTH(AD187)=AW185,AH187,0)</f>
        <v>0</v>
      </c>
      <c r="AX187" s="963">
        <f t="shared" si="472"/>
        <v>0</v>
      </c>
      <c r="AY187" s="963">
        <f t="shared" si="472"/>
        <v>0</v>
      </c>
      <c r="AZ187" s="963">
        <f t="shared" si="472"/>
        <v>0</v>
      </c>
      <c r="BA187" s="963">
        <f t="shared" si="472"/>
        <v>0</v>
      </c>
      <c r="BB187" s="963">
        <f t="shared" si="472"/>
        <v>0</v>
      </c>
      <c r="BC187" s="963">
        <f t="shared" si="472"/>
        <v>0</v>
      </c>
      <c r="BD187" s="963">
        <f t="shared" si="472"/>
        <v>0</v>
      </c>
      <c r="BE187" s="963">
        <f t="shared" si="472"/>
        <v>0</v>
      </c>
      <c r="BF187" s="963" t="e">
        <f t="shared" si="472"/>
        <v>#VALUE!</v>
      </c>
    </row>
    <row r="188" spans="1:58" ht="16.5" x14ac:dyDescent="0.3">
      <c r="A188" s="1000"/>
      <c r="B188" s="1000"/>
      <c r="C188" s="1000"/>
      <c r="D188" s="1000"/>
      <c r="E188" s="1000"/>
      <c r="F188" s="1000"/>
      <c r="G188" s="1000"/>
      <c r="H188" s="1000"/>
      <c r="I188" s="1000"/>
      <c r="J188" s="999"/>
      <c r="K188" s="999"/>
      <c r="L188" s="999"/>
      <c r="M188" s="999"/>
      <c r="N188" s="997"/>
      <c r="O188" s="997"/>
      <c r="P188" s="1025"/>
      <c r="Q188" s="1031"/>
      <c r="R188" s="1032"/>
      <c r="S188" s="1033"/>
      <c r="T188" s="1033"/>
      <c r="U188" s="1033"/>
      <c r="V188" s="1033"/>
      <c r="W188" s="1033"/>
      <c r="X188" s="1033"/>
      <c r="Y188" s="1032"/>
      <c r="Z188" s="1034"/>
      <c r="AA188" s="1035"/>
      <c r="AC188" s="934">
        <f>'T2'!AC32</f>
        <v>42719</v>
      </c>
      <c r="AD188" s="968">
        <f>'T2'!AD32</f>
        <v>0</v>
      </c>
      <c r="AE188" s="962">
        <f>'T2'!N32</f>
        <v>0</v>
      </c>
      <c r="AF188" s="968">
        <f>'T2'!AF32</f>
        <v>0</v>
      </c>
      <c r="AG188" s="962">
        <f>'T2'!O32</f>
        <v>0</v>
      </c>
      <c r="AI188" s="962">
        <f t="shared" si="470"/>
        <v>0</v>
      </c>
      <c r="AJ188" s="962">
        <f t="shared" si="471"/>
        <v>0</v>
      </c>
      <c r="AV188" s="954"/>
      <c r="AW188" s="963">
        <f t="shared" ref="AW188:BF188" si="473">IF(MONTH(AD188)=AW186,AH188,0)</f>
        <v>0</v>
      </c>
      <c r="AX188" s="963">
        <f t="shared" si="473"/>
        <v>0</v>
      </c>
      <c r="AY188" s="963">
        <f t="shared" si="473"/>
        <v>0</v>
      </c>
      <c r="AZ188" s="963">
        <f t="shared" si="473"/>
        <v>0</v>
      </c>
      <c r="BA188" s="963">
        <f t="shared" si="473"/>
        <v>0</v>
      </c>
      <c r="BB188" s="963">
        <f t="shared" si="473"/>
        <v>0</v>
      </c>
      <c r="BC188" s="963">
        <f t="shared" si="473"/>
        <v>0</v>
      </c>
      <c r="BD188" s="963">
        <f t="shared" si="473"/>
        <v>0</v>
      </c>
      <c r="BE188" s="963">
        <f t="shared" si="473"/>
        <v>0</v>
      </c>
      <c r="BF188" s="963">
        <f t="shared" si="473"/>
        <v>0</v>
      </c>
    </row>
    <row r="189" spans="1:58" ht="16.5" x14ac:dyDescent="0.3">
      <c r="A189" s="1000"/>
      <c r="B189" s="1000"/>
      <c r="C189" s="1000"/>
      <c r="D189" s="1000"/>
      <c r="E189" s="1000"/>
      <c r="F189" s="1000"/>
      <c r="G189" s="1000"/>
      <c r="H189" s="1000"/>
      <c r="I189" s="1000"/>
      <c r="J189" s="999"/>
      <c r="K189" s="999"/>
      <c r="L189" s="999"/>
      <c r="M189" s="999"/>
      <c r="N189" s="997"/>
      <c r="O189" s="997"/>
      <c r="P189" s="1025" t="str">
        <f>A149</f>
        <v>S48</v>
      </c>
      <c r="Q189" s="1026"/>
      <c r="R189" s="1027"/>
      <c r="S189" s="1028"/>
      <c r="T189" s="1028"/>
      <c r="U189" s="1028"/>
      <c r="V189" s="1028"/>
      <c r="W189" s="1028"/>
      <c r="X189" s="1028"/>
      <c r="Y189" s="1027"/>
      <c r="Z189" s="1029"/>
      <c r="AA189" s="1030"/>
      <c r="AC189" s="934">
        <f>'T2'!AC33</f>
        <v>42720</v>
      </c>
      <c r="AD189" s="968">
        <f>'T2'!AD33</f>
        <v>0</v>
      </c>
      <c r="AE189" s="962">
        <f>'T2'!N33</f>
        <v>0</v>
      </c>
      <c r="AF189" s="968">
        <f>'T2'!AF33</f>
        <v>0</v>
      </c>
      <c r="AG189" s="962">
        <f>'T2'!O33</f>
        <v>0</v>
      </c>
      <c r="AI189" s="962">
        <f t="shared" si="470"/>
        <v>0</v>
      </c>
      <c r="AJ189" s="962">
        <f t="shared" si="471"/>
        <v>0</v>
      </c>
      <c r="AV189" s="954"/>
      <c r="AW189" s="963">
        <f t="shared" ref="AW189:BF189" si="474">IF(MONTH(AD189)=AW187,AH189,0)</f>
        <v>0</v>
      </c>
      <c r="AX189" s="963">
        <f t="shared" si="474"/>
        <v>0</v>
      </c>
      <c r="AY189" s="963">
        <f t="shared" si="474"/>
        <v>0</v>
      </c>
      <c r="AZ189" s="963">
        <f t="shared" si="474"/>
        <v>0</v>
      </c>
      <c r="BA189" s="963">
        <f t="shared" si="474"/>
        <v>0</v>
      </c>
      <c r="BB189" s="963">
        <f t="shared" si="474"/>
        <v>0</v>
      </c>
      <c r="BC189" s="963">
        <f t="shared" si="474"/>
        <v>0</v>
      </c>
      <c r="BD189" s="963">
        <f t="shared" si="474"/>
        <v>0</v>
      </c>
      <c r="BE189" s="963">
        <f t="shared" si="474"/>
        <v>0</v>
      </c>
      <c r="BF189" s="963" t="e">
        <f t="shared" si="474"/>
        <v>#VALUE!</v>
      </c>
    </row>
    <row r="190" spans="1:58" ht="16.5" x14ac:dyDescent="0.3">
      <c r="A190" s="1000"/>
      <c r="B190" s="1000"/>
      <c r="C190" s="1000"/>
      <c r="D190" s="1000"/>
      <c r="E190" s="1000"/>
      <c r="F190" s="1000"/>
      <c r="G190" s="1000"/>
      <c r="H190" s="1000"/>
      <c r="I190" s="1000"/>
      <c r="J190" s="999"/>
      <c r="K190" s="999"/>
      <c r="L190" s="999"/>
      <c r="M190" s="999"/>
      <c r="N190" s="997"/>
      <c r="O190" s="997"/>
      <c r="P190" s="1025"/>
      <c r="Q190" s="1031"/>
      <c r="R190" s="1032"/>
      <c r="S190" s="1033"/>
      <c r="T190" s="1033"/>
      <c r="U190" s="1033"/>
      <c r="V190" s="1033"/>
      <c r="W190" s="1033"/>
      <c r="X190" s="1033"/>
      <c r="Y190" s="1032"/>
      <c r="Z190" s="1034"/>
      <c r="AA190" s="1035"/>
      <c r="AC190" s="934">
        <f>'T2'!AC34</f>
        <v>42721</v>
      </c>
      <c r="AD190" s="968">
        <f>'T2'!AD34</f>
        <v>0</v>
      </c>
      <c r="AE190" s="962">
        <f>'T2'!N34</f>
        <v>0</v>
      </c>
      <c r="AF190" s="968">
        <f>'T2'!AF34</f>
        <v>0</v>
      </c>
      <c r="AG190" s="962">
        <f>'T2'!O34</f>
        <v>0</v>
      </c>
      <c r="AI190" s="962">
        <f t="shared" si="470"/>
        <v>0</v>
      </c>
      <c r="AJ190" s="962">
        <f t="shared" si="471"/>
        <v>0</v>
      </c>
      <c r="AV190" s="954"/>
      <c r="AW190" s="963">
        <f t="shared" ref="AW190:BF190" si="475">IF(MONTH(AD190)=AW188,AH190,0)</f>
        <v>0</v>
      </c>
      <c r="AX190" s="963">
        <f t="shared" si="475"/>
        <v>0</v>
      </c>
      <c r="AY190" s="963">
        <f t="shared" si="475"/>
        <v>0</v>
      </c>
      <c r="AZ190" s="963">
        <f t="shared" si="475"/>
        <v>0</v>
      </c>
      <c r="BA190" s="963">
        <f t="shared" si="475"/>
        <v>0</v>
      </c>
      <c r="BB190" s="963">
        <f t="shared" si="475"/>
        <v>0</v>
      </c>
      <c r="BC190" s="963">
        <f t="shared" si="475"/>
        <v>0</v>
      </c>
      <c r="BD190" s="963">
        <f t="shared" si="475"/>
        <v>0</v>
      </c>
      <c r="BE190" s="963">
        <f t="shared" si="475"/>
        <v>0</v>
      </c>
      <c r="BF190" s="963">
        <f t="shared" si="475"/>
        <v>0</v>
      </c>
    </row>
    <row r="191" spans="1:58" ht="17.25" thickBot="1" x14ac:dyDescent="0.35">
      <c r="A191" s="1000"/>
      <c r="B191" s="1000"/>
      <c r="C191" s="1000"/>
      <c r="D191" s="1000"/>
      <c r="E191" s="1000"/>
      <c r="F191" s="1000"/>
      <c r="G191" s="1000"/>
      <c r="H191" s="1000"/>
      <c r="I191" s="1000"/>
      <c r="J191" s="999"/>
      <c r="K191" s="999"/>
      <c r="L191" s="999"/>
      <c r="M191" s="999"/>
      <c r="N191" s="997"/>
      <c r="O191" s="997"/>
      <c r="P191" s="997"/>
      <c r="Q191" s="997"/>
      <c r="R191" s="1006"/>
      <c r="S191" s="1006"/>
      <c r="T191" s="1006"/>
      <c r="U191" s="1006"/>
      <c r="V191" s="1006"/>
      <c r="W191" s="1006"/>
      <c r="X191" s="1006"/>
      <c r="Y191" s="1006"/>
      <c r="Z191" s="1006"/>
      <c r="AA191" s="1006"/>
      <c r="AC191" s="934">
        <f>'T2'!AC35</f>
        <v>42722</v>
      </c>
      <c r="AD191" s="968">
        <f>'T2'!AD35</f>
        <v>0</v>
      </c>
      <c r="AE191" s="962">
        <f>'T2'!N35</f>
        <v>0</v>
      </c>
      <c r="AF191" s="968">
        <f>'T2'!AF35</f>
        <v>0</v>
      </c>
      <c r="AG191" s="962">
        <f>'T2'!O35</f>
        <v>0</v>
      </c>
      <c r="AI191" s="962">
        <f t="shared" si="470"/>
        <v>0</v>
      </c>
      <c r="AJ191" s="962">
        <f t="shared" si="471"/>
        <v>0</v>
      </c>
      <c r="AV191" s="954"/>
      <c r="AW191" s="963">
        <f t="shared" ref="AW191:BF191" si="476">IF(MONTH(AD191)=AW189,AH191,0)</f>
        <v>0</v>
      </c>
      <c r="AX191" s="963">
        <f t="shared" si="476"/>
        <v>0</v>
      </c>
      <c r="AY191" s="963">
        <f t="shared" si="476"/>
        <v>0</v>
      </c>
      <c r="AZ191" s="963">
        <f t="shared" si="476"/>
        <v>0</v>
      </c>
      <c r="BA191" s="963">
        <f t="shared" si="476"/>
        <v>0</v>
      </c>
      <c r="BB191" s="963">
        <f t="shared" si="476"/>
        <v>0</v>
      </c>
      <c r="BC191" s="963">
        <f t="shared" si="476"/>
        <v>0</v>
      </c>
      <c r="BD191" s="963">
        <f t="shared" si="476"/>
        <v>0</v>
      </c>
      <c r="BE191" s="963">
        <f t="shared" si="476"/>
        <v>0</v>
      </c>
      <c r="BF191" s="963" t="e">
        <f t="shared" si="476"/>
        <v>#VALUE!</v>
      </c>
    </row>
    <row r="192" spans="1:58" x14ac:dyDescent="0.25">
      <c r="A192" s="1041" t="s">
        <v>123</v>
      </c>
      <c r="B192" s="1042"/>
      <c r="C192" s="1042"/>
      <c r="D192" s="1042"/>
      <c r="E192" s="1042"/>
      <c r="F192" s="1042"/>
      <c r="G192" s="1042"/>
      <c r="H192" s="1042"/>
      <c r="I192" s="1042"/>
      <c r="J192" s="1042"/>
      <c r="K192" s="1042"/>
      <c r="L192" s="1042"/>
      <c r="M192" s="1042"/>
      <c r="N192" s="1042"/>
      <c r="O192" s="1042"/>
      <c r="P192" s="1042"/>
      <c r="Q192" s="1042"/>
      <c r="R192" s="1042"/>
      <c r="S192" s="1042"/>
      <c r="T192" s="1042"/>
      <c r="U192" s="1042"/>
      <c r="V192" s="1042"/>
      <c r="W192" s="1042"/>
      <c r="X192" s="1042"/>
      <c r="Y192" s="1042"/>
      <c r="Z192" s="1042"/>
      <c r="AA192" s="1043"/>
      <c r="AC192" s="934">
        <f>'T2'!AC36</f>
        <v>42723</v>
      </c>
      <c r="AD192" s="968">
        <f>'T2'!AD36</f>
        <v>0</v>
      </c>
      <c r="AE192" s="962">
        <f>'T2'!N36</f>
        <v>0</v>
      </c>
      <c r="AF192" s="968">
        <f>'T2'!AF36</f>
        <v>0</v>
      </c>
      <c r="AG192" s="962">
        <f>'T2'!O36</f>
        <v>0</v>
      </c>
      <c r="AI192" s="962">
        <f t="shared" si="470"/>
        <v>0</v>
      </c>
      <c r="AJ192" s="962">
        <f t="shared" si="471"/>
        <v>0</v>
      </c>
      <c r="AV192" s="954"/>
      <c r="AW192" s="963">
        <f t="shared" ref="AW192:BF192" si="477">IF(MONTH(AD192)=AW190,AH192,0)</f>
        <v>0</v>
      </c>
      <c r="AX192" s="963">
        <f t="shared" si="477"/>
        <v>0</v>
      </c>
      <c r="AY192" s="963">
        <f t="shared" si="477"/>
        <v>0</v>
      </c>
      <c r="AZ192" s="963">
        <f t="shared" si="477"/>
        <v>0</v>
      </c>
      <c r="BA192" s="963">
        <f t="shared" si="477"/>
        <v>0</v>
      </c>
      <c r="BB192" s="963">
        <f t="shared" si="477"/>
        <v>0</v>
      </c>
      <c r="BC192" s="963">
        <f t="shared" si="477"/>
        <v>0</v>
      </c>
      <c r="BD192" s="963">
        <f t="shared" si="477"/>
        <v>0</v>
      </c>
      <c r="BE192" s="963">
        <f t="shared" si="477"/>
        <v>0</v>
      </c>
      <c r="BF192" s="963">
        <f t="shared" si="477"/>
        <v>0</v>
      </c>
    </row>
    <row r="193" spans="1:58" ht="15.75" thickBot="1" x14ac:dyDescent="0.3">
      <c r="A193" s="1044"/>
      <c r="B193" s="1045"/>
      <c r="C193" s="1045"/>
      <c r="D193" s="1045"/>
      <c r="E193" s="1045"/>
      <c r="F193" s="1045"/>
      <c r="G193" s="1045"/>
      <c r="H193" s="1045"/>
      <c r="I193" s="1045"/>
      <c r="J193" s="1045"/>
      <c r="K193" s="1045"/>
      <c r="L193" s="1045"/>
      <c r="M193" s="1045"/>
      <c r="N193" s="1045"/>
      <c r="O193" s="1045"/>
      <c r="P193" s="1045"/>
      <c r="Q193" s="1045"/>
      <c r="R193" s="1045"/>
      <c r="S193" s="1045"/>
      <c r="T193" s="1045"/>
      <c r="U193" s="1045"/>
      <c r="V193" s="1045"/>
      <c r="W193" s="1045"/>
      <c r="X193" s="1045"/>
      <c r="Y193" s="1045"/>
      <c r="Z193" s="1045"/>
      <c r="AA193" s="1046"/>
      <c r="AV193" s="954"/>
      <c r="AW193" s="963">
        <f t="shared" ref="AW193:BF193" si="478">IF(MONTH(AD193)=AW191,AH193,0)</f>
        <v>0</v>
      </c>
      <c r="AX193" s="963">
        <f t="shared" si="478"/>
        <v>0</v>
      </c>
      <c r="AY193" s="963">
        <f t="shared" si="478"/>
        <v>0</v>
      </c>
      <c r="AZ193" s="963">
        <f t="shared" si="478"/>
        <v>0</v>
      </c>
      <c r="BA193" s="963">
        <f t="shared" si="478"/>
        <v>0</v>
      </c>
      <c r="BB193" s="963">
        <f t="shared" si="478"/>
        <v>0</v>
      </c>
      <c r="BC193" s="963">
        <f t="shared" si="478"/>
        <v>0</v>
      </c>
      <c r="BD193" s="963">
        <f t="shared" si="478"/>
        <v>0</v>
      </c>
      <c r="BE193" s="963">
        <f t="shared" si="478"/>
        <v>0</v>
      </c>
      <c r="BF193" s="963" t="e">
        <f t="shared" si="478"/>
        <v>#VALUE!</v>
      </c>
    </row>
    <row r="194" spans="1:58" x14ac:dyDescent="0.25">
      <c r="AV194" s="954"/>
      <c r="AW194" s="963">
        <f t="shared" ref="AW194:BF194" si="479">IF(MONTH(AD194)=AW192,AH194,0)</f>
        <v>0</v>
      </c>
      <c r="AX194" s="963">
        <f t="shared" si="479"/>
        <v>0</v>
      </c>
      <c r="AY194" s="963">
        <f t="shared" si="479"/>
        <v>0</v>
      </c>
      <c r="AZ194" s="963">
        <f t="shared" si="479"/>
        <v>0</v>
      </c>
      <c r="BA194" s="963">
        <f t="shared" si="479"/>
        <v>0</v>
      </c>
      <c r="BB194" s="963">
        <f t="shared" si="479"/>
        <v>0</v>
      </c>
      <c r="BC194" s="963">
        <f t="shared" si="479"/>
        <v>0</v>
      </c>
      <c r="BD194" s="963">
        <f t="shared" si="479"/>
        <v>0</v>
      </c>
      <c r="BE194" s="963">
        <f t="shared" si="479"/>
        <v>0</v>
      </c>
      <c r="BF194" s="963">
        <f t="shared" si="479"/>
        <v>0</v>
      </c>
    </row>
    <row r="195" spans="1:58" x14ac:dyDescent="0.25">
      <c r="AV195" s="954"/>
      <c r="AW195" s="963">
        <f t="shared" ref="AW195:BF195" si="480">IF(MONTH(AD195)=AW193,AH195,0)</f>
        <v>0</v>
      </c>
      <c r="AX195" s="963">
        <f t="shared" si="480"/>
        <v>0</v>
      </c>
      <c r="AY195" s="963">
        <f t="shared" si="480"/>
        <v>0</v>
      </c>
      <c r="AZ195" s="963">
        <f t="shared" si="480"/>
        <v>0</v>
      </c>
      <c r="BA195" s="963">
        <f t="shared" si="480"/>
        <v>0</v>
      </c>
      <c r="BB195" s="963">
        <f t="shared" si="480"/>
        <v>0</v>
      </c>
      <c r="BC195" s="963">
        <f t="shared" si="480"/>
        <v>0</v>
      </c>
      <c r="BD195" s="963">
        <f t="shared" si="480"/>
        <v>0</v>
      </c>
      <c r="BE195" s="963">
        <f t="shared" si="480"/>
        <v>0</v>
      </c>
      <c r="BF195" s="963" t="e">
        <f t="shared" si="480"/>
        <v>#VALUE!</v>
      </c>
    </row>
    <row r="196" spans="1:58" x14ac:dyDescent="0.25">
      <c r="AV196" s="954"/>
      <c r="AW196" s="963">
        <f t="shared" ref="AW196:BF196" si="481">IF(MONTH(AD196)=AW194,AH196,0)</f>
        <v>0</v>
      </c>
      <c r="AX196" s="963">
        <f t="shared" si="481"/>
        <v>0</v>
      </c>
      <c r="AY196" s="963">
        <f t="shared" si="481"/>
        <v>0</v>
      </c>
      <c r="AZ196" s="963">
        <f t="shared" si="481"/>
        <v>0</v>
      </c>
      <c r="BA196" s="963">
        <f t="shared" si="481"/>
        <v>0</v>
      </c>
      <c r="BB196" s="963">
        <f t="shared" si="481"/>
        <v>0</v>
      </c>
      <c r="BC196" s="963">
        <f t="shared" si="481"/>
        <v>0</v>
      </c>
      <c r="BD196" s="963">
        <f t="shared" si="481"/>
        <v>0</v>
      </c>
      <c r="BE196" s="963">
        <f t="shared" si="481"/>
        <v>0</v>
      </c>
      <c r="BF196" s="963">
        <f t="shared" si="481"/>
        <v>0</v>
      </c>
    </row>
    <row r="197" spans="1:58" x14ac:dyDescent="0.25">
      <c r="AV197" s="954"/>
      <c r="AW197" s="963">
        <f t="shared" ref="AW197:BF197" si="482">IF(MONTH(AD197)=AW195,AH197,0)</f>
        <v>0</v>
      </c>
      <c r="AX197" s="963">
        <f t="shared" si="482"/>
        <v>0</v>
      </c>
      <c r="AY197" s="963">
        <f t="shared" si="482"/>
        <v>0</v>
      </c>
      <c r="AZ197" s="963">
        <f t="shared" si="482"/>
        <v>0</v>
      </c>
      <c r="BA197" s="963">
        <f t="shared" si="482"/>
        <v>0</v>
      </c>
      <c r="BB197" s="963">
        <f t="shared" si="482"/>
        <v>0</v>
      </c>
      <c r="BC197" s="963">
        <f t="shared" si="482"/>
        <v>0</v>
      </c>
      <c r="BD197" s="963">
        <f t="shared" si="482"/>
        <v>0</v>
      </c>
      <c r="BE197" s="963">
        <f t="shared" si="482"/>
        <v>0</v>
      </c>
      <c r="BF197" s="963" t="e">
        <f t="shared" si="482"/>
        <v>#VALUE!</v>
      </c>
    </row>
    <row r="198" spans="1:58" x14ac:dyDescent="0.25">
      <c r="AC198" s="934">
        <f>'T2'!AC42</f>
        <v>42724</v>
      </c>
      <c r="AD198" s="968">
        <f>'T2'!AD42</f>
        <v>0</v>
      </c>
      <c r="AE198" s="962">
        <f>'T2'!N42</f>
        <v>0</v>
      </c>
      <c r="AF198" s="968">
        <f>'T2'!AF42</f>
        <v>0</v>
      </c>
      <c r="AG198" s="962">
        <f>'T2'!O42</f>
        <v>0</v>
      </c>
      <c r="AI198" s="962">
        <f>AE198+AI192</f>
        <v>0</v>
      </c>
      <c r="AJ198" s="962">
        <f>AG198+AJ192</f>
        <v>0</v>
      </c>
      <c r="AV198" s="954"/>
      <c r="AW198" s="963">
        <f t="shared" ref="AW198:BF198" si="483">IF(MONTH(AD198)=AW196,AH198,0)</f>
        <v>0</v>
      </c>
      <c r="AX198" s="963">
        <f t="shared" si="483"/>
        <v>0</v>
      </c>
      <c r="AY198" s="963">
        <f t="shared" si="483"/>
        <v>0</v>
      </c>
      <c r="AZ198" s="963">
        <f t="shared" si="483"/>
        <v>0</v>
      </c>
      <c r="BA198" s="963">
        <f t="shared" si="483"/>
        <v>0</v>
      </c>
      <c r="BB198" s="963">
        <f t="shared" si="483"/>
        <v>0</v>
      </c>
      <c r="BC198" s="963">
        <f t="shared" si="483"/>
        <v>0</v>
      </c>
      <c r="BD198" s="963">
        <f t="shared" si="483"/>
        <v>0</v>
      </c>
      <c r="BE198" s="963">
        <f t="shared" si="483"/>
        <v>0</v>
      </c>
      <c r="BF198" s="963">
        <f t="shared" si="483"/>
        <v>0</v>
      </c>
    </row>
    <row r="199" spans="1:58" x14ac:dyDescent="0.25">
      <c r="AC199" s="934">
        <f>'T2'!AC43</f>
        <v>42725</v>
      </c>
      <c r="AD199" s="968">
        <f>'T2'!AD43</f>
        <v>0</v>
      </c>
      <c r="AE199" s="962">
        <f>'T2'!N43</f>
        <v>0</v>
      </c>
      <c r="AF199" s="968">
        <f>'T2'!AF43</f>
        <v>0</v>
      </c>
      <c r="AG199" s="962">
        <f>'T2'!O43</f>
        <v>0</v>
      </c>
      <c r="AI199" s="962">
        <f t="shared" ref="AI199:AI204" si="484">AE199+AI198</f>
        <v>0</v>
      </c>
      <c r="AJ199" s="962">
        <f t="shared" ref="AJ199:AJ204" si="485">AG199+AJ198</f>
        <v>0</v>
      </c>
      <c r="AV199" s="954"/>
      <c r="AW199" s="963">
        <f t="shared" ref="AW199:BF199" si="486">IF(MONTH(AD199)=AW197,AH199,0)</f>
        <v>0</v>
      </c>
      <c r="AX199" s="963">
        <f t="shared" si="486"/>
        <v>0</v>
      </c>
      <c r="AY199" s="963">
        <f t="shared" si="486"/>
        <v>0</v>
      </c>
      <c r="AZ199" s="963">
        <f t="shared" si="486"/>
        <v>0</v>
      </c>
      <c r="BA199" s="963">
        <f t="shared" si="486"/>
        <v>0</v>
      </c>
      <c r="BB199" s="963">
        <f t="shared" si="486"/>
        <v>0</v>
      </c>
      <c r="BC199" s="963">
        <f t="shared" si="486"/>
        <v>0</v>
      </c>
      <c r="BD199" s="963">
        <f t="shared" si="486"/>
        <v>0</v>
      </c>
      <c r="BE199" s="963">
        <f t="shared" si="486"/>
        <v>0</v>
      </c>
      <c r="BF199" s="963" t="e">
        <f t="shared" si="486"/>
        <v>#VALUE!</v>
      </c>
    </row>
    <row r="200" spans="1:58" x14ac:dyDescent="0.25">
      <c r="AC200" s="934">
        <f>'T2'!AC44</f>
        <v>42726</v>
      </c>
      <c r="AD200" s="968">
        <f>'T2'!AD44</f>
        <v>0</v>
      </c>
      <c r="AE200" s="962">
        <f>'T2'!N44</f>
        <v>0</v>
      </c>
      <c r="AF200" s="968">
        <f>'T2'!AF44</f>
        <v>0</v>
      </c>
      <c r="AG200" s="962">
        <f>'T2'!O44</f>
        <v>0</v>
      </c>
      <c r="AI200" s="962">
        <f t="shared" si="484"/>
        <v>0</v>
      </c>
      <c r="AJ200" s="962">
        <f t="shared" si="485"/>
        <v>0</v>
      </c>
      <c r="AV200" s="954"/>
      <c r="AW200" s="963">
        <f t="shared" ref="AW200:BF200" si="487">IF(MONTH(AD200)=AW198,AH200,0)</f>
        <v>0</v>
      </c>
      <c r="AX200" s="963">
        <f t="shared" si="487"/>
        <v>0</v>
      </c>
      <c r="AY200" s="963">
        <f t="shared" si="487"/>
        <v>0</v>
      </c>
      <c r="AZ200" s="963">
        <f t="shared" si="487"/>
        <v>0</v>
      </c>
      <c r="BA200" s="963">
        <f t="shared" si="487"/>
        <v>0</v>
      </c>
      <c r="BB200" s="963">
        <f t="shared" si="487"/>
        <v>0</v>
      </c>
      <c r="BC200" s="963">
        <f t="shared" si="487"/>
        <v>0</v>
      </c>
      <c r="BD200" s="963">
        <f t="shared" si="487"/>
        <v>0</v>
      </c>
      <c r="BE200" s="963">
        <f t="shared" si="487"/>
        <v>0</v>
      </c>
      <c r="BF200" s="963">
        <f t="shared" si="487"/>
        <v>0</v>
      </c>
    </row>
    <row r="201" spans="1:58" x14ac:dyDescent="0.25">
      <c r="AC201" s="934">
        <f>'T2'!AC45</f>
        <v>42727</v>
      </c>
      <c r="AD201" s="968">
        <f>'T2'!AD45</f>
        <v>0</v>
      </c>
      <c r="AE201" s="962">
        <f>'T2'!N45</f>
        <v>0</v>
      </c>
      <c r="AF201" s="968">
        <f>'T2'!AF45</f>
        <v>0</v>
      </c>
      <c r="AG201" s="962">
        <f>'T2'!O45</f>
        <v>0</v>
      </c>
      <c r="AI201" s="962">
        <f t="shared" si="484"/>
        <v>0</v>
      </c>
      <c r="AJ201" s="962">
        <f t="shared" si="485"/>
        <v>0</v>
      </c>
      <c r="AV201" s="954"/>
      <c r="AW201" s="963">
        <f t="shared" ref="AW201:BF201" si="488">IF(MONTH(AD201)=AW199,AH201,0)</f>
        <v>0</v>
      </c>
      <c r="AX201" s="963">
        <f t="shared" si="488"/>
        <v>0</v>
      </c>
      <c r="AY201" s="963">
        <f t="shared" si="488"/>
        <v>0</v>
      </c>
      <c r="AZ201" s="963">
        <f t="shared" si="488"/>
        <v>0</v>
      </c>
      <c r="BA201" s="963">
        <f t="shared" si="488"/>
        <v>0</v>
      </c>
      <c r="BB201" s="963">
        <f t="shared" si="488"/>
        <v>0</v>
      </c>
      <c r="BC201" s="963">
        <f t="shared" si="488"/>
        <v>0</v>
      </c>
      <c r="BD201" s="963">
        <f t="shared" si="488"/>
        <v>0</v>
      </c>
      <c r="BE201" s="963">
        <f t="shared" si="488"/>
        <v>0</v>
      </c>
      <c r="BF201" s="963" t="e">
        <f t="shared" si="488"/>
        <v>#VALUE!</v>
      </c>
    </row>
    <row r="202" spans="1:58" x14ac:dyDescent="0.25">
      <c r="AC202" s="934">
        <f>'T2'!AC46</f>
        <v>42728</v>
      </c>
      <c r="AD202" s="968">
        <f>'T2'!AD46</f>
        <v>0</v>
      </c>
      <c r="AE202" s="962">
        <f>'T2'!N46</f>
        <v>0</v>
      </c>
      <c r="AF202" s="968">
        <f>'T2'!AF46</f>
        <v>0</v>
      </c>
      <c r="AG202" s="962">
        <f>'T2'!O46</f>
        <v>0</v>
      </c>
      <c r="AI202" s="962">
        <f t="shared" si="484"/>
        <v>0</v>
      </c>
      <c r="AJ202" s="962">
        <f t="shared" si="485"/>
        <v>0</v>
      </c>
      <c r="AV202" s="954"/>
      <c r="AW202" s="963">
        <f t="shared" ref="AW202:BF202" si="489">IF(MONTH(AD202)=AW200,AH202,0)</f>
        <v>0</v>
      </c>
      <c r="AX202" s="963">
        <f t="shared" si="489"/>
        <v>0</v>
      </c>
      <c r="AY202" s="963">
        <f t="shared" si="489"/>
        <v>0</v>
      </c>
      <c r="AZ202" s="963">
        <f t="shared" si="489"/>
        <v>0</v>
      </c>
      <c r="BA202" s="963">
        <f t="shared" si="489"/>
        <v>0</v>
      </c>
      <c r="BB202" s="963">
        <f t="shared" si="489"/>
        <v>0</v>
      </c>
      <c r="BC202" s="963">
        <f t="shared" si="489"/>
        <v>0</v>
      </c>
      <c r="BD202" s="963">
        <f t="shared" si="489"/>
        <v>0</v>
      </c>
      <c r="BE202" s="963">
        <f t="shared" si="489"/>
        <v>0</v>
      </c>
      <c r="BF202" s="963">
        <f t="shared" si="489"/>
        <v>0</v>
      </c>
    </row>
    <row r="203" spans="1:58" x14ac:dyDescent="0.25">
      <c r="AC203" s="934">
        <f>'T2'!AC47</f>
        <v>42729</v>
      </c>
      <c r="AD203" s="968">
        <f>'T2'!AD47</f>
        <v>0</v>
      </c>
      <c r="AE203" s="962">
        <f>'T2'!N47</f>
        <v>0</v>
      </c>
      <c r="AF203" s="968">
        <f>'T2'!AF47</f>
        <v>0</v>
      </c>
      <c r="AG203" s="962">
        <f>'T2'!O47</f>
        <v>0</v>
      </c>
      <c r="AI203" s="962">
        <f t="shared" si="484"/>
        <v>0</v>
      </c>
      <c r="AJ203" s="962">
        <f t="shared" si="485"/>
        <v>0</v>
      </c>
      <c r="AV203" s="954"/>
      <c r="AW203" s="963">
        <f t="shared" ref="AW203:BF203" si="490">IF(MONTH(AD203)=AW201,AH203,0)</f>
        <v>0</v>
      </c>
      <c r="AX203" s="963">
        <f t="shared" si="490"/>
        <v>0</v>
      </c>
      <c r="AY203" s="963">
        <f t="shared" si="490"/>
        <v>0</v>
      </c>
      <c r="AZ203" s="963">
        <f t="shared" si="490"/>
        <v>0</v>
      </c>
      <c r="BA203" s="963">
        <f t="shared" si="490"/>
        <v>0</v>
      </c>
      <c r="BB203" s="963">
        <f t="shared" si="490"/>
        <v>0</v>
      </c>
      <c r="BC203" s="963">
        <f t="shared" si="490"/>
        <v>0</v>
      </c>
      <c r="BD203" s="963">
        <f t="shared" si="490"/>
        <v>0</v>
      </c>
      <c r="BE203" s="963">
        <f t="shared" si="490"/>
        <v>0</v>
      </c>
      <c r="BF203" s="963" t="e">
        <f t="shared" si="490"/>
        <v>#VALUE!</v>
      </c>
    </row>
    <row r="204" spans="1:58" x14ac:dyDescent="0.25">
      <c r="AC204" s="934">
        <f>'T2'!AC48</f>
        <v>42730</v>
      </c>
      <c r="AD204" s="968">
        <f>'T2'!AD48</f>
        <v>0</v>
      </c>
      <c r="AE204" s="962">
        <f>'T2'!N48</f>
        <v>0</v>
      </c>
      <c r="AF204" s="968">
        <f>'T2'!AF48</f>
        <v>0</v>
      </c>
      <c r="AG204" s="962">
        <f>'T2'!O48</f>
        <v>0</v>
      </c>
      <c r="AI204" s="962">
        <f t="shared" si="484"/>
        <v>0</v>
      </c>
      <c r="AJ204" s="962">
        <f t="shared" si="485"/>
        <v>0</v>
      </c>
      <c r="AV204" s="954"/>
      <c r="AW204" s="963">
        <f t="shared" ref="AW204:BF204" si="491">IF(MONTH(AD204)=AW202,AH204,0)</f>
        <v>0</v>
      </c>
      <c r="AX204" s="963">
        <f t="shared" si="491"/>
        <v>0</v>
      </c>
      <c r="AY204" s="963">
        <f t="shared" si="491"/>
        <v>0</v>
      </c>
      <c r="AZ204" s="963">
        <f t="shared" si="491"/>
        <v>0</v>
      </c>
      <c r="BA204" s="963">
        <f t="shared" si="491"/>
        <v>0</v>
      </c>
      <c r="BB204" s="963">
        <f t="shared" si="491"/>
        <v>0</v>
      </c>
      <c r="BC204" s="963">
        <f t="shared" si="491"/>
        <v>0</v>
      </c>
      <c r="BD204" s="963">
        <f t="shared" si="491"/>
        <v>0</v>
      </c>
      <c r="BE204" s="963">
        <f t="shared" si="491"/>
        <v>0</v>
      </c>
      <c r="BF204" s="963">
        <f t="shared" si="491"/>
        <v>0</v>
      </c>
    </row>
    <row r="205" spans="1:58" x14ac:dyDescent="0.25">
      <c r="AV205" s="954"/>
      <c r="AW205" s="963">
        <f t="shared" ref="AW205:BF205" si="492">IF(MONTH(AD205)=AW203,AH205,0)</f>
        <v>0</v>
      </c>
      <c r="AX205" s="963">
        <f t="shared" si="492"/>
        <v>0</v>
      </c>
      <c r="AY205" s="963">
        <f t="shared" si="492"/>
        <v>0</v>
      </c>
      <c r="AZ205" s="963">
        <f t="shared" si="492"/>
        <v>0</v>
      </c>
      <c r="BA205" s="963">
        <f t="shared" si="492"/>
        <v>0</v>
      </c>
      <c r="BB205" s="963">
        <f t="shared" si="492"/>
        <v>0</v>
      </c>
      <c r="BC205" s="963">
        <f t="shared" si="492"/>
        <v>0</v>
      </c>
      <c r="BD205" s="963">
        <f t="shared" si="492"/>
        <v>0</v>
      </c>
      <c r="BE205" s="963">
        <f t="shared" si="492"/>
        <v>0</v>
      </c>
      <c r="BF205" s="963" t="e">
        <f t="shared" si="492"/>
        <v>#VALUE!</v>
      </c>
    </row>
    <row r="206" spans="1:58" x14ac:dyDescent="0.25">
      <c r="AV206" s="954"/>
      <c r="AW206" s="963">
        <f t="shared" ref="AW206:BF206" si="493">IF(MONTH(AD206)=AW204,AH206,0)</f>
        <v>0</v>
      </c>
      <c r="AX206" s="963">
        <f t="shared" si="493"/>
        <v>0</v>
      </c>
      <c r="AY206" s="963">
        <f t="shared" si="493"/>
        <v>0</v>
      </c>
      <c r="AZ206" s="963">
        <f t="shared" si="493"/>
        <v>0</v>
      </c>
      <c r="BA206" s="963">
        <f t="shared" si="493"/>
        <v>0</v>
      </c>
      <c r="BB206" s="963">
        <f t="shared" si="493"/>
        <v>0</v>
      </c>
      <c r="BC206" s="963">
        <f t="shared" si="493"/>
        <v>0</v>
      </c>
      <c r="BD206" s="963">
        <f t="shared" si="493"/>
        <v>0</v>
      </c>
      <c r="BE206" s="963">
        <f t="shared" si="493"/>
        <v>0</v>
      </c>
      <c r="BF206" s="963">
        <f t="shared" si="493"/>
        <v>0</v>
      </c>
    </row>
    <row r="207" spans="1:58" x14ac:dyDescent="0.25">
      <c r="AV207" s="954"/>
      <c r="AW207" s="963">
        <f t="shared" ref="AW207:BF207" si="494">IF(MONTH(AD207)=AW205,AH207,0)</f>
        <v>0</v>
      </c>
      <c r="AX207" s="963">
        <f t="shared" si="494"/>
        <v>0</v>
      </c>
      <c r="AY207" s="963">
        <f t="shared" si="494"/>
        <v>0</v>
      </c>
      <c r="AZ207" s="963">
        <f t="shared" si="494"/>
        <v>0</v>
      </c>
      <c r="BA207" s="963">
        <f t="shared" si="494"/>
        <v>0</v>
      </c>
      <c r="BB207" s="963">
        <f t="shared" si="494"/>
        <v>0</v>
      </c>
      <c r="BC207" s="963">
        <f t="shared" si="494"/>
        <v>0</v>
      </c>
      <c r="BD207" s="963">
        <f t="shared" si="494"/>
        <v>0</v>
      </c>
      <c r="BE207" s="963">
        <f t="shared" si="494"/>
        <v>0</v>
      </c>
      <c r="BF207" s="963" t="e">
        <f t="shared" si="494"/>
        <v>#VALUE!</v>
      </c>
    </row>
    <row r="208" spans="1:58" x14ac:dyDescent="0.25">
      <c r="AV208" s="954"/>
      <c r="AW208" s="963">
        <f t="shared" ref="AW208:BF208" si="495">IF(MONTH(AD208)=AW206,AH208,0)</f>
        <v>0</v>
      </c>
      <c r="AX208" s="963">
        <f t="shared" si="495"/>
        <v>0</v>
      </c>
      <c r="AY208" s="963">
        <f t="shared" si="495"/>
        <v>0</v>
      </c>
      <c r="AZ208" s="963">
        <f t="shared" si="495"/>
        <v>0</v>
      </c>
      <c r="BA208" s="963">
        <f t="shared" si="495"/>
        <v>0</v>
      </c>
      <c r="BB208" s="963">
        <f t="shared" si="495"/>
        <v>0</v>
      </c>
      <c r="BC208" s="963">
        <f t="shared" si="495"/>
        <v>0</v>
      </c>
      <c r="BD208" s="963">
        <f t="shared" si="495"/>
        <v>0</v>
      </c>
      <c r="BE208" s="963">
        <f t="shared" si="495"/>
        <v>0</v>
      </c>
      <c r="BF208" s="963">
        <f t="shared" si="495"/>
        <v>0</v>
      </c>
    </row>
    <row r="209" spans="29:58" x14ac:dyDescent="0.25">
      <c r="AV209" s="954"/>
      <c r="AW209" s="963">
        <f t="shared" ref="AW209:BF209" si="496">IF(MONTH(AD209)=AW207,AH209,0)</f>
        <v>0</v>
      </c>
      <c r="AX209" s="963">
        <f t="shared" si="496"/>
        <v>0</v>
      </c>
      <c r="AY209" s="963">
        <f t="shared" si="496"/>
        <v>0</v>
      </c>
      <c r="AZ209" s="963">
        <f t="shared" si="496"/>
        <v>0</v>
      </c>
      <c r="BA209" s="963">
        <f t="shared" si="496"/>
        <v>0</v>
      </c>
      <c r="BB209" s="963">
        <f t="shared" si="496"/>
        <v>0</v>
      </c>
      <c r="BC209" s="963">
        <f t="shared" si="496"/>
        <v>0</v>
      </c>
      <c r="BD209" s="963">
        <f t="shared" si="496"/>
        <v>0</v>
      </c>
      <c r="BE209" s="963">
        <f t="shared" si="496"/>
        <v>0</v>
      </c>
      <c r="BF209" s="963" t="e">
        <f t="shared" si="496"/>
        <v>#VALUE!</v>
      </c>
    </row>
    <row r="210" spans="29:58" x14ac:dyDescent="0.25">
      <c r="AC210" s="934">
        <f>'T2'!AC54</f>
        <v>42731</v>
      </c>
      <c r="AD210" s="968">
        <f>'T2'!AD54</f>
        <v>0</v>
      </c>
      <c r="AE210" s="962">
        <f>'T2'!N54</f>
        <v>0</v>
      </c>
      <c r="AF210" s="968">
        <f>'T2'!AF54</f>
        <v>0</v>
      </c>
      <c r="AG210" s="962">
        <f>'T2'!O54</f>
        <v>0</v>
      </c>
      <c r="AI210" s="962">
        <f>AE210+AI204</f>
        <v>0</v>
      </c>
      <c r="AJ210" s="962">
        <f>AG210+AJ204</f>
        <v>0</v>
      </c>
      <c r="AV210" s="954"/>
      <c r="AW210" s="963">
        <f t="shared" ref="AW210:BF210" si="497">IF(MONTH(AD210)=AW208,AH210,0)</f>
        <v>0</v>
      </c>
      <c r="AX210" s="963">
        <f t="shared" si="497"/>
        <v>0</v>
      </c>
      <c r="AY210" s="963">
        <f t="shared" si="497"/>
        <v>0</v>
      </c>
      <c r="AZ210" s="963">
        <f t="shared" si="497"/>
        <v>0</v>
      </c>
      <c r="BA210" s="963">
        <f t="shared" si="497"/>
        <v>0</v>
      </c>
      <c r="BB210" s="963">
        <f t="shared" si="497"/>
        <v>0</v>
      </c>
      <c r="BC210" s="963">
        <f t="shared" si="497"/>
        <v>0</v>
      </c>
      <c r="BD210" s="963">
        <f t="shared" si="497"/>
        <v>0</v>
      </c>
      <c r="BE210" s="963">
        <f t="shared" si="497"/>
        <v>0</v>
      </c>
      <c r="BF210" s="963">
        <f t="shared" si="497"/>
        <v>0</v>
      </c>
    </row>
    <row r="211" spans="29:58" x14ac:dyDescent="0.25">
      <c r="AC211" s="934">
        <f>'T2'!AC55</f>
        <v>42732</v>
      </c>
      <c r="AD211" s="968">
        <f>'T2'!AD55</f>
        <v>0</v>
      </c>
      <c r="AE211" s="962">
        <f>'T2'!N55</f>
        <v>0</v>
      </c>
      <c r="AF211" s="968">
        <f>'T2'!AF55</f>
        <v>0</v>
      </c>
      <c r="AG211" s="962">
        <f>'T2'!O55</f>
        <v>0</v>
      </c>
      <c r="AI211" s="962">
        <f t="shared" ref="AI211:AI216" si="498">AE211+AI210</f>
        <v>0</v>
      </c>
      <c r="AJ211" s="962">
        <f t="shared" ref="AJ211:AJ216" si="499">AG211+AJ210</f>
        <v>0</v>
      </c>
      <c r="AV211" s="954"/>
      <c r="AW211" s="963">
        <f t="shared" ref="AW211:BF211" si="500">IF(MONTH(AD211)=AW209,AH211,0)</f>
        <v>0</v>
      </c>
      <c r="AX211" s="963">
        <f t="shared" si="500"/>
        <v>0</v>
      </c>
      <c r="AY211" s="963">
        <f t="shared" si="500"/>
        <v>0</v>
      </c>
      <c r="AZ211" s="963">
        <f t="shared" si="500"/>
        <v>0</v>
      </c>
      <c r="BA211" s="963">
        <f t="shared" si="500"/>
        <v>0</v>
      </c>
      <c r="BB211" s="963">
        <f t="shared" si="500"/>
        <v>0</v>
      </c>
      <c r="BC211" s="963">
        <f t="shared" si="500"/>
        <v>0</v>
      </c>
      <c r="BD211" s="963">
        <f t="shared" si="500"/>
        <v>0</v>
      </c>
      <c r="BE211" s="963">
        <f t="shared" si="500"/>
        <v>0</v>
      </c>
      <c r="BF211" s="963" t="e">
        <f t="shared" si="500"/>
        <v>#VALUE!</v>
      </c>
    </row>
    <row r="212" spans="29:58" x14ac:dyDescent="0.25">
      <c r="AC212" s="934">
        <f>'T2'!AC56</f>
        <v>42733</v>
      </c>
      <c r="AD212" s="968">
        <f>'T2'!AD56</f>
        <v>0</v>
      </c>
      <c r="AE212" s="962">
        <f>'T2'!N56</f>
        <v>0</v>
      </c>
      <c r="AF212" s="968">
        <f>'T2'!AF56</f>
        <v>0</v>
      </c>
      <c r="AG212" s="962">
        <f>'T2'!O56</f>
        <v>0</v>
      </c>
      <c r="AI212" s="962">
        <f t="shared" si="498"/>
        <v>0</v>
      </c>
      <c r="AJ212" s="962">
        <f t="shared" si="499"/>
        <v>0</v>
      </c>
      <c r="AV212" s="954"/>
      <c r="AW212" s="963">
        <f t="shared" ref="AW212:BF212" si="501">IF(MONTH(AD212)=AW210,AH212,0)</f>
        <v>0</v>
      </c>
      <c r="AX212" s="963">
        <f t="shared" si="501"/>
        <v>0</v>
      </c>
      <c r="AY212" s="963">
        <f t="shared" si="501"/>
        <v>0</v>
      </c>
      <c r="AZ212" s="963">
        <f t="shared" si="501"/>
        <v>0</v>
      </c>
      <c r="BA212" s="963">
        <f t="shared" si="501"/>
        <v>0</v>
      </c>
      <c r="BB212" s="963">
        <f t="shared" si="501"/>
        <v>0</v>
      </c>
      <c r="BC212" s="963">
        <f t="shared" si="501"/>
        <v>0</v>
      </c>
      <c r="BD212" s="963">
        <f t="shared" si="501"/>
        <v>0</v>
      </c>
      <c r="BE212" s="963">
        <f t="shared" si="501"/>
        <v>0</v>
      </c>
      <c r="BF212" s="963">
        <f t="shared" si="501"/>
        <v>0</v>
      </c>
    </row>
    <row r="213" spans="29:58" x14ac:dyDescent="0.25">
      <c r="AC213" s="934">
        <f>'T2'!AC57</f>
        <v>42734</v>
      </c>
      <c r="AD213" s="968">
        <f>'T2'!AD57</f>
        <v>0</v>
      </c>
      <c r="AE213" s="962">
        <f>'T2'!N57</f>
        <v>0</v>
      </c>
      <c r="AF213" s="968">
        <f>'T2'!AF57</f>
        <v>0</v>
      </c>
      <c r="AG213" s="962">
        <f>'T2'!O57</f>
        <v>0</v>
      </c>
      <c r="AI213" s="962">
        <f t="shared" si="498"/>
        <v>0</v>
      </c>
      <c r="AJ213" s="962">
        <f t="shared" si="499"/>
        <v>0</v>
      </c>
      <c r="AV213" s="954"/>
      <c r="AW213" s="963">
        <f t="shared" ref="AW213:BF213" si="502">IF(MONTH(AD213)=AW211,AH213,0)</f>
        <v>0</v>
      </c>
      <c r="AX213" s="963">
        <f t="shared" si="502"/>
        <v>0</v>
      </c>
      <c r="AY213" s="963">
        <f t="shared" si="502"/>
        <v>0</v>
      </c>
      <c r="AZ213" s="963">
        <f t="shared" si="502"/>
        <v>0</v>
      </c>
      <c r="BA213" s="963">
        <f t="shared" si="502"/>
        <v>0</v>
      </c>
      <c r="BB213" s="963">
        <f t="shared" si="502"/>
        <v>0</v>
      </c>
      <c r="BC213" s="963">
        <f t="shared" si="502"/>
        <v>0</v>
      </c>
      <c r="BD213" s="963">
        <f t="shared" si="502"/>
        <v>0</v>
      </c>
      <c r="BE213" s="963">
        <f t="shared" si="502"/>
        <v>0</v>
      </c>
      <c r="BF213" s="963" t="e">
        <f t="shared" si="502"/>
        <v>#VALUE!</v>
      </c>
    </row>
    <row r="214" spans="29:58" x14ac:dyDescent="0.25">
      <c r="AC214" s="934">
        <f>'T2'!AC58</f>
        <v>42735</v>
      </c>
      <c r="AD214" s="968">
        <f>'T2'!AD58</f>
        <v>0</v>
      </c>
      <c r="AE214" s="962">
        <f>'T2'!N58</f>
        <v>0</v>
      </c>
      <c r="AF214" s="968">
        <f>'T2'!AF58</f>
        <v>0</v>
      </c>
      <c r="AG214" s="962">
        <f>'T2'!O58</f>
        <v>0</v>
      </c>
      <c r="AI214" s="962">
        <f t="shared" si="498"/>
        <v>0</v>
      </c>
      <c r="AJ214" s="962">
        <f t="shared" si="499"/>
        <v>0</v>
      </c>
      <c r="AV214" s="954"/>
      <c r="AW214" s="963">
        <f t="shared" ref="AW214:BF214" si="503">IF(MONTH(AD214)=AW212,AH214,0)</f>
        <v>0</v>
      </c>
      <c r="AX214" s="963">
        <f t="shared" si="503"/>
        <v>0</v>
      </c>
      <c r="AY214" s="963">
        <f t="shared" si="503"/>
        <v>0</v>
      </c>
      <c r="AZ214" s="963">
        <f t="shared" si="503"/>
        <v>0</v>
      </c>
      <c r="BA214" s="963">
        <f t="shared" si="503"/>
        <v>0</v>
      </c>
      <c r="BB214" s="963">
        <f t="shared" si="503"/>
        <v>0</v>
      </c>
      <c r="BC214" s="963">
        <f t="shared" si="503"/>
        <v>0</v>
      </c>
      <c r="BD214" s="963">
        <f t="shared" si="503"/>
        <v>0</v>
      </c>
      <c r="BE214" s="963">
        <f t="shared" si="503"/>
        <v>0</v>
      </c>
      <c r="BF214" s="963">
        <f t="shared" si="503"/>
        <v>0</v>
      </c>
    </row>
    <row r="215" spans="29:58" x14ac:dyDescent="0.25">
      <c r="AC215" s="934">
        <f>'T2'!AC59</f>
        <v>42736</v>
      </c>
      <c r="AD215" s="968">
        <f>'T2'!AD59</f>
        <v>0</v>
      </c>
      <c r="AE215" s="962">
        <f>'T2'!N59</f>
        <v>0</v>
      </c>
      <c r="AF215" s="968">
        <f>'T2'!AF59</f>
        <v>0</v>
      </c>
      <c r="AG215" s="962">
        <f>'T2'!O59</f>
        <v>0</v>
      </c>
      <c r="AI215" s="962">
        <f t="shared" si="498"/>
        <v>0</v>
      </c>
      <c r="AJ215" s="962">
        <f t="shared" si="499"/>
        <v>0</v>
      </c>
      <c r="AV215" s="954"/>
      <c r="AW215" s="963">
        <f t="shared" ref="AW215:BF215" si="504">IF(MONTH(AD215)=AW213,AH215,0)</f>
        <v>0</v>
      </c>
      <c r="AX215" s="963">
        <f t="shared" si="504"/>
        <v>0</v>
      </c>
      <c r="AY215" s="963">
        <f t="shared" si="504"/>
        <v>0</v>
      </c>
      <c r="AZ215" s="963">
        <f t="shared" si="504"/>
        <v>0</v>
      </c>
      <c r="BA215" s="963">
        <f t="shared" si="504"/>
        <v>0</v>
      </c>
      <c r="BB215" s="963">
        <f t="shared" si="504"/>
        <v>0</v>
      </c>
      <c r="BC215" s="963">
        <f t="shared" si="504"/>
        <v>0</v>
      </c>
      <c r="BD215" s="963">
        <f t="shared" si="504"/>
        <v>0</v>
      </c>
      <c r="BE215" s="963">
        <f t="shared" si="504"/>
        <v>0</v>
      </c>
      <c r="BF215" s="963" t="e">
        <f t="shared" si="504"/>
        <v>#VALUE!</v>
      </c>
    </row>
    <row r="216" spans="29:58" x14ac:dyDescent="0.25">
      <c r="AC216" s="934">
        <f>'T2'!AC60</f>
        <v>42737</v>
      </c>
      <c r="AD216" s="968">
        <f>'T2'!AD60</f>
        <v>0</v>
      </c>
      <c r="AE216" s="962">
        <f>'T2'!N60</f>
        <v>0</v>
      </c>
      <c r="AF216" s="968">
        <f>'T2'!AF60</f>
        <v>0</v>
      </c>
      <c r="AG216" s="962">
        <f>'T2'!O60</f>
        <v>0</v>
      </c>
      <c r="AI216" s="962">
        <f t="shared" si="498"/>
        <v>0</v>
      </c>
      <c r="AJ216" s="962">
        <f t="shared" si="499"/>
        <v>0</v>
      </c>
      <c r="AV216" s="954"/>
      <c r="AW216" s="963">
        <f t="shared" ref="AW216:BF216" si="505">IF(MONTH(AD216)=AW214,AH216,0)</f>
        <v>0</v>
      </c>
      <c r="AX216" s="963">
        <f t="shared" si="505"/>
        <v>0</v>
      </c>
      <c r="AY216" s="963">
        <f t="shared" si="505"/>
        <v>0</v>
      </c>
      <c r="AZ216" s="963">
        <f t="shared" si="505"/>
        <v>0</v>
      </c>
      <c r="BA216" s="963">
        <f t="shared" si="505"/>
        <v>0</v>
      </c>
      <c r="BB216" s="963">
        <f t="shared" si="505"/>
        <v>0</v>
      </c>
      <c r="BC216" s="963">
        <f t="shared" si="505"/>
        <v>0</v>
      </c>
      <c r="BD216" s="963">
        <f t="shared" si="505"/>
        <v>0</v>
      </c>
      <c r="BE216" s="963">
        <f t="shared" si="505"/>
        <v>0</v>
      </c>
      <c r="BF216" s="963">
        <f t="shared" si="505"/>
        <v>0</v>
      </c>
    </row>
    <row r="217" spans="29:58" x14ac:dyDescent="0.25">
      <c r="AV217" s="954"/>
      <c r="AW217" s="963">
        <f t="shared" ref="AW217:BF217" si="506">IF(MONTH(AD217)=AW215,AH217,0)</f>
        <v>0</v>
      </c>
      <c r="AX217" s="963">
        <f t="shared" si="506"/>
        <v>0</v>
      </c>
      <c r="AY217" s="963">
        <f t="shared" si="506"/>
        <v>0</v>
      </c>
      <c r="AZ217" s="963">
        <f t="shared" si="506"/>
        <v>0</v>
      </c>
      <c r="BA217" s="963">
        <f t="shared" si="506"/>
        <v>0</v>
      </c>
      <c r="BB217" s="963">
        <f t="shared" si="506"/>
        <v>0</v>
      </c>
      <c r="BC217" s="963">
        <f t="shared" si="506"/>
        <v>0</v>
      </c>
      <c r="BD217" s="963">
        <f t="shared" si="506"/>
        <v>0</v>
      </c>
      <c r="BE217" s="963">
        <f t="shared" si="506"/>
        <v>0</v>
      </c>
      <c r="BF217" s="963" t="e">
        <f t="shared" si="506"/>
        <v>#VALUE!</v>
      </c>
    </row>
    <row r="218" spans="29:58" x14ac:dyDescent="0.25">
      <c r="AV218" s="954"/>
      <c r="AW218" s="963">
        <f t="shared" ref="AW218:BF218" si="507">IF(MONTH(AD218)=AW216,AH218,0)</f>
        <v>0</v>
      </c>
      <c r="AX218" s="963">
        <f t="shared" si="507"/>
        <v>0</v>
      </c>
      <c r="AY218" s="963">
        <f t="shared" si="507"/>
        <v>0</v>
      </c>
      <c r="AZ218" s="963">
        <f t="shared" si="507"/>
        <v>0</v>
      </c>
      <c r="BA218" s="963">
        <f t="shared" si="507"/>
        <v>0</v>
      </c>
      <c r="BB218" s="963">
        <f t="shared" si="507"/>
        <v>0</v>
      </c>
      <c r="BC218" s="963">
        <f t="shared" si="507"/>
        <v>0</v>
      </c>
      <c r="BD218" s="963">
        <f t="shared" si="507"/>
        <v>0</v>
      </c>
      <c r="BE218" s="963">
        <f t="shared" si="507"/>
        <v>0</v>
      </c>
      <c r="BF218" s="963">
        <f t="shared" si="507"/>
        <v>0</v>
      </c>
    </row>
    <row r="219" spans="29:58" x14ac:dyDescent="0.25">
      <c r="AV219" s="954"/>
      <c r="AW219" s="963">
        <f t="shared" ref="AW219:BF219" si="508">IF(MONTH(AD219)=AW217,AH219,0)</f>
        <v>0</v>
      </c>
      <c r="AX219" s="963">
        <f t="shared" si="508"/>
        <v>0</v>
      </c>
      <c r="AY219" s="963">
        <f t="shared" si="508"/>
        <v>0</v>
      </c>
      <c r="AZ219" s="963">
        <f t="shared" si="508"/>
        <v>0</v>
      </c>
      <c r="BA219" s="963">
        <f t="shared" si="508"/>
        <v>0</v>
      </c>
      <c r="BB219" s="963">
        <f t="shared" si="508"/>
        <v>0</v>
      </c>
      <c r="BC219" s="963">
        <f t="shared" si="508"/>
        <v>0</v>
      </c>
      <c r="BD219" s="963">
        <f t="shared" si="508"/>
        <v>0</v>
      </c>
      <c r="BE219" s="963">
        <f t="shared" si="508"/>
        <v>0</v>
      </c>
      <c r="BF219" s="963" t="e">
        <f t="shared" si="508"/>
        <v>#VALUE!</v>
      </c>
    </row>
    <row r="220" spans="29:58" x14ac:dyDescent="0.25">
      <c r="AV220" s="954"/>
      <c r="AW220" s="963">
        <f t="shared" ref="AW220:BF220" si="509">IF(MONTH(AD220)=AW218,AH220,0)</f>
        <v>0</v>
      </c>
      <c r="AX220" s="963">
        <f t="shared" si="509"/>
        <v>0</v>
      </c>
      <c r="AY220" s="963">
        <f t="shared" si="509"/>
        <v>0</v>
      </c>
      <c r="AZ220" s="963">
        <f t="shared" si="509"/>
        <v>0</v>
      </c>
      <c r="BA220" s="963">
        <f t="shared" si="509"/>
        <v>0</v>
      </c>
      <c r="BB220" s="963">
        <f t="shared" si="509"/>
        <v>0</v>
      </c>
      <c r="BC220" s="963">
        <f t="shared" si="509"/>
        <v>0</v>
      </c>
      <c r="BD220" s="963">
        <f t="shared" si="509"/>
        <v>0</v>
      </c>
      <c r="BE220" s="963">
        <f t="shared" si="509"/>
        <v>0</v>
      </c>
      <c r="BF220" s="963">
        <f t="shared" si="509"/>
        <v>0</v>
      </c>
    </row>
    <row r="221" spans="29:58" x14ac:dyDescent="0.25">
      <c r="AV221" s="954"/>
      <c r="AW221" s="963">
        <f t="shared" ref="AW221:BF221" si="510">IF(MONTH(AD221)=AW219,AH221,0)</f>
        <v>0</v>
      </c>
      <c r="AX221" s="963">
        <f t="shared" si="510"/>
        <v>0</v>
      </c>
      <c r="AY221" s="963">
        <f t="shared" si="510"/>
        <v>0</v>
      </c>
      <c r="AZ221" s="963">
        <f t="shared" si="510"/>
        <v>0</v>
      </c>
      <c r="BA221" s="963">
        <f t="shared" si="510"/>
        <v>0</v>
      </c>
      <c r="BB221" s="963">
        <f t="shared" si="510"/>
        <v>0</v>
      </c>
      <c r="BC221" s="963">
        <f t="shared" si="510"/>
        <v>0</v>
      </c>
      <c r="BD221" s="963">
        <f t="shared" si="510"/>
        <v>0</v>
      </c>
      <c r="BE221" s="963">
        <f t="shared" si="510"/>
        <v>0</v>
      </c>
      <c r="BF221" s="963" t="e">
        <f t="shared" si="510"/>
        <v>#VALUE!</v>
      </c>
    </row>
    <row r="222" spans="29:58" x14ac:dyDescent="0.25">
      <c r="AC222" s="934">
        <f>'T2'!AC66</f>
        <v>42738</v>
      </c>
      <c r="AD222" s="968">
        <f>'T2'!AD66</f>
        <v>0</v>
      </c>
      <c r="AE222" s="962">
        <f>'T2'!N66</f>
        <v>0</v>
      </c>
      <c r="AF222" s="968">
        <f>'T2'!AF66</f>
        <v>0</v>
      </c>
      <c r="AG222" s="962">
        <f>'T2'!O66</f>
        <v>0</v>
      </c>
      <c r="AI222" s="962">
        <f>AE222+AI216</f>
        <v>0</v>
      </c>
      <c r="AJ222" s="962">
        <f>AG222+AJ216</f>
        <v>0</v>
      </c>
      <c r="AV222" s="954"/>
      <c r="AW222" s="963">
        <f t="shared" ref="AW222:BF222" si="511">IF(MONTH(AD222)=AW220,AH222,0)</f>
        <v>0</v>
      </c>
      <c r="AX222" s="963">
        <f t="shared" si="511"/>
        <v>0</v>
      </c>
      <c r="AY222" s="963">
        <f t="shared" si="511"/>
        <v>0</v>
      </c>
      <c r="AZ222" s="963">
        <f t="shared" si="511"/>
        <v>0</v>
      </c>
      <c r="BA222" s="963">
        <f t="shared" si="511"/>
        <v>0</v>
      </c>
      <c r="BB222" s="963">
        <f t="shared" si="511"/>
        <v>0</v>
      </c>
      <c r="BC222" s="963">
        <f t="shared" si="511"/>
        <v>0</v>
      </c>
      <c r="BD222" s="963">
        <f t="shared" si="511"/>
        <v>0</v>
      </c>
      <c r="BE222" s="963">
        <f t="shared" si="511"/>
        <v>0</v>
      </c>
      <c r="BF222" s="963">
        <f t="shared" si="511"/>
        <v>0</v>
      </c>
    </row>
    <row r="223" spans="29:58" x14ac:dyDescent="0.25">
      <c r="AC223" s="934">
        <f>'T2'!AC67</f>
        <v>42739</v>
      </c>
      <c r="AD223" s="968">
        <f>'T2'!AD67</f>
        <v>0</v>
      </c>
      <c r="AE223" s="962">
        <f>'T2'!N67</f>
        <v>0</v>
      </c>
      <c r="AF223" s="968">
        <f>'T2'!AF67</f>
        <v>0</v>
      </c>
      <c r="AG223" s="962">
        <f>'T2'!O67</f>
        <v>0</v>
      </c>
      <c r="AI223" s="962">
        <f t="shared" ref="AI223:AI228" si="512">AE223+AI222</f>
        <v>0</v>
      </c>
      <c r="AJ223" s="962">
        <f t="shared" ref="AJ223:AJ228" si="513">AG223+AJ222</f>
        <v>0</v>
      </c>
      <c r="AV223" s="954"/>
      <c r="AW223" s="963">
        <f t="shared" ref="AW223:BF223" si="514">IF(MONTH(AD223)=AW221,AH223,0)</f>
        <v>0</v>
      </c>
      <c r="AX223" s="963">
        <f t="shared" si="514"/>
        <v>0</v>
      </c>
      <c r="AY223" s="963">
        <f t="shared" si="514"/>
        <v>0</v>
      </c>
      <c r="AZ223" s="963">
        <f t="shared" si="514"/>
        <v>0</v>
      </c>
      <c r="BA223" s="963">
        <f t="shared" si="514"/>
        <v>0</v>
      </c>
      <c r="BB223" s="963">
        <f t="shared" si="514"/>
        <v>0</v>
      </c>
      <c r="BC223" s="963">
        <f t="shared" si="514"/>
        <v>0</v>
      </c>
      <c r="BD223" s="963">
        <f t="shared" si="514"/>
        <v>0</v>
      </c>
      <c r="BE223" s="963">
        <f t="shared" si="514"/>
        <v>0</v>
      </c>
      <c r="BF223" s="963" t="e">
        <f t="shared" si="514"/>
        <v>#VALUE!</v>
      </c>
    </row>
    <row r="224" spans="29:58" x14ac:dyDescent="0.25">
      <c r="AC224" s="934">
        <f>'T2'!AC68</f>
        <v>42740</v>
      </c>
      <c r="AD224" s="968">
        <f>'T2'!AD68</f>
        <v>0</v>
      </c>
      <c r="AE224" s="962">
        <f>'T2'!N68</f>
        <v>0</v>
      </c>
      <c r="AF224" s="968">
        <f>'T2'!AF68</f>
        <v>0</v>
      </c>
      <c r="AG224" s="962">
        <f>'T2'!O68</f>
        <v>0</v>
      </c>
      <c r="AI224" s="962">
        <f t="shared" si="512"/>
        <v>0</v>
      </c>
      <c r="AJ224" s="962">
        <f t="shared" si="513"/>
        <v>0</v>
      </c>
      <c r="AV224" s="954"/>
      <c r="AW224" s="963">
        <f t="shared" ref="AW224:BF224" si="515">IF(MONTH(AD224)=AW222,AH224,0)</f>
        <v>0</v>
      </c>
      <c r="AX224" s="963">
        <f t="shared" si="515"/>
        <v>0</v>
      </c>
      <c r="AY224" s="963">
        <f t="shared" si="515"/>
        <v>0</v>
      </c>
      <c r="AZ224" s="963">
        <f t="shared" si="515"/>
        <v>0</v>
      </c>
      <c r="BA224" s="963">
        <f t="shared" si="515"/>
        <v>0</v>
      </c>
      <c r="BB224" s="963">
        <f t="shared" si="515"/>
        <v>0</v>
      </c>
      <c r="BC224" s="963">
        <f t="shared" si="515"/>
        <v>0</v>
      </c>
      <c r="BD224" s="963">
        <f t="shared" si="515"/>
        <v>0</v>
      </c>
      <c r="BE224" s="963">
        <f t="shared" si="515"/>
        <v>0</v>
      </c>
      <c r="BF224" s="963">
        <f t="shared" si="515"/>
        <v>0</v>
      </c>
    </row>
    <row r="225" spans="29:58" x14ac:dyDescent="0.25">
      <c r="AC225" s="934">
        <f>'T2'!AC69</f>
        <v>42741</v>
      </c>
      <c r="AD225" s="968">
        <f>'T2'!AD69</f>
        <v>0</v>
      </c>
      <c r="AE225" s="962">
        <f>'T2'!N69</f>
        <v>0</v>
      </c>
      <c r="AF225" s="968">
        <f>'T2'!AF69</f>
        <v>0</v>
      </c>
      <c r="AG225" s="962">
        <f>'T2'!O69</f>
        <v>0</v>
      </c>
      <c r="AI225" s="962">
        <f t="shared" si="512"/>
        <v>0</v>
      </c>
      <c r="AJ225" s="962">
        <f t="shared" si="513"/>
        <v>0</v>
      </c>
      <c r="AV225" s="954"/>
      <c r="AW225" s="963">
        <f t="shared" ref="AW225:BF225" si="516">IF(MONTH(AD225)=AW223,AH225,0)</f>
        <v>0</v>
      </c>
      <c r="AX225" s="963">
        <f t="shared" si="516"/>
        <v>0</v>
      </c>
      <c r="AY225" s="963">
        <f t="shared" si="516"/>
        <v>0</v>
      </c>
      <c r="AZ225" s="963">
        <f t="shared" si="516"/>
        <v>0</v>
      </c>
      <c r="BA225" s="963">
        <f t="shared" si="516"/>
        <v>0</v>
      </c>
      <c r="BB225" s="963">
        <f t="shared" si="516"/>
        <v>0</v>
      </c>
      <c r="BC225" s="963">
        <f t="shared" si="516"/>
        <v>0</v>
      </c>
      <c r="BD225" s="963">
        <f t="shared" si="516"/>
        <v>0</v>
      </c>
      <c r="BE225" s="963">
        <f t="shared" si="516"/>
        <v>0</v>
      </c>
      <c r="BF225" s="963" t="e">
        <f t="shared" si="516"/>
        <v>#VALUE!</v>
      </c>
    </row>
    <row r="226" spans="29:58" x14ac:dyDescent="0.25">
      <c r="AC226" s="934">
        <f>'T2'!AC70</f>
        <v>42742</v>
      </c>
      <c r="AD226" s="968">
        <f>'T2'!AD70</f>
        <v>0</v>
      </c>
      <c r="AE226" s="962">
        <f>'T2'!N70</f>
        <v>0</v>
      </c>
      <c r="AF226" s="968">
        <f>'T2'!AF70</f>
        <v>0</v>
      </c>
      <c r="AG226" s="962">
        <f>'T2'!O70</f>
        <v>0</v>
      </c>
      <c r="AI226" s="962">
        <f t="shared" si="512"/>
        <v>0</v>
      </c>
      <c r="AJ226" s="962">
        <f t="shared" si="513"/>
        <v>0</v>
      </c>
      <c r="AV226" s="954"/>
      <c r="AW226" s="963">
        <f t="shared" ref="AW226:BF226" si="517">IF(MONTH(AD226)=AW224,AH226,0)</f>
        <v>0</v>
      </c>
      <c r="AX226" s="963">
        <f t="shared" si="517"/>
        <v>0</v>
      </c>
      <c r="AY226" s="963">
        <f t="shared" si="517"/>
        <v>0</v>
      </c>
      <c r="AZ226" s="963">
        <f t="shared" si="517"/>
        <v>0</v>
      </c>
      <c r="BA226" s="963">
        <f t="shared" si="517"/>
        <v>0</v>
      </c>
      <c r="BB226" s="963">
        <f t="shared" si="517"/>
        <v>0</v>
      </c>
      <c r="BC226" s="963">
        <f t="shared" si="517"/>
        <v>0</v>
      </c>
      <c r="BD226" s="963">
        <f t="shared" si="517"/>
        <v>0</v>
      </c>
      <c r="BE226" s="963">
        <f t="shared" si="517"/>
        <v>0</v>
      </c>
      <c r="BF226" s="963">
        <f t="shared" si="517"/>
        <v>0</v>
      </c>
    </row>
    <row r="227" spans="29:58" x14ac:dyDescent="0.25">
      <c r="AC227" s="934">
        <f>'T2'!AC71</f>
        <v>42743</v>
      </c>
      <c r="AD227" s="968">
        <f>'T2'!AD71</f>
        <v>0</v>
      </c>
      <c r="AE227" s="962">
        <f>'T2'!N71</f>
        <v>0</v>
      </c>
      <c r="AF227" s="968">
        <f>'T2'!AF71</f>
        <v>0</v>
      </c>
      <c r="AG227" s="962">
        <f>'T2'!O71</f>
        <v>0</v>
      </c>
      <c r="AI227" s="962">
        <f t="shared" si="512"/>
        <v>0</v>
      </c>
      <c r="AJ227" s="962">
        <f t="shared" si="513"/>
        <v>0</v>
      </c>
      <c r="AV227" s="954"/>
      <c r="AW227" s="963">
        <f t="shared" ref="AW227:BF227" si="518">IF(MONTH(AD227)=AW225,AH227,0)</f>
        <v>0</v>
      </c>
      <c r="AX227" s="963">
        <f t="shared" si="518"/>
        <v>0</v>
      </c>
      <c r="AY227" s="963">
        <f t="shared" si="518"/>
        <v>0</v>
      </c>
      <c r="AZ227" s="963">
        <f t="shared" si="518"/>
        <v>0</v>
      </c>
      <c r="BA227" s="963">
        <f t="shared" si="518"/>
        <v>0</v>
      </c>
      <c r="BB227" s="963">
        <f t="shared" si="518"/>
        <v>0</v>
      </c>
      <c r="BC227" s="963">
        <f t="shared" si="518"/>
        <v>0</v>
      </c>
      <c r="BD227" s="963">
        <f t="shared" si="518"/>
        <v>0</v>
      </c>
      <c r="BE227" s="963">
        <f t="shared" si="518"/>
        <v>0</v>
      </c>
      <c r="BF227" s="963" t="e">
        <f t="shared" si="518"/>
        <v>#VALUE!</v>
      </c>
    </row>
    <row r="228" spans="29:58" x14ac:dyDescent="0.25">
      <c r="AC228" s="934">
        <f>'T2'!AC72</f>
        <v>42744</v>
      </c>
      <c r="AD228" s="968">
        <f>'T2'!AD72</f>
        <v>0</v>
      </c>
      <c r="AE228" s="962">
        <f>'T2'!N72</f>
        <v>0</v>
      </c>
      <c r="AF228" s="968">
        <f>'T2'!AF72</f>
        <v>0</v>
      </c>
      <c r="AG228" s="962">
        <f>'T2'!O72</f>
        <v>0</v>
      </c>
      <c r="AI228" s="962">
        <f t="shared" si="512"/>
        <v>0</v>
      </c>
      <c r="AJ228" s="962">
        <f t="shared" si="513"/>
        <v>0</v>
      </c>
      <c r="AV228" s="954"/>
      <c r="AW228" s="963">
        <f t="shared" ref="AW228:BF228" si="519">IF(MONTH(AD228)=AW226,AH228,0)</f>
        <v>0</v>
      </c>
      <c r="AX228" s="963">
        <f t="shared" si="519"/>
        <v>0</v>
      </c>
      <c r="AY228" s="963">
        <f t="shared" si="519"/>
        <v>0</v>
      </c>
      <c r="AZ228" s="963">
        <f t="shared" si="519"/>
        <v>0</v>
      </c>
      <c r="BA228" s="963">
        <f t="shared" si="519"/>
        <v>0</v>
      </c>
      <c r="BB228" s="963">
        <f t="shared" si="519"/>
        <v>0</v>
      </c>
      <c r="BC228" s="963">
        <f t="shared" si="519"/>
        <v>0</v>
      </c>
      <c r="BD228" s="963">
        <f t="shared" si="519"/>
        <v>0</v>
      </c>
      <c r="BE228" s="963">
        <f t="shared" si="519"/>
        <v>0</v>
      </c>
      <c r="BF228" s="963">
        <f t="shared" si="519"/>
        <v>0</v>
      </c>
    </row>
    <row r="229" spans="29:58" x14ac:dyDescent="0.25">
      <c r="AV229" s="954"/>
      <c r="AW229" s="963">
        <f t="shared" ref="AW229:BF229" si="520">IF(MONTH(AD229)=AW227,AH229,0)</f>
        <v>0</v>
      </c>
      <c r="AX229" s="963">
        <f t="shared" si="520"/>
        <v>0</v>
      </c>
      <c r="AY229" s="963">
        <f t="shared" si="520"/>
        <v>0</v>
      </c>
      <c r="AZ229" s="963">
        <f t="shared" si="520"/>
        <v>0</v>
      </c>
      <c r="BA229" s="963">
        <f t="shared" si="520"/>
        <v>0</v>
      </c>
      <c r="BB229" s="963">
        <f t="shared" si="520"/>
        <v>0</v>
      </c>
      <c r="BC229" s="963">
        <f t="shared" si="520"/>
        <v>0</v>
      </c>
      <c r="BD229" s="963">
        <f t="shared" si="520"/>
        <v>0</v>
      </c>
      <c r="BE229" s="963">
        <f t="shared" si="520"/>
        <v>0</v>
      </c>
      <c r="BF229" s="963" t="e">
        <f t="shared" si="520"/>
        <v>#VALUE!</v>
      </c>
    </row>
    <row r="230" spans="29:58" x14ac:dyDescent="0.25">
      <c r="AV230" s="954"/>
      <c r="AW230" s="963">
        <f t="shared" ref="AW230:BF230" si="521">IF(MONTH(AD230)=AW228,AH230,0)</f>
        <v>0</v>
      </c>
      <c r="AX230" s="963">
        <f t="shared" si="521"/>
        <v>0</v>
      </c>
      <c r="AY230" s="963">
        <f t="shared" si="521"/>
        <v>0</v>
      </c>
      <c r="AZ230" s="963">
        <f t="shared" si="521"/>
        <v>0</v>
      </c>
      <c r="BA230" s="963">
        <f t="shared" si="521"/>
        <v>0</v>
      </c>
      <c r="BB230" s="963">
        <f t="shared" si="521"/>
        <v>0</v>
      </c>
      <c r="BC230" s="963">
        <f t="shared" si="521"/>
        <v>0</v>
      </c>
      <c r="BD230" s="963">
        <f t="shared" si="521"/>
        <v>0</v>
      </c>
      <c r="BE230" s="963">
        <f t="shared" si="521"/>
        <v>0</v>
      </c>
      <c r="BF230" s="963">
        <f t="shared" si="521"/>
        <v>0</v>
      </c>
    </row>
    <row r="231" spans="29:58" x14ac:dyDescent="0.25">
      <c r="AV231" s="954"/>
      <c r="AW231" s="963">
        <f t="shared" ref="AW231:BF231" si="522">IF(MONTH(AD231)=AW229,AH231,0)</f>
        <v>0</v>
      </c>
      <c r="AX231" s="963">
        <f t="shared" si="522"/>
        <v>0</v>
      </c>
      <c r="AY231" s="963">
        <f t="shared" si="522"/>
        <v>0</v>
      </c>
      <c r="AZ231" s="963">
        <f t="shared" si="522"/>
        <v>0</v>
      </c>
      <c r="BA231" s="963">
        <f t="shared" si="522"/>
        <v>0</v>
      </c>
      <c r="BB231" s="963">
        <f t="shared" si="522"/>
        <v>0</v>
      </c>
      <c r="BC231" s="963">
        <f t="shared" si="522"/>
        <v>0</v>
      </c>
      <c r="BD231" s="963">
        <f t="shared" si="522"/>
        <v>0</v>
      </c>
      <c r="BE231" s="963">
        <f t="shared" si="522"/>
        <v>0</v>
      </c>
      <c r="BF231" s="963" t="e">
        <f t="shared" si="522"/>
        <v>#VALUE!</v>
      </c>
    </row>
    <row r="232" spans="29:58" x14ac:dyDescent="0.25">
      <c r="AV232" s="954"/>
      <c r="AW232" s="963">
        <f t="shared" ref="AW232:BF232" si="523">IF(MONTH(AD232)=AW230,AH232,0)</f>
        <v>0</v>
      </c>
      <c r="AX232" s="963">
        <f t="shared" si="523"/>
        <v>0</v>
      </c>
      <c r="AY232" s="963">
        <f t="shared" si="523"/>
        <v>0</v>
      </c>
      <c r="AZ232" s="963">
        <f t="shared" si="523"/>
        <v>0</v>
      </c>
      <c r="BA232" s="963">
        <f t="shared" si="523"/>
        <v>0</v>
      </c>
      <c r="BB232" s="963">
        <f t="shared" si="523"/>
        <v>0</v>
      </c>
      <c r="BC232" s="963">
        <f t="shared" si="523"/>
        <v>0</v>
      </c>
      <c r="BD232" s="963">
        <f t="shared" si="523"/>
        <v>0</v>
      </c>
      <c r="BE232" s="963">
        <f t="shared" si="523"/>
        <v>0</v>
      </c>
      <c r="BF232" s="963">
        <f t="shared" si="523"/>
        <v>0</v>
      </c>
    </row>
    <row r="233" spans="29:58" x14ac:dyDescent="0.25">
      <c r="AV233" s="954"/>
      <c r="AW233" s="963">
        <f t="shared" ref="AW233:BF233" si="524">IF(MONTH(AD233)=AW231,AH233,0)</f>
        <v>0</v>
      </c>
      <c r="AX233" s="963">
        <f t="shared" si="524"/>
        <v>0</v>
      </c>
      <c r="AY233" s="963">
        <f t="shared" si="524"/>
        <v>0</v>
      </c>
      <c r="AZ233" s="963">
        <f t="shared" si="524"/>
        <v>0</v>
      </c>
      <c r="BA233" s="963">
        <f t="shared" si="524"/>
        <v>0</v>
      </c>
      <c r="BB233" s="963">
        <f t="shared" si="524"/>
        <v>0</v>
      </c>
      <c r="BC233" s="963">
        <f t="shared" si="524"/>
        <v>0</v>
      </c>
      <c r="BD233" s="963">
        <f t="shared" si="524"/>
        <v>0</v>
      </c>
      <c r="BE233" s="963">
        <f t="shared" si="524"/>
        <v>0</v>
      </c>
      <c r="BF233" s="963" t="e">
        <f t="shared" si="524"/>
        <v>#VALUE!</v>
      </c>
    </row>
    <row r="234" spans="29:58" x14ac:dyDescent="0.25">
      <c r="AC234" s="934">
        <f>'T2'!AC78</f>
        <v>42745</v>
      </c>
      <c r="AD234" s="968">
        <f>'T2'!AD78</f>
        <v>0</v>
      </c>
      <c r="AE234" s="962">
        <f>'T2'!N78</f>
        <v>0</v>
      </c>
      <c r="AF234" s="968">
        <f>'T2'!AF78</f>
        <v>0</v>
      </c>
      <c r="AG234" s="962">
        <f>'T2'!O78</f>
        <v>0</v>
      </c>
      <c r="AI234" s="962">
        <f>AE234+AI228</f>
        <v>0</v>
      </c>
      <c r="AJ234" s="962">
        <f>AG234+AJ228</f>
        <v>0</v>
      </c>
      <c r="AV234" s="954"/>
      <c r="AW234" s="963">
        <f t="shared" ref="AW234:BF234" si="525">IF(MONTH(AD234)=AW232,AH234,0)</f>
        <v>0</v>
      </c>
      <c r="AX234" s="963">
        <f t="shared" si="525"/>
        <v>0</v>
      </c>
      <c r="AY234" s="963">
        <f t="shared" si="525"/>
        <v>0</v>
      </c>
      <c r="AZ234" s="963">
        <f t="shared" si="525"/>
        <v>0</v>
      </c>
      <c r="BA234" s="963">
        <f t="shared" si="525"/>
        <v>0</v>
      </c>
      <c r="BB234" s="963">
        <f t="shared" si="525"/>
        <v>0</v>
      </c>
      <c r="BC234" s="963">
        <f t="shared" si="525"/>
        <v>0</v>
      </c>
      <c r="BD234" s="963">
        <f t="shared" si="525"/>
        <v>0</v>
      </c>
      <c r="BE234" s="963">
        <f t="shared" si="525"/>
        <v>0</v>
      </c>
      <c r="BF234" s="963">
        <f t="shared" si="525"/>
        <v>0</v>
      </c>
    </row>
    <row r="235" spans="29:58" x14ac:dyDescent="0.25">
      <c r="AC235" s="934">
        <f>'T2'!AC79</f>
        <v>42746</v>
      </c>
      <c r="AD235" s="968">
        <f>'T2'!AD79</f>
        <v>0</v>
      </c>
      <c r="AE235" s="962">
        <f>'T2'!N79</f>
        <v>0</v>
      </c>
      <c r="AF235" s="968">
        <f>'T2'!AF79</f>
        <v>0</v>
      </c>
      <c r="AG235" s="962">
        <f>'T2'!O79</f>
        <v>0</v>
      </c>
      <c r="AI235" s="962">
        <f t="shared" ref="AI235:AI240" si="526">AE235+AI234</f>
        <v>0</v>
      </c>
      <c r="AJ235" s="962">
        <f t="shared" ref="AJ235:AJ240" si="527">AG235+AJ234</f>
        <v>0</v>
      </c>
      <c r="AV235" s="954"/>
      <c r="AW235" s="963">
        <f t="shared" ref="AW235:BF235" si="528">IF(MONTH(AD235)=AW233,AH235,0)</f>
        <v>0</v>
      </c>
      <c r="AX235" s="963">
        <f t="shared" si="528"/>
        <v>0</v>
      </c>
      <c r="AY235" s="963">
        <f t="shared" si="528"/>
        <v>0</v>
      </c>
      <c r="AZ235" s="963">
        <f t="shared" si="528"/>
        <v>0</v>
      </c>
      <c r="BA235" s="963">
        <f t="shared" si="528"/>
        <v>0</v>
      </c>
      <c r="BB235" s="963">
        <f t="shared" si="528"/>
        <v>0</v>
      </c>
      <c r="BC235" s="963">
        <f t="shared" si="528"/>
        <v>0</v>
      </c>
      <c r="BD235" s="963">
        <f t="shared" si="528"/>
        <v>0</v>
      </c>
      <c r="BE235" s="963">
        <f t="shared" si="528"/>
        <v>0</v>
      </c>
      <c r="BF235" s="963" t="e">
        <f t="shared" si="528"/>
        <v>#VALUE!</v>
      </c>
    </row>
    <row r="236" spans="29:58" x14ac:dyDescent="0.25">
      <c r="AC236" s="934">
        <f>'T2'!AC80</f>
        <v>42747</v>
      </c>
      <c r="AD236" s="968">
        <f>'T2'!AD80</f>
        <v>0</v>
      </c>
      <c r="AE236" s="962">
        <f>'T2'!N80</f>
        <v>0</v>
      </c>
      <c r="AF236" s="968">
        <f>'T2'!AF80</f>
        <v>0</v>
      </c>
      <c r="AG236" s="962">
        <f>'T2'!O80</f>
        <v>0</v>
      </c>
      <c r="AI236" s="962">
        <f t="shared" si="526"/>
        <v>0</v>
      </c>
      <c r="AJ236" s="962">
        <f t="shared" si="527"/>
        <v>0</v>
      </c>
      <c r="AV236" s="954"/>
      <c r="AW236" s="963">
        <f t="shared" ref="AW236:BF236" si="529">IF(MONTH(AD236)=AW234,AH236,0)</f>
        <v>0</v>
      </c>
      <c r="AX236" s="963">
        <f t="shared" si="529"/>
        <v>0</v>
      </c>
      <c r="AY236" s="963">
        <f t="shared" si="529"/>
        <v>0</v>
      </c>
      <c r="AZ236" s="963">
        <f t="shared" si="529"/>
        <v>0</v>
      </c>
      <c r="BA236" s="963">
        <f t="shared" si="529"/>
        <v>0</v>
      </c>
      <c r="BB236" s="963">
        <f t="shared" si="529"/>
        <v>0</v>
      </c>
      <c r="BC236" s="963">
        <f t="shared" si="529"/>
        <v>0</v>
      </c>
      <c r="BD236" s="963">
        <f t="shared" si="529"/>
        <v>0</v>
      </c>
      <c r="BE236" s="963">
        <f t="shared" si="529"/>
        <v>0</v>
      </c>
      <c r="BF236" s="963">
        <f t="shared" si="529"/>
        <v>0</v>
      </c>
    </row>
    <row r="237" spans="29:58" x14ac:dyDescent="0.25">
      <c r="AC237" s="934">
        <f>'T2'!AC81</f>
        <v>42748</v>
      </c>
      <c r="AD237" s="968">
        <f>'T2'!AD81</f>
        <v>0</v>
      </c>
      <c r="AE237" s="962">
        <f>'T2'!N81</f>
        <v>0</v>
      </c>
      <c r="AF237" s="968">
        <f>'T2'!AF81</f>
        <v>0</v>
      </c>
      <c r="AG237" s="962">
        <f>'T2'!O81</f>
        <v>0</v>
      </c>
      <c r="AI237" s="962">
        <f t="shared" si="526"/>
        <v>0</v>
      </c>
      <c r="AJ237" s="962">
        <f t="shared" si="527"/>
        <v>0</v>
      </c>
      <c r="AV237" s="954"/>
      <c r="AW237" s="963">
        <f t="shared" ref="AW237:BF237" si="530">IF(MONTH(AD237)=AW235,AH237,0)</f>
        <v>0</v>
      </c>
      <c r="AX237" s="963">
        <f t="shared" si="530"/>
        <v>0</v>
      </c>
      <c r="AY237" s="963">
        <f t="shared" si="530"/>
        <v>0</v>
      </c>
      <c r="AZ237" s="963">
        <f t="shared" si="530"/>
        <v>0</v>
      </c>
      <c r="BA237" s="963">
        <f t="shared" si="530"/>
        <v>0</v>
      </c>
      <c r="BB237" s="963">
        <f t="shared" si="530"/>
        <v>0</v>
      </c>
      <c r="BC237" s="963">
        <f t="shared" si="530"/>
        <v>0</v>
      </c>
      <c r="BD237" s="963">
        <f t="shared" si="530"/>
        <v>0</v>
      </c>
      <c r="BE237" s="963">
        <f t="shared" si="530"/>
        <v>0</v>
      </c>
      <c r="BF237" s="963" t="e">
        <f t="shared" si="530"/>
        <v>#VALUE!</v>
      </c>
    </row>
    <row r="238" spans="29:58" x14ac:dyDescent="0.25">
      <c r="AC238" s="934">
        <f>'T2'!AC82</f>
        <v>42749</v>
      </c>
      <c r="AD238" s="968">
        <f>'T2'!AD82</f>
        <v>0</v>
      </c>
      <c r="AE238" s="962">
        <f>'T2'!N82</f>
        <v>0</v>
      </c>
      <c r="AF238" s="968">
        <f>'T2'!AF82</f>
        <v>0</v>
      </c>
      <c r="AG238" s="962">
        <f>'T2'!O82</f>
        <v>0</v>
      </c>
      <c r="AI238" s="962">
        <f t="shared" si="526"/>
        <v>0</v>
      </c>
      <c r="AJ238" s="962">
        <f t="shared" si="527"/>
        <v>0</v>
      </c>
      <c r="AV238" s="954"/>
      <c r="AW238" s="963">
        <f t="shared" ref="AW238:BF238" si="531">IF(MONTH(AD238)=AW236,AH238,0)</f>
        <v>0</v>
      </c>
      <c r="AX238" s="963">
        <f t="shared" si="531"/>
        <v>0</v>
      </c>
      <c r="AY238" s="963">
        <f t="shared" si="531"/>
        <v>0</v>
      </c>
      <c r="AZ238" s="963">
        <f t="shared" si="531"/>
        <v>0</v>
      </c>
      <c r="BA238" s="963">
        <f t="shared" si="531"/>
        <v>0</v>
      </c>
      <c r="BB238" s="963">
        <f t="shared" si="531"/>
        <v>0</v>
      </c>
      <c r="BC238" s="963">
        <f t="shared" si="531"/>
        <v>0</v>
      </c>
      <c r="BD238" s="963">
        <f t="shared" si="531"/>
        <v>0</v>
      </c>
      <c r="BE238" s="963">
        <f t="shared" si="531"/>
        <v>0</v>
      </c>
      <c r="BF238" s="963">
        <f t="shared" si="531"/>
        <v>0</v>
      </c>
    </row>
    <row r="239" spans="29:58" x14ac:dyDescent="0.25">
      <c r="AC239" s="934">
        <f>'T2'!AC83</f>
        <v>42750</v>
      </c>
      <c r="AD239" s="968">
        <f>'T2'!AD83</f>
        <v>0</v>
      </c>
      <c r="AE239" s="962">
        <f>'T2'!N83</f>
        <v>0</v>
      </c>
      <c r="AF239" s="968">
        <f>'T2'!AF83</f>
        <v>0</v>
      </c>
      <c r="AG239" s="962">
        <f>'T2'!O83</f>
        <v>0</v>
      </c>
      <c r="AI239" s="962">
        <f t="shared" si="526"/>
        <v>0</v>
      </c>
      <c r="AJ239" s="962">
        <f t="shared" si="527"/>
        <v>0</v>
      </c>
      <c r="AV239" s="954"/>
      <c r="AW239" s="963">
        <f t="shared" ref="AW239:BF239" si="532">IF(MONTH(AD239)=AW237,AH239,0)</f>
        <v>0</v>
      </c>
      <c r="AX239" s="963">
        <f t="shared" si="532"/>
        <v>0</v>
      </c>
      <c r="AY239" s="963">
        <f t="shared" si="532"/>
        <v>0</v>
      </c>
      <c r="AZ239" s="963">
        <f t="shared" si="532"/>
        <v>0</v>
      </c>
      <c r="BA239" s="963">
        <f t="shared" si="532"/>
        <v>0</v>
      </c>
      <c r="BB239" s="963">
        <f t="shared" si="532"/>
        <v>0</v>
      </c>
      <c r="BC239" s="963">
        <f t="shared" si="532"/>
        <v>0</v>
      </c>
      <c r="BD239" s="963">
        <f t="shared" si="532"/>
        <v>0</v>
      </c>
      <c r="BE239" s="963">
        <f t="shared" si="532"/>
        <v>0</v>
      </c>
      <c r="BF239" s="963" t="e">
        <f t="shared" si="532"/>
        <v>#VALUE!</v>
      </c>
    </row>
    <row r="240" spans="29:58" x14ac:dyDescent="0.25">
      <c r="AC240" s="934">
        <f>'T2'!AC84</f>
        <v>42751</v>
      </c>
      <c r="AD240" s="968">
        <f>'T2'!AD84</f>
        <v>0</v>
      </c>
      <c r="AE240" s="962">
        <f>'T2'!N84</f>
        <v>0</v>
      </c>
      <c r="AF240" s="968">
        <f>'T2'!AF84</f>
        <v>0</v>
      </c>
      <c r="AG240" s="962">
        <f>'T2'!O84</f>
        <v>0</v>
      </c>
      <c r="AI240" s="962">
        <f t="shared" si="526"/>
        <v>0</v>
      </c>
      <c r="AJ240" s="962">
        <f t="shared" si="527"/>
        <v>0</v>
      </c>
      <c r="AV240" s="954"/>
      <c r="AW240" s="963">
        <f t="shared" ref="AW240:BF240" si="533">IF(MONTH(AD240)=AW238,AH240,0)</f>
        <v>0</v>
      </c>
      <c r="AX240" s="963">
        <f t="shared" si="533"/>
        <v>0</v>
      </c>
      <c r="AY240" s="963">
        <f t="shared" si="533"/>
        <v>0</v>
      </c>
      <c r="AZ240" s="963">
        <f t="shared" si="533"/>
        <v>0</v>
      </c>
      <c r="BA240" s="963">
        <f t="shared" si="533"/>
        <v>0</v>
      </c>
      <c r="BB240" s="963">
        <f t="shared" si="533"/>
        <v>0</v>
      </c>
      <c r="BC240" s="963">
        <f t="shared" si="533"/>
        <v>0</v>
      </c>
      <c r="BD240" s="963">
        <f t="shared" si="533"/>
        <v>0</v>
      </c>
      <c r="BE240" s="963">
        <f t="shared" si="533"/>
        <v>0</v>
      </c>
      <c r="BF240" s="963">
        <f t="shared" si="533"/>
        <v>0</v>
      </c>
    </row>
    <row r="241" spans="29:58" x14ac:dyDescent="0.25">
      <c r="AV241" s="954"/>
      <c r="AW241" s="963">
        <f t="shared" ref="AW241:BF241" si="534">IF(MONTH(AD241)=AW239,AH241,0)</f>
        <v>0</v>
      </c>
      <c r="AX241" s="963">
        <f t="shared" si="534"/>
        <v>0</v>
      </c>
      <c r="AY241" s="963">
        <f t="shared" si="534"/>
        <v>0</v>
      </c>
      <c r="AZ241" s="963">
        <f t="shared" si="534"/>
        <v>0</v>
      </c>
      <c r="BA241" s="963">
        <f t="shared" si="534"/>
        <v>0</v>
      </c>
      <c r="BB241" s="963">
        <f t="shared" si="534"/>
        <v>0</v>
      </c>
      <c r="BC241" s="963">
        <f t="shared" si="534"/>
        <v>0</v>
      </c>
      <c r="BD241" s="963">
        <f t="shared" si="534"/>
        <v>0</v>
      </c>
      <c r="BE241" s="963">
        <f t="shared" si="534"/>
        <v>0</v>
      </c>
      <c r="BF241" s="963" t="e">
        <f t="shared" si="534"/>
        <v>#VALUE!</v>
      </c>
    </row>
    <row r="242" spans="29:58" x14ac:dyDescent="0.25">
      <c r="AV242" s="954"/>
      <c r="AW242" s="963">
        <f t="shared" ref="AW242:BF242" si="535">IF(MONTH(AD242)=AW240,AH242,0)</f>
        <v>0</v>
      </c>
      <c r="AX242" s="963">
        <f t="shared" si="535"/>
        <v>0</v>
      </c>
      <c r="AY242" s="963">
        <f t="shared" si="535"/>
        <v>0</v>
      </c>
      <c r="AZ242" s="963">
        <f t="shared" si="535"/>
        <v>0</v>
      </c>
      <c r="BA242" s="963">
        <f t="shared" si="535"/>
        <v>0</v>
      </c>
      <c r="BB242" s="963">
        <f t="shared" si="535"/>
        <v>0</v>
      </c>
      <c r="BC242" s="963">
        <f t="shared" si="535"/>
        <v>0</v>
      </c>
      <c r="BD242" s="963">
        <f t="shared" si="535"/>
        <v>0</v>
      </c>
      <c r="BE242" s="963">
        <f t="shared" si="535"/>
        <v>0</v>
      </c>
      <c r="BF242" s="963">
        <f t="shared" si="535"/>
        <v>0</v>
      </c>
    </row>
    <row r="243" spans="29:58" x14ac:dyDescent="0.25">
      <c r="AV243" s="954"/>
      <c r="AW243" s="963">
        <f t="shared" ref="AW243:BF243" si="536">IF(MONTH(AD243)=AW241,AH243,0)</f>
        <v>0</v>
      </c>
      <c r="AX243" s="963">
        <f t="shared" si="536"/>
        <v>0</v>
      </c>
      <c r="AY243" s="963">
        <f t="shared" si="536"/>
        <v>0</v>
      </c>
      <c r="AZ243" s="963">
        <f t="shared" si="536"/>
        <v>0</v>
      </c>
      <c r="BA243" s="963">
        <f t="shared" si="536"/>
        <v>0</v>
      </c>
      <c r="BB243" s="963">
        <f t="shared" si="536"/>
        <v>0</v>
      </c>
      <c r="BC243" s="963">
        <f t="shared" si="536"/>
        <v>0</v>
      </c>
      <c r="BD243" s="963">
        <f t="shared" si="536"/>
        <v>0</v>
      </c>
      <c r="BE243" s="963">
        <f t="shared" si="536"/>
        <v>0</v>
      </c>
      <c r="BF243" s="963" t="e">
        <f t="shared" si="536"/>
        <v>#VALUE!</v>
      </c>
    </row>
    <row r="244" spans="29:58" x14ac:dyDescent="0.25">
      <c r="AV244" s="954"/>
      <c r="AW244" s="963">
        <f t="shared" ref="AW244:BF244" si="537">IF(MONTH(AD244)=AW242,AH244,0)</f>
        <v>0</v>
      </c>
      <c r="AX244" s="963">
        <f t="shared" si="537"/>
        <v>0</v>
      </c>
      <c r="AY244" s="963">
        <f t="shared" si="537"/>
        <v>0</v>
      </c>
      <c r="AZ244" s="963">
        <f t="shared" si="537"/>
        <v>0</v>
      </c>
      <c r="BA244" s="963">
        <f t="shared" si="537"/>
        <v>0</v>
      </c>
      <c r="BB244" s="963">
        <f t="shared" si="537"/>
        <v>0</v>
      </c>
      <c r="BC244" s="963">
        <f t="shared" si="537"/>
        <v>0</v>
      </c>
      <c r="BD244" s="963">
        <f t="shared" si="537"/>
        <v>0</v>
      </c>
      <c r="BE244" s="963">
        <f t="shared" si="537"/>
        <v>0</v>
      </c>
      <c r="BF244" s="963">
        <f t="shared" si="537"/>
        <v>0</v>
      </c>
    </row>
    <row r="245" spans="29:58" x14ac:dyDescent="0.25">
      <c r="AV245" s="954"/>
      <c r="AW245" s="963">
        <f t="shared" ref="AW245:BF245" si="538">IF(MONTH(AD245)=AW243,AH245,0)</f>
        <v>0</v>
      </c>
      <c r="AX245" s="963">
        <f t="shared" si="538"/>
        <v>0</v>
      </c>
      <c r="AY245" s="963">
        <f t="shared" si="538"/>
        <v>0</v>
      </c>
      <c r="AZ245" s="963">
        <f t="shared" si="538"/>
        <v>0</v>
      </c>
      <c r="BA245" s="963">
        <f t="shared" si="538"/>
        <v>0</v>
      </c>
      <c r="BB245" s="963">
        <f t="shared" si="538"/>
        <v>0</v>
      </c>
      <c r="BC245" s="963">
        <f t="shared" si="538"/>
        <v>0</v>
      </c>
      <c r="BD245" s="963">
        <f t="shared" si="538"/>
        <v>0</v>
      </c>
      <c r="BE245" s="963">
        <f t="shared" si="538"/>
        <v>0</v>
      </c>
      <c r="BF245" s="963" t="e">
        <f t="shared" si="538"/>
        <v>#VALUE!</v>
      </c>
    </row>
    <row r="246" spans="29:58" x14ac:dyDescent="0.25">
      <c r="AC246" s="934">
        <f>'T2'!AC90</f>
        <v>42752</v>
      </c>
      <c r="AD246" s="968">
        <f>'T2'!AD90</f>
        <v>0</v>
      </c>
      <c r="AE246" s="962">
        <f>'T2'!N90</f>
        <v>0</v>
      </c>
      <c r="AF246" s="968">
        <f>'T2'!AF90</f>
        <v>0</v>
      </c>
      <c r="AG246" s="962">
        <f>'T2'!O90</f>
        <v>0</v>
      </c>
      <c r="AI246" s="962">
        <f>AE246+AI240</f>
        <v>0</v>
      </c>
      <c r="AJ246" s="962">
        <f>AG246+AJ240</f>
        <v>0</v>
      </c>
      <c r="AV246" s="954"/>
      <c r="AW246" s="963">
        <f t="shared" ref="AW246:BF246" si="539">IF(MONTH(AD246)=AW244,AH246,0)</f>
        <v>0</v>
      </c>
      <c r="AX246" s="963">
        <f t="shared" si="539"/>
        <v>0</v>
      </c>
      <c r="AY246" s="963">
        <f t="shared" si="539"/>
        <v>0</v>
      </c>
      <c r="AZ246" s="963">
        <f t="shared" si="539"/>
        <v>0</v>
      </c>
      <c r="BA246" s="963">
        <f t="shared" si="539"/>
        <v>0</v>
      </c>
      <c r="BB246" s="963">
        <f t="shared" si="539"/>
        <v>0</v>
      </c>
      <c r="BC246" s="963">
        <f t="shared" si="539"/>
        <v>0</v>
      </c>
      <c r="BD246" s="963">
        <f t="shared" si="539"/>
        <v>0</v>
      </c>
      <c r="BE246" s="963">
        <f t="shared" si="539"/>
        <v>0</v>
      </c>
      <c r="BF246" s="963">
        <f t="shared" si="539"/>
        <v>0</v>
      </c>
    </row>
    <row r="247" spans="29:58" x14ac:dyDescent="0.25">
      <c r="AC247" s="934">
        <f>'T2'!AC91</f>
        <v>42753</v>
      </c>
      <c r="AD247" s="968">
        <f>'T2'!AD91</f>
        <v>0</v>
      </c>
      <c r="AE247" s="962">
        <f>'T2'!N91</f>
        <v>0</v>
      </c>
      <c r="AF247" s="968">
        <f>'T2'!AF91</f>
        <v>0</v>
      </c>
      <c r="AG247" s="962">
        <f>'T2'!O91</f>
        <v>0</v>
      </c>
      <c r="AI247" s="962">
        <f t="shared" ref="AI247:AI252" si="540">AE247+AI246</f>
        <v>0</v>
      </c>
      <c r="AJ247" s="962">
        <f t="shared" ref="AJ247:AJ252" si="541">AG247+AJ246</f>
        <v>0</v>
      </c>
      <c r="AV247" s="954"/>
      <c r="AW247" s="963">
        <f t="shared" ref="AW247:BF247" si="542">IF(MONTH(AD247)=AW245,AH247,0)</f>
        <v>0</v>
      </c>
      <c r="AX247" s="963">
        <f t="shared" si="542"/>
        <v>0</v>
      </c>
      <c r="AY247" s="963">
        <f t="shared" si="542"/>
        <v>0</v>
      </c>
      <c r="AZ247" s="963">
        <f t="shared" si="542"/>
        <v>0</v>
      </c>
      <c r="BA247" s="963">
        <f t="shared" si="542"/>
        <v>0</v>
      </c>
      <c r="BB247" s="963">
        <f t="shared" si="542"/>
        <v>0</v>
      </c>
      <c r="BC247" s="963">
        <f t="shared" si="542"/>
        <v>0</v>
      </c>
      <c r="BD247" s="963">
        <f t="shared" si="542"/>
        <v>0</v>
      </c>
      <c r="BE247" s="963">
        <f t="shared" si="542"/>
        <v>0</v>
      </c>
      <c r="BF247" s="963" t="e">
        <f t="shared" si="542"/>
        <v>#VALUE!</v>
      </c>
    </row>
    <row r="248" spans="29:58" x14ac:dyDescent="0.25">
      <c r="AC248" s="934">
        <f>'T2'!AC92</f>
        <v>42754</v>
      </c>
      <c r="AD248" s="968">
        <f>'T2'!AD92</f>
        <v>0</v>
      </c>
      <c r="AE248" s="962">
        <f>'T2'!N92</f>
        <v>0</v>
      </c>
      <c r="AF248" s="968">
        <f>'T2'!AF92</f>
        <v>0</v>
      </c>
      <c r="AG248" s="962">
        <f>'T2'!O92</f>
        <v>0</v>
      </c>
      <c r="AI248" s="962">
        <f t="shared" si="540"/>
        <v>0</v>
      </c>
      <c r="AJ248" s="962">
        <f t="shared" si="541"/>
        <v>0</v>
      </c>
      <c r="AV248" s="954"/>
      <c r="AW248" s="963">
        <f t="shared" ref="AW248:BF248" si="543">IF(MONTH(AD248)=AW246,AH248,0)</f>
        <v>0</v>
      </c>
      <c r="AX248" s="963">
        <f t="shared" si="543"/>
        <v>0</v>
      </c>
      <c r="AY248" s="963">
        <f t="shared" si="543"/>
        <v>0</v>
      </c>
      <c r="AZ248" s="963">
        <f t="shared" si="543"/>
        <v>0</v>
      </c>
      <c r="BA248" s="963">
        <f t="shared" si="543"/>
        <v>0</v>
      </c>
      <c r="BB248" s="963">
        <f t="shared" si="543"/>
        <v>0</v>
      </c>
      <c r="BC248" s="963">
        <f t="shared" si="543"/>
        <v>0</v>
      </c>
      <c r="BD248" s="963">
        <f t="shared" si="543"/>
        <v>0</v>
      </c>
      <c r="BE248" s="963">
        <f t="shared" si="543"/>
        <v>0</v>
      </c>
      <c r="BF248" s="963">
        <f t="shared" si="543"/>
        <v>0</v>
      </c>
    </row>
    <row r="249" spans="29:58" x14ac:dyDescent="0.25">
      <c r="AC249" s="934">
        <f>'T2'!AC93</f>
        <v>42755</v>
      </c>
      <c r="AD249" s="968">
        <f>'T2'!AD93</f>
        <v>0</v>
      </c>
      <c r="AE249" s="962">
        <f>'T2'!N93</f>
        <v>0</v>
      </c>
      <c r="AF249" s="968">
        <f>'T2'!AF93</f>
        <v>0</v>
      </c>
      <c r="AG249" s="962">
        <f>'T2'!O93</f>
        <v>0</v>
      </c>
      <c r="AI249" s="962">
        <f t="shared" si="540"/>
        <v>0</v>
      </c>
      <c r="AJ249" s="962">
        <f t="shared" si="541"/>
        <v>0</v>
      </c>
      <c r="AV249" s="954"/>
      <c r="AW249" s="963">
        <f t="shared" ref="AW249:BF249" si="544">IF(MONTH(AD249)=AW247,AH249,0)</f>
        <v>0</v>
      </c>
      <c r="AX249" s="963">
        <f t="shared" si="544"/>
        <v>0</v>
      </c>
      <c r="AY249" s="963">
        <f t="shared" si="544"/>
        <v>0</v>
      </c>
      <c r="AZ249" s="963">
        <f t="shared" si="544"/>
        <v>0</v>
      </c>
      <c r="BA249" s="963">
        <f t="shared" si="544"/>
        <v>0</v>
      </c>
      <c r="BB249" s="963">
        <f t="shared" si="544"/>
        <v>0</v>
      </c>
      <c r="BC249" s="963">
        <f t="shared" si="544"/>
        <v>0</v>
      </c>
      <c r="BD249" s="963">
        <f t="shared" si="544"/>
        <v>0</v>
      </c>
      <c r="BE249" s="963">
        <f t="shared" si="544"/>
        <v>0</v>
      </c>
      <c r="BF249" s="963" t="e">
        <f t="shared" si="544"/>
        <v>#VALUE!</v>
      </c>
    </row>
    <row r="250" spans="29:58" x14ac:dyDescent="0.25">
      <c r="AC250" s="934">
        <f>'T2'!AC94</f>
        <v>42756</v>
      </c>
      <c r="AD250" s="968">
        <f>'T2'!AD94</f>
        <v>0</v>
      </c>
      <c r="AE250" s="962">
        <f>'T2'!N94</f>
        <v>0</v>
      </c>
      <c r="AF250" s="968">
        <f>'T2'!AF94</f>
        <v>0</v>
      </c>
      <c r="AG250" s="962">
        <f>'T2'!O94</f>
        <v>0</v>
      </c>
      <c r="AI250" s="962">
        <f t="shared" si="540"/>
        <v>0</v>
      </c>
      <c r="AJ250" s="962">
        <f t="shared" si="541"/>
        <v>0</v>
      </c>
      <c r="AV250" s="954"/>
      <c r="AW250" s="963">
        <f t="shared" ref="AW250:BF250" si="545">IF(MONTH(AD250)=AW248,AH250,0)</f>
        <v>0</v>
      </c>
      <c r="AX250" s="963">
        <f t="shared" si="545"/>
        <v>0</v>
      </c>
      <c r="AY250" s="963">
        <f t="shared" si="545"/>
        <v>0</v>
      </c>
      <c r="AZ250" s="963">
        <f t="shared" si="545"/>
        <v>0</v>
      </c>
      <c r="BA250" s="963">
        <f t="shared" si="545"/>
        <v>0</v>
      </c>
      <c r="BB250" s="963">
        <f t="shared" si="545"/>
        <v>0</v>
      </c>
      <c r="BC250" s="963">
        <f t="shared" si="545"/>
        <v>0</v>
      </c>
      <c r="BD250" s="963">
        <f t="shared" si="545"/>
        <v>0</v>
      </c>
      <c r="BE250" s="963">
        <f t="shared" si="545"/>
        <v>0</v>
      </c>
      <c r="BF250" s="963">
        <f t="shared" si="545"/>
        <v>0</v>
      </c>
    </row>
    <row r="251" spans="29:58" x14ac:dyDescent="0.25">
      <c r="AC251" s="934">
        <f>'T2'!AC95</f>
        <v>42757</v>
      </c>
      <c r="AD251" s="968">
        <f>'T2'!AD95</f>
        <v>0</v>
      </c>
      <c r="AE251" s="962">
        <f>'T2'!N95</f>
        <v>0</v>
      </c>
      <c r="AF251" s="968">
        <f>'T2'!AF95</f>
        <v>0</v>
      </c>
      <c r="AG251" s="962">
        <f>'T2'!O95</f>
        <v>0</v>
      </c>
      <c r="AI251" s="962">
        <f t="shared" si="540"/>
        <v>0</v>
      </c>
      <c r="AJ251" s="962">
        <f t="shared" si="541"/>
        <v>0</v>
      </c>
      <c r="AV251" s="954"/>
      <c r="AW251" s="963">
        <f t="shared" ref="AW251:BF251" si="546">IF(MONTH(AD251)=AW249,AH251,0)</f>
        <v>0</v>
      </c>
      <c r="AX251" s="963">
        <f t="shared" si="546"/>
        <v>0</v>
      </c>
      <c r="AY251" s="963">
        <f t="shared" si="546"/>
        <v>0</v>
      </c>
      <c r="AZ251" s="963">
        <f t="shared" si="546"/>
        <v>0</v>
      </c>
      <c r="BA251" s="963">
        <f t="shared" si="546"/>
        <v>0</v>
      </c>
      <c r="BB251" s="963">
        <f t="shared" si="546"/>
        <v>0</v>
      </c>
      <c r="BC251" s="963">
        <f t="shared" si="546"/>
        <v>0</v>
      </c>
      <c r="BD251" s="963">
        <f t="shared" si="546"/>
        <v>0</v>
      </c>
      <c r="BE251" s="963">
        <f t="shared" si="546"/>
        <v>0</v>
      </c>
      <c r="BF251" s="963" t="e">
        <f t="shared" si="546"/>
        <v>#VALUE!</v>
      </c>
    </row>
    <row r="252" spans="29:58" x14ac:dyDescent="0.25">
      <c r="AC252" s="934">
        <f>'T2'!AC96</f>
        <v>42758</v>
      </c>
      <c r="AD252" s="968">
        <f>'T2'!AD96</f>
        <v>0</v>
      </c>
      <c r="AE252" s="962">
        <f>'T2'!N96</f>
        <v>0</v>
      </c>
      <c r="AF252" s="968">
        <f>'T2'!AF96</f>
        <v>0</v>
      </c>
      <c r="AG252" s="962">
        <f>'T2'!O96</f>
        <v>0</v>
      </c>
      <c r="AI252" s="962">
        <f t="shared" si="540"/>
        <v>0</v>
      </c>
      <c r="AJ252" s="962">
        <f t="shared" si="541"/>
        <v>0</v>
      </c>
      <c r="AV252" s="954"/>
      <c r="AW252" s="963">
        <f t="shared" ref="AW252:BF252" si="547">IF(MONTH(AD252)=AW250,AH252,0)</f>
        <v>0</v>
      </c>
      <c r="AX252" s="963">
        <f t="shared" si="547"/>
        <v>0</v>
      </c>
      <c r="AY252" s="963">
        <f t="shared" si="547"/>
        <v>0</v>
      </c>
      <c r="AZ252" s="963">
        <f t="shared" si="547"/>
        <v>0</v>
      </c>
      <c r="BA252" s="963">
        <f t="shared" si="547"/>
        <v>0</v>
      </c>
      <c r="BB252" s="963">
        <f t="shared" si="547"/>
        <v>0</v>
      </c>
      <c r="BC252" s="963">
        <f t="shared" si="547"/>
        <v>0</v>
      </c>
      <c r="BD252" s="963">
        <f t="shared" si="547"/>
        <v>0</v>
      </c>
      <c r="BE252" s="963">
        <f t="shared" si="547"/>
        <v>0</v>
      </c>
      <c r="BF252" s="963">
        <f t="shared" si="547"/>
        <v>0</v>
      </c>
    </row>
    <row r="253" spans="29:58" x14ac:dyDescent="0.25">
      <c r="AV253" s="954"/>
      <c r="AW253" s="963">
        <f t="shared" ref="AW253:BF253" si="548">IF(MONTH(AD253)=AW251,AH253,0)</f>
        <v>0</v>
      </c>
      <c r="AX253" s="963">
        <f t="shared" si="548"/>
        <v>0</v>
      </c>
      <c r="AY253" s="963">
        <f t="shared" si="548"/>
        <v>0</v>
      </c>
      <c r="AZ253" s="963">
        <f t="shared" si="548"/>
        <v>0</v>
      </c>
      <c r="BA253" s="963">
        <f t="shared" si="548"/>
        <v>0</v>
      </c>
      <c r="BB253" s="963">
        <f t="shared" si="548"/>
        <v>0</v>
      </c>
      <c r="BC253" s="963">
        <f t="shared" si="548"/>
        <v>0</v>
      </c>
      <c r="BD253" s="963">
        <f t="shared" si="548"/>
        <v>0</v>
      </c>
      <c r="BE253" s="963">
        <f t="shared" si="548"/>
        <v>0</v>
      </c>
      <c r="BF253" s="963" t="e">
        <f t="shared" si="548"/>
        <v>#VALUE!</v>
      </c>
    </row>
    <row r="254" spans="29:58" x14ac:dyDescent="0.25">
      <c r="AV254" s="954"/>
      <c r="AW254" s="963">
        <f t="shared" ref="AW254:BF254" si="549">IF(MONTH(AD254)=AW252,AH254,0)</f>
        <v>0</v>
      </c>
      <c r="AX254" s="963">
        <f t="shared" si="549"/>
        <v>0</v>
      </c>
      <c r="AY254" s="963">
        <f t="shared" si="549"/>
        <v>0</v>
      </c>
      <c r="AZ254" s="963">
        <f t="shared" si="549"/>
        <v>0</v>
      </c>
      <c r="BA254" s="963">
        <f t="shared" si="549"/>
        <v>0</v>
      </c>
      <c r="BB254" s="963">
        <f t="shared" si="549"/>
        <v>0</v>
      </c>
      <c r="BC254" s="963">
        <f t="shared" si="549"/>
        <v>0</v>
      </c>
      <c r="BD254" s="963">
        <f t="shared" si="549"/>
        <v>0</v>
      </c>
      <c r="BE254" s="963">
        <f t="shared" si="549"/>
        <v>0</v>
      </c>
      <c r="BF254" s="963">
        <f t="shared" si="549"/>
        <v>0</v>
      </c>
    </row>
    <row r="255" spans="29:58" x14ac:dyDescent="0.25">
      <c r="AV255" s="954"/>
      <c r="AW255" s="963">
        <f t="shared" ref="AW255:BF255" si="550">IF(MONTH(AD255)=AW253,AH255,0)</f>
        <v>0</v>
      </c>
      <c r="AX255" s="963">
        <f t="shared" si="550"/>
        <v>0</v>
      </c>
      <c r="AY255" s="963">
        <f t="shared" si="550"/>
        <v>0</v>
      </c>
      <c r="AZ255" s="963">
        <f t="shared" si="550"/>
        <v>0</v>
      </c>
      <c r="BA255" s="963">
        <f t="shared" si="550"/>
        <v>0</v>
      </c>
      <c r="BB255" s="963">
        <f t="shared" si="550"/>
        <v>0</v>
      </c>
      <c r="BC255" s="963">
        <f t="shared" si="550"/>
        <v>0</v>
      </c>
      <c r="BD255" s="963">
        <f t="shared" si="550"/>
        <v>0</v>
      </c>
      <c r="BE255" s="963">
        <f t="shared" si="550"/>
        <v>0</v>
      </c>
      <c r="BF255" s="963" t="e">
        <f t="shared" si="550"/>
        <v>#VALUE!</v>
      </c>
    </row>
    <row r="256" spans="29:58" x14ac:dyDescent="0.25">
      <c r="AV256" s="954"/>
      <c r="AW256" s="963">
        <f t="shared" ref="AW256:BF256" si="551">IF(MONTH(AD256)=AW254,AH256,0)</f>
        <v>0</v>
      </c>
      <c r="AX256" s="963">
        <f t="shared" si="551"/>
        <v>0</v>
      </c>
      <c r="AY256" s="963">
        <f t="shared" si="551"/>
        <v>0</v>
      </c>
      <c r="AZ256" s="963">
        <f t="shared" si="551"/>
        <v>0</v>
      </c>
      <c r="BA256" s="963">
        <f t="shared" si="551"/>
        <v>0</v>
      </c>
      <c r="BB256" s="963">
        <f t="shared" si="551"/>
        <v>0</v>
      </c>
      <c r="BC256" s="963">
        <f t="shared" si="551"/>
        <v>0</v>
      </c>
      <c r="BD256" s="963">
        <f t="shared" si="551"/>
        <v>0</v>
      </c>
      <c r="BE256" s="963">
        <f t="shared" si="551"/>
        <v>0</v>
      </c>
      <c r="BF256" s="963">
        <f t="shared" si="551"/>
        <v>0</v>
      </c>
    </row>
    <row r="257" spans="29:58" x14ac:dyDescent="0.25">
      <c r="AV257" s="954"/>
      <c r="AW257" s="963">
        <f t="shared" ref="AW257:BF257" si="552">IF(MONTH(AD257)=AW255,AH257,0)</f>
        <v>0</v>
      </c>
      <c r="AX257" s="963">
        <f t="shared" si="552"/>
        <v>0</v>
      </c>
      <c r="AY257" s="963">
        <f t="shared" si="552"/>
        <v>0</v>
      </c>
      <c r="AZ257" s="963">
        <f t="shared" si="552"/>
        <v>0</v>
      </c>
      <c r="BA257" s="963">
        <f t="shared" si="552"/>
        <v>0</v>
      </c>
      <c r="BB257" s="963">
        <f t="shared" si="552"/>
        <v>0</v>
      </c>
      <c r="BC257" s="963">
        <f t="shared" si="552"/>
        <v>0</v>
      </c>
      <c r="BD257" s="963">
        <f t="shared" si="552"/>
        <v>0</v>
      </c>
      <c r="BE257" s="963">
        <f t="shared" si="552"/>
        <v>0</v>
      </c>
      <c r="BF257" s="963" t="e">
        <f t="shared" si="552"/>
        <v>#VALUE!</v>
      </c>
    </row>
    <row r="258" spans="29:58" x14ac:dyDescent="0.25">
      <c r="AC258" s="934">
        <f>'T2'!AC102</f>
        <v>42759</v>
      </c>
      <c r="AD258" s="968">
        <f>'T2'!AD102</f>
        <v>0</v>
      </c>
      <c r="AE258" s="962">
        <f>'T2'!N102</f>
        <v>0</v>
      </c>
      <c r="AF258" s="968">
        <f>'T2'!AF102</f>
        <v>0</v>
      </c>
      <c r="AG258" s="962">
        <f>'T2'!O102</f>
        <v>0</v>
      </c>
      <c r="AI258" s="962">
        <f>AE258+AI252</f>
        <v>0</v>
      </c>
      <c r="AJ258" s="962">
        <f>AG258+AJ252</f>
        <v>0</v>
      </c>
      <c r="AV258" s="954"/>
      <c r="AW258" s="963">
        <f t="shared" ref="AW258:BF258" si="553">IF(MONTH(AD258)=AW256,AH258,0)</f>
        <v>0</v>
      </c>
      <c r="AX258" s="963">
        <f t="shared" si="553"/>
        <v>0</v>
      </c>
      <c r="AY258" s="963">
        <f t="shared" si="553"/>
        <v>0</v>
      </c>
      <c r="AZ258" s="963">
        <f t="shared" si="553"/>
        <v>0</v>
      </c>
      <c r="BA258" s="963">
        <f t="shared" si="553"/>
        <v>0</v>
      </c>
      <c r="BB258" s="963">
        <f t="shared" si="553"/>
        <v>0</v>
      </c>
      <c r="BC258" s="963">
        <f t="shared" si="553"/>
        <v>0</v>
      </c>
      <c r="BD258" s="963">
        <f t="shared" si="553"/>
        <v>0</v>
      </c>
      <c r="BE258" s="963">
        <f t="shared" si="553"/>
        <v>0</v>
      </c>
      <c r="BF258" s="963">
        <f t="shared" si="553"/>
        <v>0</v>
      </c>
    </row>
    <row r="259" spans="29:58" x14ac:dyDescent="0.25">
      <c r="AC259" s="934">
        <f>'T2'!AC103</f>
        <v>42760</v>
      </c>
      <c r="AD259" s="968">
        <f>'T2'!AD103</f>
        <v>0</v>
      </c>
      <c r="AE259" s="962">
        <f>'T2'!N103</f>
        <v>0</v>
      </c>
      <c r="AF259" s="968">
        <f>'T2'!AF103</f>
        <v>0</v>
      </c>
      <c r="AG259" s="962">
        <f>'T2'!O103</f>
        <v>0</v>
      </c>
      <c r="AI259" s="962">
        <f t="shared" ref="AI259:AI264" si="554">AE259+AI258</f>
        <v>0</v>
      </c>
      <c r="AJ259" s="962">
        <f t="shared" ref="AJ259:AJ264" si="555">AG259+AJ258</f>
        <v>0</v>
      </c>
      <c r="AV259" s="954"/>
      <c r="AW259" s="963">
        <f t="shared" ref="AW259:BF259" si="556">IF(MONTH(AD259)=AW257,AH259,0)</f>
        <v>0</v>
      </c>
      <c r="AX259" s="963">
        <f t="shared" si="556"/>
        <v>0</v>
      </c>
      <c r="AY259" s="963">
        <f t="shared" si="556"/>
        <v>0</v>
      </c>
      <c r="AZ259" s="963">
        <f t="shared" si="556"/>
        <v>0</v>
      </c>
      <c r="BA259" s="963">
        <f t="shared" si="556"/>
        <v>0</v>
      </c>
      <c r="BB259" s="963">
        <f t="shared" si="556"/>
        <v>0</v>
      </c>
      <c r="BC259" s="963">
        <f t="shared" si="556"/>
        <v>0</v>
      </c>
      <c r="BD259" s="963">
        <f t="shared" si="556"/>
        <v>0</v>
      </c>
      <c r="BE259" s="963">
        <f t="shared" si="556"/>
        <v>0</v>
      </c>
      <c r="BF259" s="963" t="e">
        <f t="shared" si="556"/>
        <v>#VALUE!</v>
      </c>
    </row>
    <row r="260" spans="29:58" x14ac:dyDescent="0.25">
      <c r="AC260" s="934">
        <f>'T2'!AC104</f>
        <v>42761</v>
      </c>
      <c r="AD260" s="968">
        <f>'T2'!AD104</f>
        <v>0</v>
      </c>
      <c r="AE260" s="962">
        <f>'T2'!N104</f>
        <v>0</v>
      </c>
      <c r="AF260" s="968">
        <f>'T2'!AF104</f>
        <v>0</v>
      </c>
      <c r="AG260" s="962">
        <f>'T2'!O104</f>
        <v>0</v>
      </c>
      <c r="AI260" s="962">
        <f t="shared" si="554"/>
        <v>0</v>
      </c>
      <c r="AJ260" s="962">
        <f t="shared" si="555"/>
        <v>0</v>
      </c>
      <c r="AV260" s="954"/>
      <c r="AW260" s="963">
        <f t="shared" ref="AW260:BF260" si="557">IF(MONTH(AD260)=AW258,AH260,0)</f>
        <v>0</v>
      </c>
      <c r="AX260" s="963">
        <f t="shared" si="557"/>
        <v>0</v>
      </c>
      <c r="AY260" s="963">
        <f t="shared" si="557"/>
        <v>0</v>
      </c>
      <c r="AZ260" s="963">
        <f t="shared" si="557"/>
        <v>0</v>
      </c>
      <c r="BA260" s="963">
        <f t="shared" si="557"/>
        <v>0</v>
      </c>
      <c r="BB260" s="963">
        <f t="shared" si="557"/>
        <v>0</v>
      </c>
      <c r="BC260" s="963">
        <f t="shared" si="557"/>
        <v>0</v>
      </c>
      <c r="BD260" s="963">
        <f t="shared" si="557"/>
        <v>0</v>
      </c>
      <c r="BE260" s="963">
        <f t="shared" si="557"/>
        <v>0</v>
      </c>
      <c r="BF260" s="963">
        <f t="shared" si="557"/>
        <v>0</v>
      </c>
    </row>
    <row r="261" spans="29:58" x14ac:dyDescent="0.25">
      <c r="AC261" s="934">
        <f>'T2'!AC105</f>
        <v>42762</v>
      </c>
      <c r="AD261" s="968">
        <f>'T2'!AD105</f>
        <v>0</v>
      </c>
      <c r="AE261" s="962">
        <f>'T2'!N105</f>
        <v>0</v>
      </c>
      <c r="AF261" s="968">
        <f>'T2'!AF105</f>
        <v>0</v>
      </c>
      <c r="AG261" s="962">
        <f>'T2'!O105</f>
        <v>0</v>
      </c>
      <c r="AI261" s="962">
        <f t="shared" si="554"/>
        <v>0</v>
      </c>
      <c r="AJ261" s="962">
        <f t="shared" si="555"/>
        <v>0</v>
      </c>
      <c r="AV261" s="954"/>
      <c r="AW261" s="963">
        <f t="shared" ref="AW261:BF261" si="558">IF(MONTH(AD261)=AW259,AH261,0)</f>
        <v>0</v>
      </c>
      <c r="AX261" s="963">
        <f t="shared" si="558"/>
        <v>0</v>
      </c>
      <c r="AY261" s="963">
        <f t="shared" si="558"/>
        <v>0</v>
      </c>
      <c r="AZ261" s="963">
        <f t="shared" si="558"/>
        <v>0</v>
      </c>
      <c r="BA261" s="963">
        <f t="shared" si="558"/>
        <v>0</v>
      </c>
      <c r="BB261" s="963">
        <f t="shared" si="558"/>
        <v>0</v>
      </c>
      <c r="BC261" s="963">
        <f t="shared" si="558"/>
        <v>0</v>
      </c>
      <c r="BD261" s="963">
        <f t="shared" si="558"/>
        <v>0</v>
      </c>
      <c r="BE261" s="963">
        <f t="shared" si="558"/>
        <v>0</v>
      </c>
      <c r="BF261" s="963" t="e">
        <f t="shared" si="558"/>
        <v>#VALUE!</v>
      </c>
    </row>
    <row r="262" spans="29:58" x14ac:dyDescent="0.25">
      <c r="AC262" s="934">
        <f>'T2'!AC106</f>
        <v>42763</v>
      </c>
      <c r="AD262" s="968">
        <f>'T2'!AD106</f>
        <v>0</v>
      </c>
      <c r="AE262" s="962">
        <f>'T2'!N106</f>
        <v>0</v>
      </c>
      <c r="AF262" s="968">
        <f>'T2'!AF106</f>
        <v>0</v>
      </c>
      <c r="AG262" s="962">
        <f>'T2'!O106</f>
        <v>0</v>
      </c>
      <c r="AI262" s="962">
        <f t="shared" si="554"/>
        <v>0</v>
      </c>
      <c r="AJ262" s="962">
        <f t="shared" si="555"/>
        <v>0</v>
      </c>
      <c r="AV262" s="954"/>
      <c r="AW262" s="963">
        <f t="shared" ref="AW262:BF262" si="559">IF(MONTH(AD262)=AW260,AH262,0)</f>
        <v>0</v>
      </c>
      <c r="AX262" s="963">
        <f t="shared" si="559"/>
        <v>0</v>
      </c>
      <c r="AY262" s="963">
        <f t="shared" si="559"/>
        <v>0</v>
      </c>
      <c r="AZ262" s="963">
        <f t="shared" si="559"/>
        <v>0</v>
      </c>
      <c r="BA262" s="963">
        <f t="shared" si="559"/>
        <v>0</v>
      </c>
      <c r="BB262" s="963">
        <f t="shared" si="559"/>
        <v>0</v>
      </c>
      <c r="BC262" s="963">
        <f t="shared" si="559"/>
        <v>0</v>
      </c>
      <c r="BD262" s="963">
        <f t="shared" si="559"/>
        <v>0</v>
      </c>
      <c r="BE262" s="963">
        <f t="shared" si="559"/>
        <v>0</v>
      </c>
      <c r="BF262" s="963">
        <f t="shared" si="559"/>
        <v>0</v>
      </c>
    </row>
    <row r="263" spans="29:58" x14ac:dyDescent="0.25">
      <c r="AC263" s="934">
        <f>'T2'!AC107</f>
        <v>42764</v>
      </c>
      <c r="AD263" s="968">
        <f>'T2'!AD107</f>
        <v>0</v>
      </c>
      <c r="AE263" s="962">
        <f>'T2'!N107</f>
        <v>0</v>
      </c>
      <c r="AF263" s="968">
        <f>'T2'!AF107</f>
        <v>0</v>
      </c>
      <c r="AG263" s="962">
        <f>'T2'!O107</f>
        <v>0</v>
      </c>
      <c r="AI263" s="962">
        <f t="shared" si="554"/>
        <v>0</v>
      </c>
      <c r="AJ263" s="962">
        <f t="shared" si="555"/>
        <v>0</v>
      </c>
      <c r="AV263" s="954"/>
      <c r="AW263" s="963">
        <f t="shared" ref="AW263:BF263" si="560">IF(MONTH(AD263)=AW261,AH263,0)</f>
        <v>0</v>
      </c>
      <c r="AX263" s="963">
        <f t="shared" si="560"/>
        <v>0</v>
      </c>
      <c r="AY263" s="963">
        <f t="shared" si="560"/>
        <v>0</v>
      </c>
      <c r="AZ263" s="963">
        <f t="shared" si="560"/>
        <v>0</v>
      </c>
      <c r="BA263" s="963">
        <f t="shared" si="560"/>
        <v>0</v>
      </c>
      <c r="BB263" s="963">
        <f t="shared" si="560"/>
        <v>0</v>
      </c>
      <c r="BC263" s="963">
        <f t="shared" si="560"/>
        <v>0</v>
      </c>
      <c r="BD263" s="963">
        <f t="shared" si="560"/>
        <v>0</v>
      </c>
      <c r="BE263" s="963">
        <f t="shared" si="560"/>
        <v>0</v>
      </c>
      <c r="BF263" s="963" t="e">
        <f t="shared" si="560"/>
        <v>#VALUE!</v>
      </c>
    </row>
    <row r="264" spans="29:58" x14ac:dyDescent="0.25">
      <c r="AC264" s="934">
        <f>'T2'!AC108</f>
        <v>42765</v>
      </c>
      <c r="AD264" s="968">
        <f>'T2'!AD108</f>
        <v>0</v>
      </c>
      <c r="AE264" s="962">
        <f>'T2'!N108</f>
        <v>0</v>
      </c>
      <c r="AF264" s="968">
        <f>'T2'!AF108</f>
        <v>0</v>
      </c>
      <c r="AG264" s="962">
        <f>'T2'!O108</f>
        <v>0</v>
      </c>
      <c r="AI264" s="962">
        <f t="shared" si="554"/>
        <v>0</v>
      </c>
      <c r="AJ264" s="962">
        <f t="shared" si="555"/>
        <v>0</v>
      </c>
      <c r="AV264" s="954"/>
      <c r="AW264" s="963">
        <f t="shared" ref="AW264:BF264" si="561">IF(MONTH(AD264)=AW262,AH264,0)</f>
        <v>0</v>
      </c>
      <c r="AX264" s="963">
        <f t="shared" si="561"/>
        <v>0</v>
      </c>
      <c r="AY264" s="963">
        <f t="shared" si="561"/>
        <v>0</v>
      </c>
      <c r="AZ264" s="963">
        <f t="shared" si="561"/>
        <v>0</v>
      </c>
      <c r="BA264" s="963">
        <f t="shared" si="561"/>
        <v>0</v>
      </c>
      <c r="BB264" s="963">
        <f t="shared" si="561"/>
        <v>0</v>
      </c>
      <c r="BC264" s="963">
        <f t="shared" si="561"/>
        <v>0</v>
      </c>
      <c r="BD264" s="963">
        <f t="shared" si="561"/>
        <v>0</v>
      </c>
      <c r="BE264" s="963">
        <f t="shared" si="561"/>
        <v>0</v>
      </c>
      <c r="BF264" s="963">
        <f t="shared" si="561"/>
        <v>0</v>
      </c>
    </row>
    <row r="265" spans="29:58" x14ac:dyDescent="0.25">
      <c r="AV265" s="954"/>
      <c r="AW265" s="963">
        <f t="shared" ref="AW265:BF265" si="562">IF(MONTH(AD265)=AW263,AH265,0)</f>
        <v>0</v>
      </c>
      <c r="AX265" s="963">
        <f t="shared" si="562"/>
        <v>0</v>
      </c>
      <c r="AY265" s="963">
        <f t="shared" si="562"/>
        <v>0</v>
      </c>
      <c r="AZ265" s="963">
        <f t="shared" si="562"/>
        <v>0</v>
      </c>
      <c r="BA265" s="963">
        <f t="shared" si="562"/>
        <v>0</v>
      </c>
      <c r="BB265" s="963">
        <f t="shared" si="562"/>
        <v>0</v>
      </c>
      <c r="BC265" s="963">
        <f t="shared" si="562"/>
        <v>0</v>
      </c>
      <c r="BD265" s="963">
        <f t="shared" si="562"/>
        <v>0</v>
      </c>
      <c r="BE265" s="963">
        <f t="shared" si="562"/>
        <v>0</v>
      </c>
      <c r="BF265" s="963" t="e">
        <f t="shared" si="562"/>
        <v>#VALUE!</v>
      </c>
    </row>
    <row r="266" spans="29:58" x14ac:dyDescent="0.25">
      <c r="AV266" s="954"/>
      <c r="AW266" s="963">
        <f t="shared" ref="AW266:BF266" si="563">IF(MONTH(AD266)=AW264,AH266,0)</f>
        <v>0</v>
      </c>
      <c r="AX266" s="963">
        <f t="shared" si="563"/>
        <v>0</v>
      </c>
      <c r="AY266" s="963">
        <f t="shared" si="563"/>
        <v>0</v>
      </c>
      <c r="AZ266" s="963">
        <f t="shared" si="563"/>
        <v>0</v>
      </c>
      <c r="BA266" s="963">
        <f t="shared" si="563"/>
        <v>0</v>
      </c>
      <c r="BB266" s="963">
        <f t="shared" si="563"/>
        <v>0</v>
      </c>
      <c r="BC266" s="963">
        <f t="shared" si="563"/>
        <v>0</v>
      </c>
      <c r="BD266" s="963">
        <f t="shared" si="563"/>
        <v>0</v>
      </c>
      <c r="BE266" s="963">
        <f t="shared" si="563"/>
        <v>0</v>
      </c>
      <c r="BF266" s="963">
        <f t="shared" si="563"/>
        <v>0</v>
      </c>
    </row>
    <row r="267" spans="29:58" x14ac:dyDescent="0.25">
      <c r="AV267" s="954"/>
      <c r="AW267" s="963">
        <f t="shared" ref="AW267:BF267" si="564">IF(MONTH(AD267)=AW265,AH267,0)</f>
        <v>0</v>
      </c>
      <c r="AX267" s="963">
        <f t="shared" si="564"/>
        <v>0</v>
      </c>
      <c r="AY267" s="963">
        <f t="shared" si="564"/>
        <v>0</v>
      </c>
      <c r="AZ267" s="963">
        <f t="shared" si="564"/>
        <v>0</v>
      </c>
      <c r="BA267" s="963">
        <f t="shared" si="564"/>
        <v>0</v>
      </c>
      <c r="BB267" s="963">
        <f t="shared" si="564"/>
        <v>0</v>
      </c>
      <c r="BC267" s="963">
        <f t="shared" si="564"/>
        <v>0</v>
      </c>
      <c r="BD267" s="963">
        <f t="shared" si="564"/>
        <v>0</v>
      </c>
      <c r="BE267" s="963">
        <f t="shared" si="564"/>
        <v>0</v>
      </c>
      <c r="BF267" s="963" t="e">
        <f t="shared" si="564"/>
        <v>#VALUE!</v>
      </c>
    </row>
    <row r="268" spans="29:58" x14ac:dyDescent="0.25">
      <c r="AV268" s="954"/>
      <c r="AW268" s="963">
        <f t="shared" ref="AW268:BF268" si="565">IF(MONTH(AD268)=AW266,AH268,0)</f>
        <v>0</v>
      </c>
      <c r="AX268" s="963">
        <f t="shared" si="565"/>
        <v>0</v>
      </c>
      <c r="AY268" s="963">
        <f t="shared" si="565"/>
        <v>0</v>
      </c>
      <c r="AZ268" s="963">
        <f t="shared" si="565"/>
        <v>0</v>
      </c>
      <c r="BA268" s="963">
        <f t="shared" si="565"/>
        <v>0</v>
      </c>
      <c r="BB268" s="963">
        <f t="shared" si="565"/>
        <v>0</v>
      </c>
      <c r="BC268" s="963">
        <f t="shared" si="565"/>
        <v>0</v>
      </c>
      <c r="BD268" s="963">
        <f t="shared" si="565"/>
        <v>0</v>
      </c>
      <c r="BE268" s="963">
        <f t="shared" si="565"/>
        <v>0</v>
      </c>
      <c r="BF268" s="963">
        <f t="shared" si="565"/>
        <v>0</v>
      </c>
    </row>
    <row r="269" spans="29:58" x14ac:dyDescent="0.25">
      <c r="AV269" s="954"/>
      <c r="AW269" s="963">
        <f t="shared" ref="AW269:BF269" si="566">IF(MONTH(AD269)=AW267,AH269,0)</f>
        <v>0</v>
      </c>
      <c r="AX269" s="963">
        <f t="shared" si="566"/>
        <v>0</v>
      </c>
      <c r="AY269" s="963">
        <f t="shared" si="566"/>
        <v>0</v>
      </c>
      <c r="AZ269" s="963">
        <f t="shared" si="566"/>
        <v>0</v>
      </c>
      <c r="BA269" s="963">
        <f t="shared" si="566"/>
        <v>0</v>
      </c>
      <c r="BB269" s="963">
        <f t="shared" si="566"/>
        <v>0</v>
      </c>
      <c r="BC269" s="963">
        <f t="shared" si="566"/>
        <v>0</v>
      </c>
      <c r="BD269" s="963">
        <f t="shared" si="566"/>
        <v>0</v>
      </c>
      <c r="BE269" s="963">
        <f t="shared" si="566"/>
        <v>0</v>
      </c>
      <c r="BF269" s="963" t="e">
        <f t="shared" si="566"/>
        <v>#VALUE!</v>
      </c>
    </row>
    <row r="270" spans="29:58" x14ac:dyDescent="0.25">
      <c r="AC270" s="934">
        <f>'T2'!AC114</f>
        <v>42766</v>
      </c>
      <c r="AD270" s="968">
        <f>'T2'!AD114</f>
        <v>0</v>
      </c>
      <c r="AE270" s="962">
        <f>'T2'!N114</f>
        <v>0</v>
      </c>
      <c r="AF270" s="968">
        <f>'T2'!AF114</f>
        <v>0</v>
      </c>
      <c r="AG270" s="962">
        <f>'T2'!O114</f>
        <v>0</v>
      </c>
      <c r="AI270" s="962">
        <f>AE270+AI264</f>
        <v>0</v>
      </c>
      <c r="AJ270" s="962">
        <f>AG270+AJ264</f>
        <v>0</v>
      </c>
      <c r="AV270" s="954"/>
      <c r="AW270" s="963">
        <f t="shared" ref="AW270:BF270" si="567">IF(MONTH(AD270)=AW268,AH270,0)</f>
        <v>0</v>
      </c>
      <c r="AX270" s="963">
        <f t="shared" si="567"/>
        <v>0</v>
      </c>
      <c r="AY270" s="963">
        <f t="shared" si="567"/>
        <v>0</v>
      </c>
      <c r="AZ270" s="963">
        <f t="shared" si="567"/>
        <v>0</v>
      </c>
      <c r="BA270" s="963">
        <f t="shared" si="567"/>
        <v>0</v>
      </c>
      <c r="BB270" s="963">
        <f t="shared" si="567"/>
        <v>0</v>
      </c>
      <c r="BC270" s="963">
        <f t="shared" si="567"/>
        <v>0</v>
      </c>
      <c r="BD270" s="963">
        <f t="shared" si="567"/>
        <v>0</v>
      </c>
      <c r="BE270" s="963">
        <f t="shared" si="567"/>
        <v>0</v>
      </c>
      <c r="BF270" s="963">
        <f t="shared" si="567"/>
        <v>0</v>
      </c>
    </row>
    <row r="271" spans="29:58" x14ac:dyDescent="0.25">
      <c r="AC271" s="934">
        <f>'T2'!AC115</f>
        <v>42767</v>
      </c>
      <c r="AD271" s="968">
        <f>'T2'!AD115</f>
        <v>0</v>
      </c>
      <c r="AE271" s="962">
        <f>'T2'!N115</f>
        <v>0</v>
      </c>
      <c r="AF271" s="968">
        <f>'T2'!AF115</f>
        <v>0</v>
      </c>
      <c r="AG271" s="962">
        <f>'T2'!O115</f>
        <v>0</v>
      </c>
      <c r="AI271" s="962">
        <f t="shared" ref="AI271:AI276" si="568">AE271+AI270</f>
        <v>0</v>
      </c>
      <c r="AJ271" s="962">
        <f t="shared" ref="AJ271:AJ276" si="569">AG271+AJ270</f>
        <v>0</v>
      </c>
      <c r="AV271" s="954"/>
      <c r="AW271" s="963">
        <f t="shared" ref="AW271:BF271" si="570">IF(MONTH(AD271)=AW269,AH271,0)</f>
        <v>0</v>
      </c>
      <c r="AX271" s="963">
        <f t="shared" si="570"/>
        <v>0</v>
      </c>
      <c r="AY271" s="963">
        <f t="shared" si="570"/>
        <v>0</v>
      </c>
      <c r="AZ271" s="963">
        <f t="shared" si="570"/>
        <v>0</v>
      </c>
      <c r="BA271" s="963">
        <f t="shared" si="570"/>
        <v>0</v>
      </c>
      <c r="BB271" s="963">
        <f t="shared" si="570"/>
        <v>0</v>
      </c>
      <c r="BC271" s="963">
        <f t="shared" si="570"/>
        <v>0</v>
      </c>
      <c r="BD271" s="963">
        <f t="shared" si="570"/>
        <v>0</v>
      </c>
      <c r="BE271" s="963">
        <f t="shared" si="570"/>
        <v>0</v>
      </c>
      <c r="BF271" s="963" t="e">
        <f t="shared" si="570"/>
        <v>#VALUE!</v>
      </c>
    </row>
    <row r="272" spans="29:58" x14ac:dyDescent="0.25">
      <c r="AC272" s="934">
        <f>'T2'!AC116</f>
        <v>42768</v>
      </c>
      <c r="AD272" s="968">
        <f>'T2'!AD116</f>
        <v>0</v>
      </c>
      <c r="AE272" s="962">
        <f>'T2'!N116</f>
        <v>0</v>
      </c>
      <c r="AF272" s="968">
        <f>'T2'!AF116</f>
        <v>0</v>
      </c>
      <c r="AG272" s="962">
        <f>'T2'!O116</f>
        <v>0</v>
      </c>
      <c r="AI272" s="962">
        <f t="shared" si="568"/>
        <v>0</v>
      </c>
      <c r="AJ272" s="962">
        <f t="shared" si="569"/>
        <v>0</v>
      </c>
      <c r="AV272" s="954"/>
      <c r="AW272" s="963">
        <f t="shared" ref="AW272:BF272" si="571">IF(MONTH(AD272)=AW270,AH272,0)</f>
        <v>0</v>
      </c>
      <c r="AX272" s="963">
        <f t="shared" si="571"/>
        <v>0</v>
      </c>
      <c r="AY272" s="963">
        <f t="shared" si="571"/>
        <v>0</v>
      </c>
      <c r="AZ272" s="963">
        <f t="shared" si="571"/>
        <v>0</v>
      </c>
      <c r="BA272" s="963">
        <f t="shared" si="571"/>
        <v>0</v>
      </c>
      <c r="BB272" s="963">
        <f t="shared" si="571"/>
        <v>0</v>
      </c>
      <c r="BC272" s="963">
        <f t="shared" si="571"/>
        <v>0</v>
      </c>
      <c r="BD272" s="963">
        <f t="shared" si="571"/>
        <v>0</v>
      </c>
      <c r="BE272" s="963">
        <f t="shared" si="571"/>
        <v>0</v>
      </c>
      <c r="BF272" s="963">
        <f t="shared" si="571"/>
        <v>0</v>
      </c>
    </row>
    <row r="273" spans="29:58" x14ac:dyDescent="0.25">
      <c r="AC273" s="934">
        <f>'T2'!AC117</f>
        <v>42769</v>
      </c>
      <c r="AD273" s="968">
        <f>'T2'!AD117</f>
        <v>0</v>
      </c>
      <c r="AE273" s="962">
        <f>'T2'!N117</f>
        <v>0</v>
      </c>
      <c r="AF273" s="968">
        <f>'T2'!AF117</f>
        <v>0</v>
      </c>
      <c r="AG273" s="962">
        <f>'T2'!O117</f>
        <v>0</v>
      </c>
      <c r="AI273" s="962">
        <f t="shared" si="568"/>
        <v>0</v>
      </c>
      <c r="AJ273" s="962">
        <f t="shared" si="569"/>
        <v>0</v>
      </c>
      <c r="AV273" s="954"/>
      <c r="AW273" s="963">
        <f t="shared" ref="AW273:BF273" si="572">IF(MONTH(AD273)=AW271,AH273,0)</f>
        <v>0</v>
      </c>
      <c r="AX273" s="963">
        <f t="shared" si="572"/>
        <v>0</v>
      </c>
      <c r="AY273" s="963">
        <f t="shared" si="572"/>
        <v>0</v>
      </c>
      <c r="AZ273" s="963">
        <f t="shared" si="572"/>
        <v>0</v>
      </c>
      <c r="BA273" s="963">
        <f t="shared" si="572"/>
        <v>0</v>
      </c>
      <c r="BB273" s="963">
        <f t="shared" si="572"/>
        <v>0</v>
      </c>
      <c r="BC273" s="963">
        <f t="shared" si="572"/>
        <v>0</v>
      </c>
      <c r="BD273" s="963">
        <f t="shared" si="572"/>
        <v>0</v>
      </c>
      <c r="BE273" s="963">
        <f t="shared" si="572"/>
        <v>0</v>
      </c>
      <c r="BF273" s="963" t="e">
        <f t="shared" si="572"/>
        <v>#VALUE!</v>
      </c>
    </row>
    <row r="274" spans="29:58" x14ac:dyDescent="0.25">
      <c r="AC274" s="934">
        <f>'T2'!AC118</f>
        <v>42770</v>
      </c>
      <c r="AD274" s="968">
        <f>'T2'!AD118</f>
        <v>0</v>
      </c>
      <c r="AE274" s="962">
        <f>'T2'!N118</f>
        <v>0</v>
      </c>
      <c r="AF274" s="968">
        <f>'T2'!AF118</f>
        <v>0</v>
      </c>
      <c r="AG274" s="962">
        <f>'T2'!O118</f>
        <v>0</v>
      </c>
      <c r="AI274" s="962">
        <f t="shared" si="568"/>
        <v>0</v>
      </c>
      <c r="AJ274" s="962">
        <f t="shared" si="569"/>
        <v>0</v>
      </c>
      <c r="AV274" s="954"/>
      <c r="AW274" s="963">
        <f t="shared" ref="AW274:BF274" si="573">IF(MONTH(AD274)=AW272,AH274,0)</f>
        <v>0</v>
      </c>
      <c r="AX274" s="963">
        <f t="shared" si="573"/>
        <v>0</v>
      </c>
      <c r="AY274" s="963">
        <f t="shared" si="573"/>
        <v>0</v>
      </c>
      <c r="AZ274" s="963">
        <f t="shared" si="573"/>
        <v>0</v>
      </c>
      <c r="BA274" s="963">
        <f t="shared" si="573"/>
        <v>0</v>
      </c>
      <c r="BB274" s="963">
        <f t="shared" si="573"/>
        <v>0</v>
      </c>
      <c r="BC274" s="963">
        <f t="shared" si="573"/>
        <v>0</v>
      </c>
      <c r="BD274" s="963">
        <f t="shared" si="573"/>
        <v>0</v>
      </c>
      <c r="BE274" s="963">
        <f t="shared" si="573"/>
        <v>0</v>
      </c>
      <c r="BF274" s="963">
        <f t="shared" si="573"/>
        <v>0</v>
      </c>
    </row>
    <row r="275" spans="29:58" x14ac:dyDescent="0.25">
      <c r="AC275" s="934">
        <f>'T2'!AC119</f>
        <v>42771</v>
      </c>
      <c r="AD275" s="968">
        <f>'T2'!AD119</f>
        <v>0</v>
      </c>
      <c r="AE275" s="962">
        <f>'T2'!N119</f>
        <v>0</v>
      </c>
      <c r="AF275" s="968">
        <f>'T2'!AF119</f>
        <v>0</v>
      </c>
      <c r="AG275" s="962">
        <f>'T2'!O119</f>
        <v>0</v>
      </c>
      <c r="AI275" s="962">
        <f t="shared" si="568"/>
        <v>0</v>
      </c>
      <c r="AJ275" s="962">
        <f t="shared" si="569"/>
        <v>0</v>
      </c>
      <c r="AV275" s="954"/>
      <c r="AW275" s="963">
        <f t="shared" ref="AW275:BF275" si="574">IF(MONTH(AD275)=AW273,AH275,0)</f>
        <v>0</v>
      </c>
      <c r="AX275" s="963">
        <f t="shared" si="574"/>
        <v>0</v>
      </c>
      <c r="AY275" s="963">
        <f t="shared" si="574"/>
        <v>0</v>
      </c>
      <c r="AZ275" s="963">
        <f t="shared" si="574"/>
        <v>0</v>
      </c>
      <c r="BA275" s="963">
        <f t="shared" si="574"/>
        <v>0</v>
      </c>
      <c r="BB275" s="963">
        <f t="shared" si="574"/>
        <v>0</v>
      </c>
      <c r="BC275" s="963">
        <f t="shared" si="574"/>
        <v>0</v>
      </c>
      <c r="BD275" s="963">
        <f t="shared" si="574"/>
        <v>0</v>
      </c>
      <c r="BE275" s="963">
        <f t="shared" si="574"/>
        <v>0</v>
      </c>
      <c r="BF275" s="963" t="e">
        <f t="shared" si="574"/>
        <v>#VALUE!</v>
      </c>
    </row>
    <row r="276" spans="29:58" x14ac:dyDescent="0.25">
      <c r="AC276" s="934">
        <f>'T2'!AC120</f>
        <v>42772</v>
      </c>
      <c r="AD276" s="968">
        <f>'T2'!AD120</f>
        <v>0</v>
      </c>
      <c r="AE276" s="962">
        <f>'T2'!N120</f>
        <v>0</v>
      </c>
      <c r="AF276" s="968">
        <f>'T2'!AF120</f>
        <v>0</v>
      </c>
      <c r="AG276" s="962">
        <f>'T2'!O120</f>
        <v>0</v>
      </c>
      <c r="AI276" s="962">
        <f t="shared" si="568"/>
        <v>0</v>
      </c>
      <c r="AJ276" s="962">
        <f t="shared" si="569"/>
        <v>0</v>
      </c>
      <c r="AV276" s="954"/>
      <c r="AW276" s="963">
        <f t="shared" ref="AW276:BF276" si="575">IF(MONTH(AD276)=AW274,AH276,0)</f>
        <v>0</v>
      </c>
      <c r="AX276" s="963">
        <f t="shared" si="575"/>
        <v>0</v>
      </c>
      <c r="AY276" s="963">
        <f t="shared" si="575"/>
        <v>0</v>
      </c>
      <c r="AZ276" s="963">
        <f t="shared" si="575"/>
        <v>0</v>
      </c>
      <c r="BA276" s="963">
        <f t="shared" si="575"/>
        <v>0</v>
      </c>
      <c r="BB276" s="963">
        <f t="shared" si="575"/>
        <v>0</v>
      </c>
      <c r="BC276" s="963">
        <f t="shared" si="575"/>
        <v>0</v>
      </c>
      <c r="BD276" s="963">
        <f t="shared" si="575"/>
        <v>0</v>
      </c>
      <c r="BE276" s="963">
        <f t="shared" si="575"/>
        <v>0</v>
      </c>
      <c r="BF276" s="963">
        <f t="shared" si="575"/>
        <v>0</v>
      </c>
    </row>
    <row r="277" spans="29:58" x14ac:dyDescent="0.25">
      <c r="AV277" s="954"/>
      <c r="AW277" s="963">
        <f t="shared" ref="AW277:BF277" si="576">IF(MONTH(AD277)=AW275,AH277,0)</f>
        <v>0</v>
      </c>
      <c r="AX277" s="963">
        <f t="shared" si="576"/>
        <v>0</v>
      </c>
      <c r="AY277" s="963">
        <f t="shared" si="576"/>
        <v>0</v>
      </c>
      <c r="AZ277" s="963">
        <f t="shared" si="576"/>
        <v>0</v>
      </c>
      <c r="BA277" s="963">
        <f t="shared" si="576"/>
        <v>0</v>
      </c>
      <c r="BB277" s="963">
        <f t="shared" si="576"/>
        <v>0</v>
      </c>
      <c r="BC277" s="963">
        <f t="shared" si="576"/>
        <v>0</v>
      </c>
      <c r="BD277" s="963">
        <f t="shared" si="576"/>
        <v>0</v>
      </c>
      <c r="BE277" s="963">
        <f t="shared" si="576"/>
        <v>0</v>
      </c>
      <c r="BF277" s="963" t="e">
        <f t="shared" si="576"/>
        <v>#VALUE!</v>
      </c>
    </row>
    <row r="278" spans="29:58" x14ac:dyDescent="0.25">
      <c r="AV278" s="954"/>
      <c r="AW278" s="963">
        <f t="shared" ref="AW278:BF278" si="577">IF(MONTH(AD278)=AW276,AH278,0)</f>
        <v>0</v>
      </c>
      <c r="AX278" s="963">
        <f t="shared" si="577"/>
        <v>0</v>
      </c>
      <c r="AY278" s="963">
        <f t="shared" si="577"/>
        <v>0</v>
      </c>
      <c r="AZ278" s="963">
        <f t="shared" si="577"/>
        <v>0</v>
      </c>
      <c r="BA278" s="963">
        <f t="shared" si="577"/>
        <v>0</v>
      </c>
      <c r="BB278" s="963">
        <f t="shared" si="577"/>
        <v>0</v>
      </c>
      <c r="BC278" s="963">
        <f t="shared" si="577"/>
        <v>0</v>
      </c>
      <c r="BD278" s="963">
        <f t="shared" si="577"/>
        <v>0</v>
      </c>
      <c r="BE278" s="963">
        <f t="shared" si="577"/>
        <v>0</v>
      </c>
      <c r="BF278" s="963">
        <f t="shared" si="577"/>
        <v>0</v>
      </c>
    </row>
    <row r="279" spans="29:58" x14ac:dyDescent="0.25">
      <c r="AV279" s="954"/>
      <c r="AW279" s="963">
        <f t="shared" ref="AW279:BF279" si="578">IF(MONTH(AD279)=AW277,AH279,0)</f>
        <v>0</v>
      </c>
      <c r="AX279" s="963">
        <f t="shared" si="578"/>
        <v>0</v>
      </c>
      <c r="AY279" s="963">
        <f t="shared" si="578"/>
        <v>0</v>
      </c>
      <c r="AZ279" s="963">
        <f t="shared" si="578"/>
        <v>0</v>
      </c>
      <c r="BA279" s="963">
        <f t="shared" si="578"/>
        <v>0</v>
      </c>
      <c r="BB279" s="963">
        <f t="shared" si="578"/>
        <v>0</v>
      </c>
      <c r="BC279" s="963">
        <f t="shared" si="578"/>
        <v>0</v>
      </c>
      <c r="BD279" s="963">
        <f t="shared" si="578"/>
        <v>0</v>
      </c>
      <c r="BE279" s="963">
        <f t="shared" si="578"/>
        <v>0</v>
      </c>
      <c r="BF279" s="963" t="e">
        <f t="shared" si="578"/>
        <v>#VALUE!</v>
      </c>
    </row>
    <row r="280" spans="29:58" x14ac:dyDescent="0.25">
      <c r="AV280" s="954"/>
      <c r="AW280" s="963">
        <f t="shared" ref="AW280:BF280" si="579">IF(MONTH(AD280)=AW278,AH280,0)</f>
        <v>0</v>
      </c>
      <c r="AX280" s="963">
        <f t="shared" si="579"/>
        <v>0</v>
      </c>
      <c r="AY280" s="963">
        <f t="shared" si="579"/>
        <v>0</v>
      </c>
      <c r="AZ280" s="963">
        <f t="shared" si="579"/>
        <v>0</v>
      </c>
      <c r="BA280" s="963">
        <f t="shared" si="579"/>
        <v>0</v>
      </c>
      <c r="BB280" s="963">
        <f t="shared" si="579"/>
        <v>0</v>
      </c>
      <c r="BC280" s="963">
        <f t="shared" si="579"/>
        <v>0</v>
      </c>
      <c r="BD280" s="963">
        <f t="shared" si="579"/>
        <v>0</v>
      </c>
      <c r="BE280" s="963">
        <f t="shared" si="579"/>
        <v>0</v>
      </c>
      <c r="BF280" s="963">
        <f t="shared" si="579"/>
        <v>0</v>
      </c>
    </row>
    <row r="281" spans="29:58" x14ac:dyDescent="0.25">
      <c r="AV281" s="954"/>
      <c r="AW281" s="963">
        <f t="shared" ref="AW281:BF281" si="580">IF(MONTH(AD281)=AW279,AH281,0)</f>
        <v>0</v>
      </c>
      <c r="AX281" s="963">
        <f t="shared" si="580"/>
        <v>0</v>
      </c>
      <c r="AY281" s="963">
        <f t="shared" si="580"/>
        <v>0</v>
      </c>
      <c r="AZ281" s="963">
        <f t="shared" si="580"/>
        <v>0</v>
      </c>
      <c r="BA281" s="963">
        <f t="shared" si="580"/>
        <v>0</v>
      </c>
      <c r="BB281" s="963">
        <f t="shared" si="580"/>
        <v>0</v>
      </c>
      <c r="BC281" s="963">
        <f t="shared" si="580"/>
        <v>0</v>
      </c>
      <c r="BD281" s="963">
        <f t="shared" si="580"/>
        <v>0</v>
      </c>
      <c r="BE281" s="963">
        <f t="shared" si="580"/>
        <v>0</v>
      </c>
      <c r="BF281" s="963" t="e">
        <f t="shared" si="580"/>
        <v>#VALUE!</v>
      </c>
    </row>
    <row r="282" spans="29:58" x14ac:dyDescent="0.25">
      <c r="AC282" s="934">
        <f>'T2'!AC126</f>
        <v>42773</v>
      </c>
      <c r="AD282" s="968">
        <f>'T2'!AD126</f>
        <v>0</v>
      </c>
      <c r="AE282" s="962">
        <f>'T2'!N126</f>
        <v>0</v>
      </c>
      <c r="AF282" s="968">
        <f>'T2'!AF126</f>
        <v>0</v>
      </c>
      <c r="AG282" s="962">
        <f>'T2'!O126</f>
        <v>0</v>
      </c>
      <c r="AI282" s="962">
        <f>AE282+AI276</f>
        <v>0</v>
      </c>
      <c r="AJ282" s="962">
        <f>AG282+AJ276</f>
        <v>0</v>
      </c>
      <c r="AV282" s="954"/>
      <c r="AW282" s="963">
        <f t="shared" ref="AW282:BF282" si="581">IF(MONTH(AD282)=AW280,AH282,0)</f>
        <v>0</v>
      </c>
      <c r="AX282" s="963">
        <f t="shared" si="581"/>
        <v>0</v>
      </c>
      <c r="AY282" s="963">
        <f t="shared" si="581"/>
        <v>0</v>
      </c>
      <c r="AZ282" s="963">
        <f t="shared" si="581"/>
        <v>0</v>
      </c>
      <c r="BA282" s="963">
        <f t="shared" si="581"/>
        <v>0</v>
      </c>
      <c r="BB282" s="963">
        <f t="shared" si="581"/>
        <v>0</v>
      </c>
      <c r="BC282" s="963">
        <f t="shared" si="581"/>
        <v>0</v>
      </c>
      <c r="BD282" s="963">
        <f t="shared" si="581"/>
        <v>0</v>
      </c>
      <c r="BE282" s="963">
        <f t="shared" si="581"/>
        <v>0</v>
      </c>
      <c r="BF282" s="963">
        <f t="shared" si="581"/>
        <v>0</v>
      </c>
    </row>
    <row r="283" spans="29:58" x14ac:dyDescent="0.25">
      <c r="AC283" s="934">
        <f>'T2'!AC127</f>
        <v>42774</v>
      </c>
      <c r="AD283" s="968">
        <f>'T2'!AD127</f>
        <v>0</v>
      </c>
      <c r="AE283" s="962">
        <f>'T2'!N127</f>
        <v>0</v>
      </c>
      <c r="AF283" s="968">
        <f>'T2'!AF127</f>
        <v>0</v>
      </c>
      <c r="AG283" s="962">
        <f>'T2'!O127</f>
        <v>0</v>
      </c>
      <c r="AI283" s="962">
        <f t="shared" ref="AI283:AI288" si="582">AE283+AI282</f>
        <v>0</v>
      </c>
      <c r="AJ283" s="962">
        <f t="shared" ref="AJ283:AJ288" si="583">AG283+AJ282</f>
        <v>0</v>
      </c>
      <c r="AV283" s="954"/>
      <c r="AW283" s="963">
        <f t="shared" ref="AW283:BF283" si="584">IF(MONTH(AD283)=AW281,AH283,0)</f>
        <v>0</v>
      </c>
      <c r="AX283" s="963">
        <f t="shared" si="584"/>
        <v>0</v>
      </c>
      <c r="AY283" s="963">
        <f t="shared" si="584"/>
        <v>0</v>
      </c>
      <c r="AZ283" s="963">
        <f t="shared" si="584"/>
        <v>0</v>
      </c>
      <c r="BA283" s="963">
        <f t="shared" si="584"/>
        <v>0</v>
      </c>
      <c r="BB283" s="963">
        <f t="shared" si="584"/>
        <v>0</v>
      </c>
      <c r="BC283" s="963">
        <f t="shared" si="584"/>
        <v>0</v>
      </c>
      <c r="BD283" s="963">
        <f t="shared" si="584"/>
        <v>0</v>
      </c>
      <c r="BE283" s="963">
        <f t="shared" si="584"/>
        <v>0</v>
      </c>
      <c r="BF283" s="963" t="e">
        <f t="shared" si="584"/>
        <v>#VALUE!</v>
      </c>
    </row>
    <row r="284" spans="29:58" x14ac:dyDescent="0.25">
      <c r="AC284" s="934">
        <f>'T2'!AC128</f>
        <v>42775</v>
      </c>
      <c r="AD284" s="968">
        <f>'T2'!AD128</f>
        <v>0</v>
      </c>
      <c r="AE284" s="962">
        <f>'T2'!N128</f>
        <v>0</v>
      </c>
      <c r="AF284" s="968">
        <f>'T2'!AF128</f>
        <v>0</v>
      </c>
      <c r="AG284" s="962">
        <f>'T2'!O128</f>
        <v>0</v>
      </c>
      <c r="AI284" s="962">
        <f t="shared" si="582"/>
        <v>0</v>
      </c>
      <c r="AJ284" s="962">
        <f t="shared" si="583"/>
        <v>0</v>
      </c>
      <c r="AV284" s="954"/>
      <c r="AW284" s="963">
        <f t="shared" ref="AW284:BF284" si="585">IF(MONTH(AD284)=AW282,AH284,0)</f>
        <v>0</v>
      </c>
      <c r="AX284" s="963">
        <f t="shared" si="585"/>
        <v>0</v>
      </c>
      <c r="AY284" s="963">
        <f t="shared" si="585"/>
        <v>0</v>
      </c>
      <c r="AZ284" s="963">
        <f t="shared" si="585"/>
        <v>0</v>
      </c>
      <c r="BA284" s="963">
        <f t="shared" si="585"/>
        <v>0</v>
      </c>
      <c r="BB284" s="963">
        <f t="shared" si="585"/>
        <v>0</v>
      </c>
      <c r="BC284" s="963">
        <f t="shared" si="585"/>
        <v>0</v>
      </c>
      <c r="BD284" s="963">
        <f t="shared" si="585"/>
        <v>0</v>
      </c>
      <c r="BE284" s="963">
        <f t="shared" si="585"/>
        <v>0</v>
      </c>
      <c r="BF284" s="963">
        <f t="shared" si="585"/>
        <v>0</v>
      </c>
    </row>
    <row r="285" spans="29:58" x14ac:dyDescent="0.25">
      <c r="AC285" s="934">
        <f>'T2'!AC129</f>
        <v>42776</v>
      </c>
      <c r="AD285" s="968">
        <f>'T2'!AD129</f>
        <v>0</v>
      </c>
      <c r="AE285" s="962">
        <f>'T2'!N129</f>
        <v>0</v>
      </c>
      <c r="AF285" s="968">
        <f>'T2'!AF129</f>
        <v>0</v>
      </c>
      <c r="AG285" s="962">
        <f>'T2'!O129</f>
        <v>0</v>
      </c>
      <c r="AI285" s="962">
        <f t="shared" si="582"/>
        <v>0</v>
      </c>
      <c r="AJ285" s="962">
        <f t="shared" si="583"/>
        <v>0</v>
      </c>
      <c r="AV285" s="954"/>
      <c r="AW285" s="963">
        <f t="shared" ref="AW285:BF285" si="586">IF(MONTH(AD285)=AW283,AH285,0)</f>
        <v>0</v>
      </c>
      <c r="AX285" s="963">
        <f t="shared" si="586"/>
        <v>0</v>
      </c>
      <c r="AY285" s="963">
        <f t="shared" si="586"/>
        <v>0</v>
      </c>
      <c r="AZ285" s="963">
        <f t="shared" si="586"/>
        <v>0</v>
      </c>
      <c r="BA285" s="963">
        <f t="shared" si="586"/>
        <v>0</v>
      </c>
      <c r="BB285" s="963">
        <f t="shared" si="586"/>
        <v>0</v>
      </c>
      <c r="BC285" s="963">
        <f t="shared" si="586"/>
        <v>0</v>
      </c>
      <c r="BD285" s="963">
        <f t="shared" si="586"/>
        <v>0</v>
      </c>
      <c r="BE285" s="963">
        <f t="shared" si="586"/>
        <v>0</v>
      </c>
      <c r="BF285" s="963" t="e">
        <f t="shared" si="586"/>
        <v>#VALUE!</v>
      </c>
    </row>
    <row r="286" spans="29:58" x14ac:dyDescent="0.25">
      <c r="AC286" s="934">
        <f>'T2'!AC130</f>
        <v>42777</v>
      </c>
      <c r="AD286" s="968">
        <f>'T2'!AD130</f>
        <v>0</v>
      </c>
      <c r="AE286" s="962">
        <f>'T2'!N130</f>
        <v>0</v>
      </c>
      <c r="AF286" s="968">
        <f>'T2'!AF130</f>
        <v>0</v>
      </c>
      <c r="AG286" s="962">
        <f>'T2'!O130</f>
        <v>0</v>
      </c>
      <c r="AI286" s="962">
        <f t="shared" si="582"/>
        <v>0</v>
      </c>
      <c r="AJ286" s="962">
        <f t="shared" si="583"/>
        <v>0</v>
      </c>
      <c r="AV286" s="954"/>
      <c r="AW286" s="963">
        <f t="shared" ref="AW286:BF286" si="587">IF(MONTH(AD286)=AW284,AH286,0)</f>
        <v>0</v>
      </c>
      <c r="AX286" s="963">
        <f t="shared" si="587"/>
        <v>0</v>
      </c>
      <c r="AY286" s="963">
        <f t="shared" si="587"/>
        <v>0</v>
      </c>
      <c r="AZ286" s="963">
        <f t="shared" si="587"/>
        <v>0</v>
      </c>
      <c r="BA286" s="963">
        <f t="shared" si="587"/>
        <v>0</v>
      </c>
      <c r="BB286" s="963">
        <f t="shared" si="587"/>
        <v>0</v>
      </c>
      <c r="BC286" s="963">
        <f t="shared" si="587"/>
        <v>0</v>
      </c>
      <c r="BD286" s="963">
        <f t="shared" si="587"/>
        <v>0</v>
      </c>
      <c r="BE286" s="963">
        <f t="shared" si="587"/>
        <v>0</v>
      </c>
      <c r="BF286" s="963">
        <f t="shared" si="587"/>
        <v>0</v>
      </c>
    </row>
    <row r="287" spans="29:58" x14ac:dyDescent="0.25">
      <c r="AC287" s="934">
        <f>'T2'!AC131</f>
        <v>42778</v>
      </c>
      <c r="AD287" s="968">
        <f>'T2'!AD131</f>
        <v>0</v>
      </c>
      <c r="AE287" s="962">
        <f>'T2'!N131</f>
        <v>0</v>
      </c>
      <c r="AF287" s="968">
        <f>'T2'!AF131</f>
        <v>0</v>
      </c>
      <c r="AG287" s="962">
        <f>'T2'!O131</f>
        <v>0</v>
      </c>
      <c r="AI287" s="962">
        <f t="shared" si="582"/>
        <v>0</v>
      </c>
      <c r="AJ287" s="962">
        <f t="shared" si="583"/>
        <v>0</v>
      </c>
      <c r="AV287" s="954"/>
      <c r="AW287" s="963">
        <f t="shared" ref="AW287:BF287" si="588">IF(MONTH(AD287)=AW285,AH287,0)</f>
        <v>0</v>
      </c>
      <c r="AX287" s="963">
        <f t="shared" si="588"/>
        <v>0</v>
      </c>
      <c r="AY287" s="963">
        <f t="shared" si="588"/>
        <v>0</v>
      </c>
      <c r="AZ287" s="963">
        <f t="shared" si="588"/>
        <v>0</v>
      </c>
      <c r="BA287" s="963">
        <f t="shared" si="588"/>
        <v>0</v>
      </c>
      <c r="BB287" s="963">
        <f t="shared" si="588"/>
        <v>0</v>
      </c>
      <c r="BC287" s="963">
        <f t="shared" si="588"/>
        <v>0</v>
      </c>
      <c r="BD287" s="963">
        <f t="shared" si="588"/>
        <v>0</v>
      </c>
      <c r="BE287" s="963">
        <f t="shared" si="588"/>
        <v>0</v>
      </c>
      <c r="BF287" s="963" t="e">
        <f t="shared" si="588"/>
        <v>#VALUE!</v>
      </c>
    </row>
    <row r="288" spans="29:58" x14ac:dyDescent="0.25">
      <c r="AC288" s="934">
        <f>'T2'!AC132</f>
        <v>42779</v>
      </c>
      <c r="AD288" s="968">
        <f>'T2'!AD132</f>
        <v>0</v>
      </c>
      <c r="AE288" s="962">
        <f>'T2'!N132</f>
        <v>0</v>
      </c>
      <c r="AF288" s="968">
        <f>'T2'!AF132</f>
        <v>0</v>
      </c>
      <c r="AG288" s="962">
        <f>'T2'!O132</f>
        <v>0</v>
      </c>
      <c r="AI288" s="962">
        <f t="shared" si="582"/>
        <v>0</v>
      </c>
      <c r="AJ288" s="962">
        <f t="shared" si="583"/>
        <v>0</v>
      </c>
      <c r="AV288" s="954"/>
      <c r="AW288" s="963">
        <f t="shared" ref="AW288:BF288" si="589">IF(MONTH(AD288)=AW286,AH288,0)</f>
        <v>0</v>
      </c>
      <c r="AX288" s="963">
        <f t="shared" si="589"/>
        <v>0</v>
      </c>
      <c r="AY288" s="963">
        <f t="shared" si="589"/>
        <v>0</v>
      </c>
      <c r="AZ288" s="963">
        <f t="shared" si="589"/>
        <v>0</v>
      </c>
      <c r="BA288" s="963">
        <f t="shared" si="589"/>
        <v>0</v>
      </c>
      <c r="BB288" s="963">
        <f t="shared" si="589"/>
        <v>0</v>
      </c>
      <c r="BC288" s="963">
        <f t="shared" si="589"/>
        <v>0</v>
      </c>
      <c r="BD288" s="963">
        <f t="shared" si="589"/>
        <v>0</v>
      </c>
      <c r="BE288" s="963">
        <f t="shared" si="589"/>
        <v>0</v>
      </c>
      <c r="BF288" s="963">
        <f t="shared" si="589"/>
        <v>0</v>
      </c>
    </row>
    <row r="289" spans="29:58" x14ac:dyDescent="0.25">
      <c r="AV289" s="954"/>
      <c r="AW289" s="963">
        <f t="shared" ref="AW289:BF289" si="590">IF(MONTH(AD289)=AW287,AH289,0)</f>
        <v>0</v>
      </c>
      <c r="AX289" s="963">
        <f t="shared" si="590"/>
        <v>0</v>
      </c>
      <c r="AY289" s="963">
        <f t="shared" si="590"/>
        <v>0</v>
      </c>
      <c r="AZ289" s="963">
        <f t="shared" si="590"/>
        <v>0</v>
      </c>
      <c r="BA289" s="963">
        <f t="shared" si="590"/>
        <v>0</v>
      </c>
      <c r="BB289" s="963">
        <f t="shared" si="590"/>
        <v>0</v>
      </c>
      <c r="BC289" s="963">
        <f t="shared" si="590"/>
        <v>0</v>
      </c>
      <c r="BD289" s="963">
        <f t="shared" si="590"/>
        <v>0</v>
      </c>
      <c r="BE289" s="963">
        <f t="shared" si="590"/>
        <v>0</v>
      </c>
      <c r="BF289" s="963" t="e">
        <f t="shared" si="590"/>
        <v>#VALUE!</v>
      </c>
    </row>
    <row r="290" spans="29:58" x14ac:dyDescent="0.25">
      <c r="AV290" s="954"/>
      <c r="AW290" s="963">
        <f t="shared" ref="AW290:BF290" si="591">IF(MONTH(AD290)=AW288,AH290,0)</f>
        <v>0</v>
      </c>
      <c r="AX290" s="963">
        <f t="shared" si="591"/>
        <v>0</v>
      </c>
      <c r="AY290" s="963">
        <f t="shared" si="591"/>
        <v>0</v>
      </c>
      <c r="AZ290" s="963">
        <f t="shared" si="591"/>
        <v>0</v>
      </c>
      <c r="BA290" s="963">
        <f t="shared" si="591"/>
        <v>0</v>
      </c>
      <c r="BB290" s="963">
        <f t="shared" si="591"/>
        <v>0</v>
      </c>
      <c r="BC290" s="963">
        <f t="shared" si="591"/>
        <v>0</v>
      </c>
      <c r="BD290" s="963">
        <f t="shared" si="591"/>
        <v>0</v>
      </c>
      <c r="BE290" s="963">
        <f t="shared" si="591"/>
        <v>0</v>
      </c>
      <c r="BF290" s="963">
        <f t="shared" si="591"/>
        <v>0</v>
      </c>
    </row>
    <row r="291" spans="29:58" x14ac:dyDescent="0.25">
      <c r="AV291" s="954"/>
      <c r="AW291" s="963">
        <f t="shared" ref="AW291:BF291" si="592">IF(MONTH(AD291)=AW289,AH291,0)</f>
        <v>0</v>
      </c>
      <c r="AX291" s="963">
        <f t="shared" si="592"/>
        <v>0</v>
      </c>
      <c r="AY291" s="963">
        <f t="shared" si="592"/>
        <v>0</v>
      </c>
      <c r="AZ291" s="963">
        <f t="shared" si="592"/>
        <v>0</v>
      </c>
      <c r="BA291" s="963">
        <f t="shared" si="592"/>
        <v>0</v>
      </c>
      <c r="BB291" s="963">
        <f t="shared" si="592"/>
        <v>0</v>
      </c>
      <c r="BC291" s="963">
        <f t="shared" si="592"/>
        <v>0</v>
      </c>
      <c r="BD291" s="963">
        <f t="shared" si="592"/>
        <v>0</v>
      </c>
      <c r="BE291" s="963">
        <f t="shared" si="592"/>
        <v>0</v>
      </c>
      <c r="BF291" s="963" t="e">
        <f t="shared" si="592"/>
        <v>#VALUE!</v>
      </c>
    </row>
    <row r="292" spans="29:58" x14ac:dyDescent="0.25">
      <c r="AV292" s="954"/>
      <c r="AW292" s="963">
        <f t="shared" ref="AW292:BF292" si="593">IF(MONTH(AD292)=AW290,AH292,0)</f>
        <v>0</v>
      </c>
      <c r="AX292" s="963">
        <f t="shared" si="593"/>
        <v>0</v>
      </c>
      <c r="AY292" s="963">
        <f t="shared" si="593"/>
        <v>0</v>
      </c>
      <c r="AZ292" s="963">
        <f t="shared" si="593"/>
        <v>0</v>
      </c>
      <c r="BA292" s="963">
        <f t="shared" si="593"/>
        <v>0</v>
      </c>
      <c r="BB292" s="963">
        <f t="shared" si="593"/>
        <v>0</v>
      </c>
      <c r="BC292" s="963">
        <f t="shared" si="593"/>
        <v>0</v>
      </c>
      <c r="BD292" s="963">
        <f t="shared" si="593"/>
        <v>0</v>
      </c>
      <c r="BE292" s="963">
        <f t="shared" si="593"/>
        <v>0</v>
      </c>
      <c r="BF292" s="963">
        <f t="shared" si="593"/>
        <v>0</v>
      </c>
    </row>
    <row r="293" spans="29:58" x14ac:dyDescent="0.25">
      <c r="AV293" s="954"/>
      <c r="AW293" s="963">
        <f t="shared" ref="AW293:BF293" si="594">IF(MONTH(AD293)=AW291,AH293,0)</f>
        <v>0</v>
      </c>
      <c r="AX293" s="963">
        <f t="shared" si="594"/>
        <v>0</v>
      </c>
      <c r="AY293" s="963">
        <f t="shared" si="594"/>
        <v>0</v>
      </c>
      <c r="AZ293" s="963">
        <f t="shared" si="594"/>
        <v>0</v>
      </c>
      <c r="BA293" s="963">
        <f t="shared" si="594"/>
        <v>0</v>
      </c>
      <c r="BB293" s="963">
        <f t="shared" si="594"/>
        <v>0</v>
      </c>
      <c r="BC293" s="963">
        <f t="shared" si="594"/>
        <v>0</v>
      </c>
      <c r="BD293" s="963">
        <f t="shared" si="594"/>
        <v>0</v>
      </c>
      <c r="BE293" s="963">
        <f t="shared" si="594"/>
        <v>0</v>
      </c>
      <c r="BF293" s="963" t="e">
        <f t="shared" si="594"/>
        <v>#VALUE!</v>
      </c>
    </row>
    <row r="294" spans="29:58" x14ac:dyDescent="0.25">
      <c r="AC294" s="934">
        <f>'T2'!AC138</f>
        <v>42780</v>
      </c>
      <c r="AD294" s="968">
        <f>'T2'!AD138</f>
        <v>0</v>
      </c>
      <c r="AE294" s="962">
        <f>'T2'!N138</f>
        <v>0</v>
      </c>
      <c r="AF294" s="968">
        <f>'T2'!AF138</f>
        <v>0</v>
      </c>
      <c r="AG294" s="962">
        <f>'T2'!O138</f>
        <v>0</v>
      </c>
      <c r="AI294" s="962">
        <f>AE294+AI288</f>
        <v>0</v>
      </c>
      <c r="AJ294" s="962">
        <f>AG294+AJ288</f>
        <v>0</v>
      </c>
      <c r="AV294" s="954"/>
      <c r="AW294" s="963">
        <f t="shared" ref="AW294:BF294" si="595">IF(MONTH(AD294)=AW292,AH294,0)</f>
        <v>0</v>
      </c>
      <c r="AX294" s="963">
        <f t="shared" si="595"/>
        <v>0</v>
      </c>
      <c r="AY294" s="963">
        <f t="shared" si="595"/>
        <v>0</v>
      </c>
      <c r="AZ294" s="963">
        <f t="shared" si="595"/>
        <v>0</v>
      </c>
      <c r="BA294" s="963">
        <f t="shared" si="595"/>
        <v>0</v>
      </c>
      <c r="BB294" s="963">
        <f t="shared" si="595"/>
        <v>0</v>
      </c>
      <c r="BC294" s="963">
        <f t="shared" si="595"/>
        <v>0</v>
      </c>
      <c r="BD294" s="963">
        <f t="shared" si="595"/>
        <v>0</v>
      </c>
      <c r="BE294" s="963">
        <f t="shared" si="595"/>
        <v>0</v>
      </c>
      <c r="BF294" s="963">
        <f t="shared" si="595"/>
        <v>0</v>
      </c>
    </row>
    <row r="295" spans="29:58" x14ac:dyDescent="0.25">
      <c r="AC295" s="934">
        <f>'T2'!AC139</f>
        <v>42781</v>
      </c>
      <c r="AD295" s="968">
        <f>'T2'!AD139</f>
        <v>0</v>
      </c>
      <c r="AE295" s="962">
        <f>'T2'!N139</f>
        <v>0</v>
      </c>
      <c r="AF295" s="968">
        <f>'T2'!AF139</f>
        <v>0</v>
      </c>
      <c r="AG295" s="962">
        <f>'T2'!O139</f>
        <v>0</v>
      </c>
      <c r="AI295" s="962">
        <f t="shared" ref="AI295:AI300" si="596">AE295+AI294</f>
        <v>0</v>
      </c>
      <c r="AJ295" s="962">
        <f t="shared" ref="AJ295:AJ300" si="597">AG295+AJ294</f>
        <v>0</v>
      </c>
      <c r="AV295" s="954"/>
      <c r="AW295" s="963">
        <f t="shared" ref="AW295:BF295" si="598">IF(MONTH(AD295)=AW293,AH295,0)</f>
        <v>0</v>
      </c>
      <c r="AX295" s="963">
        <f t="shared" si="598"/>
        <v>0</v>
      </c>
      <c r="AY295" s="963">
        <f t="shared" si="598"/>
        <v>0</v>
      </c>
      <c r="AZ295" s="963">
        <f t="shared" si="598"/>
        <v>0</v>
      </c>
      <c r="BA295" s="963">
        <f t="shared" si="598"/>
        <v>0</v>
      </c>
      <c r="BB295" s="963">
        <f t="shared" si="598"/>
        <v>0</v>
      </c>
      <c r="BC295" s="963">
        <f t="shared" si="598"/>
        <v>0</v>
      </c>
      <c r="BD295" s="963">
        <f t="shared" si="598"/>
        <v>0</v>
      </c>
      <c r="BE295" s="963">
        <f t="shared" si="598"/>
        <v>0</v>
      </c>
      <c r="BF295" s="963" t="e">
        <f t="shared" si="598"/>
        <v>#VALUE!</v>
      </c>
    </row>
    <row r="296" spans="29:58" x14ac:dyDescent="0.25">
      <c r="AC296" s="934">
        <f>'T2'!AC140</f>
        <v>42782</v>
      </c>
      <c r="AD296" s="968">
        <f>'T2'!AD140</f>
        <v>0</v>
      </c>
      <c r="AE296" s="962">
        <f>'T2'!N140</f>
        <v>0</v>
      </c>
      <c r="AF296" s="968">
        <f>'T2'!AF140</f>
        <v>0</v>
      </c>
      <c r="AG296" s="962">
        <f>'T2'!O140</f>
        <v>0</v>
      </c>
      <c r="AI296" s="962">
        <f t="shared" si="596"/>
        <v>0</v>
      </c>
      <c r="AJ296" s="962">
        <f t="shared" si="597"/>
        <v>0</v>
      </c>
      <c r="AV296" s="954"/>
      <c r="AW296" s="963">
        <f t="shared" ref="AW296:BF296" si="599">IF(MONTH(AD296)=AW294,AH296,0)</f>
        <v>0</v>
      </c>
      <c r="AX296" s="963">
        <f t="shared" si="599"/>
        <v>0</v>
      </c>
      <c r="AY296" s="963">
        <f t="shared" si="599"/>
        <v>0</v>
      </c>
      <c r="AZ296" s="963">
        <f t="shared" si="599"/>
        <v>0</v>
      </c>
      <c r="BA296" s="963">
        <f t="shared" si="599"/>
        <v>0</v>
      </c>
      <c r="BB296" s="963">
        <f t="shared" si="599"/>
        <v>0</v>
      </c>
      <c r="BC296" s="963">
        <f t="shared" si="599"/>
        <v>0</v>
      </c>
      <c r="BD296" s="963">
        <f t="shared" si="599"/>
        <v>0</v>
      </c>
      <c r="BE296" s="963">
        <f t="shared" si="599"/>
        <v>0</v>
      </c>
      <c r="BF296" s="963">
        <f t="shared" si="599"/>
        <v>0</v>
      </c>
    </row>
    <row r="297" spans="29:58" x14ac:dyDescent="0.25">
      <c r="AC297" s="934">
        <f>'T2'!AC141</f>
        <v>42783</v>
      </c>
      <c r="AD297" s="968">
        <f>'T2'!AD141</f>
        <v>0</v>
      </c>
      <c r="AE297" s="962">
        <f>'T2'!N141</f>
        <v>0</v>
      </c>
      <c r="AF297" s="968">
        <f>'T2'!AF141</f>
        <v>0</v>
      </c>
      <c r="AG297" s="962">
        <f>'T2'!O141</f>
        <v>0</v>
      </c>
      <c r="AI297" s="962">
        <f t="shared" si="596"/>
        <v>0</v>
      </c>
      <c r="AJ297" s="962">
        <f t="shared" si="597"/>
        <v>0</v>
      </c>
      <c r="AV297" s="954"/>
      <c r="AW297" s="963">
        <f t="shared" ref="AW297:BF297" si="600">IF(MONTH(AD297)=AW295,AH297,0)</f>
        <v>0</v>
      </c>
      <c r="AX297" s="963">
        <f t="shared" si="600"/>
        <v>0</v>
      </c>
      <c r="AY297" s="963">
        <f t="shared" si="600"/>
        <v>0</v>
      </c>
      <c r="AZ297" s="963">
        <f t="shared" si="600"/>
        <v>0</v>
      </c>
      <c r="BA297" s="963">
        <f t="shared" si="600"/>
        <v>0</v>
      </c>
      <c r="BB297" s="963">
        <f t="shared" si="600"/>
        <v>0</v>
      </c>
      <c r="BC297" s="963">
        <f t="shared" si="600"/>
        <v>0</v>
      </c>
      <c r="BD297" s="963">
        <f t="shared" si="600"/>
        <v>0</v>
      </c>
      <c r="BE297" s="963">
        <f t="shared" si="600"/>
        <v>0</v>
      </c>
      <c r="BF297" s="963" t="e">
        <f t="shared" si="600"/>
        <v>#VALUE!</v>
      </c>
    </row>
    <row r="298" spans="29:58" x14ac:dyDescent="0.25">
      <c r="AC298" s="934">
        <f>'T2'!AC142</f>
        <v>42784</v>
      </c>
      <c r="AD298" s="968">
        <f>'T2'!AD142</f>
        <v>0</v>
      </c>
      <c r="AE298" s="962">
        <f>'T2'!N142</f>
        <v>0</v>
      </c>
      <c r="AF298" s="968">
        <f>'T2'!AF142</f>
        <v>0</v>
      </c>
      <c r="AG298" s="962">
        <f>'T2'!O142</f>
        <v>0</v>
      </c>
      <c r="AI298" s="962">
        <f t="shared" si="596"/>
        <v>0</v>
      </c>
      <c r="AJ298" s="962">
        <f t="shared" si="597"/>
        <v>0</v>
      </c>
      <c r="AV298" s="954"/>
      <c r="AW298" s="963">
        <f t="shared" ref="AW298:BF298" si="601">IF(MONTH(AD298)=AW296,AH298,0)</f>
        <v>0</v>
      </c>
      <c r="AX298" s="963">
        <f t="shared" si="601"/>
        <v>0</v>
      </c>
      <c r="AY298" s="963">
        <f t="shared" si="601"/>
        <v>0</v>
      </c>
      <c r="AZ298" s="963">
        <f t="shared" si="601"/>
        <v>0</v>
      </c>
      <c r="BA298" s="963">
        <f t="shared" si="601"/>
        <v>0</v>
      </c>
      <c r="BB298" s="963">
        <f t="shared" si="601"/>
        <v>0</v>
      </c>
      <c r="BC298" s="963">
        <f t="shared" si="601"/>
        <v>0</v>
      </c>
      <c r="BD298" s="963">
        <f t="shared" si="601"/>
        <v>0</v>
      </c>
      <c r="BE298" s="963">
        <f t="shared" si="601"/>
        <v>0</v>
      </c>
      <c r="BF298" s="963">
        <f t="shared" si="601"/>
        <v>0</v>
      </c>
    </row>
    <row r="299" spans="29:58" x14ac:dyDescent="0.25">
      <c r="AC299" s="934">
        <f>'T2'!AC143</f>
        <v>42785</v>
      </c>
      <c r="AD299" s="968">
        <f>'T2'!AD143</f>
        <v>0</v>
      </c>
      <c r="AE299" s="962">
        <f>'T2'!N143</f>
        <v>0</v>
      </c>
      <c r="AF299" s="968">
        <f>'T2'!AF143</f>
        <v>0</v>
      </c>
      <c r="AG299" s="962">
        <f>'T2'!O143</f>
        <v>0</v>
      </c>
      <c r="AI299" s="962">
        <f t="shared" si="596"/>
        <v>0</v>
      </c>
      <c r="AJ299" s="962">
        <f t="shared" si="597"/>
        <v>0</v>
      </c>
      <c r="AV299" s="954"/>
      <c r="AW299" s="963">
        <f t="shared" ref="AW299:BF299" si="602">IF(MONTH(AD299)=AW297,AH299,0)</f>
        <v>0</v>
      </c>
      <c r="AX299" s="963">
        <f t="shared" si="602"/>
        <v>0</v>
      </c>
      <c r="AY299" s="963">
        <f t="shared" si="602"/>
        <v>0</v>
      </c>
      <c r="AZ299" s="963">
        <f t="shared" si="602"/>
        <v>0</v>
      </c>
      <c r="BA299" s="963">
        <f t="shared" si="602"/>
        <v>0</v>
      </c>
      <c r="BB299" s="963">
        <f t="shared" si="602"/>
        <v>0</v>
      </c>
      <c r="BC299" s="963">
        <f t="shared" si="602"/>
        <v>0</v>
      </c>
      <c r="BD299" s="963">
        <f t="shared" si="602"/>
        <v>0</v>
      </c>
      <c r="BE299" s="963">
        <f t="shared" si="602"/>
        <v>0</v>
      </c>
      <c r="BF299" s="963" t="e">
        <f t="shared" si="602"/>
        <v>#VALUE!</v>
      </c>
    </row>
    <row r="300" spans="29:58" x14ac:dyDescent="0.25">
      <c r="AC300" s="934">
        <f>'T2'!AC144</f>
        <v>42786</v>
      </c>
      <c r="AD300" s="968">
        <f>'T2'!AD144</f>
        <v>0</v>
      </c>
      <c r="AE300" s="962">
        <f>'T2'!N144</f>
        <v>0</v>
      </c>
      <c r="AF300" s="968">
        <f>'T2'!AF144</f>
        <v>0</v>
      </c>
      <c r="AG300" s="962">
        <f>'T2'!O144</f>
        <v>0</v>
      </c>
      <c r="AI300" s="962">
        <f t="shared" si="596"/>
        <v>0</v>
      </c>
      <c r="AJ300" s="962">
        <f t="shared" si="597"/>
        <v>0</v>
      </c>
      <c r="AV300" s="954"/>
      <c r="AW300" s="963">
        <f t="shared" ref="AW300:BF300" si="603">IF(MONTH(AD300)=AW298,AH300,0)</f>
        <v>0</v>
      </c>
      <c r="AX300" s="963">
        <f t="shared" si="603"/>
        <v>0</v>
      </c>
      <c r="AY300" s="963">
        <f t="shared" si="603"/>
        <v>0</v>
      </c>
      <c r="AZ300" s="963">
        <f t="shared" si="603"/>
        <v>0</v>
      </c>
      <c r="BA300" s="963">
        <f t="shared" si="603"/>
        <v>0</v>
      </c>
      <c r="BB300" s="963">
        <f t="shared" si="603"/>
        <v>0</v>
      </c>
      <c r="BC300" s="963">
        <f t="shared" si="603"/>
        <v>0</v>
      </c>
      <c r="BD300" s="963">
        <f t="shared" si="603"/>
        <v>0</v>
      </c>
      <c r="BE300" s="963">
        <f t="shared" si="603"/>
        <v>0</v>
      </c>
      <c r="BF300" s="963">
        <f t="shared" si="603"/>
        <v>0</v>
      </c>
    </row>
    <row r="301" spans="29:58" x14ac:dyDescent="0.25">
      <c r="AV301" s="954"/>
      <c r="AW301" s="963">
        <f t="shared" ref="AW301:BF301" si="604">IF(MONTH(AD301)=AW299,AH301,0)</f>
        <v>0</v>
      </c>
      <c r="AX301" s="963">
        <f t="shared" si="604"/>
        <v>0</v>
      </c>
      <c r="AY301" s="963">
        <f t="shared" si="604"/>
        <v>0</v>
      </c>
      <c r="AZ301" s="963">
        <f t="shared" si="604"/>
        <v>0</v>
      </c>
      <c r="BA301" s="963">
        <f t="shared" si="604"/>
        <v>0</v>
      </c>
      <c r="BB301" s="963">
        <f t="shared" si="604"/>
        <v>0</v>
      </c>
      <c r="BC301" s="963">
        <f t="shared" si="604"/>
        <v>0</v>
      </c>
      <c r="BD301" s="963">
        <f t="shared" si="604"/>
        <v>0</v>
      </c>
      <c r="BE301" s="963">
        <f t="shared" si="604"/>
        <v>0</v>
      </c>
      <c r="BF301" s="963" t="e">
        <f t="shared" si="604"/>
        <v>#VALUE!</v>
      </c>
    </row>
    <row r="302" spans="29:58" x14ac:dyDescent="0.25">
      <c r="AV302" s="954"/>
      <c r="AW302" s="963">
        <f t="shared" ref="AW302:BF302" si="605">IF(MONTH(AD302)=AW300,AH302,0)</f>
        <v>0</v>
      </c>
      <c r="AX302" s="963">
        <f t="shared" si="605"/>
        <v>0</v>
      </c>
      <c r="AY302" s="963">
        <f t="shared" si="605"/>
        <v>0</v>
      </c>
      <c r="AZ302" s="963">
        <f t="shared" si="605"/>
        <v>0</v>
      </c>
      <c r="BA302" s="963">
        <f t="shared" si="605"/>
        <v>0</v>
      </c>
      <c r="BB302" s="963">
        <f t="shared" si="605"/>
        <v>0</v>
      </c>
      <c r="BC302" s="963">
        <f t="shared" si="605"/>
        <v>0</v>
      </c>
      <c r="BD302" s="963">
        <f t="shared" si="605"/>
        <v>0</v>
      </c>
      <c r="BE302" s="963">
        <f t="shared" si="605"/>
        <v>0</v>
      </c>
      <c r="BF302" s="963">
        <f t="shared" si="605"/>
        <v>0</v>
      </c>
    </row>
    <row r="303" spans="29:58" x14ac:dyDescent="0.25">
      <c r="AV303" s="954"/>
      <c r="AW303" s="963">
        <f t="shared" ref="AW303:BF303" si="606">IF(MONTH(AD303)=AW301,AH303,0)</f>
        <v>0</v>
      </c>
      <c r="AX303" s="963">
        <f t="shared" si="606"/>
        <v>0</v>
      </c>
      <c r="AY303" s="963">
        <f t="shared" si="606"/>
        <v>0</v>
      </c>
      <c r="AZ303" s="963">
        <f t="shared" si="606"/>
        <v>0</v>
      </c>
      <c r="BA303" s="963">
        <f t="shared" si="606"/>
        <v>0</v>
      </c>
      <c r="BB303" s="963">
        <f t="shared" si="606"/>
        <v>0</v>
      </c>
      <c r="BC303" s="963">
        <f t="shared" si="606"/>
        <v>0</v>
      </c>
      <c r="BD303" s="963">
        <f t="shared" si="606"/>
        <v>0</v>
      </c>
      <c r="BE303" s="963">
        <f t="shared" si="606"/>
        <v>0</v>
      </c>
      <c r="BF303" s="963" t="e">
        <f t="shared" si="606"/>
        <v>#VALUE!</v>
      </c>
    </row>
    <row r="304" spans="29:58" x14ac:dyDescent="0.25">
      <c r="AV304" s="954"/>
      <c r="AW304" s="963">
        <f t="shared" ref="AW304:BF304" si="607">IF(MONTH(AD304)=AW302,AH304,0)</f>
        <v>0</v>
      </c>
      <c r="AX304" s="963">
        <f t="shared" si="607"/>
        <v>0</v>
      </c>
      <c r="AY304" s="963">
        <f t="shared" si="607"/>
        <v>0</v>
      </c>
      <c r="AZ304" s="963">
        <f t="shared" si="607"/>
        <v>0</v>
      </c>
      <c r="BA304" s="963">
        <f t="shared" si="607"/>
        <v>0</v>
      </c>
      <c r="BB304" s="963">
        <f t="shared" si="607"/>
        <v>0</v>
      </c>
      <c r="BC304" s="963">
        <f t="shared" si="607"/>
        <v>0</v>
      </c>
      <c r="BD304" s="963">
        <f t="shared" si="607"/>
        <v>0</v>
      </c>
      <c r="BE304" s="963">
        <f t="shared" si="607"/>
        <v>0</v>
      </c>
      <c r="BF304" s="963">
        <f t="shared" si="607"/>
        <v>0</v>
      </c>
    </row>
    <row r="305" spans="29:58" x14ac:dyDescent="0.25">
      <c r="AV305" s="954"/>
      <c r="AW305" s="963">
        <f t="shared" ref="AW305:BF305" si="608">IF(MONTH(AD305)=AW303,AH305,0)</f>
        <v>0</v>
      </c>
      <c r="AX305" s="963">
        <f t="shared" si="608"/>
        <v>0</v>
      </c>
      <c r="AY305" s="963">
        <f t="shared" si="608"/>
        <v>0</v>
      </c>
      <c r="AZ305" s="963">
        <f t="shared" si="608"/>
        <v>0</v>
      </c>
      <c r="BA305" s="963">
        <f t="shared" si="608"/>
        <v>0</v>
      </c>
      <c r="BB305" s="963">
        <f t="shared" si="608"/>
        <v>0</v>
      </c>
      <c r="BC305" s="963">
        <f t="shared" si="608"/>
        <v>0</v>
      </c>
      <c r="BD305" s="963">
        <f t="shared" si="608"/>
        <v>0</v>
      </c>
      <c r="BE305" s="963">
        <f t="shared" si="608"/>
        <v>0</v>
      </c>
      <c r="BF305" s="963" t="e">
        <f t="shared" si="608"/>
        <v>#VALUE!</v>
      </c>
    </row>
    <row r="306" spans="29:58" x14ac:dyDescent="0.25">
      <c r="AC306" s="934">
        <f>'T2'!AC150</f>
        <v>42787</v>
      </c>
      <c r="AD306" s="968">
        <f>'T2'!AD150</f>
        <v>0</v>
      </c>
      <c r="AE306" s="962">
        <f>'T2'!N150</f>
        <v>0</v>
      </c>
      <c r="AF306" s="968">
        <f>'T2'!AF150</f>
        <v>0</v>
      </c>
      <c r="AG306" s="962">
        <f>'T2'!O150</f>
        <v>0</v>
      </c>
      <c r="AI306" s="962">
        <f>AE306+AI300</f>
        <v>0</v>
      </c>
      <c r="AJ306" s="962">
        <f>AG306+AJ300</f>
        <v>0</v>
      </c>
      <c r="AV306" s="954"/>
      <c r="AW306" s="963">
        <f t="shared" ref="AW306:BF306" si="609">IF(MONTH(AD306)=AW304,AH306,0)</f>
        <v>0</v>
      </c>
      <c r="AX306" s="963">
        <f t="shared" si="609"/>
        <v>0</v>
      </c>
      <c r="AY306" s="963">
        <f t="shared" si="609"/>
        <v>0</v>
      </c>
      <c r="AZ306" s="963">
        <f t="shared" si="609"/>
        <v>0</v>
      </c>
      <c r="BA306" s="963">
        <f t="shared" si="609"/>
        <v>0</v>
      </c>
      <c r="BB306" s="963">
        <f t="shared" si="609"/>
        <v>0</v>
      </c>
      <c r="BC306" s="963">
        <f t="shared" si="609"/>
        <v>0</v>
      </c>
      <c r="BD306" s="963">
        <f t="shared" si="609"/>
        <v>0</v>
      </c>
      <c r="BE306" s="963">
        <f t="shared" si="609"/>
        <v>0</v>
      </c>
      <c r="BF306" s="963">
        <f t="shared" si="609"/>
        <v>0</v>
      </c>
    </row>
    <row r="307" spans="29:58" x14ac:dyDescent="0.25">
      <c r="AC307" s="934">
        <f>'T2'!AC151</f>
        <v>42788</v>
      </c>
      <c r="AD307" s="968">
        <f>'T2'!AD151</f>
        <v>0</v>
      </c>
      <c r="AE307" s="962">
        <f>'T2'!N151</f>
        <v>0</v>
      </c>
      <c r="AF307" s="968">
        <f>'T2'!AF151</f>
        <v>0</v>
      </c>
      <c r="AG307" s="962">
        <f>'T2'!O151</f>
        <v>0</v>
      </c>
      <c r="AI307" s="962">
        <f t="shared" ref="AI307:AI312" si="610">AE307+AI306</f>
        <v>0</v>
      </c>
      <c r="AJ307" s="962">
        <f t="shared" ref="AJ307:AJ312" si="611">AG307+AJ306</f>
        <v>0</v>
      </c>
      <c r="AV307" s="954"/>
      <c r="AW307" s="963">
        <f t="shared" ref="AW307:BF307" si="612">IF(MONTH(AD307)=AW305,AH307,0)</f>
        <v>0</v>
      </c>
      <c r="AX307" s="963">
        <f t="shared" si="612"/>
        <v>0</v>
      </c>
      <c r="AY307" s="963">
        <f t="shared" si="612"/>
        <v>0</v>
      </c>
      <c r="AZ307" s="963">
        <f t="shared" si="612"/>
        <v>0</v>
      </c>
      <c r="BA307" s="963">
        <f t="shared" si="612"/>
        <v>0</v>
      </c>
      <c r="BB307" s="963">
        <f t="shared" si="612"/>
        <v>0</v>
      </c>
      <c r="BC307" s="963">
        <f t="shared" si="612"/>
        <v>0</v>
      </c>
      <c r="BD307" s="963">
        <f t="shared" si="612"/>
        <v>0</v>
      </c>
      <c r="BE307" s="963">
        <f t="shared" si="612"/>
        <v>0</v>
      </c>
      <c r="BF307" s="963" t="e">
        <f t="shared" si="612"/>
        <v>#VALUE!</v>
      </c>
    </row>
    <row r="308" spans="29:58" x14ac:dyDescent="0.25">
      <c r="AC308" s="934">
        <f>'T2'!AC152</f>
        <v>42789</v>
      </c>
      <c r="AD308" s="968">
        <f>'T2'!AD152</f>
        <v>0</v>
      </c>
      <c r="AE308" s="962">
        <f>'T2'!N152</f>
        <v>0</v>
      </c>
      <c r="AF308" s="968">
        <f>'T2'!AF152</f>
        <v>0</v>
      </c>
      <c r="AG308" s="962">
        <f>'T2'!O152</f>
        <v>0</v>
      </c>
      <c r="AI308" s="962">
        <f t="shared" si="610"/>
        <v>0</v>
      </c>
      <c r="AJ308" s="962">
        <f t="shared" si="611"/>
        <v>0</v>
      </c>
      <c r="AV308" s="954"/>
      <c r="AW308" s="963">
        <f t="shared" ref="AW308:BF308" si="613">IF(MONTH(AD308)=AW306,AH308,0)</f>
        <v>0</v>
      </c>
      <c r="AX308" s="963">
        <f t="shared" si="613"/>
        <v>0</v>
      </c>
      <c r="AY308" s="963">
        <f t="shared" si="613"/>
        <v>0</v>
      </c>
      <c r="AZ308" s="963">
        <f t="shared" si="613"/>
        <v>0</v>
      </c>
      <c r="BA308" s="963">
        <f t="shared" si="613"/>
        <v>0</v>
      </c>
      <c r="BB308" s="963">
        <f t="shared" si="613"/>
        <v>0</v>
      </c>
      <c r="BC308" s="963">
        <f t="shared" si="613"/>
        <v>0</v>
      </c>
      <c r="BD308" s="963">
        <f t="shared" si="613"/>
        <v>0</v>
      </c>
      <c r="BE308" s="963">
        <f t="shared" si="613"/>
        <v>0</v>
      </c>
      <c r="BF308" s="963">
        <f t="shared" si="613"/>
        <v>0</v>
      </c>
    </row>
    <row r="309" spans="29:58" x14ac:dyDescent="0.25">
      <c r="AC309" s="934">
        <f>'T2'!AC153</f>
        <v>42790</v>
      </c>
      <c r="AD309" s="968">
        <f>'T2'!AD153</f>
        <v>0</v>
      </c>
      <c r="AE309" s="962">
        <f>'T2'!N153</f>
        <v>0</v>
      </c>
      <c r="AF309" s="968">
        <f>'T2'!AF153</f>
        <v>0</v>
      </c>
      <c r="AG309" s="962">
        <f>'T2'!O153</f>
        <v>0</v>
      </c>
      <c r="AI309" s="962">
        <f t="shared" si="610"/>
        <v>0</v>
      </c>
      <c r="AJ309" s="962">
        <f t="shared" si="611"/>
        <v>0</v>
      </c>
      <c r="AV309" s="954"/>
      <c r="AW309" s="963">
        <f t="shared" ref="AW309:BF309" si="614">IF(MONTH(AD309)=AW307,AH309,0)</f>
        <v>0</v>
      </c>
      <c r="AX309" s="963">
        <f t="shared" si="614"/>
        <v>0</v>
      </c>
      <c r="AY309" s="963">
        <f t="shared" si="614"/>
        <v>0</v>
      </c>
      <c r="AZ309" s="963">
        <f t="shared" si="614"/>
        <v>0</v>
      </c>
      <c r="BA309" s="963">
        <f t="shared" si="614"/>
        <v>0</v>
      </c>
      <c r="BB309" s="963">
        <f t="shared" si="614"/>
        <v>0</v>
      </c>
      <c r="BC309" s="963">
        <f t="shared" si="614"/>
        <v>0</v>
      </c>
      <c r="BD309" s="963">
        <f t="shared" si="614"/>
        <v>0</v>
      </c>
      <c r="BE309" s="963">
        <f t="shared" si="614"/>
        <v>0</v>
      </c>
      <c r="BF309" s="963" t="e">
        <f t="shared" si="614"/>
        <v>#VALUE!</v>
      </c>
    </row>
    <row r="310" spans="29:58" x14ac:dyDescent="0.25">
      <c r="AC310" s="934">
        <f>'T2'!AC154</f>
        <v>42791</v>
      </c>
      <c r="AD310" s="968">
        <f>'T2'!AD154</f>
        <v>0</v>
      </c>
      <c r="AE310" s="962">
        <f>'T2'!N154</f>
        <v>0</v>
      </c>
      <c r="AF310" s="968">
        <f>'T2'!AF154</f>
        <v>0</v>
      </c>
      <c r="AG310" s="962">
        <f>'T2'!O154</f>
        <v>0</v>
      </c>
      <c r="AI310" s="962">
        <f t="shared" si="610"/>
        <v>0</v>
      </c>
      <c r="AJ310" s="962">
        <f t="shared" si="611"/>
        <v>0</v>
      </c>
      <c r="AV310" s="954"/>
      <c r="AW310" s="963">
        <f t="shared" ref="AW310:BF310" si="615">IF(MONTH(AD310)=AW308,AH310,0)</f>
        <v>0</v>
      </c>
      <c r="AX310" s="963">
        <f t="shared" si="615"/>
        <v>0</v>
      </c>
      <c r="AY310" s="963">
        <f t="shared" si="615"/>
        <v>0</v>
      </c>
      <c r="AZ310" s="963">
        <f t="shared" si="615"/>
        <v>0</v>
      </c>
      <c r="BA310" s="963">
        <f t="shared" si="615"/>
        <v>0</v>
      </c>
      <c r="BB310" s="963">
        <f t="shared" si="615"/>
        <v>0</v>
      </c>
      <c r="BC310" s="963">
        <f t="shared" si="615"/>
        <v>0</v>
      </c>
      <c r="BD310" s="963">
        <f t="shared" si="615"/>
        <v>0</v>
      </c>
      <c r="BE310" s="963">
        <f t="shared" si="615"/>
        <v>0</v>
      </c>
      <c r="BF310" s="963">
        <f t="shared" si="615"/>
        <v>0</v>
      </c>
    </row>
    <row r="311" spans="29:58" x14ac:dyDescent="0.25">
      <c r="AC311" s="934">
        <f>'T2'!AC155</f>
        <v>42792</v>
      </c>
      <c r="AD311" s="968">
        <f>'T2'!AD155</f>
        <v>0</v>
      </c>
      <c r="AE311" s="962">
        <f>'T2'!N155</f>
        <v>0</v>
      </c>
      <c r="AF311" s="968">
        <f>'T2'!AF155</f>
        <v>0</v>
      </c>
      <c r="AG311" s="962">
        <f>'T2'!O155</f>
        <v>0</v>
      </c>
      <c r="AI311" s="962">
        <f t="shared" si="610"/>
        <v>0</v>
      </c>
      <c r="AJ311" s="962">
        <f t="shared" si="611"/>
        <v>0</v>
      </c>
      <c r="AV311" s="954"/>
      <c r="AW311" s="963">
        <f t="shared" ref="AW311:BF311" si="616">IF(MONTH(AD311)=AW309,AH311,0)</f>
        <v>0</v>
      </c>
      <c r="AX311" s="963">
        <f t="shared" si="616"/>
        <v>0</v>
      </c>
      <c r="AY311" s="963">
        <f t="shared" si="616"/>
        <v>0</v>
      </c>
      <c r="AZ311" s="963">
        <f t="shared" si="616"/>
        <v>0</v>
      </c>
      <c r="BA311" s="963">
        <f t="shared" si="616"/>
        <v>0</v>
      </c>
      <c r="BB311" s="963">
        <f t="shared" si="616"/>
        <v>0</v>
      </c>
      <c r="BC311" s="963">
        <f t="shared" si="616"/>
        <v>0</v>
      </c>
      <c r="BD311" s="963">
        <f t="shared" si="616"/>
        <v>0</v>
      </c>
      <c r="BE311" s="963">
        <f t="shared" si="616"/>
        <v>0</v>
      </c>
      <c r="BF311" s="963" t="e">
        <f t="shared" si="616"/>
        <v>#VALUE!</v>
      </c>
    </row>
    <row r="312" spans="29:58" x14ac:dyDescent="0.25">
      <c r="AC312" s="934">
        <f>'T2'!AC156</f>
        <v>42793</v>
      </c>
      <c r="AD312" s="968">
        <f>'T2'!AD156</f>
        <v>0</v>
      </c>
      <c r="AE312" s="962">
        <f>'T2'!N156</f>
        <v>0</v>
      </c>
      <c r="AF312" s="968">
        <f>'T2'!AF156</f>
        <v>0</v>
      </c>
      <c r="AG312" s="962">
        <f>'T2'!O156</f>
        <v>0</v>
      </c>
      <c r="AI312" s="962">
        <f t="shared" si="610"/>
        <v>0</v>
      </c>
      <c r="AJ312" s="962">
        <f t="shared" si="611"/>
        <v>0</v>
      </c>
      <c r="AV312" s="954"/>
      <c r="AW312" s="963">
        <f t="shared" ref="AW312:BF312" si="617">IF(MONTH(AD312)=AW310,AH312,0)</f>
        <v>0</v>
      </c>
      <c r="AX312" s="963">
        <f t="shared" si="617"/>
        <v>0</v>
      </c>
      <c r="AY312" s="963">
        <f t="shared" si="617"/>
        <v>0</v>
      </c>
      <c r="AZ312" s="963">
        <f t="shared" si="617"/>
        <v>0</v>
      </c>
      <c r="BA312" s="963">
        <f t="shared" si="617"/>
        <v>0</v>
      </c>
      <c r="BB312" s="963">
        <f t="shared" si="617"/>
        <v>0</v>
      </c>
      <c r="BC312" s="963">
        <f t="shared" si="617"/>
        <v>0</v>
      </c>
      <c r="BD312" s="963">
        <f t="shared" si="617"/>
        <v>0</v>
      </c>
      <c r="BE312" s="963">
        <f t="shared" si="617"/>
        <v>0</v>
      </c>
      <c r="BF312" s="963">
        <f t="shared" si="617"/>
        <v>0</v>
      </c>
    </row>
    <row r="313" spans="29:58" x14ac:dyDescent="0.25">
      <c r="AV313" s="954"/>
      <c r="AW313" s="963">
        <f t="shared" ref="AW313:BF313" si="618">IF(MONTH(AD313)=AW311,AH313,0)</f>
        <v>0</v>
      </c>
      <c r="AX313" s="963">
        <f t="shared" si="618"/>
        <v>0</v>
      </c>
      <c r="AY313" s="963">
        <f t="shared" si="618"/>
        <v>0</v>
      </c>
      <c r="AZ313" s="963">
        <f t="shared" si="618"/>
        <v>0</v>
      </c>
      <c r="BA313" s="963">
        <f t="shared" si="618"/>
        <v>0</v>
      </c>
      <c r="BB313" s="963">
        <f t="shared" si="618"/>
        <v>0</v>
      </c>
      <c r="BC313" s="963">
        <f t="shared" si="618"/>
        <v>0</v>
      </c>
      <c r="BD313" s="963">
        <f t="shared" si="618"/>
        <v>0</v>
      </c>
      <c r="BE313" s="963">
        <f t="shared" si="618"/>
        <v>0</v>
      </c>
      <c r="BF313" s="963" t="e">
        <f t="shared" si="618"/>
        <v>#VALUE!</v>
      </c>
    </row>
    <row r="314" spans="29:58" x14ac:dyDescent="0.25">
      <c r="AV314" s="954"/>
      <c r="AW314" s="963">
        <f t="shared" ref="AW314:BF314" si="619">IF(MONTH(AD314)=AW312,AH314,0)</f>
        <v>0</v>
      </c>
      <c r="AX314" s="963">
        <f t="shared" si="619"/>
        <v>0</v>
      </c>
      <c r="AY314" s="963">
        <f t="shared" si="619"/>
        <v>0</v>
      </c>
      <c r="AZ314" s="963">
        <f t="shared" si="619"/>
        <v>0</v>
      </c>
      <c r="BA314" s="963">
        <f t="shared" si="619"/>
        <v>0</v>
      </c>
      <c r="BB314" s="963">
        <f t="shared" si="619"/>
        <v>0</v>
      </c>
      <c r="BC314" s="963">
        <f t="shared" si="619"/>
        <v>0</v>
      </c>
      <c r="BD314" s="963">
        <f t="shared" si="619"/>
        <v>0</v>
      </c>
      <c r="BE314" s="963">
        <f t="shared" si="619"/>
        <v>0</v>
      </c>
      <c r="BF314" s="963">
        <f t="shared" si="619"/>
        <v>0</v>
      </c>
    </row>
    <row r="315" spans="29:58" x14ac:dyDescent="0.25">
      <c r="AV315" s="954"/>
      <c r="AW315" s="963">
        <f t="shared" ref="AW315:BF315" si="620">IF(MONTH(AD315)=AW313,AH315,0)</f>
        <v>0</v>
      </c>
      <c r="AX315" s="963">
        <f t="shared" si="620"/>
        <v>0</v>
      </c>
      <c r="AY315" s="963">
        <f t="shared" si="620"/>
        <v>0</v>
      </c>
      <c r="AZ315" s="963">
        <f t="shared" si="620"/>
        <v>0</v>
      </c>
      <c r="BA315" s="963">
        <f t="shared" si="620"/>
        <v>0</v>
      </c>
      <c r="BB315" s="963">
        <f t="shared" si="620"/>
        <v>0</v>
      </c>
      <c r="BC315" s="963">
        <f t="shared" si="620"/>
        <v>0</v>
      </c>
      <c r="BD315" s="963">
        <f t="shared" si="620"/>
        <v>0</v>
      </c>
      <c r="BE315" s="963">
        <f t="shared" si="620"/>
        <v>0</v>
      </c>
      <c r="BF315" s="963" t="e">
        <f t="shared" si="620"/>
        <v>#VALUE!</v>
      </c>
    </row>
    <row r="316" spans="29:58" x14ac:dyDescent="0.25">
      <c r="AV316" s="954"/>
      <c r="AW316" s="963">
        <f t="shared" ref="AW316:BF316" si="621">IF(MONTH(AD316)=AW314,AH316,0)</f>
        <v>0</v>
      </c>
      <c r="AX316" s="963">
        <f t="shared" si="621"/>
        <v>0</v>
      </c>
      <c r="AY316" s="963">
        <f t="shared" si="621"/>
        <v>0</v>
      </c>
      <c r="AZ316" s="963">
        <f t="shared" si="621"/>
        <v>0</v>
      </c>
      <c r="BA316" s="963">
        <f t="shared" si="621"/>
        <v>0</v>
      </c>
      <c r="BB316" s="963">
        <f t="shared" si="621"/>
        <v>0</v>
      </c>
      <c r="BC316" s="963">
        <f t="shared" si="621"/>
        <v>0</v>
      </c>
      <c r="BD316" s="963">
        <f t="shared" si="621"/>
        <v>0</v>
      </c>
      <c r="BE316" s="963">
        <f t="shared" si="621"/>
        <v>0</v>
      </c>
      <c r="BF316" s="963">
        <f t="shared" si="621"/>
        <v>0</v>
      </c>
    </row>
    <row r="317" spans="29:58" x14ac:dyDescent="0.25">
      <c r="AV317" s="954"/>
      <c r="AW317" s="963">
        <f t="shared" ref="AW317:BF317" si="622">IF(MONTH(AD317)=AW315,AH317,0)</f>
        <v>0</v>
      </c>
      <c r="AX317" s="963">
        <f t="shared" si="622"/>
        <v>0</v>
      </c>
      <c r="AY317" s="963">
        <f t="shared" si="622"/>
        <v>0</v>
      </c>
      <c r="AZ317" s="963">
        <f t="shared" si="622"/>
        <v>0</v>
      </c>
      <c r="BA317" s="963">
        <f t="shared" si="622"/>
        <v>0</v>
      </c>
      <c r="BB317" s="963">
        <f t="shared" si="622"/>
        <v>0</v>
      </c>
      <c r="BC317" s="963">
        <f t="shared" si="622"/>
        <v>0</v>
      </c>
      <c r="BD317" s="963">
        <f t="shared" si="622"/>
        <v>0</v>
      </c>
      <c r="BE317" s="963">
        <f t="shared" si="622"/>
        <v>0</v>
      </c>
      <c r="BF317" s="963" t="e">
        <f t="shared" si="622"/>
        <v>#VALUE!</v>
      </c>
    </row>
    <row r="318" spans="29:58" x14ac:dyDescent="0.25">
      <c r="AC318" s="934">
        <f>'T3'!AC6</f>
        <v>42794</v>
      </c>
      <c r="AD318" s="968">
        <f>'T3'!AD6</f>
        <v>0</v>
      </c>
      <c r="AE318" s="962">
        <f>'T3'!N6</f>
        <v>0</v>
      </c>
      <c r="AF318" s="968">
        <f>'T3'!AF6</f>
        <v>0</v>
      </c>
      <c r="AG318" s="962">
        <f>'T3'!O6</f>
        <v>0</v>
      </c>
      <c r="AI318" s="962">
        <f>AE318+AI312</f>
        <v>0</v>
      </c>
      <c r="AJ318" s="962">
        <f>AG318+AJ312</f>
        <v>0</v>
      </c>
      <c r="AV318" s="954"/>
      <c r="AW318" s="963">
        <f t="shared" ref="AW318:BF318" si="623">IF(MONTH(AD318)=AW316,AH318,0)</f>
        <v>0</v>
      </c>
      <c r="AX318" s="963">
        <f t="shared" si="623"/>
        <v>0</v>
      </c>
      <c r="AY318" s="963">
        <f t="shared" si="623"/>
        <v>0</v>
      </c>
      <c r="AZ318" s="963">
        <f t="shared" si="623"/>
        <v>0</v>
      </c>
      <c r="BA318" s="963">
        <f t="shared" si="623"/>
        <v>0</v>
      </c>
      <c r="BB318" s="963">
        <f t="shared" si="623"/>
        <v>0</v>
      </c>
      <c r="BC318" s="963">
        <f t="shared" si="623"/>
        <v>0</v>
      </c>
      <c r="BD318" s="963">
        <f t="shared" si="623"/>
        <v>0</v>
      </c>
      <c r="BE318" s="963">
        <f t="shared" si="623"/>
        <v>0</v>
      </c>
      <c r="BF318" s="963">
        <f t="shared" si="623"/>
        <v>0</v>
      </c>
    </row>
    <row r="319" spans="29:58" x14ac:dyDescent="0.25">
      <c r="AC319" s="934">
        <f>'T3'!AC7</f>
        <v>42795</v>
      </c>
      <c r="AD319" s="968">
        <f>'T3'!AD7</f>
        <v>0</v>
      </c>
      <c r="AE319" s="962">
        <f>'T3'!N7</f>
        <v>0</v>
      </c>
      <c r="AF319" s="968">
        <f>'T3'!AF7</f>
        <v>0</v>
      </c>
      <c r="AG319" s="962">
        <f>'T3'!O7</f>
        <v>0</v>
      </c>
      <c r="AI319" s="962">
        <f t="shared" ref="AI319:AI324" si="624">AE319+AI318</f>
        <v>0</v>
      </c>
      <c r="AJ319" s="962">
        <f t="shared" ref="AJ319:AJ324" si="625">AG319+AJ318</f>
        <v>0</v>
      </c>
      <c r="AV319" s="954"/>
      <c r="AW319" s="963">
        <f t="shared" ref="AW319:BF319" si="626">IF(MONTH(AD319)=AW317,AH319,0)</f>
        <v>0</v>
      </c>
      <c r="AX319" s="963">
        <f t="shared" si="626"/>
        <v>0</v>
      </c>
      <c r="AY319" s="963">
        <f t="shared" si="626"/>
        <v>0</v>
      </c>
      <c r="AZ319" s="963">
        <f t="shared" si="626"/>
        <v>0</v>
      </c>
      <c r="BA319" s="963">
        <f t="shared" si="626"/>
        <v>0</v>
      </c>
      <c r="BB319" s="963">
        <f t="shared" si="626"/>
        <v>0</v>
      </c>
      <c r="BC319" s="963">
        <f t="shared" si="626"/>
        <v>0</v>
      </c>
      <c r="BD319" s="963">
        <f t="shared" si="626"/>
        <v>0</v>
      </c>
      <c r="BE319" s="963">
        <f t="shared" si="626"/>
        <v>0</v>
      </c>
      <c r="BF319" s="963" t="e">
        <f t="shared" si="626"/>
        <v>#VALUE!</v>
      </c>
    </row>
    <row r="320" spans="29:58" x14ac:dyDescent="0.25">
      <c r="AC320" s="934">
        <f>'T3'!AC8</f>
        <v>42796</v>
      </c>
      <c r="AD320" s="968">
        <f>'T3'!AD8</f>
        <v>0</v>
      </c>
      <c r="AE320" s="962">
        <f>'T3'!N8</f>
        <v>0</v>
      </c>
      <c r="AF320" s="968">
        <f>'T3'!AF8</f>
        <v>0</v>
      </c>
      <c r="AG320" s="962">
        <f>'T3'!O8</f>
        <v>0</v>
      </c>
      <c r="AI320" s="962">
        <f t="shared" si="624"/>
        <v>0</v>
      </c>
      <c r="AJ320" s="962">
        <f t="shared" si="625"/>
        <v>0</v>
      </c>
      <c r="AV320" s="954"/>
      <c r="AW320" s="963">
        <f t="shared" ref="AW320:BF320" si="627">IF(MONTH(AD320)=AW318,AH320,0)</f>
        <v>0</v>
      </c>
      <c r="AX320" s="963">
        <f t="shared" si="627"/>
        <v>0</v>
      </c>
      <c r="AY320" s="963">
        <f t="shared" si="627"/>
        <v>0</v>
      </c>
      <c r="AZ320" s="963">
        <f t="shared" si="627"/>
        <v>0</v>
      </c>
      <c r="BA320" s="963">
        <f t="shared" si="627"/>
        <v>0</v>
      </c>
      <c r="BB320" s="963">
        <f t="shared" si="627"/>
        <v>0</v>
      </c>
      <c r="BC320" s="963">
        <f t="shared" si="627"/>
        <v>0</v>
      </c>
      <c r="BD320" s="963">
        <f t="shared" si="627"/>
        <v>0</v>
      </c>
      <c r="BE320" s="963">
        <f t="shared" si="627"/>
        <v>0</v>
      </c>
      <c r="BF320" s="963">
        <f t="shared" si="627"/>
        <v>0</v>
      </c>
    </row>
    <row r="321" spans="29:58" x14ac:dyDescent="0.25">
      <c r="AC321" s="934">
        <f>'T3'!AC9</f>
        <v>42797</v>
      </c>
      <c r="AD321" s="968">
        <f>'T3'!AD9</f>
        <v>0</v>
      </c>
      <c r="AE321" s="962">
        <f>'T3'!N9</f>
        <v>0</v>
      </c>
      <c r="AF321" s="968">
        <f>'T3'!AF9</f>
        <v>0</v>
      </c>
      <c r="AG321" s="962">
        <f>'T3'!O9</f>
        <v>0</v>
      </c>
      <c r="AI321" s="962">
        <f t="shared" si="624"/>
        <v>0</v>
      </c>
      <c r="AJ321" s="962">
        <f t="shared" si="625"/>
        <v>0</v>
      </c>
      <c r="AV321" s="954"/>
      <c r="AW321" s="963">
        <f t="shared" ref="AW321:BF321" si="628">IF(MONTH(AD321)=AW319,AH321,0)</f>
        <v>0</v>
      </c>
      <c r="AX321" s="963">
        <f t="shared" si="628"/>
        <v>0</v>
      </c>
      <c r="AY321" s="963">
        <f t="shared" si="628"/>
        <v>0</v>
      </c>
      <c r="AZ321" s="963">
        <f t="shared" si="628"/>
        <v>0</v>
      </c>
      <c r="BA321" s="963">
        <f t="shared" si="628"/>
        <v>0</v>
      </c>
      <c r="BB321" s="963">
        <f t="shared" si="628"/>
        <v>0</v>
      </c>
      <c r="BC321" s="963">
        <f t="shared" si="628"/>
        <v>0</v>
      </c>
      <c r="BD321" s="963">
        <f t="shared" si="628"/>
        <v>0</v>
      </c>
      <c r="BE321" s="963">
        <f t="shared" si="628"/>
        <v>0</v>
      </c>
      <c r="BF321" s="963" t="e">
        <f t="shared" si="628"/>
        <v>#VALUE!</v>
      </c>
    </row>
    <row r="322" spans="29:58" x14ac:dyDescent="0.25">
      <c r="AC322" s="934">
        <f>'T3'!AC10</f>
        <v>42798</v>
      </c>
      <c r="AD322" s="968">
        <f>'T3'!AD10</f>
        <v>0</v>
      </c>
      <c r="AE322" s="962">
        <f>'T3'!N10</f>
        <v>0</v>
      </c>
      <c r="AF322" s="968">
        <f>'T3'!AF10</f>
        <v>0</v>
      </c>
      <c r="AG322" s="962">
        <f>'T3'!O10</f>
        <v>0</v>
      </c>
      <c r="AI322" s="962">
        <f t="shared" si="624"/>
        <v>0</v>
      </c>
      <c r="AJ322" s="962">
        <f t="shared" si="625"/>
        <v>0</v>
      </c>
      <c r="AV322" s="954"/>
      <c r="AW322" s="963">
        <f t="shared" ref="AW322:BF322" si="629">IF(MONTH(AD322)=AW320,AH322,0)</f>
        <v>0</v>
      </c>
      <c r="AX322" s="963">
        <f t="shared" si="629"/>
        <v>0</v>
      </c>
      <c r="AY322" s="963">
        <f t="shared" si="629"/>
        <v>0</v>
      </c>
      <c r="AZ322" s="963">
        <f t="shared" si="629"/>
        <v>0</v>
      </c>
      <c r="BA322" s="963">
        <f t="shared" si="629"/>
        <v>0</v>
      </c>
      <c r="BB322" s="963">
        <f t="shared" si="629"/>
        <v>0</v>
      </c>
      <c r="BC322" s="963">
        <f t="shared" si="629"/>
        <v>0</v>
      </c>
      <c r="BD322" s="963">
        <f t="shared" si="629"/>
        <v>0</v>
      </c>
      <c r="BE322" s="963">
        <f t="shared" si="629"/>
        <v>0</v>
      </c>
      <c r="BF322" s="963">
        <f t="shared" si="629"/>
        <v>0</v>
      </c>
    </row>
    <row r="323" spans="29:58" x14ac:dyDescent="0.25">
      <c r="AC323" s="934">
        <f>'T3'!AC11</f>
        <v>42799</v>
      </c>
      <c r="AD323" s="968">
        <f>'T3'!AD11</f>
        <v>0</v>
      </c>
      <c r="AE323" s="962">
        <f>'T3'!N11</f>
        <v>0</v>
      </c>
      <c r="AF323" s="968">
        <f>'T3'!AF11</f>
        <v>0</v>
      </c>
      <c r="AG323" s="962">
        <f>'T3'!O11</f>
        <v>0</v>
      </c>
      <c r="AI323" s="962">
        <f t="shared" si="624"/>
        <v>0</v>
      </c>
      <c r="AJ323" s="962">
        <f t="shared" si="625"/>
        <v>0</v>
      </c>
      <c r="AV323" s="954"/>
      <c r="AW323" s="963">
        <f t="shared" ref="AW323:BF323" si="630">IF(MONTH(AD323)=AW321,AH323,0)</f>
        <v>0</v>
      </c>
      <c r="AX323" s="963">
        <f t="shared" si="630"/>
        <v>0</v>
      </c>
      <c r="AY323" s="963">
        <f t="shared" si="630"/>
        <v>0</v>
      </c>
      <c r="AZ323" s="963">
        <f t="shared" si="630"/>
        <v>0</v>
      </c>
      <c r="BA323" s="963">
        <f t="shared" si="630"/>
        <v>0</v>
      </c>
      <c r="BB323" s="963">
        <f t="shared" si="630"/>
        <v>0</v>
      </c>
      <c r="BC323" s="963">
        <f t="shared" si="630"/>
        <v>0</v>
      </c>
      <c r="BD323" s="963">
        <f t="shared" si="630"/>
        <v>0</v>
      </c>
      <c r="BE323" s="963">
        <f t="shared" si="630"/>
        <v>0</v>
      </c>
      <c r="BF323" s="963" t="e">
        <f t="shared" si="630"/>
        <v>#VALUE!</v>
      </c>
    </row>
    <row r="324" spans="29:58" x14ac:dyDescent="0.25">
      <c r="AC324" s="934">
        <f>'T3'!AC12</f>
        <v>42800</v>
      </c>
      <c r="AD324" s="968">
        <f>'T3'!AD12</f>
        <v>0</v>
      </c>
      <c r="AE324" s="962">
        <f>'T3'!N12</f>
        <v>0</v>
      </c>
      <c r="AF324" s="968">
        <f>'T3'!AF12</f>
        <v>0</v>
      </c>
      <c r="AG324" s="962">
        <f>'T3'!O12</f>
        <v>0</v>
      </c>
      <c r="AI324" s="962">
        <f t="shared" si="624"/>
        <v>0</v>
      </c>
      <c r="AJ324" s="962">
        <f t="shared" si="625"/>
        <v>0</v>
      </c>
      <c r="AV324" s="954"/>
      <c r="AW324" s="963">
        <f t="shared" ref="AW324:BF324" si="631">IF(MONTH(AD324)=AW322,AH324,0)</f>
        <v>0</v>
      </c>
      <c r="AX324" s="963">
        <f t="shared" si="631"/>
        <v>0</v>
      </c>
      <c r="AY324" s="963">
        <f t="shared" si="631"/>
        <v>0</v>
      </c>
      <c r="AZ324" s="963">
        <f t="shared" si="631"/>
        <v>0</v>
      </c>
      <c r="BA324" s="963">
        <f t="shared" si="631"/>
        <v>0</v>
      </c>
      <c r="BB324" s="963">
        <f t="shared" si="631"/>
        <v>0</v>
      </c>
      <c r="BC324" s="963">
        <f t="shared" si="631"/>
        <v>0</v>
      </c>
      <c r="BD324" s="963">
        <f t="shared" si="631"/>
        <v>0</v>
      </c>
      <c r="BE324" s="963">
        <f t="shared" si="631"/>
        <v>0</v>
      </c>
      <c r="BF324" s="963">
        <f t="shared" si="631"/>
        <v>0</v>
      </c>
    </row>
    <row r="325" spans="29:58" x14ac:dyDescent="0.25">
      <c r="AV325" s="954"/>
      <c r="AW325" s="963">
        <f t="shared" ref="AW325:BF325" si="632">IF(MONTH(AD325)=AW323,AH325,0)</f>
        <v>0</v>
      </c>
      <c r="AX325" s="963">
        <f t="shared" si="632"/>
        <v>0</v>
      </c>
      <c r="AY325" s="963">
        <f t="shared" si="632"/>
        <v>0</v>
      </c>
      <c r="AZ325" s="963">
        <f t="shared" si="632"/>
        <v>0</v>
      </c>
      <c r="BA325" s="963">
        <f t="shared" si="632"/>
        <v>0</v>
      </c>
      <c r="BB325" s="963">
        <f t="shared" si="632"/>
        <v>0</v>
      </c>
      <c r="BC325" s="963">
        <f t="shared" si="632"/>
        <v>0</v>
      </c>
      <c r="BD325" s="963">
        <f t="shared" si="632"/>
        <v>0</v>
      </c>
      <c r="BE325" s="963">
        <f t="shared" si="632"/>
        <v>0</v>
      </c>
      <c r="BF325" s="963" t="e">
        <f t="shared" si="632"/>
        <v>#VALUE!</v>
      </c>
    </row>
    <row r="326" spans="29:58" x14ac:dyDescent="0.25">
      <c r="AV326" s="954"/>
      <c r="AW326" s="963">
        <f t="shared" ref="AW326:BF326" si="633">IF(MONTH(AD326)=AW324,AH326,0)</f>
        <v>0</v>
      </c>
      <c r="AX326" s="963">
        <f t="shared" si="633"/>
        <v>0</v>
      </c>
      <c r="AY326" s="963">
        <f t="shared" si="633"/>
        <v>0</v>
      </c>
      <c r="AZ326" s="963">
        <f t="shared" si="633"/>
        <v>0</v>
      </c>
      <c r="BA326" s="963">
        <f t="shared" si="633"/>
        <v>0</v>
      </c>
      <c r="BB326" s="963">
        <f t="shared" si="633"/>
        <v>0</v>
      </c>
      <c r="BC326" s="963">
        <f t="shared" si="633"/>
        <v>0</v>
      </c>
      <c r="BD326" s="963">
        <f t="shared" si="633"/>
        <v>0</v>
      </c>
      <c r="BE326" s="963">
        <f t="shared" si="633"/>
        <v>0</v>
      </c>
      <c r="BF326" s="963">
        <f t="shared" si="633"/>
        <v>0</v>
      </c>
    </row>
    <row r="327" spans="29:58" x14ac:dyDescent="0.25">
      <c r="AV327" s="954"/>
      <c r="AW327" s="963">
        <f t="shared" ref="AW327:BF327" si="634">IF(MONTH(AD327)=AW325,AH327,0)</f>
        <v>0</v>
      </c>
      <c r="AX327" s="963">
        <f t="shared" si="634"/>
        <v>0</v>
      </c>
      <c r="AY327" s="963">
        <f t="shared" si="634"/>
        <v>0</v>
      </c>
      <c r="AZ327" s="963">
        <f t="shared" si="634"/>
        <v>0</v>
      </c>
      <c r="BA327" s="963">
        <f t="shared" si="634"/>
        <v>0</v>
      </c>
      <c r="BB327" s="963">
        <f t="shared" si="634"/>
        <v>0</v>
      </c>
      <c r="BC327" s="963">
        <f t="shared" si="634"/>
        <v>0</v>
      </c>
      <c r="BD327" s="963">
        <f t="shared" si="634"/>
        <v>0</v>
      </c>
      <c r="BE327" s="963">
        <f t="shared" si="634"/>
        <v>0</v>
      </c>
      <c r="BF327" s="963" t="e">
        <f t="shared" si="634"/>
        <v>#VALUE!</v>
      </c>
    </row>
    <row r="328" spans="29:58" x14ac:dyDescent="0.25">
      <c r="AV328" s="954"/>
      <c r="AW328" s="963">
        <f t="shared" ref="AW328:BF328" si="635">IF(MONTH(AD328)=AW326,AH328,0)</f>
        <v>0</v>
      </c>
      <c r="AX328" s="963">
        <f t="shared" si="635"/>
        <v>0</v>
      </c>
      <c r="AY328" s="963">
        <f t="shared" si="635"/>
        <v>0</v>
      </c>
      <c r="AZ328" s="963">
        <f t="shared" si="635"/>
        <v>0</v>
      </c>
      <c r="BA328" s="963">
        <f t="shared" si="635"/>
        <v>0</v>
      </c>
      <c r="BB328" s="963">
        <f t="shared" si="635"/>
        <v>0</v>
      </c>
      <c r="BC328" s="963">
        <f t="shared" si="635"/>
        <v>0</v>
      </c>
      <c r="BD328" s="963">
        <f t="shared" si="635"/>
        <v>0</v>
      </c>
      <c r="BE328" s="963">
        <f t="shared" si="635"/>
        <v>0</v>
      </c>
      <c r="BF328" s="963">
        <f t="shared" si="635"/>
        <v>0</v>
      </c>
    </row>
    <row r="329" spans="29:58" x14ac:dyDescent="0.25">
      <c r="AV329" s="954"/>
      <c r="AW329" s="963">
        <f t="shared" ref="AW329:BF329" si="636">IF(MONTH(AD329)=AW327,AH329,0)</f>
        <v>0</v>
      </c>
      <c r="AX329" s="963">
        <f t="shared" si="636"/>
        <v>0</v>
      </c>
      <c r="AY329" s="963">
        <f t="shared" si="636"/>
        <v>0</v>
      </c>
      <c r="AZ329" s="963">
        <f t="shared" si="636"/>
        <v>0</v>
      </c>
      <c r="BA329" s="963">
        <f t="shared" si="636"/>
        <v>0</v>
      </c>
      <c r="BB329" s="963">
        <f t="shared" si="636"/>
        <v>0</v>
      </c>
      <c r="BC329" s="963">
        <f t="shared" si="636"/>
        <v>0</v>
      </c>
      <c r="BD329" s="963">
        <f t="shared" si="636"/>
        <v>0</v>
      </c>
      <c r="BE329" s="963">
        <f t="shared" si="636"/>
        <v>0</v>
      </c>
      <c r="BF329" s="963" t="e">
        <f t="shared" si="636"/>
        <v>#VALUE!</v>
      </c>
    </row>
    <row r="330" spans="29:58" x14ac:dyDescent="0.25">
      <c r="AC330" s="934">
        <f>'T3'!AC18</f>
        <v>42801</v>
      </c>
      <c r="AD330" s="968">
        <f>'T3'!AD18</f>
        <v>0</v>
      </c>
      <c r="AE330" s="962">
        <f>'T3'!N18</f>
        <v>0</v>
      </c>
      <c r="AF330" s="968">
        <f>'T3'!AF18</f>
        <v>0</v>
      </c>
      <c r="AG330" s="962">
        <f>'T3'!O18</f>
        <v>0</v>
      </c>
      <c r="AI330" s="962">
        <f>AE330+AI324</f>
        <v>0</v>
      </c>
      <c r="AJ330" s="962">
        <f>AG330+AJ324</f>
        <v>0</v>
      </c>
      <c r="AV330" s="954"/>
      <c r="AW330" s="963">
        <f t="shared" ref="AW330:BF330" si="637">IF(MONTH(AD330)=AW328,AH330,0)</f>
        <v>0</v>
      </c>
      <c r="AX330" s="963">
        <f t="shared" si="637"/>
        <v>0</v>
      </c>
      <c r="AY330" s="963">
        <f t="shared" si="637"/>
        <v>0</v>
      </c>
      <c r="AZ330" s="963">
        <f t="shared" si="637"/>
        <v>0</v>
      </c>
      <c r="BA330" s="963">
        <f t="shared" si="637"/>
        <v>0</v>
      </c>
      <c r="BB330" s="963">
        <f t="shared" si="637"/>
        <v>0</v>
      </c>
      <c r="BC330" s="963">
        <f t="shared" si="637"/>
        <v>0</v>
      </c>
      <c r="BD330" s="963">
        <f t="shared" si="637"/>
        <v>0</v>
      </c>
      <c r="BE330" s="963">
        <f t="shared" si="637"/>
        <v>0</v>
      </c>
      <c r="BF330" s="963">
        <f t="shared" si="637"/>
        <v>0</v>
      </c>
    </row>
    <row r="331" spans="29:58" x14ac:dyDescent="0.25">
      <c r="AC331" s="934">
        <f>'T3'!AC19</f>
        <v>42802</v>
      </c>
      <c r="AD331" s="968">
        <f>'T3'!AD19</f>
        <v>0</v>
      </c>
      <c r="AE331" s="962">
        <f>'T3'!N19</f>
        <v>0</v>
      </c>
      <c r="AF331" s="968">
        <f>'T3'!AF19</f>
        <v>0</v>
      </c>
      <c r="AG331" s="962">
        <f>'T3'!O19</f>
        <v>0</v>
      </c>
      <c r="AI331" s="962">
        <f t="shared" ref="AI331:AI336" si="638">AE331+AI330</f>
        <v>0</v>
      </c>
      <c r="AJ331" s="962">
        <f t="shared" ref="AJ331:AJ336" si="639">AG331+AJ330</f>
        <v>0</v>
      </c>
      <c r="AV331" s="954"/>
      <c r="AW331" s="963">
        <f t="shared" ref="AW331:BF331" si="640">IF(MONTH(AD331)=AW329,AH331,0)</f>
        <v>0</v>
      </c>
      <c r="AX331" s="963">
        <f t="shared" si="640"/>
        <v>0</v>
      </c>
      <c r="AY331" s="963">
        <f t="shared" si="640"/>
        <v>0</v>
      </c>
      <c r="AZ331" s="963">
        <f t="shared" si="640"/>
        <v>0</v>
      </c>
      <c r="BA331" s="963">
        <f t="shared" si="640"/>
        <v>0</v>
      </c>
      <c r="BB331" s="963">
        <f t="shared" si="640"/>
        <v>0</v>
      </c>
      <c r="BC331" s="963">
        <f t="shared" si="640"/>
        <v>0</v>
      </c>
      <c r="BD331" s="963">
        <f t="shared" si="640"/>
        <v>0</v>
      </c>
      <c r="BE331" s="963">
        <f t="shared" si="640"/>
        <v>0</v>
      </c>
      <c r="BF331" s="963" t="e">
        <f t="shared" si="640"/>
        <v>#VALUE!</v>
      </c>
    </row>
    <row r="332" spans="29:58" x14ac:dyDescent="0.25">
      <c r="AC332" s="934">
        <f>'T3'!AC20</f>
        <v>42803</v>
      </c>
      <c r="AD332" s="968">
        <f>'T3'!AD20</f>
        <v>0</v>
      </c>
      <c r="AE332" s="962">
        <f>'T3'!N20</f>
        <v>0</v>
      </c>
      <c r="AF332" s="968">
        <f>'T3'!AF20</f>
        <v>0</v>
      </c>
      <c r="AG332" s="962">
        <f>'T3'!O20</f>
        <v>0</v>
      </c>
      <c r="AI332" s="962">
        <f t="shared" si="638"/>
        <v>0</v>
      </c>
      <c r="AJ332" s="962">
        <f t="shared" si="639"/>
        <v>0</v>
      </c>
      <c r="AV332" s="954"/>
      <c r="AW332" s="963">
        <f t="shared" ref="AW332:BF332" si="641">IF(MONTH(AD332)=AW330,AH332,0)</f>
        <v>0</v>
      </c>
      <c r="AX332" s="963">
        <f t="shared" si="641"/>
        <v>0</v>
      </c>
      <c r="AY332" s="963">
        <f t="shared" si="641"/>
        <v>0</v>
      </c>
      <c r="AZ332" s="963">
        <f t="shared" si="641"/>
        <v>0</v>
      </c>
      <c r="BA332" s="963">
        <f t="shared" si="641"/>
        <v>0</v>
      </c>
      <c r="BB332" s="963">
        <f t="shared" si="641"/>
        <v>0</v>
      </c>
      <c r="BC332" s="963">
        <f t="shared" si="641"/>
        <v>0</v>
      </c>
      <c r="BD332" s="963">
        <f t="shared" si="641"/>
        <v>0</v>
      </c>
      <c r="BE332" s="963">
        <f t="shared" si="641"/>
        <v>0</v>
      </c>
      <c r="BF332" s="963">
        <f t="shared" si="641"/>
        <v>0</v>
      </c>
    </row>
    <row r="333" spans="29:58" x14ac:dyDescent="0.25">
      <c r="AC333" s="934">
        <f>'T3'!AC21</f>
        <v>42804</v>
      </c>
      <c r="AD333" s="968">
        <f>'T3'!AD21</f>
        <v>0</v>
      </c>
      <c r="AE333" s="962">
        <f>'T3'!N21</f>
        <v>0</v>
      </c>
      <c r="AF333" s="968">
        <f>'T3'!AF21</f>
        <v>0</v>
      </c>
      <c r="AG333" s="962">
        <f>'T3'!O21</f>
        <v>0</v>
      </c>
      <c r="AI333" s="962">
        <f t="shared" si="638"/>
        <v>0</v>
      </c>
      <c r="AJ333" s="962">
        <f t="shared" si="639"/>
        <v>0</v>
      </c>
      <c r="AV333" s="954"/>
      <c r="AW333" s="963">
        <f t="shared" ref="AW333:BF333" si="642">IF(MONTH(AD333)=AW331,AH333,0)</f>
        <v>0</v>
      </c>
      <c r="AX333" s="963">
        <f t="shared" si="642"/>
        <v>0</v>
      </c>
      <c r="AY333" s="963">
        <f t="shared" si="642"/>
        <v>0</v>
      </c>
      <c r="AZ333" s="963">
        <f t="shared" si="642"/>
        <v>0</v>
      </c>
      <c r="BA333" s="963">
        <f t="shared" si="642"/>
        <v>0</v>
      </c>
      <c r="BB333" s="963">
        <f t="shared" si="642"/>
        <v>0</v>
      </c>
      <c r="BC333" s="963">
        <f t="shared" si="642"/>
        <v>0</v>
      </c>
      <c r="BD333" s="963">
        <f t="shared" si="642"/>
        <v>0</v>
      </c>
      <c r="BE333" s="963">
        <f t="shared" si="642"/>
        <v>0</v>
      </c>
      <c r="BF333" s="963" t="e">
        <f t="shared" si="642"/>
        <v>#VALUE!</v>
      </c>
    </row>
    <row r="334" spans="29:58" x14ac:dyDescent="0.25">
      <c r="AC334" s="934">
        <f>'T3'!AC22</f>
        <v>42805</v>
      </c>
      <c r="AD334" s="968">
        <f>'T3'!AD22</f>
        <v>0</v>
      </c>
      <c r="AE334" s="962">
        <f>'T3'!N22</f>
        <v>0</v>
      </c>
      <c r="AF334" s="968">
        <f>'T3'!AF22</f>
        <v>0</v>
      </c>
      <c r="AG334" s="962">
        <f>'T3'!O22</f>
        <v>0</v>
      </c>
      <c r="AI334" s="962">
        <f t="shared" si="638"/>
        <v>0</v>
      </c>
      <c r="AJ334" s="962">
        <f t="shared" si="639"/>
        <v>0</v>
      </c>
      <c r="AV334" s="954"/>
      <c r="AW334" s="963">
        <f t="shared" ref="AW334:BF334" si="643">IF(MONTH(AD334)=AW332,AH334,0)</f>
        <v>0</v>
      </c>
      <c r="AX334" s="963">
        <f t="shared" si="643"/>
        <v>0</v>
      </c>
      <c r="AY334" s="963">
        <f t="shared" si="643"/>
        <v>0</v>
      </c>
      <c r="AZ334" s="963">
        <f t="shared" si="643"/>
        <v>0</v>
      </c>
      <c r="BA334" s="963">
        <f t="shared" si="643"/>
        <v>0</v>
      </c>
      <c r="BB334" s="963">
        <f t="shared" si="643"/>
        <v>0</v>
      </c>
      <c r="BC334" s="963">
        <f t="shared" si="643"/>
        <v>0</v>
      </c>
      <c r="BD334" s="963">
        <f t="shared" si="643"/>
        <v>0</v>
      </c>
      <c r="BE334" s="963">
        <f t="shared" si="643"/>
        <v>0</v>
      </c>
      <c r="BF334" s="963">
        <f t="shared" si="643"/>
        <v>0</v>
      </c>
    </row>
    <row r="335" spans="29:58" x14ac:dyDescent="0.25">
      <c r="AC335" s="934">
        <f>'T3'!AC23</f>
        <v>42806</v>
      </c>
      <c r="AD335" s="968">
        <f>'T3'!AD23</f>
        <v>0</v>
      </c>
      <c r="AE335" s="962">
        <f>'T3'!N23</f>
        <v>0</v>
      </c>
      <c r="AF335" s="968">
        <f>'T3'!AF23</f>
        <v>0</v>
      </c>
      <c r="AG335" s="962">
        <f>'T3'!O23</f>
        <v>0</v>
      </c>
      <c r="AI335" s="962">
        <f t="shared" si="638"/>
        <v>0</v>
      </c>
      <c r="AJ335" s="962">
        <f t="shared" si="639"/>
        <v>0</v>
      </c>
      <c r="AV335" s="954"/>
      <c r="AW335" s="963">
        <f t="shared" ref="AW335:BF335" si="644">IF(MONTH(AD335)=AW333,AH335,0)</f>
        <v>0</v>
      </c>
      <c r="AX335" s="963">
        <f t="shared" si="644"/>
        <v>0</v>
      </c>
      <c r="AY335" s="963">
        <f t="shared" si="644"/>
        <v>0</v>
      </c>
      <c r="AZ335" s="963">
        <f t="shared" si="644"/>
        <v>0</v>
      </c>
      <c r="BA335" s="963">
        <f t="shared" si="644"/>
        <v>0</v>
      </c>
      <c r="BB335" s="963">
        <f t="shared" si="644"/>
        <v>0</v>
      </c>
      <c r="BC335" s="963">
        <f t="shared" si="644"/>
        <v>0</v>
      </c>
      <c r="BD335" s="963">
        <f t="shared" si="644"/>
        <v>0</v>
      </c>
      <c r="BE335" s="963">
        <f t="shared" si="644"/>
        <v>0</v>
      </c>
      <c r="BF335" s="963" t="e">
        <f t="shared" si="644"/>
        <v>#VALUE!</v>
      </c>
    </row>
    <row r="336" spans="29:58" x14ac:dyDescent="0.25">
      <c r="AC336" s="934">
        <f>'T3'!AC24</f>
        <v>42807</v>
      </c>
      <c r="AD336" s="968">
        <f>'T3'!AD24</f>
        <v>0</v>
      </c>
      <c r="AE336" s="962">
        <f>'T3'!N24</f>
        <v>0</v>
      </c>
      <c r="AF336" s="968">
        <f>'T3'!AF24</f>
        <v>0</v>
      </c>
      <c r="AG336" s="962">
        <f>'T3'!O24</f>
        <v>0</v>
      </c>
      <c r="AI336" s="962">
        <f t="shared" si="638"/>
        <v>0</v>
      </c>
      <c r="AJ336" s="962">
        <f t="shared" si="639"/>
        <v>0</v>
      </c>
      <c r="AV336" s="954"/>
      <c r="AW336" s="963">
        <f t="shared" ref="AW336:BF336" si="645">IF(MONTH(AD336)=AW334,AH336,0)</f>
        <v>0</v>
      </c>
      <c r="AX336" s="963">
        <f t="shared" si="645"/>
        <v>0</v>
      </c>
      <c r="AY336" s="963">
        <f t="shared" si="645"/>
        <v>0</v>
      </c>
      <c r="AZ336" s="963">
        <f t="shared" si="645"/>
        <v>0</v>
      </c>
      <c r="BA336" s="963">
        <f t="shared" si="645"/>
        <v>0</v>
      </c>
      <c r="BB336" s="963">
        <f t="shared" si="645"/>
        <v>0</v>
      </c>
      <c r="BC336" s="963">
        <f t="shared" si="645"/>
        <v>0</v>
      </c>
      <c r="BD336" s="963">
        <f t="shared" si="645"/>
        <v>0</v>
      </c>
      <c r="BE336" s="963">
        <f t="shared" si="645"/>
        <v>0</v>
      </c>
      <c r="BF336" s="963">
        <f t="shared" si="645"/>
        <v>0</v>
      </c>
    </row>
    <row r="337" spans="29:58" x14ac:dyDescent="0.25">
      <c r="AV337" s="954"/>
      <c r="AW337" s="963">
        <f t="shared" ref="AW337:BF337" si="646">IF(MONTH(AD337)=AW335,AH337,0)</f>
        <v>0</v>
      </c>
      <c r="AX337" s="963">
        <f t="shared" si="646"/>
        <v>0</v>
      </c>
      <c r="AY337" s="963">
        <f t="shared" si="646"/>
        <v>0</v>
      </c>
      <c r="AZ337" s="963">
        <f t="shared" si="646"/>
        <v>0</v>
      </c>
      <c r="BA337" s="963">
        <f t="shared" si="646"/>
        <v>0</v>
      </c>
      <c r="BB337" s="963">
        <f t="shared" si="646"/>
        <v>0</v>
      </c>
      <c r="BC337" s="963">
        <f t="shared" si="646"/>
        <v>0</v>
      </c>
      <c r="BD337" s="963">
        <f t="shared" si="646"/>
        <v>0</v>
      </c>
      <c r="BE337" s="963">
        <f t="shared" si="646"/>
        <v>0</v>
      </c>
      <c r="BF337" s="963" t="e">
        <f t="shared" si="646"/>
        <v>#VALUE!</v>
      </c>
    </row>
    <row r="338" spans="29:58" x14ac:dyDescent="0.25">
      <c r="AV338" s="954"/>
      <c r="AW338" s="963">
        <f t="shared" ref="AW338:BF338" si="647">IF(MONTH(AD338)=AW336,AH338,0)</f>
        <v>0</v>
      </c>
      <c r="AX338" s="963">
        <f t="shared" si="647"/>
        <v>0</v>
      </c>
      <c r="AY338" s="963">
        <f t="shared" si="647"/>
        <v>0</v>
      </c>
      <c r="AZ338" s="963">
        <f t="shared" si="647"/>
        <v>0</v>
      </c>
      <c r="BA338" s="963">
        <f t="shared" si="647"/>
        <v>0</v>
      </c>
      <c r="BB338" s="963">
        <f t="shared" si="647"/>
        <v>0</v>
      </c>
      <c r="BC338" s="963">
        <f t="shared" si="647"/>
        <v>0</v>
      </c>
      <c r="BD338" s="963">
        <f t="shared" si="647"/>
        <v>0</v>
      </c>
      <c r="BE338" s="963">
        <f t="shared" si="647"/>
        <v>0</v>
      </c>
      <c r="BF338" s="963">
        <f t="shared" si="647"/>
        <v>0</v>
      </c>
    </row>
    <row r="339" spans="29:58" x14ac:dyDescent="0.25">
      <c r="AV339" s="954"/>
      <c r="AW339" s="963">
        <f t="shared" ref="AW339:BF339" si="648">IF(MONTH(AD339)=AW337,AH339,0)</f>
        <v>0</v>
      </c>
      <c r="AX339" s="963">
        <f t="shared" si="648"/>
        <v>0</v>
      </c>
      <c r="AY339" s="963">
        <f t="shared" si="648"/>
        <v>0</v>
      </c>
      <c r="AZ339" s="963">
        <f t="shared" si="648"/>
        <v>0</v>
      </c>
      <c r="BA339" s="963">
        <f t="shared" si="648"/>
        <v>0</v>
      </c>
      <c r="BB339" s="963">
        <f t="shared" si="648"/>
        <v>0</v>
      </c>
      <c r="BC339" s="963">
        <f t="shared" si="648"/>
        <v>0</v>
      </c>
      <c r="BD339" s="963">
        <f t="shared" si="648"/>
        <v>0</v>
      </c>
      <c r="BE339" s="963">
        <f t="shared" si="648"/>
        <v>0</v>
      </c>
      <c r="BF339" s="963" t="e">
        <f t="shared" si="648"/>
        <v>#VALUE!</v>
      </c>
    </row>
    <row r="340" spans="29:58" x14ac:dyDescent="0.25">
      <c r="AV340" s="954"/>
      <c r="AW340" s="963">
        <f t="shared" ref="AW340:BF340" si="649">IF(MONTH(AD340)=AW338,AH340,0)</f>
        <v>0</v>
      </c>
      <c r="AX340" s="963">
        <f t="shared" si="649"/>
        <v>0</v>
      </c>
      <c r="AY340" s="963">
        <f t="shared" si="649"/>
        <v>0</v>
      </c>
      <c r="AZ340" s="963">
        <f t="shared" si="649"/>
        <v>0</v>
      </c>
      <c r="BA340" s="963">
        <f t="shared" si="649"/>
        <v>0</v>
      </c>
      <c r="BB340" s="963">
        <f t="shared" si="649"/>
        <v>0</v>
      </c>
      <c r="BC340" s="963">
        <f t="shared" si="649"/>
        <v>0</v>
      </c>
      <c r="BD340" s="963">
        <f t="shared" si="649"/>
        <v>0</v>
      </c>
      <c r="BE340" s="963">
        <f t="shared" si="649"/>
        <v>0</v>
      </c>
      <c r="BF340" s="963">
        <f t="shared" si="649"/>
        <v>0</v>
      </c>
    </row>
    <row r="341" spans="29:58" x14ac:dyDescent="0.25">
      <c r="AV341" s="954"/>
      <c r="AW341" s="963">
        <f t="shared" ref="AW341:BF341" si="650">IF(MONTH(AD341)=AW339,AH341,0)</f>
        <v>0</v>
      </c>
      <c r="AX341" s="963">
        <f t="shared" si="650"/>
        <v>0</v>
      </c>
      <c r="AY341" s="963">
        <f t="shared" si="650"/>
        <v>0</v>
      </c>
      <c r="AZ341" s="963">
        <f t="shared" si="650"/>
        <v>0</v>
      </c>
      <c r="BA341" s="963">
        <f t="shared" si="650"/>
        <v>0</v>
      </c>
      <c r="BB341" s="963">
        <f t="shared" si="650"/>
        <v>0</v>
      </c>
      <c r="BC341" s="963">
        <f t="shared" si="650"/>
        <v>0</v>
      </c>
      <c r="BD341" s="963">
        <f t="shared" si="650"/>
        <v>0</v>
      </c>
      <c r="BE341" s="963">
        <f t="shared" si="650"/>
        <v>0</v>
      </c>
      <c r="BF341" s="963" t="e">
        <f t="shared" si="650"/>
        <v>#VALUE!</v>
      </c>
    </row>
    <row r="342" spans="29:58" x14ac:dyDescent="0.25">
      <c r="AC342" s="934">
        <f>'T3'!AC30</f>
        <v>42808</v>
      </c>
      <c r="AD342" s="968">
        <f>'T3'!AD30</f>
        <v>0</v>
      </c>
      <c r="AE342" s="962">
        <f>'T3'!N30</f>
        <v>0</v>
      </c>
      <c r="AF342" s="968">
        <f>'T3'!AF30</f>
        <v>0</v>
      </c>
      <c r="AG342" s="962">
        <f>'T3'!O30</f>
        <v>0</v>
      </c>
      <c r="AI342" s="962">
        <f>AE342+AI336</f>
        <v>0</v>
      </c>
      <c r="AJ342" s="962">
        <f>AG342+AJ336</f>
        <v>0</v>
      </c>
      <c r="AV342" s="954"/>
      <c r="AW342" s="963">
        <f t="shared" ref="AW342:BF342" si="651">IF(MONTH(AD342)=AW340,AH342,0)</f>
        <v>0</v>
      </c>
      <c r="AX342" s="963">
        <f t="shared" si="651"/>
        <v>0</v>
      </c>
      <c r="AY342" s="963">
        <f t="shared" si="651"/>
        <v>0</v>
      </c>
      <c r="AZ342" s="963">
        <f t="shared" si="651"/>
        <v>0</v>
      </c>
      <c r="BA342" s="963">
        <f t="shared" si="651"/>
        <v>0</v>
      </c>
      <c r="BB342" s="963">
        <f t="shared" si="651"/>
        <v>0</v>
      </c>
      <c r="BC342" s="963">
        <f t="shared" si="651"/>
        <v>0</v>
      </c>
      <c r="BD342" s="963">
        <f t="shared" si="651"/>
        <v>0</v>
      </c>
      <c r="BE342" s="963">
        <f t="shared" si="651"/>
        <v>0</v>
      </c>
      <c r="BF342" s="963">
        <f t="shared" si="651"/>
        <v>0</v>
      </c>
    </row>
    <row r="343" spans="29:58" x14ac:dyDescent="0.25">
      <c r="AC343" s="934">
        <f>'T3'!AC31</f>
        <v>42809</v>
      </c>
      <c r="AD343" s="968">
        <f>'T3'!AD31</f>
        <v>0</v>
      </c>
      <c r="AE343" s="962">
        <f>'T3'!N31</f>
        <v>0</v>
      </c>
      <c r="AF343" s="968">
        <f>'T3'!AF31</f>
        <v>0</v>
      </c>
      <c r="AG343" s="962">
        <f>'T3'!O31</f>
        <v>0</v>
      </c>
      <c r="AI343" s="962">
        <f t="shared" ref="AI343:AI348" si="652">AE343+AI342</f>
        <v>0</v>
      </c>
      <c r="AJ343" s="962">
        <f t="shared" ref="AJ343:AJ348" si="653">AG343+AJ342</f>
        <v>0</v>
      </c>
      <c r="AV343" s="954"/>
      <c r="AW343" s="963">
        <f t="shared" ref="AW343:BF343" si="654">IF(MONTH(AD343)=AW341,AH343,0)</f>
        <v>0</v>
      </c>
      <c r="AX343" s="963">
        <f t="shared" si="654"/>
        <v>0</v>
      </c>
      <c r="AY343" s="963">
        <f t="shared" si="654"/>
        <v>0</v>
      </c>
      <c r="AZ343" s="963">
        <f t="shared" si="654"/>
        <v>0</v>
      </c>
      <c r="BA343" s="963">
        <f t="shared" si="654"/>
        <v>0</v>
      </c>
      <c r="BB343" s="963">
        <f t="shared" si="654"/>
        <v>0</v>
      </c>
      <c r="BC343" s="963">
        <f t="shared" si="654"/>
        <v>0</v>
      </c>
      <c r="BD343" s="963">
        <f t="shared" si="654"/>
        <v>0</v>
      </c>
      <c r="BE343" s="963">
        <f t="shared" si="654"/>
        <v>0</v>
      </c>
      <c r="BF343" s="963" t="e">
        <f t="shared" si="654"/>
        <v>#VALUE!</v>
      </c>
    </row>
    <row r="344" spans="29:58" x14ac:dyDescent="0.25">
      <c r="AC344" s="934">
        <f>'T3'!AC32</f>
        <v>42810</v>
      </c>
      <c r="AD344" s="968">
        <f>'T3'!AD32</f>
        <v>0</v>
      </c>
      <c r="AE344" s="962">
        <f>'T3'!N32</f>
        <v>0</v>
      </c>
      <c r="AF344" s="968">
        <f>'T3'!AF32</f>
        <v>0</v>
      </c>
      <c r="AG344" s="962">
        <f>'T3'!O32</f>
        <v>0</v>
      </c>
      <c r="AI344" s="962">
        <f t="shared" si="652"/>
        <v>0</v>
      </c>
      <c r="AJ344" s="962">
        <f t="shared" si="653"/>
        <v>0</v>
      </c>
      <c r="AV344" s="954"/>
      <c r="AW344" s="963">
        <f t="shared" ref="AW344:BF344" si="655">IF(MONTH(AD344)=AW342,AH344,0)</f>
        <v>0</v>
      </c>
      <c r="AX344" s="963">
        <f t="shared" si="655"/>
        <v>0</v>
      </c>
      <c r="AY344" s="963">
        <f t="shared" si="655"/>
        <v>0</v>
      </c>
      <c r="AZ344" s="963">
        <f t="shared" si="655"/>
        <v>0</v>
      </c>
      <c r="BA344" s="963">
        <f t="shared" si="655"/>
        <v>0</v>
      </c>
      <c r="BB344" s="963">
        <f t="shared" si="655"/>
        <v>0</v>
      </c>
      <c r="BC344" s="963">
        <f t="shared" si="655"/>
        <v>0</v>
      </c>
      <c r="BD344" s="963">
        <f t="shared" si="655"/>
        <v>0</v>
      </c>
      <c r="BE344" s="963">
        <f t="shared" si="655"/>
        <v>0</v>
      </c>
      <c r="BF344" s="963">
        <f t="shared" si="655"/>
        <v>0</v>
      </c>
    </row>
    <row r="345" spans="29:58" x14ac:dyDescent="0.25">
      <c r="AC345" s="934">
        <f>'T3'!AC33</f>
        <v>42811</v>
      </c>
      <c r="AD345" s="968">
        <f>'T3'!AD33</f>
        <v>0</v>
      </c>
      <c r="AE345" s="962">
        <f>'T3'!N33</f>
        <v>0</v>
      </c>
      <c r="AF345" s="968">
        <f>'T3'!AF33</f>
        <v>0</v>
      </c>
      <c r="AG345" s="962">
        <f>'T3'!O33</f>
        <v>0</v>
      </c>
      <c r="AI345" s="962">
        <f t="shared" si="652"/>
        <v>0</v>
      </c>
      <c r="AJ345" s="962">
        <f t="shared" si="653"/>
        <v>0</v>
      </c>
      <c r="AV345" s="954"/>
      <c r="AW345" s="963">
        <f t="shared" ref="AW345:BF345" si="656">IF(MONTH(AD345)=AW343,AH345,0)</f>
        <v>0</v>
      </c>
      <c r="AX345" s="963">
        <f t="shared" si="656"/>
        <v>0</v>
      </c>
      <c r="AY345" s="963">
        <f t="shared" si="656"/>
        <v>0</v>
      </c>
      <c r="AZ345" s="963">
        <f t="shared" si="656"/>
        <v>0</v>
      </c>
      <c r="BA345" s="963">
        <f t="shared" si="656"/>
        <v>0</v>
      </c>
      <c r="BB345" s="963">
        <f t="shared" si="656"/>
        <v>0</v>
      </c>
      <c r="BC345" s="963">
        <f t="shared" si="656"/>
        <v>0</v>
      </c>
      <c r="BD345" s="963">
        <f t="shared" si="656"/>
        <v>0</v>
      </c>
      <c r="BE345" s="963">
        <f t="shared" si="656"/>
        <v>0</v>
      </c>
      <c r="BF345" s="963" t="e">
        <f t="shared" si="656"/>
        <v>#VALUE!</v>
      </c>
    </row>
    <row r="346" spans="29:58" x14ac:dyDescent="0.25">
      <c r="AC346" s="934">
        <f>'T3'!AC34</f>
        <v>42812</v>
      </c>
      <c r="AD346" s="968">
        <f>'T3'!AD34</f>
        <v>0</v>
      </c>
      <c r="AE346" s="962">
        <f>'T3'!N34</f>
        <v>0</v>
      </c>
      <c r="AF346" s="968">
        <f>'T3'!AF34</f>
        <v>0</v>
      </c>
      <c r="AG346" s="962">
        <f>'T3'!O34</f>
        <v>0</v>
      </c>
      <c r="AI346" s="962">
        <f t="shared" si="652"/>
        <v>0</v>
      </c>
      <c r="AJ346" s="962">
        <f t="shared" si="653"/>
        <v>0</v>
      </c>
      <c r="AV346" s="954"/>
      <c r="AW346" s="963">
        <f t="shared" ref="AW346:BF346" si="657">IF(MONTH(AD346)=AW344,AH346,0)</f>
        <v>0</v>
      </c>
      <c r="AX346" s="963">
        <f t="shared" si="657"/>
        <v>0</v>
      </c>
      <c r="AY346" s="963">
        <f t="shared" si="657"/>
        <v>0</v>
      </c>
      <c r="AZ346" s="963">
        <f t="shared" si="657"/>
        <v>0</v>
      </c>
      <c r="BA346" s="963">
        <f t="shared" si="657"/>
        <v>0</v>
      </c>
      <c r="BB346" s="963">
        <f t="shared" si="657"/>
        <v>0</v>
      </c>
      <c r="BC346" s="963">
        <f t="shared" si="657"/>
        <v>0</v>
      </c>
      <c r="BD346" s="963">
        <f t="shared" si="657"/>
        <v>0</v>
      </c>
      <c r="BE346" s="963">
        <f t="shared" si="657"/>
        <v>0</v>
      </c>
      <c r="BF346" s="963">
        <f t="shared" si="657"/>
        <v>0</v>
      </c>
    </row>
    <row r="347" spans="29:58" x14ac:dyDescent="0.25">
      <c r="AC347" s="934">
        <f>'T3'!AC35</f>
        <v>42813</v>
      </c>
      <c r="AD347" s="968">
        <f>'T3'!AD35</f>
        <v>0</v>
      </c>
      <c r="AE347" s="962">
        <f>'T3'!N35</f>
        <v>0</v>
      </c>
      <c r="AF347" s="968">
        <f>'T3'!AF35</f>
        <v>0</v>
      </c>
      <c r="AG347" s="962">
        <f>'T3'!O35</f>
        <v>0</v>
      </c>
      <c r="AI347" s="962">
        <f t="shared" si="652"/>
        <v>0</v>
      </c>
      <c r="AJ347" s="962">
        <f t="shared" si="653"/>
        <v>0</v>
      </c>
      <c r="AV347" s="954"/>
      <c r="AW347" s="963">
        <f t="shared" ref="AW347:BF347" si="658">IF(MONTH(AD347)=AW345,AH347,0)</f>
        <v>0</v>
      </c>
      <c r="AX347" s="963">
        <f t="shared" si="658"/>
        <v>0</v>
      </c>
      <c r="AY347" s="963">
        <f t="shared" si="658"/>
        <v>0</v>
      </c>
      <c r="AZ347" s="963">
        <f t="shared" si="658"/>
        <v>0</v>
      </c>
      <c r="BA347" s="963">
        <f t="shared" si="658"/>
        <v>0</v>
      </c>
      <c r="BB347" s="963">
        <f t="shared" si="658"/>
        <v>0</v>
      </c>
      <c r="BC347" s="963">
        <f t="shared" si="658"/>
        <v>0</v>
      </c>
      <c r="BD347" s="963">
        <f t="shared" si="658"/>
        <v>0</v>
      </c>
      <c r="BE347" s="963">
        <f t="shared" si="658"/>
        <v>0</v>
      </c>
      <c r="BF347" s="963" t="e">
        <f t="shared" si="658"/>
        <v>#VALUE!</v>
      </c>
    </row>
    <row r="348" spans="29:58" x14ac:dyDescent="0.25">
      <c r="AC348" s="934">
        <f>'T3'!AC36</f>
        <v>42814</v>
      </c>
      <c r="AD348" s="968">
        <f>'T3'!AD36</f>
        <v>0</v>
      </c>
      <c r="AE348" s="962">
        <f>'T3'!N36</f>
        <v>0</v>
      </c>
      <c r="AF348" s="968">
        <f>'T3'!AF36</f>
        <v>0</v>
      </c>
      <c r="AG348" s="962">
        <f>'T3'!O36</f>
        <v>0</v>
      </c>
      <c r="AI348" s="962">
        <f t="shared" si="652"/>
        <v>0</v>
      </c>
      <c r="AJ348" s="962">
        <f t="shared" si="653"/>
        <v>0</v>
      </c>
      <c r="AV348" s="954"/>
      <c r="AW348" s="963">
        <f t="shared" ref="AW348:BF348" si="659">IF(MONTH(AD348)=AW346,AH348,0)</f>
        <v>0</v>
      </c>
      <c r="AX348" s="963">
        <f t="shared" si="659"/>
        <v>0</v>
      </c>
      <c r="AY348" s="963">
        <f t="shared" si="659"/>
        <v>0</v>
      </c>
      <c r="AZ348" s="963">
        <f t="shared" si="659"/>
        <v>0</v>
      </c>
      <c r="BA348" s="963">
        <f t="shared" si="659"/>
        <v>0</v>
      </c>
      <c r="BB348" s="963">
        <f t="shared" si="659"/>
        <v>0</v>
      </c>
      <c r="BC348" s="963">
        <f t="shared" si="659"/>
        <v>0</v>
      </c>
      <c r="BD348" s="963">
        <f t="shared" si="659"/>
        <v>0</v>
      </c>
      <c r="BE348" s="963">
        <f t="shared" si="659"/>
        <v>0</v>
      </c>
      <c r="BF348" s="963">
        <f t="shared" si="659"/>
        <v>0</v>
      </c>
    </row>
    <row r="349" spans="29:58" x14ac:dyDescent="0.25">
      <c r="AV349" s="954"/>
      <c r="AW349" s="963">
        <f t="shared" ref="AW349:BF349" si="660">IF(MONTH(AD349)=AW347,AH349,0)</f>
        <v>0</v>
      </c>
      <c r="AX349" s="963">
        <f t="shared" si="660"/>
        <v>0</v>
      </c>
      <c r="AY349" s="963">
        <f t="shared" si="660"/>
        <v>0</v>
      </c>
      <c r="AZ349" s="963">
        <f t="shared" si="660"/>
        <v>0</v>
      </c>
      <c r="BA349" s="963">
        <f t="shared" si="660"/>
        <v>0</v>
      </c>
      <c r="BB349" s="963">
        <f t="shared" si="660"/>
        <v>0</v>
      </c>
      <c r="BC349" s="963">
        <f t="shared" si="660"/>
        <v>0</v>
      </c>
      <c r="BD349" s="963">
        <f t="shared" si="660"/>
        <v>0</v>
      </c>
      <c r="BE349" s="963">
        <f t="shared" si="660"/>
        <v>0</v>
      </c>
      <c r="BF349" s="963" t="e">
        <f t="shared" si="660"/>
        <v>#VALUE!</v>
      </c>
    </row>
    <row r="350" spans="29:58" x14ac:dyDescent="0.25">
      <c r="AV350" s="954"/>
      <c r="AW350" s="963">
        <f t="shared" ref="AW350:BF350" si="661">IF(MONTH(AD350)=AW348,AH350,0)</f>
        <v>0</v>
      </c>
      <c r="AX350" s="963">
        <f t="shared" si="661"/>
        <v>0</v>
      </c>
      <c r="AY350" s="963">
        <f t="shared" si="661"/>
        <v>0</v>
      </c>
      <c r="AZ350" s="963">
        <f t="shared" si="661"/>
        <v>0</v>
      </c>
      <c r="BA350" s="963">
        <f t="shared" si="661"/>
        <v>0</v>
      </c>
      <c r="BB350" s="963">
        <f t="shared" si="661"/>
        <v>0</v>
      </c>
      <c r="BC350" s="963">
        <f t="shared" si="661"/>
        <v>0</v>
      </c>
      <c r="BD350" s="963">
        <f t="shared" si="661"/>
        <v>0</v>
      </c>
      <c r="BE350" s="963">
        <f t="shared" si="661"/>
        <v>0</v>
      </c>
      <c r="BF350" s="963">
        <f t="shared" si="661"/>
        <v>0</v>
      </c>
    </row>
    <row r="351" spans="29:58" x14ac:dyDescent="0.25">
      <c r="AV351" s="954"/>
      <c r="AW351" s="963">
        <f t="shared" ref="AW351:BF351" si="662">IF(MONTH(AD351)=AW349,AH351,0)</f>
        <v>0</v>
      </c>
      <c r="AX351" s="963">
        <f t="shared" si="662"/>
        <v>0</v>
      </c>
      <c r="AY351" s="963">
        <f t="shared" si="662"/>
        <v>0</v>
      </c>
      <c r="AZ351" s="963">
        <f t="shared" si="662"/>
        <v>0</v>
      </c>
      <c r="BA351" s="963">
        <f t="shared" si="662"/>
        <v>0</v>
      </c>
      <c r="BB351" s="963">
        <f t="shared" si="662"/>
        <v>0</v>
      </c>
      <c r="BC351" s="963">
        <f t="shared" si="662"/>
        <v>0</v>
      </c>
      <c r="BD351" s="963">
        <f t="shared" si="662"/>
        <v>0</v>
      </c>
      <c r="BE351" s="963">
        <f t="shared" si="662"/>
        <v>0</v>
      </c>
      <c r="BF351" s="963" t="e">
        <f t="shared" si="662"/>
        <v>#VALUE!</v>
      </c>
    </row>
    <row r="352" spans="29:58" x14ac:dyDescent="0.25">
      <c r="AV352" s="954"/>
      <c r="AW352" s="963">
        <f t="shared" ref="AW352:BF352" si="663">IF(MONTH(AD352)=AW350,AH352,0)</f>
        <v>0</v>
      </c>
      <c r="AX352" s="963">
        <f t="shared" si="663"/>
        <v>0</v>
      </c>
      <c r="AY352" s="963">
        <f t="shared" si="663"/>
        <v>0</v>
      </c>
      <c r="AZ352" s="963">
        <f t="shared" si="663"/>
        <v>0</v>
      </c>
      <c r="BA352" s="963">
        <f t="shared" si="663"/>
        <v>0</v>
      </c>
      <c r="BB352" s="963">
        <f t="shared" si="663"/>
        <v>0</v>
      </c>
      <c r="BC352" s="963">
        <f t="shared" si="663"/>
        <v>0</v>
      </c>
      <c r="BD352" s="963">
        <f t="shared" si="663"/>
        <v>0</v>
      </c>
      <c r="BE352" s="963">
        <f t="shared" si="663"/>
        <v>0</v>
      </c>
      <c r="BF352" s="963">
        <f t="shared" si="663"/>
        <v>0</v>
      </c>
    </row>
    <row r="353" spans="29:58" x14ac:dyDescent="0.25">
      <c r="AV353" s="954"/>
      <c r="AW353" s="963">
        <f t="shared" ref="AW353:BF353" si="664">IF(MONTH(AD353)=AW351,AH353,0)</f>
        <v>0</v>
      </c>
      <c r="AX353" s="963">
        <f t="shared" si="664"/>
        <v>0</v>
      </c>
      <c r="AY353" s="963">
        <f t="shared" si="664"/>
        <v>0</v>
      </c>
      <c r="AZ353" s="963">
        <f t="shared" si="664"/>
        <v>0</v>
      </c>
      <c r="BA353" s="963">
        <f t="shared" si="664"/>
        <v>0</v>
      </c>
      <c r="BB353" s="963">
        <f t="shared" si="664"/>
        <v>0</v>
      </c>
      <c r="BC353" s="963">
        <f t="shared" si="664"/>
        <v>0</v>
      </c>
      <c r="BD353" s="963">
        <f t="shared" si="664"/>
        <v>0</v>
      </c>
      <c r="BE353" s="963">
        <f t="shared" si="664"/>
        <v>0</v>
      </c>
      <c r="BF353" s="963" t="e">
        <f t="shared" si="664"/>
        <v>#VALUE!</v>
      </c>
    </row>
    <row r="354" spans="29:58" x14ac:dyDescent="0.25">
      <c r="AC354" s="934">
        <f>'T3'!AC42</f>
        <v>42815</v>
      </c>
      <c r="AD354" s="968">
        <f>'T3'!AD42</f>
        <v>0</v>
      </c>
      <c r="AE354" s="962">
        <f>'T3'!N42</f>
        <v>0</v>
      </c>
      <c r="AF354" s="968">
        <f>'T3'!AF42</f>
        <v>0</v>
      </c>
      <c r="AG354" s="962">
        <f>'T3'!O42</f>
        <v>0</v>
      </c>
      <c r="AI354" s="962">
        <f>AE354+AI348</f>
        <v>0</v>
      </c>
      <c r="AJ354" s="962">
        <f>AG354+AJ348</f>
        <v>0</v>
      </c>
      <c r="AV354" s="954"/>
      <c r="AW354" s="963">
        <f t="shared" ref="AW354:BF354" si="665">IF(MONTH(AD354)=AW352,AH354,0)</f>
        <v>0</v>
      </c>
      <c r="AX354" s="963">
        <f t="shared" si="665"/>
        <v>0</v>
      </c>
      <c r="AY354" s="963">
        <f t="shared" si="665"/>
        <v>0</v>
      </c>
      <c r="AZ354" s="963">
        <f t="shared" si="665"/>
        <v>0</v>
      </c>
      <c r="BA354" s="963">
        <f t="shared" si="665"/>
        <v>0</v>
      </c>
      <c r="BB354" s="963">
        <f t="shared" si="665"/>
        <v>0</v>
      </c>
      <c r="BC354" s="963">
        <f t="shared" si="665"/>
        <v>0</v>
      </c>
      <c r="BD354" s="963">
        <f t="shared" si="665"/>
        <v>0</v>
      </c>
      <c r="BE354" s="963">
        <f t="shared" si="665"/>
        <v>0</v>
      </c>
      <c r="BF354" s="963">
        <f t="shared" si="665"/>
        <v>0</v>
      </c>
    </row>
    <row r="355" spans="29:58" x14ac:dyDescent="0.25">
      <c r="AC355" s="934">
        <f>'T3'!AC43</f>
        <v>42816</v>
      </c>
      <c r="AD355" s="968">
        <f>'T3'!AD43</f>
        <v>0</v>
      </c>
      <c r="AE355" s="962">
        <f>'T3'!N43</f>
        <v>0</v>
      </c>
      <c r="AF355" s="968">
        <f>'T3'!AF43</f>
        <v>0</v>
      </c>
      <c r="AG355" s="962">
        <f>'T3'!O43</f>
        <v>0</v>
      </c>
      <c r="AI355" s="962">
        <f t="shared" ref="AI355:AI360" si="666">AE355+AI354</f>
        <v>0</v>
      </c>
      <c r="AJ355" s="962">
        <f t="shared" ref="AJ355:AJ360" si="667">AG355+AJ354</f>
        <v>0</v>
      </c>
      <c r="AV355" s="954"/>
      <c r="AW355" s="963">
        <f t="shared" ref="AW355:BF355" si="668">IF(MONTH(AD355)=AW353,AH355,0)</f>
        <v>0</v>
      </c>
      <c r="AX355" s="963">
        <f t="shared" si="668"/>
        <v>0</v>
      </c>
      <c r="AY355" s="963">
        <f t="shared" si="668"/>
        <v>0</v>
      </c>
      <c r="AZ355" s="963">
        <f t="shared" si="668"/>
        <v>0</v>
      </c>
      <c r="BA355" s="963">
        <f t="shared" si="668"/>
        <v>0</v>
      </c>
      <c r="BB355" s="963">
        <f t="shared" si="668"/>
        <v>0</v>
      </c>
      <c r="BC355" s="963">
        <f t="shared" si="668"/>
        <v>0</v>
      </c>
      <c r="BD355" s="963">
        <f t="shared" si="668"/>
        <v>0</v>
      </c>
      <c r="BE355" s="963">
        <f t="shared" si="668"/>
        <v>0</v>
      </c>
      <c r="BF355" s="963" t="e">
        <f t="shared" si="668"/>
        <v>#VALUE!</v>
      </c>
    </row>
    <row r="356" spans="29:58" x14ac:dyDescent="0.25">
      <c r="AC356" s="934">
        <f>'T3'!AC44</f>
        <v>42817</v>
      </c>
      <c r="AD356" s="968">
        <f>'T3'!AD44</f>
        <v>0</v>
      </c>
      <c r="AE356" s="962">
        <f>'T3'!N44</f>
        <v>0</v>
      </c>
      <c r="AF356" s="968">
        <f>'T3'!AF44</f>
        <v>0</v>
      </c>
      <c r="AG356" s="962">
        <f>'T3'!O44</f>
        <v>0</v>
      </c>
      <c r="AI356" s="962">
        <f t="shared" si="666"/>
        <v>0</v>
      </c>
      <c r="AJ356" s="962">
        <f t="shared" si="667"/>
        <v>0</v>
      </c>
      <c r="AV356" s="954"/>
      <c r="AW356" s="963">
        <f t="shared" ref="AW356:BF356" si="669">IF(MONTH(AD356)=AW354,AH356,0)</f>
        <v>0</v>
      </c>
      <c r="AX356" s="963">
        <f t="shared" si="669"/>
        <v>0</v>
      </c>
      <c r="AY356" s="963">
        <f t="shared" si="669"/>
        <v>0</v>
      </c>
      <c r="AZ356" s="963">
        <f t="shared" si="669"/>
        <v>0</v>
      </c>
      <c r="BA356" s="963">
        <f t="shared" si="669"/>
        <v>0</v>
      </c>
      <c r="BB356" s="963">
        <f t="shared" si="669"/>
        <v>0</v>
      </c>
      <c r="BC356" s="963">
        <f t="shared" si="669"/>
        <v>0</v>
      </c>
      <c r="BD356" s="963">
        <f t="shared" si="669"/>
        <v>0</v>
      </c>
      <c r="BE356" s="963">
        <f t="shared" si="669"/>
        <v>0</v>
      </c>
      <c r="BF356" s="963">
        <f t="shared" si="669"/>
        <v>0</v>
      </c>
    </row>
    <row r="357" spans="29:58" x14ac:dyDescent="0.25">
      <c r="AC357" s="934">
        <f>'T3'!AC45</f>
        <v>42818</v>
      </c>
      <c r="AD357" s="968">
        <f>'T3'!AD45</f>
        <v>0</v>
      </c>
      <c r="AE357" s="962">
        <f>'T3'!N45</f>
        <v>0</v>
      </c>
      <c r="AF357" s="968">
        <f>'T3'!AF45</f>
        <v>0</v>
      </c>
      <c r="AG357" s="962">
        <f>'T3'!O45</f>
        <v>0</v>
      </c>
      <c r="AI357" s="962">
        <f t="shared" si="666"/>
        <v>0</v>
      </c>
      <c r="AJ357" s="962">
        <f t="shared" si="667"/>
        <v>0</v>
      </c>
      <c r="AV357" s="954"/>
      <c r="AW357" s="963">
        <f t="shared" ref="AW357:BF357" si="670">IF(MONTH(AD357)=AW355,AH357,0)</f>
        <v>0</v>
      </c>
      <c r="AX357" s="963">
        <f t="shared" si="670"/>
        <v>0</v>
      </c>
      <c r="AY357" s="963">
        <f t="shared" si="670"/>
        <v>0</v>
      </c>
      <c r="AZ357" s="963">
        <f t="shared" si="670"/>
        <v>0</v>
      </c>
      <c r="BA357" s="963">
        <f t="shared" si="670"/>
        <v>0</v>
      </c>
      <c r="BB357" s="963">
        <f t="shared" si="670"/>
        <v>0</v>
      </c>
      <c r="BC357" s="963">
        <f t="shared" si="670"/>
        <v>0</v>
      </c>
      <c r="BD357" s="963">
        <f t="shared" si="670"/>
        <v>0</v>
      </c>
      <c r="BE357" s="963">
        <f t="shared" si="670"/>
        <v>0</v>
      </c>
      <c r="BF357" s="963" t="e">
        <f t="shared" si="670"/>
        <v>#VALUE!</v>
      </c>
    </row>
    <row r="358" spans="29:58" x14ac:dyDescent="0.25">
      <c r="AC358" s="934">
        <f>'T3'!AC46</f>
        <v>42819</v>
      </c>
      <c r="AD358" s="968">
        <f>'T3'!AD46</f>
        <v>0</v>
      </c>
      <c r="AE358" s="962">
        <f>'T3'!N46</f>
        <v>0</v>
      </c>
      <c r="AF358" s="968">
        <f>'T3'!AF46</f>
        <v>0</v>
      </c>
      <c r="AG358" s="962">
        <f>'T3'!O46</f>
        <v>0</v>
      </c>
      <c r="AI358" s="962">
        <f t="shared" si="666"/>
        <v>0</v>
      </c>
      <c r="AJ358" s="962">
        <f t="shared" si="667"/>
        <v>0</v>
      </c>
      <c r="AV358" s="954"/>
      <c r="AW358" s="963">
        <f t="shared" ref="AW358:BF358" si="671">IF(MONTH(AD358)=AW356,AH358,0)</f>
        <v>0</v>
      </c>
      <c r="AX358" s="963">
        <f t="shared" si="671"/>
        <v>0</v>
      </c>
      <c r="AY358" s="963">
        <f t="shared" si="671"/>
        <v>0</v>
      </c>
      <c r="AZ358" s="963">
        <f t="shared" si="671"/>
        <v>0</v>
      </c>
      <c r="BA358" s="963">
        <f t="shared" si="671"/>
        <v>0</v>
      </c>
      <c r="BB358" s="963">
        <f t="shared" si="671"/>
        <v>0</v>
      </c>
      <c r="BC358" s="963">
        <f t="shared" si="671"/>
        <v>0</v>
      </c>
      <c r="BD358" s="963">
        <f t="shared" si="671"/>
        <v>0</v>
      </c>
      <c r="BE358" s="963">
        <f t="shared" si="671"/>
        <v>0</v>
      </c>
      <c r="BF358" s="963">
        <f t="shared" si="671"/>
        <v>0</v>
      </c>
    </row>
    <row r="359" spans="29:58" x14ac:dyDescent="0.25">
      <c r="AC359" s="934">
        <f>'T3'!AC47</f>
        <v>42820</v>
      </c>
      <c r="AD359" s="968">
        <f>'T3'!AD47</f>
        <v>0</v>
      </c>
      <c r="AE359" s="962">
        <f>'T3'!N47</f>
        <v>0</v>
      </c>
      <c r="AF359" s="968">
        <f>'T3'!AF47</f>
        <v>0</v>
      </c>
      <c r="AG359" s="962">
        <f>'T3'!O47</f>
        <v>0</v>
      </c>
      <c r="AI359" s="962">
        <f t="shared" si="666"/>
        <v>0</v>
      </c>
      <c r="AJ359" s="962">
        <f t="shared" si="667"/>
        <v>0</v>
      </c>
      <c r="AV359" s="954"/>
      <c r="AW359" s="963">
        <f t="shared" ref="AW359:BF359" si="672">IF(MONTH(AD359)=AW357,AH359,0)</f>
        <v>0</v>
      </c>
      <c r="AX359" s="963">
        <f t="shared" si="672"/>
        <v>0</v>
      </c>
      <c r="AY359" s="963">
        <f t="shared" si="672"/>
        <v>0</v>
      </c>
      <c r="AZ359" s="963">
        <f t="shared" si="672"/>
        <v>0</v>
      </c>
      <c r="BA359" s="963">
        <f t="shared" si="672"/>
        <v>0</v>
      </c>
      <c r="BB359" s="963">
        <f t="shared" si="672"/>
        <v>0</v>
      </c>
      <c r="BC359" s="963">
        <f t="shared" si="672"/>
        <v>0</v>
      </c>
      <c r="BD359" s="963">
        <f t="shared" si="672"/>
        <v>0</v>
      </c>
      <c r="BE359" s="963">
        <f t="shared" si="672"/>
        <v>0</v>
      </c>
      <c r="BF359" s="963" t="e">
        <f t="shared" si="672"/>
        <v>#VALUE!</v>
      </c>
    </row>
    <row r="360" spans="29:58" x14ac:dyDescent="0.25">
      <c r="AC360" s="934">
        <f>'T3'!AC48</f>
        <v>42821</v>
      </c>
      <c r="AD360" s="968">
        <f>'T3'!AD48</f>
        <v>0</v>
      </c>
      <c r="AE360" s="962">
        <f>'T3'!N48</f>
        <v>0</v>
      </c>
      <c r="AF360" s="968">
        <f>'T3'!AF48</f>
        <v>0</v>
      </c>
      <c r="AG360" s="962">
        <f>'T3'!O48</f>
        <v>0</v>
      </c>
      <c r="AI360" s="962">
        <f t="shared" si="666"/>
        <v>0</v>
      </c>
      <c r="AJ360" s="962">
        <f t="shared" si="667"/>
        <v>0</v>
      </c>
      <c r="AV360" s="954"/>
      <c r="AW360" s="963">
        <f t="shared" ref="AW360:BF360" si="673">IF(MONTH(AD360)=AW358,AH360,0)</f>
        <v>0</v>
      </c>
      <c r="AX360" s="963">
        <f t="shared" si="673"/>
        <v>0</v>
      </c>
      <c r="AY360" s="963">
        <f t="shared" si="673"/>
        <v>0</v>
      </c>
      <c r="AZ360" s="963">
        <f t="shared" si="673"/>
        <v>0</v>
      </c>
      <c r="BA360" s="963">
        <f t="shared" si="673"/>
        <v>0</v>
      </c>
      <c r="BB360" s="963">
        <f t="shared" si="673"/>
        <v>0</v>
      </c>
      <c r="BC360" s="963">
        <f t="shared" si="673"/>
        <v>0</v>
      </c>
      <c r="BD360" s="963">
        <f t="shared" si="673"/>
        <v>0</v>
      </c>
      <c r="BE360" s="963">
        <f t="shared" si="673"/>
        <v>0</v>
      </c>
      <c r="BF360" s="963">
        <f t="shared" si="673"/>
        <v>0</v>
      </c>
    </row>
    <row r="361" spans="29:58" x14ac:dyDescent="0.25">
      <c r="AV361" s="954"/>
      <c r="AW361" s="963">
        <f t="shared" ref="AW361:BF361" si="674">IF(MONTH(AD361)=AW359,AH361,0)</f>
        <v>0</v>
      </c>
      <c r="AX361" s="963">
        <f t="shared" si="674"/>
        <v>0</v>
      </c>
      <c r="AY361" s="963">
        <f t="shared" si="674"/>
        <v>0</v>
      </c>
      <c r="AZ361" s="963">
        <f t="shared" si="674"/>
        <v>0</v>
      </c>
      <c r="BA361" s="963">
        <f t="shared" si="674"/>
        <v>0</v>
      </c>
      <c r="BB361" s="963">
        <f t="shared" si="674"/>
        <v>0</v>
      </c>
      <c r="BC361" s="963">
        <f t="shared" si="674"/>
        <v>0</v>
      </c>
      <c r="BD361" s="963">
        <f t="shared" si="674"/>
        <v>0</v>
      </c>
      <c r="BE361" s="963">
        <f t="shared" si="674"/>
        <v>0</v>
      </c>
      <c r="BF361" s="963" t="e">
        <f t="shared" si="674"/>
        <v>#VALUE!</v>
      </c>
    </row>
    <row r="362" spans="29:58" x14ac:dyDescent="0.25">
      <c r="AV362" s="954"/>
      <c r="AW362" s="963">
        <f t="shared" ref="AW362:BF362" si="675">IF(MONTH(AD362)=AW360,AH362,0)</f>
        <v>0</v>
      </c>
      <c r="AX362" s="963">
        <f t="shared" si="675"/>
        <v>0</v>
      </c>
      <c r="AY362" s="963">
        <f t="shared" si="675"/>
        <v>0</v>
      </c>
      <c r="AZ362" s="963">
        <f t="shared" si="675"/>
        <v>0</v>
      </c>
      <c r="BA362" s="963">
        <f t="shared" si="675"/>
        <v>0</v>
      </c>
      <c r="BB362" s="963">
        <f t="shared" si="675"/>
        <v>0</v>
      </c>
      <c r="BC362" s="963">
        <f t="shared" si="675"/>
        <v>0</v>
      </c>
      <c r="BD362" s="963">
        <f t="shared" si="675"/>
        <v>0</v>
      </c>
      <c r="BE362" s="963">
        <f t="shared" si="675"/>
        <v>0</v>
      </c>
      <c r="BF362" s="963">
        <f t="shared" si="675"/>
        <v>0</v>
      </c>
    </row>
    <row r="363" spans="29:58" x14ac:dyDescent="0.25">
      <c r="AV363" s="954"/>
      <c r="AW363" s="963">
        <f t="shared" ref="AW363:BF363" si="676">IF(MONTH(AD363)=AW361,AH363,0)</f>
        <v>0</v>
      </c>
      <c r="AX363" s="963">
        <f t="shared" si="676"/>
        <v>0</v>
      </c>
      <c r="AY363" s="963">
        <f t="shared" si="676"/>
        <v>0</v>
      </c>
      <c r="AZ363" s="963">
        <f t="shared" si="676"/>
        <v>0</v>
      </c>
      <c r="BA363" s="963">
        <f t="shared" si="676"/>
        <v>0</v>
      </c>
      <c r="BB363" s="963">
        <f t="shared" si="676"/>
        <v>0</v>
      </c>
      <c r="BC363" s="963">
        <f t="shared" si="676"/>
        <v>0</v>
      </c>
      <c r="BD363" s="963">
        <f t="shared" si="676"/>
        <v>0</v>
      </c>
      <c r="BE363" s="963">
        <f t="shared" si="676"/>
        <v>0</v>
      </c>
      <c r="BF363" s="963" t="e">
        <f t="shared" si="676"/>
        <v>#VALUE!</v>
      </c>
    </row>
    <row r="364" spans="29:58" x14ac:dyDescent="0.25">
      <c r="AV364" s="954"/>
      <c r="AW364" s="963">
        <f t="shared" ref="AW364:BF364" si="677">IF(MONTH(AD364)=AW362,AH364,0)</f>
        <v>0</v>
      </c>
      <c r="AX364" s="963">
        <f t="shared" si="677"/>
        <v>0</v>
      </c>
      <c r="AY364" s="963">
        <f t="shared" si="677"/>
        <v>0</v>
      </c>
      <c r="AZ364" s="963">
        <f t="shared" si="677"/>
        <v>0</v>
      </c>
      <c r="BA364" s="963">
        <f t="shared" si="677"/>
        <v>0</v>
      </c>
      <c r="BB364" s="963">
        <f t="shared" si="677"/>
        <v>0</v>
      </c>
      <c r="BC364" s="963">
        <f t="shared" si="677"/>
        <v>0</v>
      </c>
      <c r="BD364" s="963">
        <f t="shared" si="677"/>
        <v>0</v>
      </c>
      <c r="BE364" s="963">
        <f t="shared" si="677"/>
        <v>0</v>
      </c>
      <c r="BF364" s="963">
        <f t="shared" si="677"/>
        <v>0</v>
      </c>
    </row>
    <row r="365" spans="29:58" x14ac:dyDescent="0.25">
      <c r="AV365" s="954"/>
      <c r="AW365" s="963">
        <f t="shared" ref="AW365:BF365" si="678">IF(MONTH(AD365)=AW363,AH365,0)</f>
        <v>0</v>
      </c>
      <c r="AX365" s="963">
        <f t="shared" si="678"/>
        <v>0</v>
      </c>
      <c r="AY365" s="963">
        <f t="shared" si="678"/>
        <v>0</v>
      </c>
      <c r="AZ365" s="963">
        <f t="shared" si="678"/>
        <v>0</v>
      </c>
      <c r="BA365" s="963">
        <f t="shared" si="678"/>
        <v>0</v>
      </c>
      <c r="BB365" s="963">
        <f t="shared" si="678"/>
        <v>0</v>
      </c>
      <c r="BC365" s="963">
        <f t="shared" si="678"/>
        <v>0</v>
      </c>
      <c r="BD365" s="963">
        <f t="shared" si="678"/>
        <v>0</v>
      </c>
      <c r="BE365" s="963">
        <f t="shared" si="678"/>
        <v>0</v>
      </c>
      <c r="BF365" s="963" t="e">
        <f t="shared" si="678"/>
        <v>#VALUE!</v>
      </c>
    </row>
    <row r="366" spans="29:58" x14ac:dyDescent="0.25">
      <c r="AC366" s="934">
        <f>'T3'!AC54</f>
        <v>42822</v>
      </c>
      <c r="AD366" s="968">
        <f>'T3'!AD54</f>
        <v>0</v>
      </c>
      <c r="AE366" s="962">
        <f>'T3'!N54</f>
        <v>0</v>
      </c>
      <c r="AF366" s="968">
        <f>'T3'!AF54</f>
        <v>0</v>
      </c>
      <c r="AG366" s="962">
        <f>'T3'!O54</f>
        <v>0</v>
      </c>
      <c r="AI366" s="962">
        <f>AE366+AI360</f>
        <v>0</v>
      </c>
      <c r="AJ366" s="962">
        <f>AG366+AJ360</f>
        <v>0</v>
      </c>
      <c r="AV366" s="954"/>
      <c r="AW366" s="963">
        <f t="shared" ref="AW366:BF366" si="679">IF(MONTH(AD366)=AW364,AH366,0)</f>
        <v>0</v>
      </c>
      <c r="AX366" s="963">
        <f t="shared" si="679"/>
        <v>0</v>
      </c>
      <c r="AY366" s="963">
        <f t="shared" si="679"/>
        <v>0</v>
      </c>
      <c r="AZ366" s="963">
        <f t="shared" si="679"/>
        <v>0</v>
      </c>
      <c r="BA366" s="963">
        <f t="shared" si="679"/>
        <v>0</v>
      </c>
      <c r="BB366" s="963">
        <f t="shared" si="679"/>
        <v>0</v>
      </c>
      <c r="BC366" s="963">
        <f t="shared" si="679"/>
        <v>0</v>
      </c>
      <c r="BD366" s="963">
        <f t="shared" si="679"/>
        <v>0</v>
      </c>
      <c r="BE366" s="963">
        <f t="shared" si="679"/>
        <v>0</v>
      </c>
      <c r="BF366" s="963">
        <f t="shared" si="679"/>
        <v>0</v>
      </c>
    </row>
    <row r="367" spans="29:58" x14ac:dyDescent="0.25">
      <c r="AC367" s="934">
        <f>'T3'!AC55</f>
        <v>42823</v>
      </c>
      <c r="AD367" s="968">
        <f>'T3'!AD55</f>
        <v>0</v>
      </c>
      <c r="AE367" s="962">
        <f>'T3'!N55</f>
        <v>0</v>
      </c>
      <c r="AF367" s="968">
        <f>'T3'!AF55</f>
        <v>0</v>
      </c>
      <c r="AG367" s="962">
        <f>'T3'!O55</f>
        <v>0</v>
      </c>
      <c r="AI367" s="962">
        <f t="shared" ref="AI367:AI372" si="680">AE367+AI366</f>
        <v>0</v>
      </c>
      <c r="AJ367" s="962">
        <f t="shared" ref="AJ367:AJ372" si="681">AG367+AJ366</f>
        <v>0</v>
      </c>
      <c r="AV367" s="954"/>
      <c r="AW367" s="963">
        <f t="shared" ref="AW367:BF367" si="682">IF(MONTH(AD367)=AW365,AH367,0)</f>
        <v>0</v>
      </c>
      <c r="AX367" s="963">
        <f t="shared" si="682"/>
        <v>0</v>
      </c>
      <c r="AY367" s="963">
        <f t="shared" si="682"/>
        <v>0</v>
      </c>
      <c r="AZ367" s="963">
        <f t="shared" si="682"/>
        <v>0</v>
      </c>
      <c r="BA367" s="963">
        <f t="shared" si="682"/>
        <v>0</v>
      </c>
      <c r="BB367" s="963">
        <f t="shared" si="682"/>
        <v>0</v>
      </c>
      <c r="BC367" s="963">
        <f t="shared" si="682"/>
        <v>0</v>
      </c>
      <c r="BD367" s="963">
        <f t="shared" si="682"/>
        <v>0</v>
      </c>
      <c r="BE367" s="963">
        <f t="shared" si="682"/>
        <v>0</v>
      </c>
      <c r="BF367" s="963" t="e">
        <f t="shared" si="682"/>
        <v>#VALUE!</v>
      </c>
    </row>
    <row r="368" spans="29:58" x14ac:dyDescent="0.25">
      <c r="AC368" s="934">
        <f>'T3'!AC56</f>
        <v>42824</v>
      </c>
      <c r="AD368" s="968">
        <f>'T3'!AD56</f>
        <v>0</v>
      </c>
      <c r="AE368" s="962">
        <f>'T3'!N56</f>
        <v>0</v>
      </c>
      <c r="AF368" s="968">
        <f>'T3'!AF56</f>
        <v>0</v>
      </c>
      <c r="AG368" s="962">
        <f>'T3'!O56</f>
        <v>0</v>
      </c>
      <c r="AI368" s="962">
        <f t="shared" si="680"/>
        <v>0</v>
      </c>
      <c r="AJ368" s="962">
        <f t="shared" si="681"/>
        <v>0</v>
      </c>
      <c r="AV368" s="954"/>
      <c r="AW368" s="963">
        <f t="shared" ref="AW368:BF368" si="683">IF(MONTH(AD368)=AW366,AH368,0)</f>
        <v>0</v>
      </c>
      <c r="AX368" s="963">
        <f t="shared" si="683"/>
        <v>0</v>
      </c>
      <c r="AY368" s="963">
        <f t="shared" si="683"/>
        <v>0</v>
      </c>
      <c r="AZ368" s="963">
        <f t="shared" si="683"/>
        <v>0</v>
      </c>
      <c r="BA368" s="963">
        <f t="shared" si="683"/>
        <v>0</v>
      </c>
      <c r="BB368" s="963">
        <f t="shared" si="683"/>
        <v>0</v>
      </c>
      <c r="BC368" s="963">
        <f t="shared" si="683"/>
        <v>0</v>
      </c>
      <c r="BD368" s="963">
        <f t="shared" si="683"/>
        <v>0</v>
      </c>
      <c r="BE368" s="963">
        <f t="shared" si="683"/>
        <v>0</v>
      </c>
      <c r="BF368" s="963">
        <f t="shared" si="683"/>
        <v>0</v>
      </c>
    </row>
    <row r="369" spans="29:58" x14ac:dyDescent="0.25">
      <c r="AC369" s="934">
        <f>'T3'!AC57</f>
        <v>42825</v>
      </c>
      <c r="AD369" s="968">
        <f>'T3'!AD57</f>
        <v>0</v>
      </c>
      <c r="AE369" s="962">
        <f>'T3'!N57</f>
        <v>0</v>
      </c>
      <c r="AF369" s="968">
        <f>'T3'!AF57</f>
        <v>0</v>
      </c>
      <c r="AG369" s="962">
        <f>'T3'!O57</f>
        <v>0</v>
      </c>
      <c r="AI369" s="962">
        <f t="shared" si="680"/>
        <v>0</v>
      </c>
      <c r="AJ369" s="962">
        <f t="shared" si="681"/>
        <v>0</v>
      </c>
      <c r="AV369" s="954"/>
      <c r="AW369" s="963">
        <f t="shared" ref="AW369:BF369" si="684">IF(MONTH(AD369)=AW367,AH369,0)</f>
        <v>0</v>
      </c>
      <c r="AX369" s="963">
        <f t="shared" si="684"/>
        <v>0</v>
      </c>
      <c r="AY369" s="963">
        <f t="shared" si="684"/>
        <v>0</v>
      </c>
      <c r="AZ369" s="963">
        <f t="shared" si="684"/>
        <v>0</v>
      </c>
      <c r="BA369" s="963">
        <f t="shared" si="684"/>
        <v>0</v>
      </c>
      <c r="BB369" s="963">
        <f t="shared" si="684"/>
        <v>0</v>
      </c>
      <c r="BC369" s="963">
        <f t="shared" si="684"/>
        <v>0</v>
      </c>
      <c r="BD369" s="963">
        <f t="shared" si="684"/>
        <v>0</v>
      </c>
      <c r="BE369" s="963">
        <f t="shared" si="684"/>
        <v>0</v>
      </c>
      <c r="BF369" s="963" t="e">
        <f t="shared" si="684"/>
        <v>#VALUE!</v>
      </c>
    </row>
    <row r="370" spans="29:58" x14ac:dyDescent="0.25">
      <c r="AC370" s="934">
        <f>'T3'!AC58</f>
        <v>42826</v>
      </c>
      <c r="AD370" s="968">
        <f>'T3'!AD58</f>
        <v>0</v>
      </c>
      <c r="AE370" s="962">
        <f>'T3'!N58</f>
        <v>0</v>
      </c>
      <c r="AF370" s="968">
        <f>'T3'!AF58</f>
        <v>0</v>
      </c>
      <c r="AG370" s="962">
        <f>'T3'!O58</f>
        <v>0</v>
      </c>
      <c r="AI370" s="962">
        <f t="shared" si="680"/>
        <v>0</v>
      </c>
      <c r="AJ370" s="962">
        <f t="shared" si="681"/>
        <v>0</v>
      </c>
      <c r="AV370" s="954"/>
      <c r="AW370" s="963">
        <f t="shared" ref="AW370:BF370" si="685">IF(MONTH(AD370)=AW368,AH370,0)</f>
        <v>0</v>
      </c>
      <c r="AX370" s="963">
        <f t="shared" si="685"/>
        <v>0</v>
      </c>
      <c r="AY370" s="963">
        <f t="shared" si="685"/>
        <v>0</v>
      </c>
      <c r="AZ370" s="963">
        <f t="shared" si="685"/>
        <v>0</v>
      </c>
      <c r="BA370" s="963">
        <f t="shared" si="685"/>
        <v>0</v>
      </c>
      <c r="BB370" s="963">
        <f t="shared" si="685"/>
        <v>0</v>
      </c>
      <c r="BC370" s="963">
        <f t="shared" si="685"/>
        <v>0</v>
      </c>
      <c r="BD370" s="963">
        <f t="shared" si="685"/>
        <v>0</v>
      </c>
      <c r="BE370" s="963">
        <f t="shared" si="685"/>
        <v>0</v>
      </c>
      <c r="BF370" s="963">
        <f t="shared" si="685"/>
        <v>0</v>
      </c>
    </row>
    <row r="371" spans="29:58" x14ac:dyDescent="0.25">
      <c r="AC371" s="934">
        <f>'T3'!AC59</f>
        <v>42827</v>
      </c>
      <c r="AD371" s="968">
        <f>'T3'!AD59</f>
        <v>0</v>
      </c>
      <c r="AE371" s="962">
        <f>'T3'!N59</f>
        <v>0</v>
      </c>
      <c r="AF371" s="968">
        <f>'T3'!AF59</f>
        <v>0</v>
      </c>
      <c r="AG371" s="962">
        <f>'T3'!O59</f>
        <v>0</v>
      </c>
      <c r="AI371" s="962">
        <f t="shared" si="680"/>
        <v>0</v>
      </c>
      <c r="AJ371" s="962">
        <f t="shared" si="681"/>
        <v>0</v>
      </c>
      <c r="AV371" s="954"/>
      <c r="AW371" s="963">
        <f t="shared" ref="AW371:BF371" si="686">IF(MONTH(AD371)=AW369,AH371,0)</f>
        <v>0</v>
      </c>
      <c r="AX371" s="963">
        <f t="shared" si="686"/>
        <v>0</v>
      </c>
      <c r="AY371" s="963">
        <f t="shared" si="686"/>
        <v>0</v>
      </c>
      <c r="AZ371" s="963">
        <f t="shared" si="686"/>
        <v>0</v>
      </c>
      <c r="BA371" s="963">
        <f t="shared" si="686"/>
        <v>0</v>
      </c>
      <c r="BB371" s="963">
        <f t="shared" si="686"/>
        <v>0</v>
      </c>
      <c r="BC371" s="963">
        <f t="shared" si="686"/>
        <v>0</v>
      </c>
      <c r="BD371" s="963">
        <f t="shared" si="686"/>
        <v>0</v>
      </c>
      <c r="BE371" s="963">
        <f t="shared" si="686"/>
        <v>0</v>
      </c>
      <c r="BF371" s="963" t="e">
        <f t="shared" si="686"/>
        <v>#VALUE!</v>
      </c>
    </row>
    <row r="372" spans="29:58" x14ac:dyDescent="0.25">
      <c r="AC372" s="934">
        <f>'T3'!AC60</f>
        <v>42828</v>
      </c>
      <c r="AD372" s="968">
        <f>'T3'!AD60</f>
        <v>0</v>
      </c>
      <c r="AE372" s="962">
        <f>'T3'!N60</f>
        <v>0</v>
      </c>
      <c r="AF372" s="968">
        <f>'T3'!AF60</f>
        <v>0</v>
      </c>
      <c r="AG372" s="962">
        <f>'T3'!O60</f>
        <v>0</v>
      </c>
      <c r="AI372" s="962">
        <f t="shared" si="680"/>
        <v>0</v>
      </c>
      <c r="AJ372" s="962">
        <f t="shared" si="681"/>
        <v>0</v>
      </c>
      <c r="AV372" s="954"/>
      <c r="AW372" s="963">
        <f t="shared" ref="AW372:BF372" si="687">IF(MONTH(AD372)=AW370,AH372,0)</f>
        <v>0</v>
      </c>
      <c r="AX372" s="963">
        <f t="shared" si="687"/>
        <v>0</v>
      </c>
      <c r="AY372" s="963">
        <f t="shared" si="687"/>
        <v>0</v>
      </c>
      <c r="AZ372" s="963">
        <f t="shared" si="687"/>
        <v>0</v>
      </c>
      <c r="BA372" s="963">
        <f t="shared" si="687"/>
        <v>0</v>
      </c>
      <c r="BB372" s="963">
        <f t="shared" si="687"/>
        <v>0</v>
      </c>
      <c r="BC372" s="963">
        <f t="shared" si="687"/>
        <v>0</v>
      </c>
      <c r="BD372" s="963">
        <f t="shared" si="687"/>
        <v>0</v>
      </c>
      <c r="BE372" s="963">
        <f t="shared" si="687"/>
        <v>0</v>
      </c>
      <c r="BF372" s="963">
        <f t="shared" si="687"/>
        <v>0</v>
      </c>
    </row>
    <row r="373" spans="29:58" x14ac:dyDescent="0.25">
      <c r="AV373" s="954"/>
      <c r="AW373" s="963">
        <f t="shared" ref="AW373:BF373" si="688">IF(MONTH(AD373)=AW371,AH373,0)</f>
        <v>0</v>
      </c>
      <c r="AX373" s="963">
        <f t="shared" si="688"/>
        <v>0</v>
      </c>
      <c r="AY373" s="963">
        <f t="shared" si="688"/>
        <v>0</v>
      </c>
      <c r="AZ373" s="963">
        <f t="shared" si="688"/>
        <v>0</v>
      </c>
      <c r="BA373" s="963">
        <f t="shared" si="688"/>
        <v>0</v>
      </c>
      <c r="BB373" s="963">
        <f t="shared" si="688"/>
        <v>0</v>
      </c>
      <c r="BC373" s="963">
        <f t="shared" si="688"/>
        <v>0</v>
      </c>
      <c r="BD373" s="963">
        <f t="shared" si="688"/>
        <v>0</v>
      </c>
      <c r="BE373" s="963">
        <f t="shared" si="688"/>
        <v>0</v>
      </c>
      <c r="BF373" s="963" t="e">
        <f t="shared" si="688"/>
        <v>#VALUE!</v>
      </c>
    </row>
    <row r="374" spans="29:58" x14ac:dyDescent="0.25">
      <c r="AV374" s="954"/>
      <c r="AW374" s="963">
        <f t="shared" ref="AW374:BF374" si="689">IF(MONTH(AD374)=AW372,AH374,0)</f>
        <v>0</v>
      </c>
      <c r="AX374" s="963">
        <f t="shared" si="689"/>
        <v>0</v>
      </c>
      <c r="AY374" s="963">
        <f t="shared" si="689"/>
        <v>0</v>
      </c>
      <c r="AZ374" s="963">
        <f t="shared" si="689"/>
        <v>0</v>
      </c>
      <c r="BA374" s="963">
        <f t="shared" si="689"/>
        <v>0</v>
      </c>
      <c r="BB374" s="963">
        <f t="shared" si="689"/>
        <v>0</v>
      </c>
      <c r="BC374" s="963">
        <f t="shared" si="689"/>
        <v>0</v>
      </c>
      <c r="BD374" s="963">
        <f t="shared" si="689"/>
        <v>0</v>
      </c>
      <c r="BE374" s="963">
        <f t="shared" si="689"/>
        <v>0</v>
      </c>
      <c r="BF374" s="963">
        <f t="shared" si="689"/>
        <v>0</v>
      </c>
    </row>
    <row r="375" spans="29:58" x14ac:dyDescent="0.25">
      <c r="AV375" s="954"/>
      <c r="AW375" s="963">
        <f t="shared" ref="AW375:BF375" si="690">IF(MONTH(AD375)=AW373,AH375,0)</f>
        <v>0</v>
      </c>
      <c r="AX375" s="963">
        <f t="shared" si="690"/>
        <v>0</v>
      </c>
      <c r="AY375" s="963">
        <f t="shared" si="690"/>
        <v>0</v>
      </c>
      <c r="AZ375" s="963">
        <f t="shared" si="690"/>
        <v>0</v>
      </c>
      <c r="BA375" s="963">
        <f t="shared" si="690"/>
        <v>0</v>
      </c>
      <c r="BB375" s="963">
        <f t="shared" si="690"/>
        <v>0</v>
      </c>
      <c r="BC375" s="963">
        <f t="shared" si="690"/>
        <v>0</v>
      </c>
      <c r="BD375" s="963">
        <f t="shared" si="690"/>
        <v>0</v>
      </c>
      <c r="BE375" s="963">
        <f t="shared" si="690"/>
        <v>0</v>
      </c>
      <c r="BF375" s="963" t="e">
        <f t="shared" si="690"/>
        <v>#VALUE!</v>
      </c>
    </row>
    <row r="376" spans="29:58" x14ac:dyDescent="0.25">
      <c r="AV376" s="954"/>
      <c r="AW376" s="963">
        <f t="shared" ref="AW376:BF376" si="691">IF(MONTH(AD376)=AW374,AH376,0)</f>
        <v>0</v>
      </c>
      <c r="AX376" s="963">
        <f t="shared" si="691"/>
        <v>0</v>
      </c>
      <c r="AY376" s="963">
        <f t="shared" si="691"/>
        <v>0</v>
      </c>
      <c r="AZ376" s="963">
        <f t="shared" si="691"/>
        <v>0</v>
      </c>
      <c r="BA376" s="963">
        <f t="shared" si="691"/>
        <v>0</v>
      </c>
      <c r="BB376" s="963">
        <f t="shared" si="691"/>
        <v>0</v>
      </c>
      <c r="BC376" s="963">
        <f t="shared" si="691"/>
        <v>0</v>
      </c>
      <c r="BD376" s="963">
        <f t="shared" si="691"/>
        <v>0</v>
      </c>
      <c r="BE376" s="963">
        <f t="shared" si="691"/>
        <v>0</v>
      </c>
      <c r="BF376" s="963">
        <f t="shared" si="691"/>
        <v>0</v>
      </c>
    </row>
    <row r="377" spans="29:58" x14ac:dyDescent="0.25">
      <c r="AV377" s="954"/>
      <c r="AW377" s="963">
        <f t="shared" ref="AW377:BF377" si="692">IF(MONTH(AD377)=AW375,AH377,0)</f>
        <v>0</v>
      </c>
      <c r="AX377" s="963">
        <f t="shared" si="692"/>
        <v>0</v>
      </c>
      <c r="AY377" s="963">
        <f t="shared" si="692"/>
        <v>0</v>
      </c>
      <c r="AZ377" s="963">
        <f t="shared" si="692"/>
        <v>0</v>
      </c>
      <c r="BA377" s="963">
        <f t="shared" si="692"/>
        <v>0</v>
      </c>
      <c r="BB377" s="963">
        <f t="shared" si="692"/>
        <v>0</v>
      </c>
      <c r="BC377" s="963">
        <f t="shared" si="692"/>
        <v>0</v>
      </c>
      <c r="BD377" s="963">
        <f t="shared" si="692"/>
        <v>0</v>
      </c>
      <c r="BE377" s="963">
        <f t="shared" si="692"/>
        <v>0</v>
      </c>
      <c r="BF377" s="963" t="e">
        <f t="shared" si="692"/>
        <v>#VALUE!</v>
      </c>
    </row>
    <row r="378" spans="29:58" x14ac:dyDescent="0.25">
      <c r="AC378" s="934">
        <f>'T3'!AC66</f>
        <v>42829</v>
      </c>
      <c r="AD378" s="968">
        <f>'T3'!AD66</f>
        <v>0</v>
      </c>
      <c r="AE378" s="962">
        <f>'T3'!N66</f>
        <v>0</v>
      </c>
      <c r="AF378" s="968">
        <f>'T3'!AF66</f>
        <v>0</v>
      </c>
      <c r="AG378" s="962">
        <f>'T3'!O66</f>
        <v>0</v>
      </c>
      <c r="AI378" s="962">
        <f>AE378+AI372</f>
        <v>0</v>
      </c>
      <c r="AJ378" s="962">
        <f>AG378+AJ372</f>
        <v>0</v>
      </c>
      <c r="AV378" s="954"/>
      <c r="AW378" s="963">
        <f t="shared" ref="AW378:BF378" si="693">IF(MONTH(AD378)=AW376,AH378,0)</f>
        <v>0</v>
      </c>
      <c r="AX378" s="963">
        <f t="shared" si="693"/>
        <v>0</v>
      </c>
      <c r="AY378" s="963">
        <f t="shared" si="693"/>
        <v>0</v>
      </c>
      <c r="AZ378" s="963">
        <f t="shared" si="693"/>
        <v>0</v>
      </c>
      <c r="BA378" s="963">
        <f t="shared" si="693"/>
        <v>0</v>
      </c>
      <c r="BB378" s="963">
        <f t="shared" si="693"/>
        <v>0</v>
      </c>
      <c r="BC378" s="963">
        <f t="shared" si="693"/>
        <v>0</v>
      </c>
      <c r="BD378" s="963">
        <f t="shared" si="693"/>
        <v>0</v>
      </c>
      <c r="BE378" s="963">
        <f t="shared" si="693"/>
        <v>0</v>
      </c>
      <c r="BF378" s="963">
        <f t="shared" si="693"/>
        <v>0</v>
      </c>
    </row>
    <row r="379" spans="29:58" x14ac:dyDescent="0.25">
      <c r="AC379" s="934">
        <f>'T3'!AC67</f>
        <v>42830</v>
      </c>
      <c r="AD379" s="968">
        <f>'T3'!AD67</f>
        <v>0</v>
      </c>
      <c r="AE379" s="962">
        <f>'T3'!N67</f>
        <v>0</v>
      </c>
      <c r="AF379" s="968">
        <f>'T3'!AF67</f>
        <v>0</v>
      </c>
      <c r="AG379" s="962">
        <f>'T3'!O67</f>
        <v>0</v>
      </c>
      <c r="AI379" s="962">
        <f t="shared" ref="AI379:AI384" si="694">AE379+AI378</f>
        <v>0</v>
      </c>
      <c r="AJ379" s="962">
        <f t="shared" ref="AJ379:AJ384" si="695">AG379+AJ378</f>
        <v>0</v>
      </c>
      <c r="AV379" s="954"/>
      <c r="AW379" s="963">
        <f t="shared" ref="AW379:BF379" si="696">IF(MONTH(AD379)=AW377,AH379,0)</f>
        <v>0</v>
      </c>
      <c r="AX379" s="963">
        <f t="shared" si="696"/>
        <v>0</v>
      </c>
      <c r="AY379" s="963">
        <f t="shared" si="696"/>
        <v>0</v>
      </c>
      <c r="AZ379" s="963">
        <f t="shared" si="696"/>
        <v>0</v>
      </c>
      <c r="BA379" s="963">
        <f t="shared" si="696"/>
        <v>0</v>
      </c>
      <c r="BB379" s="963">
        <f t="shared" si="696"/>
        <v>0</v>
      </c>
      <c r="BC379" s="963">
        <f t="shared" si="696"/>
        <v>0</v>
      </c>
      <c r="BD379" s="963">
        <f t="shared" si="696"/>
        <v>0</v>
      </c>
      <c r="BE379" s="963">
        <f t="shared" si="696"/>
        <v>0</v>
      </c>
      <c r="BF379" s="963" t="e">
        <f t="shared" si="696"/>
        <v>#VALUE!</v>
      </c>
    </row>
    <row r="380" spans="29:58" x14ac:dyDescent="0.25">
      <c r="AC380" s="934">
        <f>'T3'!AC68</f>
        <v>42831</v>
      </c>
      <c r="AD380" s="968">
        <f>'T3'!AD68</f>
        <v>0</v>
      </c>
      <c r="AE380" s="962">
        <f>'T3'!N68</f>
        <v>0</v>
      </c>
      <c r="AF380" s="968">
        <f>'T3'!AF68</f>
        <v>0</v>
      </c>
      <c r="AG380" s="962">
        <f>'T3'!O68</f>
        <v>0</v>
      </c>
      <c r="AI380" s="962">
        <f t="shared" si="694"/>
        <v>0</v>
      </c>
      <c r="AJ380" s="962">
        <f t="shared" si="695"/>
        <v>0</v>
      </c>
      <c r="AV380" s="954"/>
      <c r="AW380" s="963">
        <f t="shared" ref="AW380:BF380" si="697">IF(MONTH(AD380)=AW378,AH380,0)</f>
        <v>0</v>
      </c>
      <c r="AX380" s="963">
        <f t="shared" si="697"/>
        <v>0</v>
      </c>
      <c r="AY380" s="963">
        <f t="shared" si="697"/>
        <v>0</v>
      </c>
      <c r="AZ380" s="963">
        <f t="shared" si="697"/>
        <v>0</v>
      </c>
      <c r="BA380" s="963">
        <f t="shared" si="697"/>
        <v>0</v>
      </c>
      <c r="BB380" s="963">
        <f t="shared" si="697"/>
        <v>0</v>
      </c>
      <c r="BC380" s="963">
        <f t="shared" si="697"/>
        <v>0</v>
      </c>
      <c r="BD380" s="963">
        <f t="shared" si="697"/>
        <v>0</v>
      </c>
      <c r="BE380" s="963">
        <f t="shared" si="697"/>
        <v>0</v>
      </c>
      <c r="BF380" s="963">
        <f t="shared" si="697"/>
        <v>0</v>
      </c>
    </row>
    <row r="381" spans="29:58" x14ac:dyDescent="0.25">
      <c r="AC381" s="934">
        <f>'T3'!AC69</f>
        <v>42832</v>
      </c>
      <c r="AD381" s="968">
        <f>'T3'!AD69</f>
        <v>0</v>
      </c>
      <c r="AE381" s="962">
        <f>'T3'!N69</f>
        <v>0</v>
      </c>
      <c r="AF381" s="968">
        <f>'T3'!AF69</f>
        <v>0</v>
      </c>
      <c r="AG381" s="962">
        <f>'T3'!O69</f>
        <v>0</v>
      </c>
      <c r="AI381" s="962">
        <f t="shared" si="694"/>
        <v>0</v>
      </c>
      <c r="AJ381" s="962">
        <f t="shared" si="695"/>
        <v>0</v>
      </c>
      <c r="AV381" s="954"/>
      <c r="AW381" s="963">
        <f t="shared" ref="AW381:BF381" si="698">IF(MONTH(AD381)=AW379,AH381,0)</f>
        <v>0</v>
      </c>
      <c r="AX381" s="963">
        <f t="shared" si="698"/>
        <v>0</v>
      </c>
      <c r="AY381" s="963">
        <f t="shared" si="698"/>
        <v>0</v>
      </c>
      <c r="AZ381" s="963">
        <f t="shared" si="698"/>
        <v>0</v>
      </c>
      <c r="BA381" s="963">
        <f t="shared" si="698"/>
        <v>0</v>
      </c>
      <c r="BB381" s="963">
        <f t="shared" si="698"/>
        <v>0</v>
      </c>
      <c r="BC381" s="963">
        <f t="shared" si="698"/>
        <v>0</v>
      </c>
      <c r="BD381" s="963">
        <f t="shared" si="698"/>
        <v>0</v>
      </c>
      <c r="BE381" s="963">
        <f t="shared" si="698"/>
        <v>0</v>
      </c>
      <c r="BF381" s="963" t="e">
        <f t="shared" si="698"/>
        <v>#VALUE!</v>
      </c>
    </row>
    <row r="382" spans="29:58" x14ac:dyDescent="0.25">
      <c r="AC382" s="934">
        <f>'T3'!AC70</f>
        <v>42833</v>
      </c>
      <c r="AD382" s="968">
        <f>'T3'!AD70</f>
        <v>0</v>
      </c>
      <c r="AE382" s="962">
        <f>'T3'!N70</f>
        <v>0</v>
      </c>
      <c r="AF382" s="968">
        <f>'T3'!AF70</f>
        <v>0</v>
      </c>
      <c r="AG382" s="962">
        <f>'T3'!O70</f>
        <v>0</v>
      </c>
      <c r="AI382" s="962">
        <f t="shared" si="694"/>
        <v>0</v>
      </c>
      <c r="AJ382" s="962">
        <f t="shared" si="695"/>
        <v>0</v>
      </c>
      <c r="AV382" s="954"/>
      <c r="AW382" s="963">
        <f t="shared" ref="AW382:BF382" si="699">IF(MONTH(AD382)=AW380,AH382,0)</f>
        <v>0</v>
      </c>
      <c r="AX382" s="963">
        <f t="shared" si="699"/>
        <v>0</v>
      </c>
      <c r="AY382" s="963">
        <f t="shared" si="699"/>
        <v>0</v>
      </c>
      <c r="AZ382" s="963">
        <f t="shared" si="699"/>
        <v>0</v>
      </c>
      <c r="BA382" s="963">
        <f t="shared" si="699"/>
        <v>0</v>
      </c>
      <c r="BB382" s="963">
        <f t="shared" si="699"/>
        <v>0</v>
      </c>
      <c r="BC382" s="963">
        <f t="shared" si="699"/>
        <v>0</v>
      </c>
      <c r="BD382" s="963">
        <f t="shared" si="699"/>
        <v>0</v>
      </c>
      <c r="BE382" s="963">
        <f t="shared" si="699"/>
        <v>0</v>
      </c>
      <c r="BF382" s="963">
        <f t="shared" si="699"/>
        <v>0</v>
      </c>
    </row>
    <row r="383" spans="29:58" x14ac:dyDescent="0.25">
      <c r="AC383" s="934">
        <f>'T3'!AC71</f>
        <v>42834</v>
      </c>
      <c r="AD383" s="968">
        <f>'T3'!AD71</f>
        <v>0</v>
      </c>
      <c r="AE383" s="962">
        <f>'T3'!N71</f>
        <v>0</v>
      </c>
      <c r="AF383" s="968">
        <f>'T3'!AF71</f>
        <v>0</v>
      </c>
      <c r="AG383" s="962">
        <f>'T3'!O71</f>
        <v>0</v>
      </c>
      <c r="AI383" s="962">
        <f t="shared" si="694"/>
        <v>0</v>
      </c>
      <c r="AJ383" s="962">
        <f t="shared" si="695"/>
        <v>0</v>
      </c>
      <c r="AV383" s="954"/>
      <c r="AW383" s="963">
        <f t="shared" ref="AW383:BF383" si="700">IF(MONTH(AD383)=AW381,AH383,0)</f>
        <v>0</v>
      </c>
      <c r="AX383" s="963">
        <f t="shared" si="700"/>
        <v>0</v>
      </c>
      <c r="AY383" s="963">
        <f t="shared" si="700"/>
        <v>0</v>
      </c>
      <c r="AZ383" s="963">
        <f t="shared" si="700"/>
        <v>0</v>
      </c>
      <c r="BA383" s="963">
        <f t="shared" si="700"/>
        <v>0</v>
      </c>
      <c r="BB383" s="963">
        <f t="shared" si="700"/>
        <v>0</v>
      </c>
      <c r="BC383" s="963">
        <f t="shared" si="700"/>
        <v>0</v>
      </c>
      <c r="BD383" s="963">
        <f t="shared" si="700"/>
        <v>0</v>
      </c>
      <c r="BE383" s="963">
        <f t="shared" si="700"/>
        <v>0</v>
      </c>
      <c r="BF383" s="963" t="e">
        <f t="shared" si="700"/>
        <v>#VALUE!</v>
      </c>
    </row>
    <row r="384" spans="29:58" x14ac:dyDescent="0.25">
      <c r="AC384" s="934">
        <f>'T3'!AC72</f>
        <v>42835</v>
      </c>
      <c r="AD384" s="968">
        <f>'T3'!AD72</f>
        <v>0</v>
      </c>
      <c r="AE384" s="962">
        <f>'T3'!N72</f>
        <v>0</v>
      </c>
      <c r="AF384" s="968">
        <f>'T3'!AF72</f>
        <v>0</v>
      </c>
      <c r="AG384" s="962">
        <f>'T3'!O72</f>
        <v>0</v>
      </c>
      <c r="AI384" s="962">
        <f t="shared" si="694"/>
        <v>0</v>
      </c>
      <c r="AJ384" s="962">
        <f t="shared" si="695"/>
        <v>0</v>
      </c>
      <c r="AV384" s="954"/>
      <c r="AW384" s="963">
        <f t="shared" ref="AW384:BF384" si="701">IF(MONTH(AD384)=AW382,AH384,0)</f>
        <v>0</v>
      </c>
      <c r="AX384" s="963">
        <f t="shared" si="701"/>
        <v>0</v>
      </c>
      <c r="AY384" s="963">
        <f t="shared" si="701"/>
        <v>0</v>
      </c>
      <c r="AZ384" s="963">
        <f t="shared" si="701"/>
        <v>0</v>
      </c>
      <c r="BA384" s="963">
        <f t="shared" si="701"/>
        <v>0</v>
      </c>
      <c r="BB384" s="963">
        <f t="shared" si="701"/>
        <v>0</v>
      </c>
      <c r="BC384" s="963">
        <f t="shared" si="701"/>
        <v>0</v>
      </c>
      <c r="BD384" s="963">
        <f t="shared" si="701"/>
        <v>0</v>
      </c>
      <c r="BE384" s="963">
        <f t="shared" si="701"/>
        <v>0</v>
      </c>
      <c r="BF384" s="963">
        <f t="shared" si="701"/>
        <v>0</v>
      </c>
    </row>
    <row r="385" spans="29:58" x14ac:dyDescent="0.25">
      <c r="AV385" s="954"/>
      <c r="AW385" s="963">
        <f t="shared" ref="AW385:BF385" si="702">IF(MONTH(AD385)=AW383,AH385,0)</f>
        <v>0</v>
      </c>
      <c r="AX385" s="963">
        <f t="shared" si="702"/>
        <v>0</v>
      </c>
      <c r="AY385" s="963">
        <f t="shared" si="702"/>
        <v>0</v>
      </c>
      <c r="AZ385" s="963">
        <f t="shared" si="702"/>
        <v>0</v>
      </c>
      <c r="BA385" s="963">
        <f t="shared" si="702"/>
        <v>0</v>
      </c>
      <c r="BB385" s="963">
        <f t="shared" si="702"/>
        <v>0</v>
      </c>
      <c r="BC385" s="963">
        <f t="shared" si="702"/>
        <v>0</v>
      </c>
      <c r="BD385" s="963">
        <f t="shared" si="702"/>
        <v>0</v>
      </c>
      <c r="BE385" s="963">
        <f t="shared" si="702"/>
        <v>0</v>
      </c>
      <c r="BF385" s="963" t="e">
        <f t="shared" si="702"/>
        <v>#VALUE!</v>
      </c>
    </row>
    <row r="386" spans="29:58" x14ac:dyDescent="0.25">
      <c r="AV386" s="954"/>
      <c r="AW386" s="963">
        <f t="shared" ref="AW386:BF386" si="703">IF(MONTH(AD386)=AW384,AH386,0)</f>
        <v>0</v>
      </c>
      <c r="AX386" s="963">
        <f t="shared" si="703"/>
        <v>0</v>
      </c>
      <c r="AY386" s="963">
        <f t="shared" si="703"/>
        <v>0</v>
      </c>
      <c r="AZ386" s="963">
        <f t="shared" si="703"/>
        <v>0</v>
      </c>
      <c r="BA386" s="963">
        <f t="shared" si="703"/>
        <v>0</v>
      </c>
      <c r="BB386" s="963">
        <f t="shared" si="703"/>
        <v>0</v>
      </c>
      <c r="BC386" s="963">
        <f t="shared" si="703"/>
        <v>0</v>
      </c>
      <c r="BD386" s="963">
        <f t="shared" si="703"/>
        <v>0</v>
      </c>
      <c r="BE386" s="963">
        <f t="shared" si="703"/>
        <v>0</v>
      </c>
      <c r="BF386" s="963">
        <f t="shared" si="703"/>
        <v>0</v>
      </c>
    </row>
    <row r="387" spans="29:58" x14ac:dyDescent="0.25">
      <c r="AV387" s="954"/>
      <c r="AW387" s="963">
        <f t="shared" ref="AW387:BF387" si="704">IF(MONTH(AD387)=AW385,AH387,0)</f>
        <v>0</v>
      </c>
      <c r="AX387" s="963">
        <f t="shared" si="704"/>
        <v>0</v>
      </c>
      <c r="AY387" s="963">
        <f t="shared" si="704"/>
        <v>0</v>
      </c>
      <c r="AZ387" s="963">
        <f t="shared" si="704"/>
        <v>0</v>
      </c>
      <c r="BA387" s="963">
        <f t="shared" si="704"/>
        <v>0</v>
      </c>
      <c r="BB387" s="963">
        <f t="shared" si="704"/>
        <v>0</v>
      </c>
      <c r="BC387" s="963">
        <f t="shared" si="704"/>
        <v>0</v>
      </c>
      <c r="BD387" s="963">
        <f t="shared" si="704"/>
        <v>0</v>
      </c>
      <c r="BE387" s="963">
        <f t="shared" si="704"/>
        <v>0</v>
      </c>
      <c r="BF387" s="963" t="e">
        <f t="shared" si="704"/>
        <v>#VALUE!</v>
      </c>
    </row>
    <row r="388" spans="29:58" x14ac:dyDescent="0.25">
      <c r="AV388" s="954"/>
      <c r="AW388" s="963">
        <f t="shared" ref="AW388:BF388" si="705">IF(MONTH(AD388)=AW386,AH388,0)</f>
        <v>0</v>
      </c>
      <c r="AX388" s="963">
        <f t="shared" si="705"/>
        <v>0</v>
      </c>
      <c r="AY388" s="963">
        <f t="shared" si="705"/>
        <v>0</v>
      </c>
      <c r="AZ388" s="963">
        <f t="shared" si="705"/>
        <v>0</v>
      </c>
      <c r="BA388" s="963">
        <f t="shared" si="705"/>
        <v>0</v>
      </c>
      <c r="BB388" s="963">
        <f t="shared" si="705"/>
        <v>0</v>
      </c>
      <c r="BC388" s="963">
        <f t="shared" si="705"/>
        <v>0</v>
      </c>
      <c r="BD388" s="963">
        <f t="shared" si="705"/>
        <v>0</v>
      </c>
      <c r="BE388" s="963">
        <f t="shared" si="705"/>
        <v>0</v>
      </c>
      <c r="BF388" s="963">
        <f t="shared" si="705"/>
        <v>0</v>
      </c>
    </row>
    <row r="389" spans="29:58" x14ac:dyDescent="0.25">
      <c r="AV389" s="954"/>
      <c r="AW389" s="963">
        <f t="shared" ref="AW389:BF389" si="706">IF(MONTH(AD389)=AW387,AH389,0)</f>
        <v>0</v>
      </c>
      <c r="AX389" s="963">
        <f t="shared" si="706"/>
        <v>0</v>
      </c>
      <c r="AY389" s="963">
        <f t="shared" si="706"/>
        <v>0</v>
      </c>
      <c r="AZ389" s="963">
        <f t="shared" si="706"/>
        <v>0</v>
      </c>
      <c r="BA389" s="963">
        <f t="shared" si="706"/>
        <v>0</v>
      </c>
      <c r="BB389" s="963">
        <f t="shared" si="706"/>
        <v>0</v>
      </c>
      <c r="BC389" s="963">
        <f t="shared" si="706"/>
        <v>0</v>
      </c>
      <c r="BD389" s="963">
        <f t="shared" si="706"/>
        <v>0</v>
      </c>
      <c r="BE389" s="963">
        <f t="shared" si="706"/>
        <v>0</v>
      </c>
      <c r="BF389" s="963" t="e">
        <f t="shared" si="706"/>
        <v>#VALUE!</v>
      </c>
    </row>
    <row r="390" spans="29:58" x14ac:dyDescent="0.25">
      <c r="AC390" s="934">
        <f>'T3'!AC78</f>
        <v>42836</v>
      </c>
      <c r="AD390" s="968">
        <f>'T3'!AD78</f>
        <v>0</v>
      </c>
      <c r="AE390" s="962">
        <f>'T3'!N78</f>
        <v>0</v>
      </c>
      <c r="AF390" s="968">
        <f>'T3'!AF78</f>
        <v>0</v>
      </c>
      <c r="AG390" s="962">
        <f>'T3'!O78</f>
        <v>0</v>
      </c>
      <c r="AI390" s="962">
        <f>AE390+AI384</f>
        <v>0</v>
      </c>
      <c r="AJ390" s="962">
        <f>AG390+AJ384</f>
        <v>0</v>
      </c>
      <c r="AV390" s="954"/>
      <c r="AW390" s="963">
        <f t="shared" ref="AW390:BF390" si="707">IF(MONTH(AD390)=AW388,AH390,0)</f>
        <v>0</v>
      </c>
      <c r="AX390" s="963">
        <f t="shared" si="707"/>
        <v>0</v>
      </c>
      <c r="AY390" s="963">
        <f t="shared" si="707"/>
        <v>0</v>
      </c>
      <c r="AZ390" s="963">
        <f t="shared" si="707"/>
        <v>0</v>
      </c>
      <c r="BA390" s="963">
        <f t="shared" si="707"/>
        <v>0</v>
      </c>
      <c r="BB390" s="963">
        <f t="shared" si="707"/>
        <v>0</v>
      </c>
      <c r="BC390" s="963">
        <f t="shared" si="707"/>
        <v>0</v>
      </c>
      <c r="BD390" s="963">
        <f t="shared" si="707"/>
        <v>0</v>
      </c>
      <c r="BE390" s="963">
        <f t="shared" si="707"/>
        <v>0</v>
      </c>
      <c r="BF390" s="963">
        <f t="shared" si="707"/>
        <v>0</v>
      </c>
    </row>
    <row r="391" spans="29:58" x14ac:dyDescent="0.25">
      <c r="AC391" s="934">
        <f>'T3'!AC79</f>
        <v>42837</v>
      </c>
      <c r="AD391" s="968">
        <f>'T3'!AD79</f>
        <v>0</v>
      </c>
      <c r="AE391" s="962">
        <f>'T3'!N79</f>
        <v>0</v>
      </c>
      <c r="AF391" s="968">
        <f>'T3'!AF79</f>
        <v>0</v>
      </c>
      <c r="AG391" s="962">
        <f>'T3'!O79</f>
        <v>0</v>
      </c>
      <c r="AI391" s="962">
        <f t="shared" ref="AI391:AI396" si="708">AE391+AI390</f>
        <v>0</v>
      </c>
      <c r="AJ391" s="962">
        <f t="shared" ref="AJ391:AJ396" si="709">AG391+AJ390</f>
        <v>0</v>
      </c>
      <c r="AV391" s="954"/>
      <c r="AW391" s="963">
        <f t="shared" ref="AW391:BF391" si="710">IF(MONTH(AD391)=AW389,AH391,0)</f>
        <v>0</v>
      </c>
      <c r="AX391" s="963">
        <f t="shared" si="710"/>
        <v>0</v>
      </c>
      <c r="AY391" s="963">
        <f t="shared" si="710"/>
        <v>0</v>
      </c>
      <c r="AZ391" s="963">
        <f t="shared" si="710"/>
        <v>0</v>
      </c>
      <c r="BA391" s="963">
        <f t="shared" si="710"/>
        <v>0</v>
      </c>
      <c r="BB391" s="963">
        <f t="shared" si="710"/>
        <v>0</v>
      </c>
      <c r="BC391" s="963">
        <f t="shared" si="710"/>
        <v>0</v>
      </c>
      <c r="BD391" s="963">
        <f t="shared" si="710"/>
        <v>0</v>
      </c>
      <c r="BE391" s="963">
        <f t="shared" si="710"/>
        <v>0</v>
      </c>
      <c r="BF391" s="963" t="e">
        <f t="shared" si="710"/>
        <v>#VALUE!</v>
      </c>
    </row>
    <row r="392" spans="29:58" x14ac:dyDescent="0.25">
      <c r="AC392" s="934">
        <f>'T3'!AC80</f>
        <v>42838</v>
      </c>
      <c r="AD392" s="968">
        <f>'T3'!AD80</f>
        <v>0</v>
      </c>
      <c r="AE392" s="962">
        <f>'T3'!N80</f>
        <v>0</v>
      </c>
      <c r="AF392" s="968">
        <f>'T3'!AF80</f>
        <v>0</v>
      </c>
      <c r="AG392" s="962">
        <f>'T3'!O80</f>
        <v>0</v>
      </c>
      <c r="AI392" s="962">
        <f t="shared" si="708"/>
        <v>0</v>
      </c>
      <c r="AJ392" s="962">
        <f t="shared" si="709"/>
        <v>0</v>
      </c>
      <c r="AV392" s="954"/>
      <c r="AW392" s="963">
        <f t="shared" ref="AW392:BF392" si="711">IF(MONTH(AD392)=AW390,AH392,0)</f>
        <v>0</v>
      </c>
      <c r="AX392" s="963">
        <f t="shared" si="711"/>
        <v>0</v>
      </c>
      <c r="AY392" s="963">
        <f t="shared" si="711"/>
        <v>0</v>
      </c>
      <c r="AZ392" s="963">
        <f t="shared" si="711"/>
        <v>0</v>
      </c>
      <c r="BA392" s="963">
        <f t="shared" si="711"/>
        <v>0</v>
      </c>
      <c r="BB392" s="963">
        <f t="shared" si="711"/>
        <v>0</v>
      </c>
      <c r="BC392" s="963">
        <f t="shared" si="711"/>
        <v>0</v>
      </c>
      <c r="BD392" s="963">
        <f t="shared" si="711"/>
        <v>0</v>
      </c>
      <c r="BE392" s="963">
        <f t="shared" si="711"/>
        <v>0</v>
      </c>
      <c r="BF392" s="963">
        <f t="shared" si="711"/>
        <v>0</v>
      </c>
    </row>
    <row r="393" spans="29:58" x14ac:dyDescent="0.25">
      <c r="AC393" s="934">
        <f>'T3'!AC81</f>
        <v>42839</v>
      </c>
      <c r="AD393" s="968">
        <f>'T3'!AD81</f>
        <v>0</v>
      </c>
      <c r="AE393" s="962">
        <f>'T3'!N81</f>
        <v>0</v>
      </c>
      <c r="AF393" s="968">
        <f>'T3'!AF81</f>
        <v>0</v>
      </c>
      <c r="AG393" s="962">
        <f>'T3'!O81</f>
        <v>0</v>
      </c>
      <c r="AI393" s="962">
        <f t="shared" si="708"/>
        <v>0</v>
      </c>
      <c r="AJ393" s="962">
        <f t="shared" si="709"/>
        <v>0</v>
      </c>
      <c r="AV393" s="954"/>
      <c r="AW393" s="963">
        <f t="shared" ref="AW393:BF393" si="712">IF(MONTH(AD393)=AW391,AH393,0)</f>
        <v>0</v>
      </c>
      <c r="AX393" s="963">
        <f t="shared" si="712"/>
        <v>0</v>
      </c>
      <c r="AY393" s="963">
        <f t="shared" si="712"/>
        <v>0</v>
      </c>
      <c r="AZ393" s="963">
        <f t="shared" si="712"/>
        <v>0</v>
      </c>
      <c r="BA393" s="963">
        <f t="shared" si="712"/>
        <v>0</v>
      </c>
      <c r="BB393" s="963">
        <f t="shared" si="712"/>
        <v>0</v>
      </c>
      <c r="BC393" s="963">
        <f t="shared" si="712"/>
        <v>0</v>
      </c>
      <c r="BD393" s="963">
        <f t="shared" si="712"/>
        <v>0</v>
      </c>
      <c r="BE393" s="963">
        <f t="shared" si="712"/>
        <v>0</v>
      </c>
      <c r="BF393" s="963" t="e">
        <f t="shared" si="712"/>
        <v>#VALUE!</v>
      </c>
    </row>
    <row r="394" spans="29:58" x14ac:dyDescent="0.25">
      <c r="AC394" s="934">
        <f>'T3'!AC82</f>
        <v>42840</v>
      </c>
      <c r="AD394" s="968">
        <f>'T3'!AD82</f>
        <v>0</v>
      </c>
      <c r="AE394" s="962">
        <f>'T3'!N82</f>
        <v>0</v>
      </c>
      <c r="AF394" s="968">
        <f>'T3'!AF82</f>
        <v>0</v>
      </c>
      <c r="AG394" s="962">
        <f>'T3'!O82</f>
        <v>0</v>
      </c>
      <c r="AI394" s="962">
        <f t="shared" si="708"/>
        <v>0</v>
      </c>
      <c r="AJ394" s="962">
        <f t="shared" si="709"/>
        <v>0</v>
      </c>
      <c r="AV394" s="954"/>
      <c r="AW394" s="963">
        <f t="shared" ref="AW394:BF394" si="713">IF(MONTH(AD394)=AW392,AH394,0)</f>
        <v>0</v>
      </c>
      <c r="AX394" s="963">
        <f t="shared" si="713"/>
        <v>0</v>
      </c>
      <c r="AY394" s="963">
        <f t="shared" si="713"/>
        <v>0</v>
      </c>
      <c r="AZ394" s="963">
        <f t="shared" si="713"/>
        <v>0</v>
      </c>
      <c r="BA394" s="963">
        <f t="shared" si="713"/>
        <v>0</v>
      </c>
      <c r="BB394" s="963">
        <f t="shared" si="713"/>
        <v>0</v>
      </c>
      <c r="BC394" s="963">
        <f t="shared" si="713"/>
        <v>0</v>
      </c>
      <c r="BD394" s="963">
        <f t="shared" si="713"/>
        <v>0</v>
      </c>
      <c r="BE394" s="963">
        <f t="shared" si="713"/>
        <v>0</v>
      </c>
      <c r="BF394" s="963">
        <f t="shared" si="713"/>
        <v>0</v>
      </c>
    </row>
    <row r="395" spans="29:58" x14ac:dyDescent="0.25">
      <c r="AC395" s="934">
        <f>'T3'!AC83</f>
        <v>42841</v>
      </c>
      <c r="AD395" s="968">
        <f>'T3'!AD83</f>
        <v>0</v>
      </c>
      <c r="AE395" s="962">
        <f>'T3'!N83</f>
        <v>0</v>
      </c>
      <c r="AF395" s="968">
        <f>'T3'!AF83</f>
        <v>0</v>
      </c>
      <c r="AG395" s="962">
        <f>'T3'!O83</f>
        <v>0</v>
      </c>
      <c r="AI395" s="962">
        <f t="shared" si="708"/>
        <v>0</v>
      </c>
      <c r="AJ395" s="962">
        <f t="shared" si="709"/>
        <v>0</v>
      </c>
      <c r="AV395" s="954"/>
      <c r="AW395" s="963">
        <f t="shared" ref="AW395:BF395" si="714">IF(MONTH(AD395)=AW393,AH395,0)</f>
        <v>0</v>
      </c>
      <c r="AX395" s="963">
        <f t="shared" si="714"/>
        <v>0</v>
      </c>
      <c r="AY395" s="963">
        <f t="shared" si="714"/>
        <v>0</v>
      </c>
      <c r="AZ395" s="963">
        <f t="shared" si="714"/>
        <v>0</v>
      </c>
      <c r="BA395" s="963">
        <f t="shared" si="714"/>
        <v>0</v>
      </c>
      <c r="BB395" s="963">
        <f t="shared" si="714"/>
        <v>0</v>
      </c>
      <c r="BC395" s="963">
        <f t="shared" si="714"/>
        <v>0</v>
      </c>
      <c r="BD395" s="963">
        <f t="shared" si="714"/>
        <v>0</v>
      </c>
      <c r="BE395" s="963">
        <f t="shared" si="714"/>
        <v>0</v>
      </c>
      <c r="BF395" s="963" t="e">
        <f t="shared" si="714"/>
        <v>#VALUE!</v>
      </c>
    </row>
    <row r="396" spans="29:58" x14ac:dyDescent="0.25">
      <c r="AC396" s="934">
        <f>'T3'!AC84</f>
        <v>42842</v>
      </c>
      <c r="AD396" s="968">
        <f>'T3'!AD84</f>
        <v>0</v>
      </c>
      <c r="AE396" s="962">
        <f>'T3'!N84</f>
        <v>0</v>
      </c>
      <c r="AF396" s="968">
        <f>'T3'!AF84</f>
        <v>0</v>
      </c>
      <c r="AG396" s="962">
        <f>'T3'!O84</f>
        <v>0</v>
      </c>
      <c r="AI396" s="962">
        <f t="shared" si="708"/>
        <v>0</v>
      </c>
      <c r="AJ396" s="962">
        <f t="shared" si="709"/>
        <v>0</v>
      </c>
      <c r="AV396" s="954"/>
      <c r="AW396" s="963">
        <f t="shared" ref="AW396:BF396" si="715">IF(MONTH(AD396)=AW394,AH396,0)</f>
        <v>0</v>
      </c>
      <c r="AX396" s="963">
        <f t="shared" si="715"/>
        <v>0</v>
      </c>
      <c r="AY396" s="963">
        <f t="shared" si="715"/>
        <v>0</v>
      </c>
      <c r="AZ396" s="963">
        <f t="shared" si="715"/>
        <v>0</v>
      </c>
      <c r="BA396" s="963">
        <f t="shared" si="715"/>
        <v>0</v>
      </c>
      <c r="BB396" s="963">
        <f t="shared" si="715"/>
        <v>0</v>
      </c>
      <c r="BC396" s="963">
        <f t="shared" si="715"/>
        <v>0</v>
      </c>
      <c r="BD396" s="963">
        <f t="shared" si="715"/>
        <v>0</v>
      </c>
      <c r="BE396" s="963">
        <f t="shared" si="715"/>
        <v>0</v>
      </c>
      <c r="BF396" s="963">
        <f t="shared" si="715"/>
        <v>0</v>
      </c>
    </row>
    <row r="397" spans="29:58" x14ac:dyDescent="0.25">
      <c r="AV397" s="954"/>
      <c r="AW397" s="963">
        <f t="shared" ref="AW397:BF397" si="716">IF(MONTH(AD397)=AW395,AH397,0)</f>
        <v>0</v>
      </c>
      <c r="AX397" s="963">
        <f t="shared" si="716"/>
        <v>0</v>
      </c>
      <c r="AY397" s="963">
        <f t="shared" si="716"/>
        <v>0</v>
      </c>
      <c r="AZ397" s="963">
        <f t="shared" si="716"/>
        <v>0</v>
      </c>
      <c r="BA397" s="963">
        <f t="shared" si="716"/>
        <v>0</v>
      </c>
      <c r="BB397" s="963">
        <f t="shared" si="716"/>
        <v>0</v>
      </c>
      <c r="BC397" s="963">
        <f t="shared" si="716"/>
        <v>0</v>
      </c>
      <c r="BD397" s="963">
        <f t="shared" si="716"/>
        <v>0</v>
      </c>
      <c r="BE397" s="963">
        <f t="shared" si="716"/>
        <v>0</v>
      </c>
      <c r="BF397" s="963" t="e">
        <f t="shared" si="716"/>
        <v>#VALUE!</v>
      </c>
    </row>
    <row r="398" spans="29:58" x14ac:dyDescent="0.25">
      <c r="AV398" s="954"/>
      <c r="AW398" s="963">
        <f t="shared" ref="AW398:BF398" si="717">IF(MONTH(AD398)=AW396,AH398,0)</f>
        <v>0</v>
      </c>
      <c r="AX398" s="963">
        <f t="shared" si="717"/>
        <v>0</v>
      </c>
      <c r="AY398" s="963">
        <f t="shared" si="717"/>
        <v>0</v>
      </c>
      <c r="AZ398" s="963">
        <f t="shared" si="717"/>
        <v>0</v>
      </c>
      <c r="BA398" s="963">
        <f t="shared" si="717"/>
        <v>0</v>
      </c>
      <c r="BB398" s="963">
        <f t="shared" si="717"/>
        <v>0</v>
      </c>
      <c r="BC398" s="963">
        <f t="shared" si="717"/>
        <v>0</v>
      </c>
      <c r="BD398" s="963">
        <f t="shared" si="717"/>
        <v>0</v>
      </c>
      <c r="BE398" s="963">
        <f t="shared" si="717"/>
        <v>0</v>
      </c>
      <c r="BF398" s="963">
        <f t="shared" si="717"/>
        <v>0</v>
      </c>
    </row>
    <row r="399" spans="29:58" x14ac:dyDescent="0.25">
      <c r="AV399" s="954"/>
      <c r="AW399" s="963">
        <f t="shared" ref="AW399:BF399" si="718">IF(MONTH(AD399)=AW397,AH399,0)</f>
        <v>0</v>
      </c>
      <c r="AX399" s="963">
        <f t="shared" si="718"/>
        <v>0</v>
      </c>
      <c r="AY399" s="963">
        <f t="shared" si="718"/>
        <v>0</v>
      </c>
      <c r="AZ399" s="963">
        <f t="shared" si="718"/>
        <v>0</v>
      </c>
      <c r="BA399" s="963">
        <f t="shared" si="718"/>
        <v>0</v>
      </c>
      <c r="BB399" s="963">
        <f t="shared" si="718"/>
        <v>0</v>
      </c>
      <c r="BC399" s="963">
        <f t="shared" si="718"/>
        <v>0</v>
      </c>
      <c r="BD399" s="963">
        <f t="shared" si="718"/>
        <v>0</v>
      </c>
      <c r="BE399" s="963">
        <f t="shared" si="718"/>
        <v>0</v>
      </c>
      <c r="BF399" s="963" t="e">
        <f t="shared" si="718"/>
        <v>#VALUE!</v>
      </c>
    </row>
    <row r="400" spans="29:58" x14ac:dyDescent="0.25">
      <c r="AV400" s="954"/>
      <c r="AW400" s="963">
        <f t="shared" ref="AW400:BF400" si="719">IF(MONTH(AD400)=AW398,AH400,0)</f>
        <v>0</v>
      </c>
      <c r="AX400" s="963">
        <f t="shared" si="719"/>
        <v>0</v>
      </c>
      <c r="AY400" s="963">
        <f t="shared" si="719"/>
        <v>0</v>
      </c>
      <c r="AZ400" s="963">
        <f t="shared" si="719"/>
        <v>0</v>
      </c>
      <c r="BA400" s="963">
        <f t="shared" si="719"/>
        <v>0</v>
      </c>
      <c r="BB400" s="963">
        <f t="shared" si="719"/>
        <v>0</v>
      </c>
      <c r="BC400" s="963">
        <f t="shared" si="719"/>
        <v>0</v>
      </c>
      <c r="BD400" s="963">
        <f t="shared" si="719"/>
        <v>0</v>
      </c>
      <c r="BE400" s="963">
        <f t="shared" si="719"/>
        <v>0</v>
      </c>
      <c r="BF400" s="963">
        <f t="shared" si="719"/>
        <v>0</v>
      </c>
    </row>
    <row r="401" spans="29:58" x14ac:dyDescent="0.25">
      <c r="AV401" s="954"/>
      <c r="AW401" s="963">
        <f t="shared" ref="AW401:BF401" si="720">IF(MONTH(AD401)=AW399,AH401,0)</f>
        <v>0</v>
      </c>
      <c r="AX401" s="963">
        <f t="shared" si="720"/>
        <v>0</v>
      </c>
      <c r="AY401" s="963">
        <f t="shared" si="720"/>
        <v>0</v>
      </c>
      <c r="AZ401" s="963">
        <f t="shared" si="720"/>
        <v>0</v>
      </c>
      <c r="BA401" s="963">
        <f t="shared" si="720"/>
        <v>0</v>
      </c>
      <c r="BB401" s="963">
        <f t="shared" si="720"/>
        <v>0</v>
      </c>
      <c r="BC401" s="963">
        <f t="shared" si="720"/>
        <v>0</v>
      </c>
      <c r="BD401" s="963">
        <f t="shared" si="720"/>
        <v>0</v>
      </c>
      <c r="BE401" s="963">
        <f t="shared" si="720"/>
        <v>0</v>
      </c>
      <c r="BF401" s="963" t="e">
        <f t="shared" si="720"/>
        <v>#VALUE!</v>
      </c>
    </row>
    <row r="402" spans="29:58" x14ac:dyDescent="0.25">
      <c r="AC402" s="934">
        <f>'T3'!AC90</f>
        <v>42843</v>
      </c>
      <c r="AD402" s="968">
        <f>'T3'!AD90</f>
        <v>0</v>
      </c>
      <c r="AE402" s="962">
        <f>'T3'!N90</f>
        <v>0</v>
      </c>
      <c r="AF402" s="968">
        <f>'T3'!AF90</f>
        <v>0</v>
      </c>
      <c r="AG402" s="962">
        <f>'T3'!O90</f>
        <v>0</v>
      </c>
      <c r="AI402" s="962">
        <f>AE402+AI396</f>
        <v>0</v>
      </c>
      <c r="AJ402" s="962">
        <f>AG402+AJ396</f>
        <v>0</v>
      </c>
      <c r="AV402" s="954"/>
      <c r="AW402" s="963">
        <f t="shared" ref="AW402:BF402" si="721">IF(MONTH(AD402)=AW400,AH402,0)</f>
        <v>0</v>
      </c>
      <c r="AX402" s="963">
        <f t="shared" si="721"/>
        <v>0</v>
      </c>
      <c r="AY402" s="963">
        <f t="shared" si="721"/>
        <v>0</v>
      </c>
      <c r="AZ402" s="963">
        <f t="shared" si="721"/>
        <v>0</v>
      </c>
      <c r="BA402" s="963">
        <f t="shared" si="721"/>
        <v>0</v>
      </c>
      <c r="BB402" s="963">
        <f t="shared" si="721"/>
        <v>0</v>
      </c>
      <c r="BC402" s="963">
        <f t="shared" si="721"/>
        <v>0</v>
      </c>
      <c r="BD402" s="963">
        <f t="shared" si="721"/>
        <v>0</v>
      </c>
      <c r="BE402" s="963">
        <f t="shared" si="721"/>
        <v>0</v>
      </c>
      <c r="BF402" s="963">
        <f t="shared" si="721"/>
        <v>0</v>
      </c>
    </row>
    <row r="403" spans="29:58" x14ac:dyDescent="0.25">
      <c r="AC403" s="934">
        <f>'T3'!AC91</f>
        <v>42844</v>
      </c>
      <c r="AD403" s="968">
        <f>'T3'!AD91</f>
        <v>0</v>
      </c>
      <c r="AE403" s="962">
        <f>'T3'!N91</f>
        <v>0</v>
      </c>
      <c r="AF403" s="968">
        <f>'T3'!AF91</f>
        <v>0</v>
      </c>
      <c r="AG403" s="962">
        <f>'T3'!O91</f>
        <v>0</v>
      </c>
      <c r="AI403" s="962">
        <f t="shared" ref="AI403:AI408" si="722">AE403+AI402</f>
        <v>0</v>
      </c>
      <c r="AJ403" s="962">
        <f t="shared" ref="AJ403:AJ408" si="723">AG403+AJ402</f>
        <v>0</v>
      </c>
      <c r="AV403" s="954"/>
      <c r="AW403" s="963">
        <f t="shared" ref="AW403:BF403" si="724">IF(MONTH(AD403)=AW401,AH403,0)</f>
        <v>0</v>
      </c>
      <c r="AX403" s="963">
        <f t="shared" si="724"/>
        <v>0</v>
      </c>
      <c r="AY403" s="963">
        <f t="shared" si="724"/>
        <v>0</v>
      </c>
      <c r="AZ403" s="963">
        <f t="shared" si="724"/>
        <v>0</v>
      </c>
      <c r="BA403" s="963">
        <f t="shared" si="724"/>
        <v>0</v>
      </c>
      <c r="BB403" s="963">
        <f t="shared" si="724"/>
        <v>0</v>
      </c>
      <c r="BC403" s="963">
        <f t="shared" si="724"/>
        <v>0</v>
      </c>
      <c r="BD403" s="963">
        <f t="shared" si="724"/>
        <v>0</v>
      </c>
      <c r="BE403" s="963">
        <f t="shared" si="724"/>
        <v>0</v>
      </c>
      <c r="BF403" s="963" t="e">
        <f t="shared" si="724"/>
        <v>#VALUE!</v>
      </c>
    </row>
    <row r="404" spans="29:58" x14ac:dyDescent="0.25">
      <c r="AC404" s="934">
        <f>'T3'!AC92</f>
        <v>42845</v>
      </c>
      <c r="AD404" s="968">
        <f>'T3'!AD92</f>
        <v>0</v>
      </c>
      <c r="AE404" s="962">
        <f>'T3'!N92</f>
        <v>0</v>
      </c>
      <c r="AF404" s="968">
        <f>'T3'!AF92</f>
        <v>0</v>
      </c>
      <c r="AG404" s="962">
        <f>'T3'!O92</f>
        <v>0</v>
      </c>
      <c r="AI404" s="962">
        <f t="shared" si="722"/>
        <v>0</v>
      </c>
      <c r="AJ404" s="962">
        <f t="shared" si="723"/>
        <v>0</v>
      </c>
      <c r="AV404" s="954"/>
      <c r="AW404" s="963">
        <f t="shared" ref="AW404:BF404" si="725">IF(MONTH(AD404)=AW402,AH404,0)</f>
        <v>0</v>
      </c>
      <c r="AX404" s="963">
        <f t="shared" si="725"/>
        <v>0</v>
      </c>
      <c r="AY404" s="963">
        <f t="shared" si="725"/>
        <v>0</v>
      </c>
      <c r="AZ404" s="963">
        <f t="shared" si="725"/>
        <v>0</v>
      </c>
      <c r="BA404" s="963">
        <f t="shared" si="725"/>
        <v>0</v>
      </c>
      <c r="BB404" s="963">
        <f t="shared" si="725"/>
        <v>0</v>
      </c>
      <c r="BC404" s="963">
        <f t="shared" si="725"/>
        <v>0</v>
      </c>
      <c r="BD404" s="963">
        <f t="shared" si="725"/>
        <v>0</v>
      </c>
      <c r="BE404" s="963">
        <f t="shared" si="725"/>
        <v>0</v>
      </c>
      <c r="BF404" s="963">
        <f t="shared" si="725"/>
        <v>0</v>
      </c>
    </row>
    <row r="405" spans="29:58" x14ac:dyDescent="0.25">
      <c r="AC405" s="934">
        <f>'T3'!AC93</f>
        <v>42846</v>
      </c>
      <c r="AD405" s="968">
        <f>'T3'!AD93</f>
        <v>0</v>
      </c>
      <c r="AE405" s="962">
        <f>'T3'!N93</f>
        <v>0</v>
      </c>
      <c r="AF405" s="968">
        <f>'T3'!AF93</f>
        <v>0</v>
      </c>
      <c r="AG405" s="962">
        <f>'T3'!O93</f>
        <v>0</v>
      </c>
      <c r="AI405" s="962">
        <f t="shared" si="722"/>
        <v>0</v>
      </c>
      <c r="AJ405" s="962">
        <f t="shared" si="723"/>
        <v>0</v>
      </c>
      <c r="AV405" s="954"/>
      <c r="AW405" s="963">
        <f t="shared" ref="AW405:BF405" si="726">IF(MONTH(AD405)=AW403,AH405,0)</f>
        <v>0</v>
      </c>
      <c r="AX405" s="963">
        <f t="shared" si="726"/>
        <v>0</v>
      </c>
      <c r="AY405" s="963">
        <f t="shared" si="726"/>
        <v>0</v>
      </c>
      <c r="AZ405" s="963">
        <f t="shared" si="726"/>
        <v>0</v>
      </c>
      <c r="BA405" s="963">
        <f t="shared" si="726"/>
        <v>0</v>
      </c>
      <c r="BB405" s="963">
        <f t="shared" si="726"/>
        <v>0</v>
      </c>
      <c r="BC405" s="963">
        <f t="shared" si="726"/>
        <v>0</v>
      </c>
      <c r="BD405" s="963">
        <f t="shared" si="726"/>
        <v>0</v>
      </c>
      <c r="BE405" s="963">
        <f t="shared" si="726"/>
        <v>0</v>
      </c>
      <c r="BF405" s="963" t="e">
        <f t="shared" si="726"/>
        <v>#VALUE!</v>
      </c>
    </row>
    <row r="406" spans="29:58" x14ac:dyDescent="0.25">
      <c r="AC406" s="934">
        <f>'T3'!AC94</f>
        <v>42847</v>
      </c>
      <c r="AD406" s="968">
        <f>'T3'!AD94</f>
        <v>0</v>
      </c>
      <c r="AE406" s="962">
        <f>'T3'!N94</f>
        <v>0</v>
      </c>
      <c r="AF406" s="968">
        <f>'T3'!AF94</f>
        <v>0</v>
      </c>
      <c r="AG406" s="962">
        <f>'T3'!O94</f>
        <v>0</v>
      </c>
      <c r="AI406" s="962">
        <f t="shared" si="722"/>
        <v>0</v>
      </c>
      <c r="AJ406" s="962">
        <f t="shared" si="723"/>
        <v>0</v>
      </c>
      <c r="AV406" s="954"/>
      <c r="AW406" s="963">
        <f t="shared" ref="AW406:BF406" si="727">IF(MONTH(AD406)=AW404,AH406,0)</f>
        <v>0</v>
      </c>
      <c r="AX406" s="963">
        <f t="shared" si="727"/>
        <v>0</v>
      </c>
      <c r="AY406" s="963">
        <f t="shared" si="727"/>
        <v>0</v>
      </c>
      <c r="AZ406" s="963">
        <f t="shared" si="727"/>
        <v>0</v>
      </c>
      <c r="BA406" s="963">
        <f t="shared" si="727"/>
        <v>0</v>
      </c>
      <c r="BB406" s="963">
        <f t="shared" si="727"/>
        <v>0</v>
      </c>
      <c r="BC406" s="963">
        <f t="shared" si="727"/>
        <v>0</v>
      </c>
      <c r="BD406" s="963">
        <f t="shared" si="727"/>
        <v>0</v>
      </c>
      <c r="BE406" s="963">
        <f t="shared" si="727"/>
        <v>0</v>
      </c>
      <c r="BF406" s="963">
        <f t="shared" si="727"/>
        <v>0</v>
      </c>
    </row>
    <row r="407" spans="29:58" x14ac:dyDescent="0.25">
      <c r="AC407" s="934">
        <f>'T3'!AC95</f>
        <v>42848</v>
      </c>
      <c r="AD407" s="968">
        <f>'T3'!AD95</f>
        <v>0</v>
      </c>
      <c r="AE407" s="962">
        <f>'T3'!N95</f>
        <v>0</v>
      </c>
      <c r="AF407" s="968">
        <f>'T3'!AF95</f>
        <v>0</v>
      </c>
      <c r="AG407" s="962">
        <f>'T3'!O95</f>
        <v>0</v>
      </c>
      <c r="AI407" s="962">
        <f t="shared" si="722"/>
        <v>0</v>
      </c>
      <c r="AJ407" s="962">
        <f t="shared" si="723"/>
        <v>0</v>
      </c>
      <c r="AV407" s="954"/>
      <c r="AW407" s="963">
        <f t="shared" ref="AW407:BF407" si="728">IF(MONTH(AD407)=AW405,AH407,0)</f>
        <v>0</v>
      </c>
      <c r="AX407" s="963">
        <f t="shared" si="728"/>
        <v>0</v>
      </c>
      <c r="AY407" s="963">
        <f t="shared" si="728"/>
        <v>0</v>
      </c>
      <c r="AZ407" s="963">
        <f t="shared" si="728"/>
        <v>0</v>
      </c>
      <c r="BA407" s="963">
        <f t="shared" si="728"/>
        <v>0</v>
      </c>
      <c r="BB407" s="963">
        <f t="shared" si="728"/>
        <v>0</v>
      </c>
      <c r="BC407" s="963">
        <f t="shared" si="728"/>
        <v>0</v>
      </c>
      <c r="BD407" s="963">
        <f t="shared" si="728"/>
        <v>0</v>
      </c>
      <c r="BE407" s="963">
        <f t="shared" si="728"/>
        <v>0</v>
      </c>
      <c r="BF407" s="963" t="e">
        <f t="shared" si="728"/>
        <v>#VALUE!</v>
      </c>
    </row>
    <row r="408" spans="29:58" x14ac:dyDescent="0.25">
      <c r="AC408" s="934">
        <f>'T3'!AC96</f>
        <v>42849</v>
      </c>
      <c r="AD408" s="968">
        <f>'T3'!AD96</f>
        <v>0</v>
      </c>
      <c r="AE408" s="962">
        <f>'T3'!N96</f>
        <v>0</v>
      </c>
      <c r="AF408" s="968">
        <f>'T3'!AF96</f>
        <v>0</v>
      </c>
      <c r="AG408" s="962">
        <f>'T3'!O96</f>
        <v>0</v>
      </c>
      <c r="AI408" s="962">
        <f t="shared" si="722"/>
        <v>0</v>
      </c>
      <c r="AJ408" s="962">
        <f t="shared" si="723"/>
        <v>0</v>
      </c>
      <c r="AV408" s="954"/>
      <c r="AW408" s="963">
        <f t="shared" ref="AW408:BF408" si="729">IF(MONTH(AD408)=AW406,AH408,0)</f>
        <v>0</v>
      </c>
      <c r="AX408" s="963">
        <f t="shared" si="729"/>
        <v>0</v>
      </c>
      <c r="AY408" s="963">
        <f t="shared" si="729"/>
        <v>0</v>
      </c>
      <c r="AZ408" s="963">
        <f t="shared" si="729"/>
        <v>0</v>
      </c>
      <c r="BA408" s="963">
        <f t="shared" si="729"/>
        <v>0</v>
      </c>
      <c r="BB408" s="963">
        <f t="shared" si="729"/>
        <v>0</v>
      </c>
      <c r="BC408" s="963">
        <f t="shared" si="729"/>
        <v>0</v>
      </c>
      <c r="BD408" s="963">
        <f t="shared" si="729"/>
        <v>0</v>
      </c>
      <c r="BE408" s="963">
        <f t="shared" si="729"/>
        <v>0</v>
      </c>
      <c r="BF408" s="963">
        <f t="shared" si="729"/>
        <v>0</v>
      </c>
    </row>
    <row r="409" spans="29:58" x14ac:dyDescent="0.25">
      <c r="AV409" s="954"/>
      <c r="AW409" s="963">
        <f t="shared" ref="AW409:BF409" si="730">IF(MONTH(AD409)=AW407,AH409,0)</f>
        <v>0</v>
      </c>
      <c r="AX409" s="963">
        <f t="shared" si="730"/>
        <v>0</v>
      </c>
      <c r="AY409" s="963">
        <f t="shared" si="730"/>
        <v>0</v>
      </c>
      <c r="AZ409" s="963">
        <f t="shared" si="730"/>
        <v>0</v>
      </c>
      <c r="BA409" s="963">
        <f t="shared" si="730"/>
        <v>0</v>
      </c>
      <c r="BB409" s="963">
        <f t="shared" si="730"/>
        <v>0</v>
      </c>
      <c r="BC409" s="963">
        <f t="shared" si="730"/>
        <v>0</v>
      </c>
      <c r="BD409" s="963">
        <f t="shared" si="730"/>
        <v>0</v>
      </c>
      <c r="BE409" s="963">
        <f t="shared" si="730"/>
        <v>0</v>
      </c>
      <c r="BF409" s="963" t="e">
        <f t="shared" si="730"/>
        <v>#VALUE!</v>
      </c>
    </row>
    <row r="410" spans="29:58" x14ac:dyDescent="0.25">
      <c r="AV410" s="954"/>
      <c r="AW410" s="963">
        <f t="shared" ref="AW410:BF410" si="731">IF(MONTH(AD410)=AW408,AH410,0)</f>
        <v>0</v>
      </c>
      <c r="AX410" s="963">
        <f t="shared" si="731"/>
        <v>0</v>
      </c>
      <c r="AY410" s="963">
        <f t="shared" si="731"/>
        <v>0</v>
      </c>
      <c r="AZ410" s="963">
        <f t="shared" si="731"/>
        <v>0</v>
      </c>
      <c r="BA410" s="963">
        <f t="shared" si="731"/>
        <v>0</v>
      </c>
      <c r="BB410" s="963">
        <f t="shared" si="731"/>
        <v>0</v>
      </c>
      <c r="BC410" s="963">
        <f t="shared" si="731"/>
        <v>0</v>
      </c>
      <c r="BD410" s="963">
        <f t="shared" si="731"/>
        <v>0</v>
      </c>
      <c r="BE410" s="963">
        <f t="shared" si="731"/>
        <v>0</v>
      </c>
      <c r="BF410" s="963">
        <f t="shared" si="731"/>
        <v>0</v>
      </c>
    </row>
    <row r="411" spans="29:58" x14ac:dyDescent="0.25">
      <c r="AV411" s="954"/>
      <c r="AW411" s="963">
        <f t="shared" ref="AW411:BF411" si="732">IF(MONTH(AD411)=AW409,AH411,0)</f>
        <v>0</v>
      </c>
      <c r="AX411" s="963">
        <f t="shared" si="732"/>
        <v>0</v>
      </c>
      <c r="AY411" s="963">
        <f t="shared" si="732"/>
        <v>0</v>
      </c>
      <c r="AZ411" s="963">
        <f t="shared" si="732"/>
        <v>0</v>
      </c>
      <c r="BA411" s="963">
        <f t="shared" si="732"/>
        <v>0</v>
      </c>
      <c r="BB411" s="963">
        <f t="shared" si="732"/>
        <v>0</v>
      </c>
      <c r="BC411" s="963">
        <f t="shared" si="732"/>
        <v>0</v>
      </c>
      <c r="BD411" s="963">
        <f t="shared" si="732"/>
        <v>0</v>
      </c>
      <c r="BE411" s="963">
        <f t="shared" si="732"/>
        <v>0</v>
      </c>
      <c r="BF411" s="963" t="e">
        <f t="shared" si="732"/>
        <v>#VALUE!</v>
      </c>
    </row>
    <row r="412" spans="29:58" x14ac:dyDescent="0.25">
      <c r="AV412" s="954"/>
      <c r="AW412" s="963">
        <f t="shared" ref="AW412:BF412" si="733">IF(MONTH(AD412)=AW410,AH412,0)</f>
        <v>0</v>
      </c>
      <c r="AX412" s="963">
        <f t="shared" si="733"/>
        <v>0</v>
      </c>
      <c r="AY412" s="963">
        <f t="shared" si="733"/>
        <v>0</v>
      </c>
      <c r="AZ412" s="963">
        <f t="shared" si="733"/>
        <v>0</v>
      </c>
      <c r="BA412" s="963">
        <f t="shared" si="733"/>
        <v>0</v>
      </c>
      <c r="BB412" s="963">
        <f t="shared" si="733"/>
        <v>0</v>
      </c>
      <c r="BC412" s="963">
        <f t="shared" si="733"/>
        <v>0</v>
      </c>
      <c r="BD412" s="963">
        <f t="shared" si="733"/>
        <v>0</v>
      </c>
      <c r="BE412" s="963">
        <f t="shared" si="733"/>
        <v>0</v>
      </c>
      <c r="BF412" s="963">
        <f t="shared" si="733"/>
        <v>0</v>
      </c>
    </row>
    <row r="413" spans="29:58" x14ac:dyDescent="0.25">
      <c r="AV413" s="954"/>
      <c r="AW413" s="963">
        <f t="shared" ref="AW413:BF413" si="734">IF(MONTH(AD413)=AW411,AH413,0)</f>
        <v>0</v>
      </c>
      <c r="AX413" s="963">
        <f t="shared" si="734"/>
        <v>0</v>
      </c>
      <c r="AY413" s="963">
        <f t="shared" si="734"/>
        <v>0</v>
      </c>
      <c r="AZ413" s="963">
        <f t="shared" si="734"/>
        <v>0</v>
      </c>
      <c r="BA413" s="963">
        <f t="shared" si="734"/>
        <v>0</v>
      </c>
      <c r="BB413" s="963">
        <f t="shared" si="734"/>
        <v>0</v>
      </c>
      <c r="BC413" s="963">
        <f t="shared" si="734"/>
        <v>0</v>
      </c>
      <c r="BD413" s="963">
        <f t="shared" si="734"/>
        <v>0</v>
      </c>
      <c r="BE413" s="963">
        <f t="shared" si="734"/>
        <v>0</v>
      </c>
      <c r="BF413" s="963" t="e">
        <f t="shared" si="734"/>
        <v>#VALUE!</v>
      </c>
    </row>
    <row r="414" spans="29:58" x14ac:dyDescent="0.25">
      <c r="AC414" s="934">
        <f>'T3'!AC102</f>
        <v>42850</v>
      </c>
      <c r="AD414" s="968">
        <f>'T3'!AD102</f>
        <v>0</v>
      </c>
      <c r="AE414" s="962">
        <f>'T3'!N102</f>
        <v>0</v>
      </c>
      <c r="AF414" s="968">
        <f>'T3'!AF102</f>
        <v>0</v>
      </c>
      <c r="AG414" s="962">
        <f>'T3'!O102</f>
        <v>0</v>
      </c>
      <c r="AI414" s="962">
        <f>AE414+AI408</f>
        <v>0</v>
      </c>
      <c r="AJ414" s="962">
        <f>AG414+AJ408</f>
        <v>0</v>
      </c>
      <c r="AV414" s="954"/>
      <c r="AW414" s="963">
        <f t="shared" ref="AW414:BF414" si="735">IF(MONTH(AD414)=AW412,AH414,0)</f>
        <v>0</v>
      </c>
      <c r="AX414" s="963">
        <f t="shared" si="735"/>
        <v>0</v>
      </c>
      <c r="AY414" s="963">
        <f t="shared" si="735"/>
        <v>0</v>
      </c>
      <c r="AZ414" s="963">
        <f t="shared" si="735"/>
        <v>0</v>
      </c>
      <c r="BA414" s="963">
        <f t="shared" si="735"/>
        <v>0</v>
      </c>
      <c r="BB414" s="963">
        <f t="shared" si="735"/>
        <v>0</v>
      </c>
      <c r="BC414" s="963">
        <f t="shared" si="735"/>
        <v>0</v>
      </c>
      <c r="BD414" s="963">
        <f t="shared" si="735"/>
        <v>0</v>
      </c>
      <c r="BE414" s="963">
        <f t="shared" si="735"/>
        <v>0</v>
      </c>
      <c r="BF414" s="963">
        <f t="shared" si="735"/>
        <v>0</v>
      </c>
    </row>
    <row r="415" spans="29:58" x14ac:dyDescent="0.25">
      <c r="AC415" s="934">
        <f>'T3'!AC103</f>
        <v>42851</v>
      </c>
      <c r="AD415" s="968">
        <f>'T3'!AD103</f>
        <v>0</v>
      </c>
      <c r="AE415" s="962">
        <f>'T3'!N103</f>
        <v>0</v>
      </c>
      <c r="AF415" s="968">
        <f>'T3'!AF103</f>
        <v>0</v>
      </c>
      <c r="AG415" s="962">
        <f>'T3'!O103</f>
        <v>0</v>
      </c>
      <c r="AI415" s="962">
        <f t="shared" ref="AI415:AI420" si="736">AE415+AI414</f>
        <v>0</v>
      </c>
      <c r="AJ415" s="962">
        <f t="shared" ref="AJ415:AJ420" si="737">AG415+AJ414</f>
        <v>0</v>
      </c>
      <c r="AV415" s="954"/>
      <c r="AW415" s="963">
        <f t="shared" ref="AW415:BF415" si="738">IF(MONTH(AD415)=AW413,AH415,0)</f>
        <v>0</v>
      </c>
      <c r="AX415" s="963">
        <f t="shared" si="738"/>
        <v>0</v>
      </c>
      <c r="AY415" s="963">
        <f t="shared" si="738"/>
        <v>0</v>
      </c>
      <c r="AZ415" s="963">
        <f t="shared" si="738"/>
        <v>0</v>
      </c>
      <c r="BA415" s="963">
        <f t="shared" si="738"/>
        <v>0</v>
      </c>
      <c r="BB415" s="963">
        <f t="shared" si="738"/>
        <v>0</v>
      </c>
      <c r="BC415" s="963">
        <f t="shared" si="738"/>
        <v>0</v>
      </c>
      <c r="BD415" s="963">
        <f t="shared" si="738"/>
        <v>0</v>
      </c>
      <c r="BE415" s="963">
        <f t="shared" si="738"/>
        <v>0</v>
      </c>
      <c r="BF415" s="963" t="e">
        <f t="shared" si="738"/>
        <v>#VALUE!</v>
      </c>
    </row>
    <row r="416" spans="29:58" x14ac:dyDescent="0.25">
      <c r="AC416" s="934">
        <f>'T3'!AC104</f>
        <v>42852</v>
      </c>
      <c r="AD416" s="968">
        <f>'T3'!AD104</f>
        <v>0</v>
      </c>
      <c r="AE416" s="962">
        <f>'T3'!N104</f>
        <v>0</v>
      </c>
      <c r="AF416" s="968">
        <f>'T3'!AF104</f>
        <v>0</v>
      </c>
      <c r="AG416" s="962">
        <f>'T3'!O104</f>
        <v>0</v>
      </c>
      <c r="AI416" s="962">
        <f t="shared" si="736"/>
        <v>0</v>
      </c>
      <c r="AJ416" s="962">
        <f t="shared" si="737"/>
        <v>0</v>
      </c>
      <c r="AV416" s="954"/>
      <c r="AW416" s="963">
        <f t="shared" ref="AW416:BF416" si="739">IF(MONTH(AD416)=AW414,AH416,0)</f>
        <v>0</v>
      </c>
      <c r="AX416" s="963">
        <f t="shared" si="739"/>
        <v>0</v>
      </c>
      <c r="AY416" s="963">
        <f t="shared" si="739"/>
        <v>0</v>
      </c>
      <c r="AZ416" s="963">
        <f t="shared" si="739"/>
        <v>0</v>
      </c>
      <c r="BA416" s="963">
        <f t="shared" si="739"/>
        <v>0</v>
      </c>
      <c r="BB416" s="963">
        <f t="shared" si="739"/>
        <v>0</v>
      </c>
      <c r="BC416" s="963">
        <f t="shared" si="739"/>
        <v>0</v>
      </c>
      <c r="BD416" s="963">
        <f t="shared" si="739"/>
        <v>0</v>
      </c>
      <c r="BE416" s="963">
        <f t="shared" si="739"/>
        <v>0</v>
      </c>
      <c r="BF416" s="963">
        <f t="shared" si="739"/>
        <v>0</v>
      </c>
    </row>
    <row r="417" spans="29:58" x14ac:dyDescent="0.25">
      <c r="AC417" s="934">
        <f>'T3'!AC105</f>
        <v>42853</v>
      </c>
      <c r="AD417" s="968">
        <f>'T3'!AD105</f>
        <v>0</v>
      </c>
      <c r="AE417" s="962">
        <f>'T3'!N105</f>
        <v>0</v>
      </c>
      <c r="AF417" s="968">
        <f>'T3'!AF105</f>
        <v>0</v>
      </c>
      <c r="AG417" s="962">
        <f>'T3'!O105</f>
        <v>0</v>
      </c>
      <c r="AI417" s="962">
        <f t="shared" si="736"/>
        <v>0</v>
      </c>
      <c r="AJ417" s="962">
        <f t="shared" si="737"/>
        <v>0</v>
      </c>
      <c r="AV417" s="954"/>
      <c r="AW417" s="963">
        <f t="shared" ref="AW417:BF417" si="740">IF(MONTH(AD417)=AW415,AH417,0)</f>
        <v>0</v>
      </c>
      <c r="AX417" s="963">
        <f t="shared" si="740"/>
        <v>0</v>
      </c>
      <c r="AY417" s="963">
        <f t="shared" si="740"/>
        <v>0</v>
      </c>
      <c r="AZ417" s="963">
        <f t="shared" si="740"/>
        <v>0</v>
      </c>
      <c r="BA417" s="963">
        <f t="shared" si="740"/>
        <v>0</v>
      </c>
      <c r="BB417" s="963">
        <f t="shared" si="740"/>
        <v>0</v>
      </c>
      <c r="BC417" s="963">
        <f t="shared" si="740"/>
        <v>0</v>
      </c>
      <c r="BD417" s="963">
        <f t="shared" si="740"/>
        <v>0</v>
      </c>
      <c r="BE417" s="963">
        <f t="shared" si="740"/>
        <v>0</v>
      </c>
      <c r="BF417" s="963" t="e">
        <f t="shared" si="740"/>
        <v>#VALUE!</v>
      </c>
    </row>
    <row r="418" spans="29:58" x14ac:dyDescent="0.25">
      <c r="AC418" s="934">
        <f>'T3'!AC106</f>
        <v>42854</v>
      </c>
      <c r="AD418" s="968">
        <f>'T3'!AD106</f>
        <v>0</v>
      </c>
      <c r="AE418" s="962">
        <f>'T3'!N106</f>
        <v>0</v>
      </c>
      <c r="AF418" s="968">
        <f>'T3'!AF106</f>
        <v>0</v>
      </c>
      <c r="AG418" s="962">
        <f>'T3'!O106</f>
        <v>0</v>
      </c>
      <c r="AI418" s="962">
        <f t="shared" si="736"/>
        <v>0</v>
      </c>
      <c r="AJ418" s="962">
        <f t="shared" si="737"/>
        <v>0</v>
      </c>
      <c r="AV418" s="954"/>
      <c r="AW418" s="963">
        <f t="shared" ref="AW418:BF418" si="741">IF(MONTH(AD418)=AW416,AH418,0)</f>
        <v>0</v>
      </c>
      <c r="AX418" s="963">
        <f t="shared" si="741"/>
        <v>0</v>
      </c>
      <c r="AY418" s="963">
        <f t="shared" si="741"/>
        <v>0</v>
      </c>
      <c r="AZ418" s="963">
        <f t="shared" si="741"/>
        <v>0</v>
      </c>
      <c r="BA418" s="963">
        <f t="shared" si="741"/>
        <v>0</v>
      </c>
      <c r="BB418" s="963">
        <f t="shared" si="741"/>
        <v>0</v>
      </c>
      <c r="BC418" s="963">
        <f t="shared" si="741"/>
        <v>0</v>
      </c>
      <c r="BD418" s="963">
        <f t="shared" si="741"/>
        <v>0</v>
      </c>
      <c r="BE418" s="963">
        <f t="shared" si="741"/>
        <v>0</v>
      </c>
      <c r="BF418" s="963">
        <f t="shared" si="741"/>
        <v>0</v>
      </c>
    </row>
    <row r="419" spans="29:58" x14ac:dyDescent="0.25">
      <c r="AC419" s="934">
        <f>'T3'!AC107</f>
        <v>42855</v>
      </c>
      <c r="AD419" s="968">
        <f>'T3'!AD107</f>
        <v>0</v>
      </c>
      <c r="AE419" s="962">
        <f>'T3'!N107</f>
        <v>0</v>
      </c>
      <c r="AF419" s="968">
        <f>'T3'!AF107</f>
        <v>0</v>
      </c>
      <c r="AG419" s="962">
        <f>'T3'!O107</f>
        <v>0</v>
      </c>
      <c r="AI419" s="962">
        <f t="shared" si="736"/>
        <v>0</v>
      </c>
      <c r="AJ419" s="962">
        <f t="shared" si="737"/>
        <v>0</v>
      </c>
      <c r="AV419" s="954"/>
      <c r="AW419" s="963">
        <f t="shared" ref="AW419:BF419" si="742">IF(MONTH(AD419)=AW417,AH419,0)</f>
        <v>0</v>
      </c>
      <c r="AX419" s="963">
        <f t="shared" si="742"/>
        <v>0</v>
      </c>
      <c r="AY419" s="963">
        <f t="shared" si="742"/>
        <v>0</v>
      </c>
      <c r="AZ419" s="963">
        <f t="shared" si="742"/>
        <v>0</v>
      </c>
      <c r="BA419" s="963">
        <f t="shared" si="742"/>
        <v>0</v>
      </c>
      <c r="BB419" s="963">
        <f t="shared" si="742"/>
        <v>0</v>
      </c>
      <c r="BC419" s="963">
        <f t="shared" si="742"/>
        <v>0</v>
      </c>
      <c r="BD419" s="963">
        <f t="shared" si="742"/>
        <v>0</v>
      </c>
      <c r="BE419" s="963">
        <f t="shared" si="742"/>
        <v>0</v>
      </c>
      <c r="BF419" s="963" t="e">
        <f t="shared" si="742"/>
        <v>#VALUE!</v>
      </c>
    </row>
    <row r="420" spans="29:58" x14ac:dyDescent="0.25">
      <c r="AC420" s="934">
        <f>'T3'!AC108</f>
        <v>42856</v>
      </c>
      <c r="AD420" s="968">
        <f>'T3'!AD108</f>
        <v>0</v>
      </c>
      <c r="AE420" s="962">
        <f>'T3'!N108</f>
        <v>0</v>
      </c>
      <c r="AF420" s="968">
        <f>'T3'!AF108</f>
        <v>0</v>
      </c>
      <c r="AG420" s="962">
        <f>'T3'!O108</f>
        <v>0</v>
      </c>
      <c r="AI420" s="962">
        <f t="shared" si="736"/>
        <v>0</v>
      </c>
      <c r="AJ420" s="962">
        <f t="shared" si="737"/>
        <v>0</v>
      </c>
      <c r="AV420" s="954"/>
      <c r="AW420" s="963">
        <f t="shared" ref="AW420:BF420" si="743">IF(MONTH(AD420)=AW418,AH420,0)</f>
        <v>0</v>
      </c>
      <c r="AX420" s="963">
        <f t="shared" si="743"/>
        <v>0</v>
      </c>
      <c r="AY420" s="963">
        <f t="shared" si="743"/>
        <v>0</v>
      </c>
      <c r="AZ420" s="963">
        <f t="shared" si="743"/>
        <v>0</v>
      </c>
      <c r="BA420" s="963">
        <f t="shared" si="743"/>
        <v>0</v>
      </c>
      <c r="BB420" s="963">
        <f t="shared" si="743"/>
        <v>0</v>
      </c>
      <c r="BC420" s="963">
        <f t="shared" si="743"/>
        <v>0</v>
      </c>
      <c r="BD420" s="963">
        <f t="shared" si="743"/>
        <v>0</v>
      </c>
      <c r="BE420" s="963">
        <f t="shared" si="743"/>
        <v>0</v>
      </c>
      <c r="BF420" s="963">
        <f t="shared" si="743"/>
        <v>0</v>
      </c>
    </row>
    <row r="421" spans="29:58" x14ac:dyDescent="0.25">
      <c r="AV421" s="954"/>
      <c r="AW421" s="963">
        <f t="shared" ref="AW421:BF421" si="744">IF(MONTH(AD421)=AW419,AH421,0)</f>
        <v>0</v>
      </c>
      <c r="AX421" s="963">
        <f t="shared" si="744"/>
        <v>0</v>
      </c>
      <c r="AY421" s="963">
        <f t="shared" si="744"/>
        <v>0</v>
      </c>
      <c r="AZ421" s="963">
        <f t="shared" si="744"/>
        <v>0</v>
      </c>
      <c r="BA421" s="963">
        <f t="shared" si="744"/>
        <v>0</v>
      </c>
      <c r="BB421" s="963">
        <f t="shared" si="744"/>
        <v>0</v>
      </c>
      <c r="BC421" s="963">
        <f t="shared" si="744"/>
        <v>0</v>
      </c>
      <c r="BD421" s="963">
        <f t="shared" si="744"/>
        <v>0</v>
      </c>
      <c r="BE421" s="963">
        <f t="shared" si="744"/>
        <v>0</v>
      </c>
      <c r="BF421" s="963" t="e">
        <f t="shared" si="744"/>
        <v>#VALUE!</v>
      </c>
    </row>
    <row r="422" spans="29:58" x14ac:dyDescent="0.25">
      <c r="AV422" s="954"/>
      <c r="AW422" s="963">
        <f t="shared" ref="AW422:BF422" si="745">IF(MONTH(AD422)=AW420,AH422,0)</f>
        <v>0</v>
      </c>
      <c r="AX422" s="963">
        <f t="shared" si="745"/>
        <v>0</v>
      </c>
      <c r="AY422" s="963">
        <f t="shared" si="745"/>
        <v>0</v>
      </c>
      <c r="AZ422" s="963">
        <f t="shared" si="745"/>
        <v>0</v>
      </c>
      <c r="BA422" s="963">
        <f t="shared" si="745"/>
        <v>0</v>
      </c>
      <c r="BB422" s="963">
        <f t="shared" si="745"/>
        <v>0</v>
      </c>
      <c r="BC422" s="963">
        <f t="shared" si="745"/>
        <v>0</v>
      </c>
      <c r="BD422" s="963">
        <f t="shared" si="745"/>
        <v>0</v>
      </c>
      <c r="BE422" s="963">
        <f t="shared" si="745"/>
        <v>0</v>
      </c>
      <c r="BF422" s="963">
        <f t="shared" si="745"/>
        <v>0</v>
      </c>
    </row>
    <row r="423" spans="29:58" x14ac:dyDescent="0.25">
      <c r="AV423" s="954"/>
      <c r="AW423" s="963">
        <f t="shared" ref="AW423:BF423" si="746">IF(MONTH(AD423)=AW421,AH423,0)</f>
        <v>0</v>
      </c>
      <c r="AX423" s="963">
        <f t="shared" si="746"/>
        <v>0</v>
      </c>
      <c r="AY423" s="963">
        <f t="shared" si="746"/>
        <v>0</v>
      </c>
      <c r="AZ423" s="963">
        <f t="shared" si="746"/>
        <v>0</v>
      </c>
      <c r="BA423" s="963">
        <f t="shared" si="746"/>
        <v>0</v>
      </c>
      <c r="BB423" s="963">
        <f t="shared" si="746"/>
        <v>0</v>
      </c>
      <c r="BC423" s="963">
        <f t="shared" si="746"/>
        <v>0</v>
      </c>
      <c r="BD423" s="963">
        <f t="shared" si="746"/>
        <v>0</v>
      </c>
      <c r="BE423" s="963">
        <f t="shared" si="746"/>
        <v>0</v>
      </c>
      <c r="BF423" s="963" t="e">
        <f t="shared" si="746"/>
        <v>#VALUE!</v>
      </c>
    </row>
    <row r="424" spans="29:58" x14ac:dyDescent="0.25">
      <c r="AV424" s="954"/>
      <c r="AW424" s="963">
        <f t="shared" ref="AW424:BF424" si="747">IF(MONTH(AD424)=AW422,AH424,0)</f>
        <v>0</v>
      </c>
      <c r="AX424" s="963">
        <f t="shared" si="747"/>
        <v>0</v>
      </c>
      <c r="AY424" s="963">
        <f t="shared" si="747"/>
        <v>0</v>
      </c>
      <c r="AZ424" s="963">
        <f t="shared" si="747"/>
        <v>0</v>
      </c>
      <c r="BA424" s="963">
        <f t="shared" si="747"/>
        <v>0</v>
      </c>
      <c r="BB424" s="963">
        <f t="shared" si="747"/>
        <v>0</v>
      </c>
      <c r="BC424" s="963">
        <f t="shared" si="747"/>
        <v>0</v>
      </c>
      <c r="BD424" s="963">
        <f t="shared" si="747"/>
        <v>0</v>
      </c>
      <c r="BE424" s="963">
        <f t="shared" si="747"/>
        <v>0</v>
      </c>
      <c r="BF424" s="963">
        <f t="shared" si="747"/>
        <v>0</v>
      </c>
    </row>
    <row r="425" spans="29:58" x14ac:dyDescent="0.25">
      <c r="AV425" s="954"/>
      <c r="AW425" s="963">
        <f t="shared" ref="AW425:BF425" si="748">IF(MONTH(AD425)=AW423,AH425,0)</f>
        <v>0</v>
      </c>
      <c r="AX425" s="963">
        <f t="shared" si="748"/>
        <v>0</v>
      </c>
      <c r="AY425" s="963">
        <f t="shared" si="748"/>
        <v>0</v>
      </c>
      <c r="AZ425" s="963">
        <f t="shared" si="748"/>
        <v>0</v>
      </c>
      <c r="BA425" s="963">
        <f t="shared" si="748"/>
        <v>0</v>
      </c>
      <c r="BB425" s="963">
        <f t="shared" si="748"/>
        <v>0</v>
      </c>
      <c r="BC425" s="963">
        <f t="shared" si="748"/>
        <v>0</v>
      </c>
      <c r="BD425" s="963">
        <f t="shared" si="748"/>
        <v>0</v>
      </c>
      <c r="BE425" s="963">
        <f t="shared" si="748"/>
        <v>0</v>
      </c>
      <c r="BF425" s="963" t="e">
        <f t="shared" si="748"/>
        <v>#VALUE!</v>
      </c>
    </row>
    <row r="426" spans="29:58" x14ac:dyDescent="0.25">
      <c r="AC426" s="934">
        <f>'T3'!AC114</f>
        <v>42857</v>
      </c>
      <c r="AD426" s="968">
        <f>'T3'!AD114</f>
        <v>0</v>
      </c>
      <c r="AE426" s="962">
        <f>'T3'!N114</f>
        <v>0</v>
      </c>
      <c r="AF426" s="968">
        <f>'T3'!AF114</f>
        <v>0</v>
      </c>
      <c r="AG426" s="962">
        <f>'T3'!O114</f>
        <v>0</v>
      </c>
      <c r="AI426" s="962">
        <f>AE426+AI420</f>
        <v>0</v>
      </c>
      <c r="AJ426" s="962">
        <f>AG426+AJ420</f>
        <v>0</v>
      </c>
      <c r="AV426" s="954"/>
      <c r="AW426" s="963">
        <f t="shared" ref="AW426:BF426" si="749">IF(MONTH(AD426)=AW424,AH426,0)</f>
        <v>0</v>
      </c>
      <c r="AX426" s="963">
        <f t="shared" si="749"/>
        <v>0</v>
      </c>
      <c r="AY426" s="963">
        <f t="shared" si="749"/>
        <v>0</v>
      </c>
      <c r="AZ426" s="963">
        <f t="shared" si="749"/>
        <v>0</v>
      </c>
      <c r="BA426" s="963">
        <f t="shared" si="749"/>
        <v>0</v>
      </c>
      <c r="BB426" s="963">
        <f t="shared" si="749"/>
        <v>0</v>
      </c>
      <c r="BC426" s="963">
        <f t="shared" si="749"/>
        <v>0</v>
      </c>
      <c r="BD426" s="963">
        <f t="shared" si="749"/>
        <v>0</v>
      </c>
      <c r="BE426" s="963">
        <f t="shared" si="749"/>
        <v>0</v>
      </c>
      <c r="BF426" s="963">
        <f t="shared" si="749"/>
        <v>0</v>
      </c>
    </row>
    <row r="427" spans="29:58" x14ac:dyDescent="0.25">
      <c r="AC427" s="934">
        <f>'T3'!AC115</f>
        <v>42858</v>
      </c>
      <c r="AD427" s="968">
        <f>'T3'!AD115</f>
        <v>0</v>
      </c>
      <c r="AE427" s="962">
        <f>'T3'!N115</f>
        <v>0</v>
      </c>
      <c r="AF427" s="968">
        <f>'T3'!AF115</f>
        <v>0</v>
      </c>
      <c r="AG427" s="962">
        <f>'T3'!O115</f>
        <v>0</v>
      </c>
      <c r="AI427" s="962">
        <f t="shared" ref="AI427:AI432" si="750">AE427+AI426</f>
        <v>0</v>
      </c>
      <c r="AJ427" s="962">
        <f t="shared" ref="AJ427:AJ432" si="751">AG427+AJ426</f>
        <v>0</v>
      </c>
      <c r="AV427" s="954"/>
      <c r="AW427" s="963">
        <f t="shared" ref="AW427:BF427" si="752">IF(MONTH(AD427)=AW425,AH427,0)</f>
        <v>0</v>
      </c>
      <c r="AX427" s="963">
        <f t="shared" si="752"/>
        <v>0</v>
      </c>
      <c r="AY427" s="963">
        <f t="shared" si="752"/>
        <v>0</v>
      </c>
      <c r="AZ427" s="963">
        <f t="shared" si="752"/>
        <v>0</v>
      </c>
      <c r="BA427" s="963">
        <f t="shared" si="752"/>
        <v>0</v>
      </c>
      <c r="BB427" s="963">
        <f t="shared" si="752"/>
        <v>0</v>
      </c>
      <c r="BC427" s="963">
        <f t="shared" si="752"/>
        <v>0</v>
      </c>
      <c r="BD427" s="963">
        <f t="shared" si="752"/>
        <v>0</v>
      </c>
      <c r="BE427" s="963">
        <f t="shared" si="752"/>
        <v>0</v>
      </c>
      <c r="BF427" s="963" t="e">
        <f t="shared" si="752"/>
        <v>#VALUE!</v>
      </c>
    </row>
    <row r="428" spans="29:58" x14ac:dyDescent="0.25">
      <c r="AC428" s="934">
        <f>'T3'!AC116</f>
        <v>42859</v>
      </c>
      <c r="AD428" s="968">
        <f>'T3'!AD116</f>
        <v>0</v>
      </c>
      <c r="AE428" s="962">
        <f>'T3'!N116</f>
        <v>0</v>
      </c>
      <c r="AF428" s="968">
        <f>'T3'!AF116</f>
        <v>0</v>
      </c>
      <c r="AG428" s="962">
        <f>'T3'!O116</f>
        <v>0</v>
      </c>
      <c r="AI428" s="962">
        <f t="shared" si="750"/>
        <v>0</v>
      </c>
      <c r="AJ428" s="962">
        <f t="shared" si="751"/>
        <v>0</v>
      </c>
      <c r="AV428" s="954"/>
      <c r="AW428" s="963">
        <f t="shared" ref="AW428:BF428" si="753">IF(MONTH(AD428)=AW426,AH428,0)</f>
        <v>0</v>
      </c>
      <c r="AX428" s="963">
        <f t="shared" si="753"/>
        <v>0</v>
      </c>
      <c r="AY428" s="963">
        <f t="shared" si="753"/>
        <v>0</v>
      </c>
      <c r="AZ428" s="963">
        <f t="shared" si="753"/>
        <v>0</v>
      </c>
      <c r="BA428" s="963">
        <f t="shared" si="753"/>
        <v>0</v>
      </c>
      <c r="BB428" s="963">
        <f t="shared" si="753"/>
        <v>0</v>
      </c>
      <c r="BC428" s="963">
        <f t="shared" si="753"/>
        <v>0</v>
      </c>
      <c r="BD428" s="963">
        <f t="shared" si="753"/>
        <v>0</v>
      </c>
      <c r="BE428" s="963">
        <f t="shared" si="753"/>
        <v>0</v>
      </c>
      <c r="BF428" s="963">
        <f t="shared" si="753"/>
        <v>0</v>
      </c>
    </row>
    <row r="429" spans="29:58" x14ac:dyDescent="0.25">
      <c r="AC429" s="934">
        <f>'T3'!AC117</f>
        <v>42860</v>
      </c>
      <c r="AD429" s="968">
        <f>'T3'!AD117</f>
        <v>0</v>
      </c>
      <c r="AE429" s="962">
        <f>'T3'!N117</f>
        <v>0</v>
      </c>
      <c r="AF429" s="968">
        <f>'T3'!AF117</f>
        <v>0</v>
      </c>
      <c r="AG429" s="962">
        <f>'T3'!O117</f>
        <v>0</v>
      </c>
      <c r="AI429" s="962">
        <f t="shared" si="750"/>
        <v>0</v>
      </c>
      <c r="AJ429" s="962">
        <f t="shared" si="751"/>
        <v>0</v>
      </c>
      <c r="AV429" s="954"/>
      <c r="AW429" s="963">
        <f t="shared" ref="AW429:BF429" si="754">IF(MONTH(AD429)=AW427,AH429,0)</f>
        <v>0</v>
      </c>
      <c r="AX429" s="963">
        <f t="shared" si="754"/>
        <v>0</v>
      </c>
      <c r="AY429" s="963">
        <f t="shared" si="754"/>
        <v>0</v>
      </c>
      <c r="AZ429" s="963">
        <f t="shared" si="754"/>
        <v>0</v>
      </c>
      <c r="BA429" s="963">
        <f t="shared" si="754"/>
        <v>0</v>
      </c>
      <c r="BB429" s="963">
        <f t="shared" si="754"/>
        <v>0</v>
      </c>
      <c r="BC429" s="963">
        <f t="shared" si="754"/>
        <v>0</v>
      </c>
      <c r="BD429" s="963">
        <f t="shared" si="754"/>
        <v>0</v>
      </c>
      <c r="BE429" s="963">
        <f t="shared" si="754"/>
        <v>0</v>
      </c>
      <c r="BF429" s="963" t="e">
        <f t="shared" si="754"/>
        <v>#VALUE!</v>
      </c>
    </row>
    <row r="430" spans="29:58" x14ac:dyDescent="0.25">
      <c r="AC430" s="934">
        <f>'T3'!AC118</f>
        <v>42861</v>
      </c>
      <c r="AD430" s="968">
        <f>'T3'!AD118</f>
        <v>0</v>
      </c>
      <c r="AE430" s="962">
        <f>'T3'!N118</f>
        <v>0</v>
      </c>
      <c r="AF430" s="968">
        <f>'T3'!AF118</f>
        <v>0</v>
      </c>
      <c r="AG430" s="962">
        <f>'T3'!O118</f>
        <v>0</v>
      </c>
      <c r="AI430" s="962">
        <f t="shared" si="750"/>
        <v>0</v>
      </c>
      <c r="AJ430" s="962">
        <f t="shared" si="751"/>
        <v>0</v>
      </c>
      <c r="AV430" s="954"/>
      <c r="AW430" s="963">
        <f t="shared" ref="AW430:BF430" si="755">IF(MONTH(AD430)=AW428,AH430,0)</f>
        <v>0</v>
      </c>
      <c r="AX430" s="963">
        <f t="shared" si="755"/>
        <v>0</v>
      </c>
      <c r="AY430" s="963">
        <f t="shared" si="755"/>
        <v>0</v>
      </c>
      <c r="AZ430" s="963">
        <f t="shared" si="755"/>
        <v>0</v>
      </c>
      <c r="BA430" s="963">
        <f t="shared" si="755"/>
        <v>0</v>
      </c>
      <c r="BB430" s="963">
        <f t="shared" si="755"/>
        <v>0</v>
      </c>
      <c r="BC430" s="963">
        <f t="shared" si="755"/>
        <v>0</v>
      </c>
      <c r="BD430" s="963">
        <f t="shared" si="755"/>
        <v>0</v>
      </c>
      <c r="BE430" s="963">
        <f t="shared" si="755"/>
        <v>0</v>
      </c>
      <c r="BF430" s="963">
        <f t="shared" si="755"/>
        <v>0</v>
      </c>
    </row>
    <row r="431" spans="29:58" x14ac:dyDescent="0.25">
      <c r="AC431" s="934">
        <f>'T3'!AC119</f>
        <v>42862</v>
      </c>
      <c r="AD431" s="968">
        <f>'T3'!AD119</f>
        <v>0</v>
      </c>
      <c r="AE431" s="962">
        <f>'T3'!N119</f>
        <v>0</v>
      </c>
      <c r="AF431" s="968">
        <f>'T3'!AF119</f>
        <v>0</v>
      </c>
      <c r="AG431" s="962">
        <f>'T3'!O119</f>
        <v>0</v>
      </c>
      <c r="AI431" s="962">
        <f t="shared" si="750"/>
        <v>0</v>
      </c>
      <c r="AJ431" s="962">
        <f t="shared" si="751"/>
        <v>0</v>
      </c>
      <c r="AV431" s="954"/>
      <c r="AW431" s="963">
        <f t="shared" ref="AW431:BF431" si="756">IF(MONTH(AD431)=AW429,AH431,0)</f>
        <v>0</v>
      </c>
      <c r="AX431" s="963">
        <f t="shared" si="756"/>
        <v>0</v>
      </c>
      <c r="AY431" s="963">
        <f t="shared" si="756"/>
        <v>0</v>
      </c>
      <c r="AZ431" s="963">
        <f t="shared" si="756"/>
        <v>0</v>
      </c>
      <c r="BA431" s="963">
        <f t="shared" si="756"/>
        <v>0</v>
      </c>
      <c r="BB431" s="963">
        <f t="shared" si="756"/>
        <v>0</v>
      </c>
      <c r="BC431" s="963">
        <f t="shared" si="756"/>
        <v>0</v>
      </c>
      <c r="BD431" s="963">
        <f t="shared" si="756"/>
        <v>0</v>
      </c>
      <c r="BE431" s="963">
        <f t="shared" si="756"/>
        <v>0</v>
      </c>
      <c r="BF431" s="963" t="e">
        <f t="shared" si="756"/>
        <v>#VALUE!</v>
      </c>
    </row>
    <row r="432" spans="29:58" x14ac:dyDescent="0.25">
      <c r="AC432" s="934">
        <f>'T3'!AC120</f>
        <v>42863</v>
      </c>
      <c r="AD432" s="968">
        <f>'T3'!AD120</f>
        <v>0</v>
      </c>
      <c r="AE432" s="962">
        <f>'T3'!N120</f>
        <v>0</v>
      </c>
      <c r="AF432" s="968">
        <f>'T3'!AF120</f>
        <v>0</v>
      </c>
      <c r="AG432" s="962">
        <f>'T3'!O120</f>
        <v>0</v>
      </c>
      <c r="AI432" s="962">
        <f t="shared" si="750"/>
        <v>0</v>
      </c>
      <c r="AJ432" s="962">
        <f t="shared" si="751"/>
        <v>0</v>
      </c>
      <c r="AV432" s="954"/>
      <c r="AW432" s="963">
        <f t="shared" ref="AW432:BF432" si="757">IF(MONTH(AD432)=AW430,AH432,0)</f>
        <v>0</v>
      </c>
      <c r="AX432" s="963">
        <f t="shared" si="757"/>
        <v>0</v>
      </c>
      <c r="AY432" s="963">
        <f t="shared" si="757"/>
        <v>0</v>
      </c>
      <c r="AZ432" s="963">
        <f t="shared" si="757"/>
        <v>0</v>
      </c>
      <c r="BA432" s="963">
        <f t="shared" si="757"/>
        <v>0</v>
      </c>
      <c r="BB432" s="963">
        <f t="shared" si="757"/>
        <v>0</v>
      </c>
      <c r="BC432" s="963">
        <f t="shared" si="757"/>
        <v>0</v>
      </c>
      <c r="BD432" s="963">
        <f t="shared" si="757"/>
        <v>0</v>
      </c>
      <c r="BE432" s="963">
        <f t="shared" si="757"/>
        <v>0</v>
      </c>
      <c r="BF432" s="963">
        <f t="shared" si="757"/>
        <v>0</v>
      </c>
    </row>
    <row r="433" spans="29:58" x14ac:dyDescent="0.25">
      <c r="AV433" s="954"/>
      <c r="AW433" s="963">
        <f t="shared" ref="AW433:BF433" si="758">IF(MONTH(AD433)=AW431,AH433,0)</f>
        <v>0</v>
      </c>
      <c r="AX433" s="963">
        <f t="shared" si="758"/>
        <v>0</v>
      </c>
      <c r="AY433" s="963">
        <f t="shared" si="758"/>
        <v>0</v>
      </c>
      <c r="AZ433" s="963">
        <f t="shared" si="758"/>
        <v>0</v>
      </c>
      <c r="BA433" s="963">
        <f t="shared" si="758"/>
        <v>0</v>
      </c>
      <c r="BB433" s="963">
        <f t="shared" si="758"/>
        <v>0</v>
      </c>
      <c r="BC433" s="963">
        <f t="shared" si="758"/>
        <v>0</v>
      </c>
      <c r="BD433" s="963">
        <f t="shared" si="758"/>
        <v>0</v>
      </c>
      <c r="BE433" s="963">
        <f t="shared" si="758"/>
        <v>0</v>
      </c>
      <c r="BF433" s="963" t="e">
        <f t="shared" si="758"/>
        <v>#VALUE!</v>
      </c>
    </row>
    <row r="434" spans="29:58" x14ac:dyDescent="0.25">
      <c r="AV434" s="954"/>
      <c r="AW434" s="963">
        <f t="shared" ref="AW434:BF434" si="759">IF(MONTH(AD434)=AW432,AH434,0)</f>
        <v>0</v>
      </c>
      <c r="AX434" s="963">
        <f t="shared" si="759"/>
        <v>0</v>
      </c>
      <c r="AY434" s="963">
        <f t="shared" si="759"/>
        <v>0</v>
      </c>
      <c r="AZ434" s="963">
        <f t="shared" si="759"/>
        <v>0</v>
      </c>
      <c r="BA434" s="963">
        <f t="shared" si="759"/>
        <v>0</v>
      </c>
      <c r="BB434" s="963">
        <f t="shared" si="759"/>
        <v>0</v>
      </c>
      <c r="BC434" s="963">
        <f t="shared" si="759"/>
        <v>0</v>
      </c>
      <c r="BD434" s="963">
        <f t="shared" si="759"/>
        <v>0</v>
      </c>
      <c r="BE434" s="963">
        <f t="shared" si="759"/>
        <v>0</v>
      </c>
      <c r="BF434" s="963">
        <f t="shared" si="759"/>
        <v>0</v>
      </c>
    </row>
    <row r="435" spans="29:58" x14ac:dyDescent="0.25">
      <c r="AV435" s="954"/>
      <c r="AW435" s="963">
        <f t="shared" ref="AW435:BF435" si="760">IF(MONTH(AD435)=AW433,AH435,0)</f>
        <v>0</v>
      </c>
      <c r="AX435" s="963">
        <f t="shared" si="760"/>
        <v>0</v>
      </c>
      <c r="AY435" s="963">
        <f t="shared" si="760"/>
        <v>0</v>
      </c>
      <c r="AZ435" s="963">
        <f t="shared" si="760"/>
        <v>0</v>
      </c>
      <c r="BA435" s="963">
        <f t="shared" si="760"/>
        <v>0</v>
      </c>
      <c r="BB435" s="963">
        <f t="shared" si="760"/>
        <v>0</v>
      </c>
      <c r="BC435" s="963">
        <f t="shared" si="760"/>
        <v>0</v>
      </c>
      <c r="BD435" s="963">
        <f t="shared" si="760"/>
        <v>0</v>
      </c>
      <c r="BE435" s="963">
        <f t="shared" si="760"/>
        <v>0</v>
      </c>
      <c r="BF435" s="963" t="e">
        <f t="shared" si="760"/>
        <v>#VALUE!</v>
      </c>
    </row>
    <row r="436" spans="29:58" x14ac:dyDescent="0.25">
      <c r="AV436" s="954"/>
      <c r="AW436" s="963">
        <f t="shared" ref="AW436:BF436" si="761">IF(MONTH(AD436)=AW434,AH436,0)</f>
        <v>0</v>
      </c>
      <c r="AX436" s="963">
        <f t="shared" si="761"/>
        <v>0</v>
      </c>
      <c r="AY436" s="963">
        <f t="shared" si="761"/>
        <v>0</v>
      </c>
      <c r="AZ436" s="963">
        <f t="shared" si="761"/>
        <v>0</v>
      </c>
      <c r="BA436" s="963">
        <f t="shared" si="761"/>
        <v>0</v>
      </c>
      <c r="BB436" s="963">
        <f t="shared" si="761"/>
        <v>0</v>
      </c>
      <c r="BC436" s="963">
        <f t="shared" si="761"/>
        <v>0</v>
      </c>
      <c r="BD436" s="963">
        <f t="shared" si="761"/>
        <v>0</v>
      </c>
      <c r="BE436" s="963">
        <f t="shared" si="761"/>
        <v>0</v>
      </c>
      <c r="BF436" s="963">
        <f t="shared" si="761"/>
        <v>0</v>
      </c>
    </row>
    <row r="437" spans="29:58" x14ac:dyDescent="0.25">
      <c r="AV437" s="954"/>
      <c r="AW437" s="963">
        <f t="shared" ref="AW437:BF437" si="762">IF(MONTH(AD437)=AW435,AH437,0)</f>
        <v>0</v>
      </c>
      <c r="AX437" s="963">
        <f t="shared" si="762"/>
        <v>0</v>
      </c>
      <c r="AY437" s="963">
        <f t="shared" si="762"/>
        <v>0</v>
      </c>
      <c r="AZ437" s="963">
        <f t="shared" si="762"/>
        <v>0</v>
      </c>
      <c r="BA437" s="963">
        <f t="shared" si="762"/>
        <v>0</v>
      </c>
      <c r="BB437" s="963">
        <f t="shared" si="762"/>
        <v>0</v>
      </c>
      <c r="BC437" s="963">
        <f t="shared" si="762"/>
        <v>0</v>
      </c>
      <c r="BD437" s="963">
        <f t="shared" si="762"/>
        <v>0</v>
      </c>
      <c r="BE437" s="963">
        <f t="shared" si="762"/>
        <v>0</v>
      </c>
      <c r="BF437" s="963" t="e">
        <f t="shared" si="762"/>
        <v>#VALUE!</v>
      </c>
    </row>
    <row r="438" spans="29:58" x14ac:dyDescent="0.25">
      <c r="AC438" s="934">
        <f>'T3'!AC126</f>
        <v>42864</v>
      </c>
      <c r="AD438" s="968">
        <f>'T3'!AD126</f>
        <v>0</v>
      </c>
      <c r="AE438" s="962">
        <f>'T3'!N126</f>
        <v>0</v>
      </c>
      <c r="AF438" s="968">
        <f>'T3'!AF126</f>
        <v>0</v>
      </c>
      <c r="AG438" s="962">
        <f>'T3'!O126</f>
        <v>0</v>
      </c>
      <c r="AI438" s="962">
        <f>AE438+AI432</f>
        <v>0</v>
      </c>
      <c r="AJ438" s="962">
        <f>AG438+AJ432</f>
        <v>0</v>
      </c>
      <c r="AV438" s="954"/>
      <c r="AW438" s="963">
        <f t="shared" ref="AW438:BF438" si="763">IF(MONTH(AD438)=AW436,AH438,0)</f>
        <v>0</v>
      </c>
      <c r="AX438" s="963">
        <f t="shared" si="763"/>
        <v>0</v>
      </c>
      <c r="AY438" s="963">
        <f t="shared" si="763"/>
        <v>0</v>
      </c>
      <c r="AZ438" s="963">
        <f t="shared" si="763"/>
        <v>0</v>
      </c>
      <c r="BA438" s="963">
        <f t="shared" si="763"/>
        <v>0</v>
      </c>
      <c r="BB438" s="963">
        <f t="shared" si="763"/>
        <v>0</v>
      </c>
      <c r="BC438" s="963">
        <f t="shared" si="763"/>
        <v>0</v>
      </c>
      <c r="BD438" s="963">
        <f t="shared" si="763"/>
        <v>0</v>
      </c>
      <c r="BE438" s="963">
        <f t="shared" si="763"/>
        <v>0</v>
      </c>
      <c r="BF438" s="963">
        <f t="shared" si="763"/>
        <v>0</v>
      </c>
    </row>
    <row r="439" spans="29:58" x14ac:dyDescent="0.25">
      <c r="AC439" s="934">
        <f>'T3'!AC127</f>
        <v>42865</v>
      </c>
      <c r="AD439" s="968">
        <f>'T3'!AD127</f>
        <v>0</v>
      </c>
      <c r="AE439" s="962">
        <f>'T3'!N127</f>
        <v>0</v>
      </c>
      <c r="AF439" s="968">
        <f>'T3'!AF127</f>
        <v>0</v>
      </c>
      <c r="AG439" s="962">
        <f>'T3'!O127</f>
        <v>0</v>
      </c>
      <c r="AI439" s="962">
        <f t="shared" ref="AI439:AI444" si="764">AE439+AI438</f>
        <v>0</v>
      </c>
      <c r="AJ439" s="962">
        <f t="shared" ref="AJ439:AJ444" si="765">AG439+AJ438</f>
        <v>0</v>
      </c>
      <c r="AV439" s="954"/>
      <c r="AW439" s="963">
        <f t="shared" ref="AW439:BF439" si="766">IF(MONTH(AD439)=AW437,AH439,0)</f>
        <v>0</v>
      </c>
      <c r="AX439" s="963">
        <f t="shared" si="766"/>
        <v>0</v>
      </c>
      <c r="AY439" s="963">
        <f t="shared" si="766"/>
        <v>0</v>
      </c>
      <c r="AZ439" s="963">
        <f t="shared" si="766"/>
        <v>0</v>
      </c>
      <c r="BA439" s="963">
        <f t="shared" si="766"/>
        <v>0</v>
      </c>
      <c r="BB439" s="963">
        <f t="shared" si="766"/>
        <v>0</v>
      </c>
      <c r="BC439" s="963">
        <f t="shared" si="766"/>
        <v>0</v>
      </c>
      <c r="BD439" s="963">
        <f t="shared" si="766"/>
        <v>0</v>
      </c>
      <c r="BE439" s="963">
        <f t="shared" si="766"/>
        <v>0</v>
      </c>
      <c r="BF439" s="963" t="e">
        <f t="shared" si="766"/>
        <v>#VALUE!</v>
      </c>
    </row>
    <row r="440" spans="29:58" x14ac:dyDescent="0.25">
      <c r="AC440" s="934">
        <f>'T3'!AC128</f>
        <v>42866</v>
      </c>
      <c r="AD440" s="968">
        <f>'T3'!AD128</f>
        <v>0</v>
      </c>
      <c r="AE440" s="962">
        <f>'T3'!N128</f>
        <v>0</v>
      </c>
      <c r="AF440" s="968">
        <f>'T3'!AF128</f>
        <v>0</v>
      </c>
      <c r="AG440" s="962">
        <f>'T3'!O128</f>
        <v>0</v>
      </c>
      <c r="AI440" s="962">
        <f t="shared" si="764"/>
        <v>0</v>
      </c>
      <c r="AJ440" s="962">
        <f t="shared" si="765"/>
        <v>0</v>
      </c>
      <c r="AV440" s="954"/>
      <c r="AW440" s="963">
        <f t="shared" ref="AW440:BF440" si="767">IF(MONTH(AD440)=AW438,AH440,0)</f>
        <v>0</v>
      </c>
      <c r="AX440" s="963">
        <f t="shared" si="767"/>
        <v>0</v>
      </c>
      <c r="AY440" s="963">
        <f t="shared" si="767"/>
        <v>0</v>
      </c>
      <c r="AZ440" s="963">
        <f t="shared" si="767"/>
        <v>0</v>
      </c>
      <c r="BA440" s="963">
        <f t="shared" si="767"/>
        <v>0</v>
      </c>
      <c r="BB440" s="963">
        <f t="shared" si="767"/>
        <v>0</v>
      </c>
      <c r="BC440" s="963">
        <f t="shared" si="767"/>
        <v>0</v>
      </c>
      <c r="BD440" s="963">
        <f t="shared" si="767"/>
        <v>0</v>
      </c>
      <c r="BE440" s="963">
        <f t="shared" si="767"/>
        <v>0</v>
      </c>
      <c r="BF440" s="963">
        <f t="shared" si="767"/>
        <v>0</v>
      </c>
    </row>
    <row r="441" spans="29:58" x14ac:dyDescent="0.25">
      <c r="AC441" s="934">
        <f>'T3'!AC129</f>
        <v>42867</v>
      </c>
      <c r="AD441" s="968">
        <f>'T3'!AD129</f>
        <v>0</v>
      </c>
      <c r="AE441" s="962">
        <f>'T3'!N129</f>
        <v>0</v>
      </c>
      <c r="AF441" s="968">
        <f>'T3'!AF129</f>
        <v>0</v>
      </c>
      <c r="AG441" s="962">
        <f>'T3'!O129</f>
        <v>0</v>
      </c>
      <c r="AI441" s="962">
        <f t="shared" si="764"/>
        <v>0</v>
      </c>
      <c r="AJ441" s="962">
        <f t="shared" si="765"/>
        <v>0</v>
      </c>
      <c r="AV441" s="954"/>
      <c r="AW441" s="963">
        <f t="shared" ref="AW441:BF441" si="768">IF(MONTH(AD441)=AW439,AH441,0)</f>
        <v>0</v>
      </c>
      <c r="AX441" s="963">
        <f t="shared" si="768"/>
        <v>0</v>
      </c>
      <c r="AY441" s="963">
        <f t="shared" si="768"/>
        <v>0</v>
      </c>
      <c r="AZ441" s="963">
        <f t="shared" si="768"/>
        <v>0</v>
      </c>
      <c r="BA441" s="963">
        <f t="shared" si="768"/>
        <v>0</v>
      </c>
      <c r="BB441" s="963">
        <f t="shared" si="768"/>
        <v>0</v>
      </c>
      <c r="BC441" s="963">
        <f t="shared" si="768"/>
        <v>0</v>
      </c>
      <c r="BD441" s="963">
        <f t="shared" si="768"/>
        <v>0</v>
      </c>
      <c r="BE441" s="963">
        <f t="shared" si="768"/>
        <v>0</v>
      </c>
      <c r="BF441" s="963" t="e">
        <f t="shared" si="768"/>
        <v>#VALUE!</v>
      </c>
    </row>
    <row r="442" spans="29:58" x14ac:dyDescent="0.25">
      <c r="AC442" s="934">
        <f>'T3'!AC130</f>
        <v>42868</v>
      </c>
      <c r="AD442" s="968">
        <f>'T3'!AD130</f>
        <v>0</v>
      </c>
      <c r="AE442" s="962">
        <f>'T3'!N130</f>
        <v>0</v>
      </c>
      <c r="AF442" s="968">
        <f>'T3'!AF130</f>
        <v>0</v>
      </c>
      <c r="AG442" s="962">
        <f>'T3'!O130</f>
        <v>0</v>
      </c>
      <c r="AI442" s="962">
        <f t="shared" si="764"/>
        <v>0</v>
      </c>
      <c r="AJ442" s="962">
        <f t="shared" si="765"/>
        <v>0</v>
      </c>
      <c r="AV442" s="954"/>
      <c r="AW442" s="963">
        <f t="shared" ref="AW442:BF442" si="769">IF(MONTH(AD442)=AW440,AH442,0)</f>
        <v>0</v>
      </c>
      <c r="AX442" s="963">
        <f t="shared" si="769"/>
        <v>0</v>
      </c>
      <c r="AY442" s="963">
        <f t="shared" si="769"/>
        <v>0</v>
      </c>
      <c r="AZ442" s="963">
        <f t="shared" si="769"/>
        <v>0</v>
      </c>
      <c r="BA442" s="963">
        <f t="shared" si="769"/>
        <v>0</v>
      </c>
      <c r="BB442" s="963">
        <f t="shared" si="769"/>
        <v>0</v>
      </c>
      <c r="BC442" s="963">
        <f t="shared" si="769"/>
        <v>0</v>
      </c>
      <c r="BD442" s="963">
        <f t="shared" si="769"/>
        <v>0</v>
      </c>
      <c r="BE442" s="963">
        <f t="shared" si="769"/>
        <v>0</v>
      </c>
      <c r="BF442" s="963">
        <f t="shared" si="769"/>
        <v>0</v>
      </c>
    </row>
    <row r="443" spans="29:58" x14ac:dyDescent="0.25">
      <c r="AC443" s="934">
        <f>'T3'!AC131</f>
        <v>42869</v>
      </c>
      <c r="AD443" s="968">
        <f>'T3'!AD131</f>
        <v>0</v>
      </c>
      <c r="AE443" s="962">
        <f>'T3'!N131</f>
        <v>0</v>
      </c>
      <c r="AF443" s="968">
        <f>'T3'!AF131</f>
        <v>0</v>
      </c>
      <c r="AG443" s="962">
        <f>'T3'!O131</f>
        <v>0</v>
      </c>
      <c r="AI443" s="962">
        <f t="shared" si="764"/>
        <v>0</v>
      </c>
      <c r="AJ443" s="962">
        <f t="shared" si="765"/>
        <v>0</v>
      </c>
      <c r="AV443" s="954"/>
      <c r="AW443" s="963">
        <f t="shared" ref="AW443:BF443" si="770">IF(MONTH(AD443)=AW441,AH443,0)</f>
        <v>0</v>
      </c>
      <c r="AX443" s="963">
        <f t="shared" si="770"/>
        <v>0</v>
      </c>
      <c r="AY443" s="963">
        <f t="shared" si="770"/>
        <v>0</v>
      </c>
      <c r="AZ443" s="963">
        <f t="shared" si="770"/>
        <v>0</v>
      </c>
      <c r="BA443" s="963">
        <f t="shared" si="770"/>
        <v>0</v>
      </c>
      <c r="BB443" s="963">
        <f t="shared" si="770"/>
        <v>0</v>
      </c>
      <c r="BC443" s="963">
        <f t="shared" si="770"/>
        <v>0</v>
      </c>
      <c r="BD443" s="963">
        <f t="shared" si="770"/>
        <v>0</v>
      </c>
      <c r="BE443" s="963">
        <f t="shared" si="770"/>
        <v>0</v>
      </c>
      <c r="BF443" s="963" t="e">
        <f t="shared" si="770"/>
        <v>#VALUE!</v>
      </c>
    </row>
    <row r="444" spans="29:58" x14ac:dyDescent="0.25">
      <c r="AC444" s="934">
        <f>'T3'!AC132</f>
        <v>42870</v>
      </c>
      <c r="AD444" s="968">
        <f>'T3'!AD132</f>
        <v>0</v>
      </c>
      <c r="AE444" s="962">
        <f>'T3'!N132</f>
        <v>0</v>
      </c>
      <c r="AF444" s="968">
        <f>'T3'!AF132</f>
        <v>0</v>
      </c>
      <c r="AG444" s="962">
        <f>'T3'!O132</f>
        <v>0</v>
      </c>
      <c r="AI444" s="962">
        <f t="shared" si="764"/>
        <v>0</v>
      </c>
      <c r="AJ444" s="962">
        <f t="shared" si="765"/>
        <v>0</v>
      </c>
      <c r="AV444" s="954"/>
      <c r="AW444" s="963">
        <f t="shared" ref="AW444:BF444" si="771">IF(MONTH(AD444)=AW442,AH444,0)</f>
        <v>0</v>
      </c>
      <c r="AX444" s="963">
        <f t="shared" si="771"/>
        <v>0</v>
      </c>
      <c r="AY444" s="963">
        <f t="shared" si="771"/>
        <v>0</v>
      </c>
      <c r="AZ444" s="963">
        <f t="shared" si="771"/>
        <v>0</v>
      </c>
      <c r="BA444" s="963">
        <f t="shared" si="771"/>
        <v>0</v>
      </c>
      <c r="BB444" s="963">
        <f t="shared" si="771"/>
        <v>0</v>
      </c>
      <c r="BC444" s="963">
        <f t="shared" si="771"/>
        <v>0</v>
      </c>
      <c r="BD444" s="963">
        <f t="shared" si="771"/>
        <v>0</v>
      </c>
      <c r="BE444" s="963">
        <f t="shared" si="771"/>
        <v>0</v>
      </c>
      <c r="BF444" s="963">
        <f t="shared" si="771"/>
        <v>0</v>
      </c>
    </row>
    <row r="445" spans="29:58" x14ac:dyDescent="0.25">
      <c r="AV445" s="954"/>
      <c r="AW445" s="963">
        <f t="shared" ref="AW445:BF445" si="772">IF(MONTH(AD445)=AW443,AH445,0)</f>
        <v>0</v>
      </c>
      <c r="AX445" s="963">
        <f t="shared" si="772"/>
        <v>0</v>
      </c>
      <c r="AY445" s="963">
        <f t="shared" si="772"/>
        <v>0</v>
      </c>
      <c r="AZ445" s="963">
        <f t="shared" si="772"/>
        <v>0</v>
      </c>
      <c r="BA445" s="963">
        <f t="shared" si="772"/>
        <v>0</v>
      </c>
      <c r="BB445" s="963">
        <f t="shared" si="772"/>
        <v>0</v>
      </c>
      <c r="BC445" s="963">
        <f t="shared" si="772"/>
        <v>0</v>
      </c>
      <c r="BD445" s="963">
        <f t="shared" si="772"/>
        <v>0</v>
      </c>
      <c r="BE445" s="963">
        <f t="shared" si="772"/>
        <v>0</v>
      </c>
      <c r="BF445" s="963" t="e">
        <f t="shared" si="772"/>
        <v>#VALUE!</v>
      </c>
    </row>
    <row r="446" spans="29:58" x14ac:dyDescent="0.25">
      <c r="AV446" s="954"/>
      <c r="AW446" s="963">
        <f t="shared" ref="AW446:BF446" si="773">IF(MONTH(AD446)=AW444,AH446,0)</f>
        <v>0</v>
      </c>
      <c r="AX446" s="963">
        <f t="shared" si="773"/>
        <v>0</v>
      </c>
      <c r="AY446" s="963">
        <f t="shared" si="773"/>
        <v>0</v>
      </c>
      <c r="AZ446" s="963">
        <f t="shared" si="773"/>
        <v>0</v>
      </c>
      <c r="BA446" s="963">
        <f t="shared" si="773"/>
        <v>0</v>
      </c>
      <c r="BB446" s="963">
        <f t="shared" si="773"/>
        <v>0</v>
      </c>
      <c r="BC446" s="963">
        <f t="shared" si="773"/>
        <v>0</v>
      </c>
      <c r="BD446" s="963">
        <f t="shared" si="773"/>
        <v>0</v>
      </c>
      <c r="BE446" s="963">
        <f t="shared" si="773"/>
        <v>0</v>
      </c>
      <c r="BF446" s="963">
        <f t="shared" si="773"/>
        <v>0</v>
      </c>
    </row>
    <row r="447" spans="29:58" x14ac:dyDescent="0.25">
      <c r="AV447" s="954"/>
      <c r="AW447" s="963">
        <f t="shared" ref="AW447:BF447" si="774">IF(MONTH(AD447)=AW445,AH447,0)</f>
        <v>0</v>
      </c>
      <c r="AX447" s="963">
        <f t="shared" si="774"/>
        <v>0</v>
      </c>
      <c r="AY447" s="963">
        <f t="shared" si="774"/>
        <v>0</v>
      </c>
      <c r="AZ447" s="963">
        <f t="shared" si="774"/>
        <v>0</v>
      </c>
      <c r="BA447" s="963">
        <f t="shared" si="774"/>
        <v>0</v>
      </c>
      <c r="BB447" s="963">
        <f t="shared" si="774"/>
        <v>0</v>
      </c>
      <c r="BC447" s="963">
        <f t="shared" si="774"/>
        <v>0</v>
      </c>
      <c r="BD447" s="963">
        <f t="shared" si="774"/>
        <v>0</v>
      </c>
      <c r="BE447" s="963">
        <f t="shared" si="774"/>
        <v>0</v>
      </c>
      <c r="BF447" s="963" t="e">
        <f t="shared" si="774"/>
        <v>#VALUE!</v>
      </c>
    </row>
    <row r="448" spans="29:58" x14ac:dyDescent="0.25">
      <c r="AV448" s="954"/>
      <c r="AW448" s="963">
        <f t="shared" ref="AW448:BF448" si="775">IF(MONTH(AD448)=AW446,AH448,0)</f>
        <v>0</v>
      </c>
      <c r="AX448" s="963">
        <f t="shared" si="775"/>
        <v>0</v>
      </c>
      <c r="AY448" s="963">
        <f t="shared" si="775"/>
        <v>0</v>
      </c>
      <c r="AZ448" s="963">
        <f t="shared" si="775"/>
        <v>0</v>
      </c>
      <c r="BA448" s="963">
        <f t="shared" si="775"/>
        <v>0</v>
      </c>
      <c r="BB448" s="963">
        <f t="shared" si="775"/>
        <v>0</v>
      </c>
      <c r="BC448" s="963">
        <f t="shared" si="775"/>
        <v>0</v>
      </c>
      <c r="BD448" s="963">
        <f t="shared" si="775"/>
        <v>0</v>
      </c>
      <c r="BE448" s="963">
        <f t="shared" si="775"/>
        <v>0</v>
      </c>
      <c r="BF448" s="963">
        <f t="shared" si="775"/>
        <v>0</v>
      </c>
    </row>
    <row r="449" spans="29:58" x14ac:dyDescent="0.25">
      <c r="AV449" s="954"/>
      <c r="AW449" s="963">
        <f t="shared" ref="AW449:BF449" si="776">IF(MONTH(AD449)=AW447,AH449,0)</f>
        <v>0</v>
      </c>
      <c r="AX449" s="963">
        <f t="shared" si="776"/>
        <v>0</v>
      </c>
      <c r="AY449" s="963">
        <f t="shared" si="776"/>
        <v>0</v>
      </c>
      <c r="AZ449" s="963">
        <f t="shared" si="776"/>
        <v>0</v>
      </c>
      <c r="BA449" s="963">
        <f t="shared" si="776"/>
        <v>0</v>
      </c>
      <c r="BB449" s="963">
        <f t="shared" si="776"/>
        <v>0</v>
      </c>
      <c r="BC449" s="963">
        <f t="shared" si="776"/>
        <v>0</v>
      </c>
      <c r="BD449" s="963">
        <f t="shared" si="776"/>
        <v>0</v>
      </c>
      <c r="BE449" s="963">
        <f t="shared" si="776"/>
        <v>0</v>
      </c>
      <c r="BF449" s="963" t="e">
        <f t="shared" si="776"/>
        <v>#VALUE!</v>
      </c>
    </row>
    <row r="450" spans="29:58" x14ac:dyDescent="0.25">
      <c r="AC450" s="934">
        <f>'T3'!AC138</f>
        <v>42871</v>
      </c>
      <c r="AD450" s="968">
        <f>'T3'!AD138</f>
        <v>0</v>
      </c>
      <c r="AE450" s="962">
        <f>'T3'!N138</f>
        <v>0</v>
      </c>
      <c r="AF450" s="968">
        <f>'T3'!AF138</f>
        <v>0</v>
      </c>
      <c r="AG450" s="962">
        <f>'T3'!O138</f>
        <v>0</v>
      </c>
      <c r="AI450" s="962">
        <f>AE450+AI444</f>
        <v>0</v>
      </c>
      <c r="AJ450" s="962">
        <f>AG450+AJ444</f>
        <v>0</v>
      </c>
      <c r="AV450" s="954"/>
      <c r="AW450" s="963">
        <f t="shared" ref="AW450:BF450" si="777">IF(MONTH(AD450)=AW448,AH450,0)</f>
        <v>0</v>
      </c>
      <c r="AX450" s="963">
        <f t="shared" si="777"/>
        <v>0</v>
      </c>
      <c r="AY450" s="963">
        <f t="shared" si="777"/>
        <v>0</v>
      </c>
      <c r="AZ450" s="963">
        <f t="shared" si="777"/>
        <v>0</v>
      </c>
      <c r="BA450" s="963">
        <f t="shared" si="777"/>
        <v>0</v>
      </c>
      <c r="BB450" s="963">
        <f t="shared" si="777"/>
        <v>0</v>
      </c>
      <c r="BC450" s="963">
        <f t="shared" si="777"/>
        <v>0</v>
      </c>
      <c r="BD450" s="963">
        <f t="shared" si="777"/>
        <v>0</v>
      </c>
      <c r="BE450" s="963">
        <f t="shared" si="777"/>
        <v>0</v>
      </c>
      <c r="BF450" s="963">
        <f t="shared" si="777"/>
        <v>0</v>
      </c>
    </row>
    <row r="451" spans="29:58" x14ac:dyDescent="0.25">
      <c r="AC451" s="934">
        <f>'T3'!AC139</f>
        <v>42872</v>
      </c>
      <c r="AD451" s="968">
        <f>'T3'!AD139</f>
        <v>0</v>
      </c>
      <c r="AE451" s="962">
        <f>'T3'!N139</f>
        <v>0</v>
      </c>
      <c r="AF451" s="968">
        <f>'T3'!AF139</f>
        <v>0</v>
      </c>
      <c r="AG451" s="962">
        <f>'T3'!O139</f>
        <v>0</v>
      </c>
      <c r="AI451" s="962">
        <f t="shared" ref="AI451:AI456" si="778">AE451+AI450</f>
        <v>0</v>
      </c>
      <c r="AJ451" s="962">
        <f t="shared" ref="AJ451:AJ456" si="779">AG451+AJ450</f>
        <v>0</v>
      </c>
      <c r="AV451" s="954"/>
      <c r="AW451" s="963">
        <f t="shared" ref="AW451:BF451" si="780">IF(MONTH(AD451)=AW449,AH451,0)</f>
        <v>0</v>
      </c>
      <c r="AX451" s="963">
        <f t="shared" si="780"/>
        <v>0</v>
      </c>
      <c r="AY451" s="963">
        <f t="shared" si="780"/>
        <v>0</v>
      </c>
      <c r="AZ451" s="963">
        <f t="shared" si="780"/>
        <v>0</v>
      </c>
      <c r="BA451" s="963">
        <f t="shared" si="780"/>
        <v>0</v>
      </c>
      <c r="BB451" s="963">
        <f t="shared" si="780"/>
        <v>0</v>
      </c>
      <c r="BC451" s="963">
        <f t="shared" si="780"/>
        <v>0</v>
      </c>
      <c r="BD451" s="963">
        <f t="shared" si="780"/>
        <v>0</v>
      </c>
      <c r="BE451" s="963">
        <f t="shared" si="780"/>
        <v>0</v>
      </c>
      <c r="BF451" s="963" t="e">
        <f t="shared" si="780"/>
        <v>#VALUE!</v>
      </c>
    </row>
    <row r="452" spans="29:58" x14ac:dyDescent="0.25">
      <c r="AC452" s="934">
        <f>'T3'!AC140</f>
        <v>42873</v>
      </c>
      <c r="AD452" s="968">
        <f>'T3'!AD140</f>
        <v>0</v>
      </c>
      <c r="AE452" s="962">
        <f>'T3'!N140</f>
        <v>0</v>
      </c>
      <c r="AF452" s="968">
        <f>'T3'!AF140</f>
        <v>0</v>
      </c>
      <c r="AG452" s="962">
        <f>'T3'!O140</f>
        <v>0</v>
      </c>
      <c r="AI452" s="962">
        <f t="shared" si="778"/>
        <v>0</v>
      </c>
      <c r="AJ452" s="962">
        <f t="shared" si="779"/>
        <v>0</v>
      </c>
      <c r="AV452" s="954"/>
      <c r="AW452" s="963">
        <f t="shared" ref="AW452:BF452" si="781">IF(MONTH(AD452)=AW450,AH452,0)</f>
        <v>0</v>
      </c>
      <c r="AX452" s="963">
        <f t="shared" si="781"/>
        <v>0</v>
      </c>
      <c r="AY452" s="963">
        <f t="shared" si="781"/>
        <v>0</v>
      </c>
      <c r="AZ452" s="963">
        <f t="shared" si="781"/>
        <v>0</v>
      </c>
      <c r="BA452" s="963">
        <f t="shared" si="781"/>
        <v>0</v>
      </c>
      <c r="BB452" s="963">
        <f t="shared" si="781"/>
        <v>0</v>
      </c>
      <c r="BC452" s="963">
        <f t="shared" si="781"/>
        <v>0</v>
      </c>
      <c r="BD452" s="963">
        <f t="shared" si="781"/>
        <v>0</v>
      </c>
      <c r="BE452" s="963">
        <f t="shared" si="781"/>
        <v>0</v>
      </c>
      <c r="BF452" s="963">
        <f t="shared" si="781"/>
        <v>0</v>
      </c>
    </row>
    <row r="453" spans="29:58" x14ac:dyDescent="0.25">
      <c r="AC453" s="934">
        <f>'T3'!AC141</f>
        <v>42874</v>
      </c>
      <c r="AD453" s="968">
        <f>'T3'!AD141</f>
        <v>0</v>
      </c>
      <c r="AE453" s="962">
        <f>'T3'!N141</f>
        <v>0</v>
      </c>
      <c r="AF453" s="968">
        <f>'T3'!AF141</f>
        <v>0</v>
      </c>
      <c r="AG453" s="962">
        <f>'T3'!O141</f>
        <v>0</v>
      </c>
      <c r="AI453" s="962">
        <f t="shared" si="778"/>
        <v>0</v>
      </c>
      <c r="AJ453" s="962">
        <f t="shared" si="779"/>
        <v>0</v>
      </c>
      <c r="AV453" s="954"/>
      <c r="AW453" s="963">
        <f t="shared" ref="AW453:BF453" si="782">IF(MONTH(AD453)=AW451,AH453,0)</f>
        <v>0</v>
      </c>
      <c r="AX453" s="963">
        <f t="shared" si="782"/>
        <v>0</v>
      </c>
      <c r="AY453" s="963">
        <f t="shared" si="782"/>
        <v>0</v>
      </c>
      <c r="AZ453" s="963">
        <f t="shared" si="782"/>
        <v>0</v>
      </c>
      <c r="BA453" s="963">
        <f t="shared" si="782"/>
        <v>0</v>
      </c>
      <c r="BB453" s="963">
        <f t="shared" si="782"/>
        <v>0</v>
      </c>
      <c r="BC453" s="963">
        <f t="shared" si="782"/>
        <v>0</v>
      </c>
      <c r="BD453" s="963">
        <f t="shared" si="782"/>
        <v>0</v>
      </c>
      <c r="BE453" s="963">
        <f t="shared" si="782"/>
        <v>0</v>
      </c>
      <c r="BF453" s="963" t="e">
        <f t="shared" si="782"/>
        <v>#VALUE!</v>
      </c>
    </row>
    <row r="454" spans="29:58" x14ac:dyDescent="0.25">
      <c r="AC454" s="934">
        <f>'T3'!AC142</f>
        <v>42875</v>
      </c>
      <c r="AD454" s="968">
        <f>'T3'!AD142</f>
        <v>0</v>
      </c>
      <c r="AE454" s="962">
        <f>'T3'!N142</f>
        <v>0</v>
      </c>
      <c r="AF454" s="968">
        <f>'T3'!AF142</f>
        <v>0</v>
      </c>
      <c r="AG454" s="962">
        <f>'T3'!O142</f>
        <v>0</v>
      </c>
      <c r="AI454" s="962">
        <f t="shared" si="778"/>
        <v>0</v>
      </c>
      <c r="AJ454" s="962">
        <f t="shared" si="779"/>
        <v>0</v>
      </c>
      <c r="AV454" s="954"/>
      <c r="AW454" s="963">
        <f t="shared" ref="AW454:BF454" si="783">IF(MONTH(AD454)=AW452,AH454,0)</f>
        <v>0</v>
      </c>
      <c r="AX454" s="963">
        <f t="shared" si="783"/>
        <v>0</v>
      </c>
      <c r="AY454" s="963">
        <f t="shared" si="783"/>
        <v>0</v>
      </c>
      <c r="AZ454" s="963">
        <f t="shared" si="783"/>
        <v>0</v>
      </c>
      <c r="BA454" s="963">
        <f t="shared" si="783"/>
        <v>0</v>
      </c>
      <c r="BB454" s="963">
        <f t="shared" si="783"/>
        <v>0</v>
      </c>
      <c r="BC454" s="963">
        <f t="shared" si="783"/>
        <v>0</v>
      </c>
      <c r="BD454" s="963">
        <f t="shared" si="783"/>
        <v>0</v>
      </c>
      <c r="BE454" s="963">
        <f t="shared" si="783"/>
        <v>0</v>
      </c>
      <c r="BF454" s="963">
        <f t="shared" si="783"/>
        <v>0</v>
      </c>
    </row>
    <row r="455" spans="29:58" x14ac:dyDescent="0.25">
      <c r="AC455" s="934">
        <f>'T3'!AC143</f>
        <v>42876</v>
      </c>
      <c r="AD455" s="968">
        <f>'T3'!AD143</f>
        <v>0</v>
      </c>
      <c r="AE455" s="962">
        <f>'T3'!N143</f>
        <v>0</v>
      </c>
      <c r="AF455" s="968">
        <f>'T3'!AF143</f>
        <v>0</v>
      </c>
      <c r="AG455" s="962">
        <f>'T3'!O143</f>
        <v>0</v>
      </c>
      <c r="AI455" s="962">
        <f t="shared" si="778"/>
        <v>0</v>
      </c>
      <c r="AJ455" s="962">
        <f t="shared" si="779"/>
        <v>0</v>
      </c>
      <c r="AV455" s="954"/>
      <c r="AW455" s="963">
        <f t="shared" ref="AW455:BF455" si="784">IF(MONTH(AD455)=AW453,AH455,0)</f>
        <v>0</v>
      </c>
      <c r="AX455" s="963">
        <f t="shared" si="784"/>
        <v>0</v>
      </c>
      <c r="AY455" s="963">
        <f t="shared" si="784"/>
        <v>0</v>
      </c>
      <c r="AZ455" s="963">
        <f t="shared" si="784"/>
        <v>0</v>
      </c>
      <c r="BA455" s="963">
        <f t="shared" si="784"/>
        <v>0</v>
      </c>
      <c r="BB455" s="963">
        <f t="shared" si="784"/>
        <v>0</v>
      </c>
      <c r="BC455" s="963">
        <f t="shared" si="784"/>
        <v>0</v>
      </c>
      <c r="BD455" s="963">
        <f t="shared" si="784"/>
        <v>0</v>
      </c>
      <c r="BE455" s="963">
        <f t="shared" si="784"/>
        <v>0</v>
      </c>
      <c r="BF455" s="963" t="e">
        <f t="shared" si="784"/>
        <v>#VALUE!</v>
      </c>
    </row>
    <row r="456" spans="29:58" x14ac:dyDescent="0.25">
      <c r="AC456" s="934">
        <f>'T3'!AC144</f>
        <v>42877</v>
      </c>
      <c r="AD456" s="968">
        <f>'T3'!AD144</f>
        <v>0</v>
      </c>
      <c r="AE456" s="962">
        <f>'T3'!N144</f>
        <v>0</v>
      </c>
      <c r="AF456" s="968">
        <f>'T3'!AF144</f>
        <v>0</v>
      </c>
      <c r="AG456" s="962">
        <f>'T3'!O144</f>
        <v>0</v>
      </c>
      <c r="AI456" s="962">
        <f t="shared" si="778"/>
        <v>0</v>
      </c>
      <c r="AJ456" s="962">
        <f t="shared" si="779"/>
        <v>0</v>
      </c>
      <c r="AV456" s="954"/>
      <c r="AW456" s="963">
        <f t="shared" ref="AW456:BF456" si="785">IF(MONTH(AD456)=AW454,AH456,0)</f>
        <v>0</v>
      </c>
      <c r="AX456" s="963">
        <f t="shared" si="785"/>
        <v>0</v>
      </c>
      <c r="AY456" s="963">
        <f t="shared" si="785"/>
        <v>0</v>
      </c>
      <c r="AZ456" s="963">
        <f t="shared" si="785"/>
        <v>0</v>
      </c>
      <c r="BA456" s="963">
        <f t="shared" si="785"/>
        <v>0</v>
      </c>
      <c r="BB456" s="963">
        <f t="shared" si="785"/>
        <v>0</v>
      </c>
      <c r="BC456" s="963">
        <f t="shared" si="785"/>
        <v>0</v>
      </c>
      <c r="BD456" s="963">
        <f t="shared" si="785"/>
        <v>0</v>
      </c>
      <c r="BE456" s="963">
        <f t="shared" si="785"/>
        <v>0</v>
      </c>
      <c r="BF456" s="963">
        <f t="shared" si="785"/>
        <v>0</v>
      </c>
    </row>
    <row r="457" spans="29:58" x14ac:dyDescent="0.25">
      <c r="AV457" s="954"/>
      <c r="AW457" s="963">
        <f t="shared" ref="AW457:BF457" si="786">IF(MONTH(AD457)=AW455,AH457,0)</f>
        <v>0</v>
      </c>
      <c r="AX457" s="963">
        <f t="shared" si="786"/>
        <v>0</v>
      </c>
      <c r="AY457" s="963">
        <f t="shared" si="786"/>
        <v>0</v>
      </c>
      <c r="AZ457" s="963">
        <f t="shared" si="786"/>
        <v>0</v>
      </c>
      <c r="BA457" s="963">
        <f t="shared" si="786"/>
        <v>0</v>
      </c>
      <c r="BB457" s="963">
        <f t="shared" si="786"/>
        <v>0</v>
      </c>
      <c r="BC457" s="963">
        <f t="shared" si="786"/>
        <v>0</v>
      </c>
      <c r="BD457" s="963">
        <f t="shared" si="786"/>
        <v>0</v>
      </c>
      <c r="BE457" s="963">
        <f t="shared" si="786"/>
        <v>0</v>
      </c>
      <c r="BF457" s="963" t="e">
        <f t="shared" si="786"/>
        <v>#VALUE!</v>
      </c>
    </row>
    <row r="458" spans="29:58" x14ac:dyDescent="0.25">
      <c r="AV458" s="954"/>
      <c r="AW458" s="963">
        <f t="shared" ref="AW458:BF458" si="787">IF(MONTH(AD458)=AW456,AH458,0)</f>
        <v>0</v>
      </c>
      <c r="AX458" s="963">
        <f t="shared" si="787"/>
        <v>0</v>
      </c>
      <c r="AY458" s="963">
        <f t="shared" si="787"/>
        <v>0</v>
      </c>
      <c r="AZ458" s="963">
        <f t="shared" si="787"/>
        <v>0</v>
      </c>
      <c r="BA458" s="963">
        <f t="shared" si="787"/>
        <v>0</v>
      </c>
      <c r="BB458" s="963">
        <f t="shared" si="787"/>
        <v>0</v>
      </c>
      <c r="BC458" s="963">
        <f t="shared" si="787"/>
        <v>0</v>
      </c>
      <c r="BD458" s="963">
        <f t="shared" si="787"/>
        <v>0</v>
      </c>
      <c r="BE458" s="963">
        <f t="shared" si="787"/>
        <v>0</v>
      </c>
      <c r="BF458" s="963">
        <f t="shared" si="787"/>
        <v>0</v>
      </c>
    </row>
    <row r="459" spans="29:58" x14ac:dyDescent="0.25">
      <c r="AV459" s="954"/>
      <c r="AW459" s="963">
        <f t="shared" ref="AW459:BF459" si="788">IF(MONTH(AD459)=AW457,AH459,0)</f>
        <v>0</v>
      </c>
      <c r="AX459" s="963">
        <f t="shared" si="788"/>
        <v>0</v>
      </c>
      <c r="AY459" s="963">
        <f t="shared" si="788"/>
        <v>0</v>
      </c>
      <c r="AZ459" s="963">
        <f t="shared" si="788"/>
        <v>0</v>
      </c>
      <c r="BA459" s="963">
        <f t="shared" si="788"/>
        <v>0</v>
      </c>
      <c r="BB459" s="963">
        <f t="shared" si="788"/>
        <v>0</v>
      </c>
      <c r="BC459" s="963">
        <f t="shared" si="788"/>
        <v>0</v>
      </c>
      <c r="BD459" s="963">
        <f t="shared" si="788"/>
        <v>0</v>
      </c>
      <c r="BE459" s="963">
        <f t="shared" si="788"/>
        <v>0</v>
      </c>
      <c r="BF459" s="963" t="e">
        <f t="shared" si="788"/>
        <v>#VALUE!</v>
      </c>
    </row>
    <row r="460" spans="29:58" x14ac:dyDescent="0.25">
      <c r="AV460" s="954"/>
      <c r="AW460" s="963">
        <f t="shared" ref="AW460:BF460" si="789">IF(MONTH(AD460)=AW458,AH460,0)</f>
        <v>0</v>
      </c>
      <c r="AX460" s="963">
        <f t="shared" si="789"/>
        <v>0</v>
      </c>
      <c r="AY460" s="963">
        <f t="shared" si="789"/>
        <v>0</v>
      </c>
      <c r="AZ460" s="963">
        <f t="shared" si="789"/>
        <v>0</v>
      </c>
      <c r="BA460" s="963">
        <f t="shared" si="789"/>
        <v>0</v>
      </c>
      <c r="BB460" s="963">
        <f t="shared" si="789"/>
        <v>0</v>
      </c>
      <c r="BC460" s="963">
        <f t="shared" si="789"/>
        <v>0</v>
      </c>
      <c r="BD460" s="963">
        <f t="shared" si="789"/>
        <v>0</v>
      </c>
      <c r="BE460" s="963">
        <f t="shared" si="789"/>
        <v>0</v>
      </c>
      <c r="BF460" s="963">
        <f t="shared" si="789"/>
        <v>0</v>
      </c>
    </row>
    <row r="461" spans="29:58" x14ac:dyDescent="0.25">
      <c r="AV461" s="954"/>
      <c r="AW461" s="963">
        <f t="shared" ref="AW461:BF461" si="790">IF(MONTH(AD461)=AW459,AH461,0)</f>
        <v>0</v>
      </c>
      <c r="AX461" s="963">
        <f t="shared" si="790"/>
        <v>0</v>
      </c>
      <c r="AY461" s="963">
        <f t="shared" si="790"/>
        <v>0</v>
      </c>
      <c r="AZ461" s="963">
        <f t="shared" si="790"/>
        <v>0</v>
      </c>
      <c r="BA461" s="963">
        <f t="shared" si="790"/>
        <v>0</v>
      </c>
      <c r="BB461" s="963">
        <f t="shared" si="790"/>
        <v>0</v>
      </c>
      <c r="BC461" s="963">
        <f t="shared" si="790"/>
        <v>0</v>
      </c>
      <c r="BD461" s="963">
        <f t="shared" si="790"/>
        <v>0</v>
      </c>
      <c r="BE461" s="963">
        <f t="shared" si="790"/>
        <v>0</v>
      </c>
      <c r="BF461" s="963" t="e">
        <f t="shared" si="790"/>
        <v>#VALUE!</v>
      </c>
    </row>
    <row r="462" spans="29:58" x14ac:dyDescent="0.25">
      <c r="AC462" s="934">
        <f>'T3'!AC150</f>
        <v>42878</v>
      </c>
      <c r="AD462" s="968">
        <f>'T3'!AD150</f>
        <v>0</v>
      </c>
      <c r="AE462" s="962">
        <f>'T3'!N150</f>
        <v>0</v>
      </c>
      <c r="AF462" s="968">
        <f>'T3'!AF150</f>
        <v>0</v>
      </c>
      <c r="AG462" s="962">
        <f>'T3'!O150</f>
        <v>0</v>
      </c>
      <c r="AI462" s="962">
        <f>AE462+AI456</f>
        <v>0</v>
      </c>
      <c r="AJ462" s="962">
        <f>AG462+AJ456</f>
        <v>0</v>
      </c>
      <c r="AV462" s="954"/>
      <c r="AW462" s="963">
        <f t="shared" ref="AW462:BF462" si="791">IF(MONTH(AD462)=AW460,AH462,0)</f>
        <v>0</v>
      </c>
      <c r="AX462" s="963">
        <f t="shared" si="791"/>
        <v>0</v>
      </c>
      <c r="AY462" s="963">
        <f t="shared" si="791"/>
        <v>0</v>
      </c>
      <c r="AZ462" s="963">
        <f t="shared" si="791"/>
        <v>0</v>
      </c>
      <c r="BA462" s="963">
        <f t="shared" si="791"/>
        <v>0</v>
      </c>
      <c r="BB462" s="963">
        <f t="shared" si="791"/>
        <v>0</v>
      </c>
      <c r="BC462" s="963">
        <f t="shared" si="791"/>
        <v>0</v>
      </c>
      <c r="BD462" s="963">
        <f t="shared" si="791"/>
        <v>0</v>
      </c>
      <c r="BE462" s="963">
        <f t="shared" si="791"/>
        <v>0</v>
      </c>
      <c r="BF462" s="963">
        <f t="shared" si="791"/>
        <v>0</v>
      </c>
    </row>
    <row r="463" spans="29:58" x14ac:dyDescent="0.25">
      <c r="AC463" s="934">
        <f>'T3'!AC151</f>
        <v>42879</v>
      </c>
      <c r="AD463" s="968">
        <f>'T3'!AD151</f>
        <v>0</v>
      </c>
      <c r="AE463" s="962">
        <f>'T3'!N151</f>
        <v>0</v>
      </c>
      <c r="AF463" s="968">
        <f>'T3'!AF151</f>
        <v>0</v>
      </c>
      <c r="AG463" s="962">
        <f>'T3'!O151</f>
        <v>0</v>
      </c>
      <c r="AI463" s="962">
        <f t="shared" ref="AI463:AI468" si="792">AE463+AI462</f>
        <v>0</v>
      </c>
      <c r="AJ463" s="962">
        <f t="shared" ref="AJ463:AJ468" si="793">AG463+AJ462</f>
        <v>0</v>
      </c>
      <c r="AV463" s="954"/>
      <c r="AW463" s="963">
        <f t="shared" ref="AW463:BF463" si="794">IF(MONTH(AD463)=AW461,AH463,0)</f>
        <v>0</v>
      </c>
      <c r="AX463" s="963">
        <f t="shared" si="794"/>
        <v>0</v>
      </c>
      <c r="AY463" s="963">
        <f t="shared" si="794"/>
        <v>0</v>
      </c>
      <c r="AZ463" s="963">
        <f t="shared" si="794"/>
        <v>0</v>
      </c>
      <c r="BA463" s="963">
        <f t="shared" si="794"/>
        <v>0</v>
      </c>
      <c r="BB463" s="963">
        <f t="shared" si="794"/>
        <v>0</v>
      </c>
      <c r="BC463" s="963">
        <f t="shared" si="794"/>
        <v>0</v>
      </c>
      <c r="BD463" s="963">
        <f t="shared" si="794"/>
        <v>0</v>
      </c>
      <c r="BE463" s="963">
        <f t="shared" si="794"/>
        <v>0</v>
      </c>
      <c r="BF463" s="963" t="e">
        <f t="shared" si="794"/>
        <v>#VALUE!</v>
      </c>
    </row>
    <row r="464" spans="29:58" x14ac:dyDescent="0.25">
      <c r="AC464" s="934">
        <f>'T3'!AC152</f>
        <v>42880</v>
      </c>
      <c r="AD464" s="968">
        <f>'T3'!AD152</f>
        <v>0</v>
      </c>
      <c r="AE464" s="962">
        <f>'T3'!N152</f>
        <v>0</v>
      </c>
      <c r="AF464" s="968">
        <f>'T3'!AF152</f>
        <v>0</v>
      </c>
      <c r="AG464" s="962">
        <f>'T3'!O152</f>
        <v>0</v>
      </c>
      <c r="AI464" s="962">
        <f t="shared" si="792"/>
        <v>0</v>
      </c>
      <c r="AJ464" s="962">
        <f t="shared" si="793"/>
        <v>0</v>
      </c>
      <c r="AV464" s="954"/>
      <c r="AW464" s="963">
        <f t="shared" ref="AW464:BF464" si="795">IF(MONTH(AD464)=AW462,AH464,0)</f>
        <v>0</v>
      </c>
      <c r="AX464" s="963">
        <f t="shared" si="795"/>
        <v>0</v>
      </c>
      <c r="AY464" s="963">
        <f t="shared" si="795"/>
        <v>0</v>
      </c>
      <c r="AZ464" s="963">
        <f t="shared" si="795"/>
        <v>0</v>
      </c>
      <c r="BA464" s="963">
        <f t="shared" si="795"/>
        <v>0</v>
      </c>
      <c r="BB464" s="963">
        <f t="shared" si="795"/>
        <v>0</v>
      </c>
      <c r="BC464" s="963">
        <f t="shared" si="795"/>
        <v>0</v>
      </c>
      <c r="BD464" s="963">
        <f t="shared" si="795"/>
        <v>0</v>
      </c>
      <c r="BE464" s="963">
        <f t="shared" si="795"/>
        <v>0</v>
      </c>
      <c r="BF464" s="963">
        <f t="shared" si="795"/>
        <v>0</v>
      </c>
    </row>
    <row r="465" spans="29:58" x14ac:dyDescent="0.25">
      <c r="AC465" s="934">
        <f>'T3'!AC153</f>
        <v>42881</v>
      </c>
      <c r="AD465" s="968">
        <f>'T3'!AD153</f>
        <v>0</v>
      </c>
      <c r="AE465" s="962">
        <f>'T3'!N153</f>
        <v>0</v>
      </c>
      <c r="AF465" s="968">
        <f>'T3'!AF153</f>
        <v>0</v>
      </c>
      <c r="AG465" s="962">
        <f>'T3'!O153</f>
        <v>0</v>
      </c>
      <c r="AI465" s="962">
        <f t="shared" si="792"/>
        <v>0</v>
      </c>
      <c r="AJ465" s="962">
        <f t="shared" si="793"/>
        <v>0</v>
      </c>
      <c r="AV465" s="954"/>
      <c r="AW465" s="963">
        <f t="shared" ref="AW465:BF465" si="796">IF(MONTH(AD465)=AW463,AH465,0)</f>
        <v>0</v>
      </c>
      <c r="AX465" s="963">
        <f t="shared" si="796"/>
        <v>0</v>
      </c>
      <c r="AY465" s="963">
        <f t="shared" si="796"/>
        <v>0</v>
      </c>
      <c r="AZ465" s="963">
        <f t="shared" si="796"/>
        <v>0</v>
      </c>
      <c r="BA465" s="963">
        <f t="shared" si="796"/>
        <v>0</v>
      </c>
      <c r="BB465" s="963">
        <f t="shared" si="796"/>
        <v>0</v>
      </c>
      <c r="BC465" s="963">
        <f t="shared" si="796"/>
        <v>0</v>
      </c>
      <c r="BD465" s="963">
        <f t="shared" si="796"/>
        <v>0</v>
      </c>
      <c r="BE465" s="963">
        <f t="shared" si="796"/>
        <v>0</v>
      </c>
      <c r="BF465" s="963" t="e">
        <f t="shared" si="796"/>
        <v>#VALUE!</v>
      </c>
    </row>
    <row r="466" spans="29:58" x14ac:dyDescent="0.25">
      <c r="AC466" s="934">
        <f>'T3'!AC154</f>
        <v>42882</v>
      </c>
      <c r="AD466" s="968">
        <f>'T3'!AD154</f>
        <v>0</v>
      </c>
      <c r="AE466" s="962">
        <f>'T3'!N154</f>
        <v>0</v>
      </c>
      <c r="AF466" s="968">
        <f>'T3'!AF154</f>
        <v>0</v>
      </c>
      <c r="AG466" s="962">
        <f>'T3'!O154</f>
        <v>0</v>
      </c>
      <c r="AI466" s="962">
        <f t="shared" si="792"/>
        <v>0</v>
      </c>
      <c r="AJ466" s="962">
        <f t="shared" si="793"/>
        <v>0</v>
      </c>
      <c r="AV466" s="954"/>
      <c r="AW466" s="963">
        <f t="shared" ref="AW466:BF466" si="797">IF(MONTH(AD466)=AW464,AH466,0)</f>
        <v>0</v>
      </c>
      <c r="AX466" s="963">
        <f t="shared" si="797"/>
        <v>0</v>
      </c>
      <c r="AY466" s="963">
        <f t="shared" si="797"/>
        <v>0</v>
      </c>
      <c r="AZ466" s="963">
        <f t="shared" si="797"/>
        <v>0</v>
      </c>
      <c r="BA466" s="963">
        <f t="shared" si="797"/>
        <v>0</v>
      </c>
      <c r="BB466" s="963">
        <f t="shared" si="797"/>
        <v>0</v>
      </c>
      <c r="BC466" s="963">
        <f t="shared" si="797"/>
        <v>0</v>
      </c>
      <c r="BD466" s="963">
        <f t="shared" si="797"/>
        <v>0</v>
      </c>
      <c r="BE466" s="963">
        <f t="shared" si="797"/>
        <v>0</v>
      </c>
      <c r="BF466" s="963">
        <f t="shared" si="797"/>
        <v>0</v>
      </c>
    </row>
    <row r="467" spans="29:58" x14ac:dyDescent="0.25">
      <c r="AC467" s="934">
        <f>'T3'!AC155</f>
        <v>42883</v>
      </c>
      <c r="AD467" s="968">
        <f>'T3'!AD155</f>
        <v>0</v>
      </c>
      <c r="AE467" s="962">
        <f>'T3'!N155</f>
        <v>0</v>
      </c>
      <c r="AF467" s="968">
        <f>'T3'!AF155</f>
        <v>0</v>
      </c>
      <c r="AG467" s="962">
        <f>'T3'!O155</f>
        <v>0</v>
      </c>
      <c r="AI467" s="962">
        <f t="shared" si="792"/>
        <v>0</v>
      </c>
      <c r="AJ467" s="962">
        <f t="shared" si="793"/>
        <v>0</v>
      </c>
      <c r="AV467" s="954"/>
      <c r="AW467" s="963">
        <f t="shared" ref="AW467:BF467" si="798">IF(MONTH(AD467)=AW465,AH467,0)</f>
        <v>0</v>
      </c>
      <c r="AX467" s="963">
        <f t="shared" si="798"/>
        <v>0</v>
      </c>
      <c r="AY467" s="963">
        <f t="shared" si="798"/>
        <v>0</v>
      </c>
      <c r="AZ467" s="963">
        <f t="shared" si="798"/>
        <v>0</v>
      </c>
      <c r="BA467" s="963">
        <f t="shared" si="798"/>
        <v>0</v>
      </c>
      <c r="BB467" s="963">
        <f t="shared" si="798"/>
        <v>0</v>
      </c>
      <c r="BC467" s="963">
        <f t="shared" si="798"/>
        <v>0</v>
      </c>
      <c r="BD467" s="963">
        <f t="shared" si="798"/>
        <v>0</v>
      </c>
      <c r="BE467" s="963">
        <f t="shared" si="798"/>
        <v>0</v>
      </c>
      <c r="BF467" s="963" t="e">
        <f t="shared" si="798"/>
        <v>#VALUE!</v>
      </c>
    </row>
    <row r="468" spans="29:58" x14ac:dyDescent="0.25">
      <c r="AC468" s="934">
        <f>'T3'!AC156</f>
        <v>42884</v>
      </c>
      <c r="AD468" s="968">
        <f>'T3'!AD156</f>
        <v>0</v>
      </c>
      <c r="AE468" s="962">
        <f>'T3'!N156</f>
        <v>0</v>
      </c>
      <c r="AF468" s="968">
        <f>'T3'!AF156</f>
        <v>0</v>
      </c>
      <c r="AG468" s="962">
        <f>'T3'!O156</f>
        <v>0</v>
      </c>
      <c r="AI468" s="962">
        <f t="shared" si="792"/>
        <v>0</v>
      </c>
      <c r="AJ468" s="962">
        <f t="shared" si="793"/>
        <v>0</v>
      </c>
      <c r="AV468" s="954"/>
      <c r="AW468" s="963">
        <f t="shared" ref="AW468:BF468" si="799">IF(MONTH(AD468)=AW466,AH468,0)</f>
        <v>0</v>
      </c>
      <c r="AX468" s="963">
        <f t="shared" si="799"/>
        <v>0</v>
      </c>
      <c r="AY468" s="963">
        <f t="shared" si="799"/>
        <v>0</v>
      </c>
      <c r="AZ468" s="963">
        <f t="shared" si="799"/>
        <v>0</v>
      </c>
      <c r="BA468" s="963">
        <f t="shared" si="799"/>
        <v>0</v>
      </c>
      <c r="BB468" s="963">
        <f t="shared" si="799"/>
        <v>0</v>
      </c>
      <c r="BC468" s="963">
        <f t="shared" si="799"/>
        <v>0</v>
      </c>
      <c r="BD468" s="963">
        <f t="shared" si="799"/>
        <v>0</v>
      </c>
      <c r="BE468" s="963">
        <f t="shared" si="799"/>
        <v>0</v>
      </c>
      <c r="BF468" s="963">
        <f t="shared" si="799"/>
        <v>0</v>
      </c>
    </row>
    <row r="469" spans="29:58" x14ac:dyDescent="0.25">
      <c r="AV469" s="954"/>
      <c r="AW469" s="963">
        <f t="shared" ref="AW469:BF469" si="800">IF(MONTH(AD469)=AW467,AH469,0)</f>
        <v>0</v>
      </c>
      <c r="AX469" s="963">
        <f t="shared" si="800"/>
        <v>0</v>
      </c>
      <c r="AY469" s="963">
        <f t="shared" si="800"/>
        <v>0</v>
      </c>
      <c r="AZ469" s="963">
        <f t="shared" si="800"/>
        <v>0</v>
      </c>
      <c r="BA469" s="963">
        <f t="shared" si="800"/>
        <v>0</v>
      </c>
      <c r="BB469" s="963">
        <f t="shared" si="800"/>
        <v>0</v>
      </c>
      <c r="BC469" s="963">
        <f t="shared" si="800"/>
        <v>0</v>
      </c>
      <c r="BD469" s="963">
        <f t="shared" si="800"/>
        <v>0</v>
      </c>
      <c r="BE469" s="963">
        <f t="shared" si="800"/>
        <v>0</v>
      </c>
      <c r="BF469" s="963" t="e">
        <f t="shared" si="800"/>
        <v>#VALUE!</v>
      </c>
    </row>
    <row r="470" spans="29:58" x14ac:dyDescent="0.25">
      <c r="AV470" s="954"/>
      <c r="AW470" s="963">
        <f t="shared" ref="AW470:BF470" si="801">IF(MONTH(AD470)=AW468,AH470,0)</f>
        <v>0</v>
      </c>
      <c r="AX470" s="963">
        <f t="shared" si="801"/>
        <v>0</v>
      </c>
      <c r="AY470" s="963">
        <f t="shared" si="801"/>
        <v>0</v>
      </c>
      <c r="AZ470" s="963">
        <f t="shared" si="801"/>
        <v>0</v>
      </c>
      <c r="BA470" s="963">
        <f t="shared" si="801"/>
        <v>0</v>
      </c>
      <c r="BB470" s="963">
        <f t="shared" si="801"/>
        <v>0</v>
      </c>
      <c r="BC470" s="963">
        <f t="shared" si="801"/>
        <v>0</v>
      </c>
      <c r="BD470" s="963">
        <f t="shared" si="801"/>
        <v>0</v>
      </c>
      <c r="BE470" s="963">
        <f t="shared" si="801"/>
        <v>0</v>
      </c>
      <c r="BF470" s="963">
        <f t="shared" si="801"/>
        <v>0</v>
      </c>
    </row>
    <row r="471" spans="29:58" x14ac:dyDescent="0.25">
      <c r="AV471" s="954"/>
      <c r="AW471" s="963">
        <f t="shared" ref="AW471:BF471" si="802">IF(MONTH(AD471)=AW469,AH471,0)</f>
        <v>0</v>
      </c>
      <c r="AX471" s="963">
        <f t="shared" si="802"/>
        <v>0</v>
      </c>
      <c r="AY471" s="963">
        <f t="shared" si="802"/>
        <v>0</v>
      </c>
      <c r="AZ471" s="963">
        <f t="shared" si="802"/>
        <v>0</v>
      </c>
      <c r="BA471" s="963">
        <f t="shared" si="802"/>
        <v>0</v>
      </c>
      <c r="BB471" s="963">
        <f t="shared" si="802"/>
        <v>0</v>
      </c>
      <c r="BC471" s="963">
        <f t="shared" si="802"/>
        <v>0</v>
      </c>
      <c r="BD471" s="963">
        <f t="shared" si="802"/>
        <v>0</v>
      </c>
      <c r="BE471" s="963">
        <f t="shared" si="802"/>
        <v>0</v>
      </c>
      <c r="BF471" s="963" t="e">
        <f t="shared" si="802"/>
        <v>#VALUE!</v>
      </c>
    </row>
    <row r="472" spans="29:58" x14ac:dyDescent="0.25">
      <c r="AV472" s="954"/>
      <c r="AW472" s="963">
        <f t="shared" ref="AW472:BF472" si="803">IF(MONTH(AD472)=AW470,AH472,0)</f>
        <v>0</v>
      </c>
      <c r="AX472" s="963">
        <f t="shared" si="803"/>
        <v>0</v>
      </c>
      <c r="AY472" s="963">
        <f t="shared" si="803"/>
        <v>0</v>
      </c>
      <c r="AZ472" s="963">
        <f t="shared" si="803"/>
        <v>0</v>
      </c>
      <c r="BA472" s="963">
        <f t="shared" si="803"/>
        <v>0</v>
      </c>
      <c r="BB472" s="963">
        <f t="shared" si="803"/>
        <v>0</v>
      </c>
      <c r="BC472" s="963">
        <f t="shared" si="803"/>
        <v>0</v>
      </c>
      <c r="BD472" s="963">
        <f t="shared" si="803"/>
        <v>0</v>
      </c>
      <c r="BE472" s="963">
        <f t="shared" si="803"/>
        <v>0</v>
      </c>
      <c r="BF472" s="963">
        <f t="shared" si="803"/>
        <v>0</v>
      </c>
    </row>
    <row r="473" spans="29:58" x14ac:dyDescent="0.25">
      <c r="AV473" s="954"/>
      <c r="AW473" s="963">
        <f t="shared" ref="AW473:BF473" si="804">IF(MONTH(AD473)=AW471,AH473,0)</f>
        <v>0</v>
      </c>
      <c r="AX473" s="963">
        <f t="shared" si="804"/>
        <v>0</v>
      </c>
      <c r="AY473" s="963">
        <f t="shared" si="804"/>
        <v>0</v>
      </c>
      <c r="AZ473" s="963">
        <f t="shared" si="804"/>
        <v>0</v>
      </c>
      <c r="BA473" s="963">
        <f t="shared" si="804"/>
        <v>0</v>
      </c>
      <c r="BB473" s="963">
        <f t="shared" si="804"/>
        <v>0</v>
      </c>
      <c r="BC473" s="963">
        <f t="shared" si="804"/>
        <v>0</v>
      </c>
      <c r="BD473" s="963">
        <f t="shared" si="804"/>
        <v>0</v>
      </c>
      <c r="BE473" s="963">
        <f t="shared" si="804"/>
        <v>0</v>
      </c>
      <c r="BF473" s="963" t="e">
        <f t="shared" si="804"/>
        <v>#VALUE!</v>
      </c>
    </row>
    <row r="474" spans="29:58" x14ac:dyDescent="0.25">
      <c r="AC474" s="934">
        <f>'T3'!AC162</f>
        <v>42885</v>
      </c>
      <c r="AD474" s="968">
        <f>'T3'!AD162</f>
        <v>0</v>
      </c>
      <c r="AE474" s="962">
        <f>'T3'!N162</f>
        <v>0</v>
      </c>
      <c r="AF474" s="968">
        <f>'T3'!AF162</f>
        <v>0</v>
      </c>
      <c r="AG474" s="962">
        <f>'T3'!O162</f>
        <v>0</v>
      </c>
      <c r="AI474" s="962">
        <f>AE474+AI468</f>
        <v>0</v>
      </c>
      <c r="AJ474" s="962">
        <f>AG474+AJ468</f>
        <v>0</v>
      </c>
      <c r="AV474" s="954"/>
      <c r="AW474" s="963">
        <f t="shared" ref="AW474:BF474" si="805">IF(MONTH(AD474)=AW472,AH474,0)</f>
        <v>0</v>
      </c>
      <c r="AX474" s="963">
        <f t="shared" si="805"/>
        <v>0</v>
      </c>
      <c r="AY474" s="963">
        <f t="shared" si="805"/>
        <v>0</v>
      </c>
      <c r="AZ474" s="963">
        <f t="shared" si="805"/>
        <v>0</v>
      </c>
      <c r="BA474" s="963">
        <f t="shared" si="805"/>
        <v>0</v>
      </c>
      <c r="BB474" s="963">
        <f t="shared" si="805"/>
        <v>0</v>
      </c>
      <c r="BC474" s="963">
        <f t="shared" si="805"/>
        <v>0</v>
      </c>
      <c r="BD474" s="963">
        <f t="shared" si="805"/>
        <v>0</v>
      </c>
      <c r="BE474" s="963">
        <f t="shared" si="805"/>
        <v>0</v>
      </c>
      <c r="BF474" s="963">
        <f t="shared" si="805"/>
        <v>0</v>
      </c>
    </row>
    <row r="475" spans="29:58" x14ac:dyDescent="0.25">
      <c r="AC475" s="934">
        <f>'T3'!AC163</f>
        <v>42886</v>
      </c>
      <c r="AD475" s="968">
        <f>'T3'!AD163</f>
        <v>0</v>
      </c>
      <c r="AE475" s="962">
        <f>'T3'!N163</f>
        <v>0</v>
      </c>
      <c r="AF475" s="968">
        <f>'T3'!AF163</f>
        <v>0</v>
      </c>
      <c r="AG475" s="962">
        <f>'T3'!O163</f>
        <v>0</v>
      </c>
      <c r="AI475" s="962">
        <f t="shared" ref="AI475:AI480" si="806">AE475+AI474</f>
        <v>0</v>
      </c>
      <c r="AJ475" s="962">
        <f t="shared" ref="AJ475:AJ480" si="807">AG475+AJ474</f>
        <v>0</v>
      </c>
      <c r="AV475" s="954"/>
      <c r="AW475" s="963">
        <f t="shared" ref="AW475:BF475" si="808">IF(MONTH(AD475)=AW473,AH475,0)</f>
        <v>0</v>
      </c>
      <c r="AX475" s="963">
        <f t="shared" si="808"/>
        <v>0</v>
      </c>
      <c r="AY475" s="963">
        <f t="shared" si="808"/>
        <v>0</v>
      </c>
      <c r="AZ475" s="963">
        <f t="shared" si="808"/>
        <v>0</v>
      </c>
      <c r="BA475" s="963">
        <f t="shared" si="808"/>
        <v>0</v>
      </c>
      <c r="BB475" s="963">
        <f t="shared" si="808"/>
        <v>0</v>
      </c>
      <c r="BC475" s="963">
        <f t="shared" si="808"/>
        <v>0</v>
      </c>
      <c r="BD475" s="963">
        <f t="shared" si="808"/>
        <v>0</v>
      </c>
      <c r="BE475" s="963">
        <f t="shared" si="808"/>
        <v>0</v>
      </c>
      <c r="BF475" s="963" t="e">
        <f t="shared" si="808"/>
        <v>#VALUE!</v>
      </c>
    </row>
    <row r="476" spans="29:58" x14ac:dyDescent="0.25">
      <c r="AC476" s="934">
        <f>'T3'!AC164</f>
        <v>42887</v>
      </c>
      <c r="AD476" s="968">
        <f>'T3'!AD164</f>
        <v>0</v>
      </c>
      <c r="AE476" s="962">
        <f>'T3'!N164</f>
        <v>0</v>
      </c>
      <c r="AF476" s="968">
        <f>'T3'!AF164</f>
        <v>0</v>
      </c>
      <c r="AG476" s="962">
        <f>'T3'!O164</f>
        <v>0</v>
      </c>
      <c r="AI476" s="962">
        <f t="shared" si="806"/>
        <v>0</v>
      </c>
      <c r="AJ476" s="962">
        <f t="shared" si="807"/>
        <v>0</v>
      </c>
      <c r="AV476" s="954"/>
      <c r="AW476" s="963">
        <f t="shared" ref="AW476:BF476" si="809">IF(MONTH(AD476)=AW474,AH476,0)</f>
        <v>0</v>
      </c>
      <c r="AX476" s="963">
        <f t="shared" si="809"/>
        <v>0</v>
      </c>
      <c r="AY476" s="963">
        <f t="shared" si="809"/>
        <v>0</v>
      </c>
      <c r="AZ476" s="963">
        <f t="shared" si="809"/>
        <v>0</v>
      </c>
      <c r="BA476" s="963">
        <f t="shared" si="809"/>
        <v>0</v>
      </c>
      <c r="BB476" s="963">
        <f t="shared" si="809"/>
        <v>0</v>
      </c>
      <c r="BC476" s="963">
        <f t="shared" si="809"/>
        <v>0</v>
      </c>
      <c r="BD476" s="963">
        <f t="shared" si="809"/>
        <v>0</v>
      </c>
      <c r="BE476" s="963">
        <f t="shared" si="809"/>
        <v>0</v>
      </c>
      <c r="BF476" s="963">
        <f t="shared" si="809"/>
        <v>0</v>
      </c>
    </row>
    <row r="477" spans="29:58" x14ac:dyDescent="0.25">
      <c r="AC477" s="934">
        <f>'T3'!AC165</f>
        <v>42888</v>
      </c>
      <c r="AD477" s="968">
        <f>'T3'!AD165</f>
        <v>0</v>
      </c>
      <c r="AE477" s="962">
        <f>'T3'!N165</f>
        <v>0</v>
      </c>
      <c r="AF477" s="968">
        <f>'T3'!AF165</f>
        <v>0</v>
      </c>
      <c r="AG477" s="962">
        <f>'T3'!O165</f>
        <v>0</v>
      </c>
      <c r="AI477" s="962">
        <f t="shared" si="806"/>
        <v>0</v>
      </c>
      <c r="AJ477" s="962">
        <f t="shared" si="807"/>
        <v>0</v>
      </c>
      <c r="AV477" s="954"/>
      <c r="AW477" s="963">
        <f t="shared" ref="AW477:BF477" si="810">IF(MONTH(AD477)=AW475,AH477,0)</f>
        <v>0</v>
      </c>
      <c r="AX477" s="963">
        <f t="shared" si="810"/>
        <v>0</v>
      </c>
      <c r="AY477" s="963">
        <f t="shared" si="810"/>
        <v>0</v>
      </c>
      <c r="AZ477" s="963">
        <f t="shared" si="810"/>
        <v>0</v>
      </c>
      <c r="BA477" s="963">
        <f t="shared" si="810"/>
        <v>0</v>
      </c>
      <c r="BB477" s="963">
        <f t="shared" si="810"/>
        <v>0</v>
      </c>
      <c r="BC477" s="963">
        <f t="shared" si="810"/>
        <v>0</v>
      </c>
      <c r="BD477" s="963">
        <f t="shared" si="810"/>
        <v>0</v>
      </c>
      <c r="BE477" s="963">
        <f t="shared" si="810"/>
        <v>0</v>
      </c>
      <c r="BF477" s="963" t="e">
        <f t="shared" si="810"/>
        <v>#VALUE!</v>
      </c>
    </row>
    <row r="478" spans="29:58" x14ac:dyDescent="0.25">
      <c r="AC478" s="934">
        <f>'T3'!AC166</f>
        <v>42889</v>
      </c>
      <c r="AD478" s="968">
        <f>'T3'!AD166</f>
        <v>0</v>
      </c>
      <c r="AE478" s="962">
        <f>'T3'!N166</f>
        <v>0</v>
      </c>
      <c r="AF478" s="968">
        <f>'T3'!AF166</f>
        <v>0</v>
      </c>
      <c r="AG478" s="962">
        <f>'T3'!O166</f>
        <v>0</v>
      </c>
      <c r="AI478" s="962">
        <f t="shared" si="806"/>
        <v>0</v>
      </c>
      <c r="AJ478" s="962">
        <f t="shared" si="807"/>
        <v>0</v>
      </c>
      <c r="AV478" s="954"/>
      <c r="AW478" s="963">
        <f t="shared" ref="AW478:BF478" si="811">IF(MONTH(AD478)=AW476,AH478,0)</f>
        <v>0</v>
      </c>
      <c r="AX478" s="963">
        <f t="shared" si="811"/>
        <v>0</v>
      </c>
      <c r="AY478" s="963">
        <f t="shared" si="811"/>
        <v>0</v>
      </c>
      <c r="AZ478" s="963">
        <f t="shared" si="811"/>
        <v>0</v>
      </c>
      <c r="BA478" s="963">
        <f t="shared" si="811"/>
        <v>0</v>
      </c>
      <c r="BB478" s="963">
        <f t="shared" si="811"/>
        <v>0</v>
      </c>
      <c r="BC478" s="963">
        <f t="shared" si="811"/>
        <v>0</v>
      </c>
      <c r="BD478" s="963">
        <f t="shared" si="811"/>
        <v>0</v>
      </c>
      <c r="BE478" s="963">
        <f t="shared" si="811"/>
        <v>0</v>
      </c>
      <c r="BF478" s="963">
        <f t="shared" si="811"/>
        <v>0</v>
      </c>
    </row>
    <row r="479" spans="29:58" x14ac:dyDescent="0.25">
      <c r="AC479" s="934">
        <f>'T3'!AC167</f>
        <v>42890</v>
      </c>
      <c r="AD479" s="968">
        <f>'T3'!AD167</f>
        <v>0</v>
      </c>
      <c r="AE479" s="962">
        <f>'T3'!N167</f>
        <v>0</v>
      </c>
      <c r="AF479" s="968">
        <f>'T3'!AF167</f>
        <v>0</v>
      </c>
      <c r="AG479" s="962">
        <f>'T3'!O167</f>
        <v>0</v>
      </c>
      <c r="AI479" s="962">
        <f t="shared" si="806"/>
        <v>0</v>
      </c>
      <c r="AJ479" s="962">
        <f t="shared" si="807"/>
        <v>0</v>
      </c>
      <c r="AV479" s="954"/>
      <c r="AW479" s="963">
        <f t="shared" ref="AW479:BF479" si="812">IF(MONTH(AD479)=AW477,AH479,0)</f>
        <v>0</v>
      </c>
      <c r="AX479" s="963">
        <f t="shared" si="812"/>
        <v>0</v>
      </c>
      <c r="AY479" s="963">
        <f t="shared" si="812"/>
        <v>0</v>
      </c>
      <c r="AZ479" s="963">
        <f t="shared" si="812"/>
        <v>0</v>
      </c>
      <c r="BA479" s="963">
        <f t="shared" si="812"/>
        <v>0</v>
      </c>
      <c r="BB479" s="963">
        <f t="shared" si="812"/>
        <v>0</v>
      </c>
      <c r="BC479" s="963">
        <f t="shared" si="812"/>
        <v>0</v>
      </c>
      <c r="BD479" s="963">
        <f t="shared" si="812"/>
        <v>0</v>
      </c>
      <c r="BE479" s="963">
        <f t="shared" si="812"/>
        <v>0</v>
      </c>
      <c r="BF479" s="963" t="e">
        <f t="shared" si="812"/>
        <v>#VALUE!</v>
      </c>
    </row>
    <row r="480" spans="29:58" x14ac:dyDescent="0.25">
      <c r="AC480" s="934">
        <f>'T3'!AC168</f>
        <v>42891</v>
      </c>
      <c r="AD480" s="968">
        <f>'T3'!AD168</f>
        <v>0</v>
      </c>
      <c r="AE480" s="962">
        <f>'T3'!N168</f>
        <v>0</v>
      </c>
      <c r="AF480" s="968">
        <f>'T3'!AF168</f>
        <v>0</v>
      </c>
      <c r="AG480" s="962">
        <f>'T3'!O168</f>
        <v>0</v>
      </c>
      <c r="AI480" s="962">
        <f t="shared" si="806"/>
        <v>0</v>
      </c>
      <c r="AJ480" s="962">
        <f t="shared" si="807"/>
        <v>0</v>
      </c>
      <c r="AV480" s="954"/>
      <c r="AW480" s="963">
        <f t="shared" ref="AW480:BF480" si="813">IF(MONTH(AD480)=AW478,AH480,0)</f>
        <v>0</v>
      </c>
      <c r="AX480" s="963">
        <f t="shared" si="813"/>
        <v>0</v>
      </c>
      <c r="AY480" s="963">
        <f t="shared" si="813"/>
        <v>0</v>
      </c>
      <c r="AZ480" s="963">
        <f t="shared" si="813"/>
        <v>0</v>
      </c>
      <c r="BA480" s="963">
        <f t="shared" si="813"/>
        <v>0</v>
      </c>
      <c r="BB480" s="963">
        <f t="shared" si="813"/>
        <v>0</v>
      </c>
      <c r="BC480" s="963">
        <f t="shared" si="813"/>
        <v>0</v>
      </c>
      <c r="BD480" s="963">
        <f t="shared" si="813"/>
        <v>0</v>
      </c>
      <c r="BE480" s="963">
        <f t="shared" si="813"/>
        <v>0</v>
      </c>
      <c r="BF480" s="963">
        <f t="shared" si="813"/>
        <v>0</v>
      </c>
    </row>
    <row r="481" spans="29:58" x14ac:dyDescent="0.25">
      <c r="AV481" s="954"/>
      <c r="AW481" s="963">
        <f t="shared" ref="AW481:BF481" si="814">IF(MONTH(AD481)=AW479,AH481,0)</f>
        <v>0</v>
      </c>
      <c r="AX481" s="963">
        <f t="shared" si="814"/>
        <v>0</v>
      </c>
      <c r="AY481" s="963">
        <f t="shared" si="814"/>
        <v>0</v>
      </c>
      <c r="AZ481" s="963">
        <f t="shared" si="814"/>
        <v>0</v>
      </c>
      <c r="BA481" s="963">
        <f t="shared" si="814"/>
        <v>0</v>
      </c>
      <c r="BB481" s="963">
        <f t="shared" si="814"/>
        <v>0</v>
      </c>
      <c r="BC481" s="963">
        <f t="shared" si="814"/>
        <v>0</v>
      </c>
      <c r="BD481" s="963">
        <f t="shared" si="814"/>
        <v>0</v>
      </c>
      <c r="BE481" s="963">
        <f t="shared" si="814"/>
        <v>0</v>
      </c>
      <c r="BF481" s="963" t="e">
        <f t="shared" si="814"/>
        <v>#VALUE!</v>
      </c>
    </row>
    <row r="482" spans="29:58" x14ac:dyDescent="0.25">
      <c r="AV482" s="954"/>
      <c r="AW482" s="963">
        <f t="shared" ref="AW482:BF482" si="815">IF(MONTH(AD482)=AW480,AH482,0)</f>
        <v>0</v>
      </c>
      <c r="AX482" s="963">
        <f t="shared" si="815"/>
        <v>0</v>
      </c>
      <c r="AY482" s="963">
        <f t="shared" si="815"/>
        <v>0</v>
      </c>
      <c r="AZ482" s="963">
        <f t="shared" si="815"/>
        <v>0</v>
      </c>
      <c r="BA482" s="963">
        <f t="shared" si="815"/>
        <v>0</v>
      </c>
      <c r="BB482" s="963">
        <f t="shared" si="815"/>
        <v>0</v>
      </c>
      <c r="BC482" s="963">
        <f t="shared" si="815"/>
        <v>0</v>
      </c>
      <c r="BD482" s="963">
        <f t="shared" si="815"/>
        <v>0</v>
      </c>
      <c r="BE482" s="963">
        <f t="shared" si="815"/>
        <v>0</v>
      </c>
      <c r="BF482" s="963">
        <f t="shared" si="815"/>
        <v>0</v>
      </c>
    </row>
    <row r="483" spans="29:58" x14ac:dyDescent="0.25">
      <c r="AV483" s="954"/>
      <c r="AW483" s="963">
        <f t="shared" ref="AW483:BF483" si="816">IF(MONTH(AD483)=AW481,AH483,0)</f>
        <v>0</v>
      </c>
      <c r="AX483" s="963">
        <f t="shared" si="816"/>
        <v>0</v>
      </c>
      <c r="AY483" s="963">
        <f t="shared" si="816"/>
        <v>0</v>
      </c>
      <c r="AZ483" s="963">
        <f t="shared" si="816"/>
        <v>0</v>
      </c>
      <c r="BA483" s="963">
        <f t="shared" si="816"/>
        <v>0</v>
      </c>
      <c r="BB483" s="963">
        <f t="shared" si="816"/>
        <v>0</v>
      </c>
      <c r="BC483" s="963">
        <f t="shared" si="816"/>
        <v>0</v>
      </c>
      <c r="BD483" s="963">
        <f t="shared" si="816"/>
        <v>0</v>
      </c>
      <c r="BE483" s="963">
        <f t="shared" si="816"/>
        <v>0</v>
      </c>
      <c r="BF483" s="963" t="e">
        <f t="shared" si="816"/>
        <v>#VALUE!</v>
      </c>
    </row>
    <row r="484" spans="29:58" x14ac:dyDescent="0.25">
      <c r="AV484" s="954"/>
      <c r="AW484" s="963">
        <f t="shared" ref="AW484:BF484" si="817">IF(MONTH(AD484)=AW482,AH484,0)</f>
        <v>0</v>
      </c>
      <c r="AX484" s="963">
        <f t="shared" si="817"/>
        <v>0</v>
      </c>
      <c r="AY484" s="963">
        <f t="shared" si="817"/>
        <v>0</v>
      </c>
      <c r="AZ484" s="963">
        <f t="shared" si="817"/>
        <v>0</v>
      </c>
      <c r="BA484" s="963">
        <f t="shared" si="817"/>
        <v>0</v>
      </c>
      <c r="BB484" s="963">
        <f t="shared" si="817"/>
        <v>0</v>
      </c>
      <c r="BC484" s="963">
        <f t="shared" si="817"/>
        <v>0</v>
      </c>
      <c r="BD484" s="963">
        <f t="shared" si="817"/>
        <v>0</v>
      </c>
      <c r="BE484" s="963">
        <f t="shared" si="817"/>
        <v>0</v>
      </c>
      <c r="BF484" s="963">
        <f t="shared" si="817"/>
        <v>0</v>
      </c>
    </row>
    <row r="485" spans="29:58" x14ac:dyDescent="0.25">
      <c r="AV485" s="954"/>
      <c r="AW485" s="963">
        <f t="shared" ref="AW485:BF485" si="818">IF(MONTH(AD485)=AW483,AH485,0)</f>
        <v>0</v>
      </c>
      <c r="AX485" s="963">
        <f t="shared" si="818"/>
        <v>0</v>
      </c>
      <c r="AY485" s="963">
        <f t="shared" si="818"/>
        <v>0</v>
      </c>
      <c r="AZ485" s="963">
        <f t="shared" si="818"/>
        <v>0</v>
      </c>
      <c r="BA485" s="963">
        <f t="shared" si="818"/>
        <v>0</v>
      </c>
      <c r="BB485" s="963">
        <f t="shared" si="818"/>
        <v>0</v>
      </c>
      <c r="BC485" s="963">
        <f t="shared" si="818"/>
        <v>0</v>
      </c>
      <c r="BD485" s="963">
        <f t="shared" si="818"/>
        <v>0</v>
      </c>
      <c r="BE485" s="963">
        <f t="shared" si="818"/>
        <v>0</v>
      </c>
      <c r="BF485" s="963" t="e">
        <f t="shared" si="818"/>
        <v>#VALUE!</v>
      </c>
    </row>
    <row r="486" spans="29:58" x14ac:dyDescent="0.25">
      <c r="AC486" s="934">
        <f>'T4'!AC6</f>
        <v>42892</v>
      </c>
      <c r="AD486" s="968">
        <f>'T4'!AD6</f>
        <v>0</v>
      </c>
      <c r="AE486" s="962">
        <f>'T4'!N6</f>
        <v>0</v>
      </c>
      <c r="AF486" s="968">
        <f>'T4'!AF6</f>
        <v>0</v>
      </c>
      <c r="AG486" s="962">
        <f>'T4'!O6</f>
        <v>0</v>
      </c>
      <c r="AI486" s="962">
        <f>AE486+AI480</f>
        <v>0</v>
      </c>
      <c r="AJ486" s="962">
        <f>AG486+AJ480</f>
        <v>0</v>
      </c>
      <c r="AV486" s="954"/>
      <c r="AW486" s="963">
        <f t="shared" ref="AW486:BF486" si="819">IF(MONTH(AD486)=AW484,AH486,0)</f>
        <v>0</v>
      </c>
      <c r="AX486" s="963">
        <f t="shared" si="819"/>
        <v>0</v>
      </c>
      <c r="AY486" s="963">
        <f t="shared" si="819"/>
        <v>0</v>
      </c>
      <c r="AZ486" s="963">
        <f t="shared" si="819"/>
        <v>0</v>
      </c>
      <c r="BA486" s="963">
        <f t="shared" si="819"/>
        <v>0</v>
      </c>
      <c r="BB486" s="963">
        <f t="shared" si="819"/>
        <v>0</v>
      </c>
      <c r="BC486" s="963">
        <f t="shared" si="819"/>
        <v>0</v>
      </c>
      <c r="BD486" s="963">
        <f t="shared" si="819"/>
        <v>0</v>
      </c>
      <c r="BE486" s="963">
        <f t="shared" si="819"/>
        <v>0</v>
      </c>
      <c r="BF486" s="963">
        <f t="shared" si="819"/>
        <v>0</v>
      </c>
    </row>
    <row r="487" spans="29:58" x14ac:dyDescent="0.25">
      <c r="AC487" s="934">
        <f>'T4'!AC7</f>
        <v>42893</v>
      </c>
      <c r="AD487" s="968">
        <f>'T4'!AD7</f>
        <v>0</v>
      </c>
      <c r="AE487" s="962">
        <f>'T4'!N7</f>
        <v>0</v>
      </c>
      <c r="AF487" s="968">
        <f>'T4'!AF7</f>
        <v>0</v>
      </c>
      <c r="AG487" s="962">
        <f>'T4'!O7</f>
        <v>0</v>
      </c>
      <c r="AI487" s="962">
        <f t="shared" ref="AI487:AI492" si="820">AE487+AI486</f>
        <v>0</v>
      </c>
      <c r="AJ487" s="962">
        <f t="shared" ref="AJ487:AJ492" si="821">AG487+AJ486</f>
        <v>0</v>
      </c>
      <c r="AV487" s="954"/>
      <c r="AW487" s="963">
        <f t="shared" ref="AW487:BF487" si="822">IF(MONTH(AD487)=AW485,AH487,0)</f>
        <v>0</v>
      </c>
      <c r="AX487" s="963">
        <f t="shared" si="822"/>
        <v>0</v>
      </c>
      <c r="AY487" s="963">
        <f t="shared" si="822"/>
        <v>0</v>
      </c>
      <c r="AZ487" s="963">
        <f t="shared" si="822"/>
        <v>0</v>
      </c>
      <c r="BA487" s="963">
        <f t="shared" si="822"/>
        <v>0</v>
      </c>
      <c r="BB487" s="963">
        <f t="shared" si="822"/>
        <v>0</v>
      </c>
      <c r="BC487" s="963">
        <f t="shared" si="822"/>
        <v>0</v>
      </c>
      <c r="BD487" s="963">
        <f t="shared" si="822"/>
        <v>0</v>
      </c>
      <c r="BE487" s="963">
        <f t="shared" si="822"/>
        <v>0</v>
      </c>
      <c r="BF487" s="963" t="e">
        <f t="shared" si="822"/>
        <v>#VALUE!</v>
      </c>
    </row>
    <row r="488" spans="29:58" x14ac:dyDescent="0.25">
      <c r="AC488" s="934">
        <f>'T4'!AC8</f>
        <v>42894</v>
      </c>
      <c r="AD488" s="968">
        <f>'T4'!AD8</f>
        <v>0</v>
      </c>
      <c r="AE488" s="962">
        <f>'T4'!N8</f>
        <v>0</v>
      </c>
      <c r="AF488" s="968">
        <f>'T4'!AF8</f>
        <v>0</v>
      </c>
      <c r="AG488" s="962">
        <f>'T4'!O8</f>
        <v>0</v>
      </c>
      <c r="AI488" s="962">
        <f t="shared" si="820"/>
        <v>0</v>
      </c>
      <c r="AJ488" s="962">
        <f t="shared" si="821"/>
        <v>0</v>
      </c>
      <c r="AV488" s="954"/>
      <c r="AW488" s="963">
        <f t="shared" ref="AW488:BF488" si="823">IF(MONTH(AD488)=AW486,AH488,0)</f>
        <v>0</v>
      </c>
      <c r="AX488" s="963">
        <f t="shared" si="823"/>
        <v>0</v>
      </c>
      <c r="AY488" s="963">
        <f t="shared" si="823"/>
        <v>0</v>
      </c>
      <c r="AZ488" s="963">
        <f t="shared" si="823"/>
        <v>0</v>
      </c>
      <c r="BA488" s="963">
        <f t="shared" si="823"/>
        <v>0</v>
      </c>
      <c r="BB488" s="963">
        <f t="shared" si="823"/>
        <v>0</v>
      </c>
      <c r="BC488" s="963">
        <f t="shared" si="823"/>
        <v>0</v>
      </c>
      <c r="BD488" s="963">
        <f t="shared" si="823"/>
        <v>0</v>
      </c>
      <c r="BE488" s="963">
        <f t="shared" si="823"/>
        <v>0</v>
      </c>
      <c r="BF488" s="963">
        <f t="shared" si="823"/>
        <v>0</v>
      </c>
    </row>
    <row r="489" spans="29:58" x14ac:dyDescent="0.25">
      <c r="AC489" s="934">
        <f>'T4'!AC9</f>
        <v>42895</v>
      </c>
      <c r="AD489" s="968">
        <f>'T4'!AD9</f>
        <v>0</v>
      </c>
      <c r="AE489" s="962">
        <f>'T4'!N9</f>
        <v>0</v>
      </c>
      <c r="AF489" s="968">
        <f>'T4'!AF9</f>
        <v>0</v>
      </c>
      <c r="AG489" s="962">
        <f>'T4'!O9</f>
        <v>0</v>
      </c>
      <c r="AI489" s="962">
        <f t="shared" si="820"/>
        <v>0</v>
      </c>
      <c r="AJ489" s="962">
        <f t="shared" si="821"/>
        <v>0</v>
      </c>
      <c r="AV489" s="954"/>
      <c r="AW489" s="963">
        <f t="shared" ref="AW489:BF489" si="824">IF(MONTH(AD489)=AW487,AH489,0)</f>
        <v>0</v>
      </c>
      <c r="AX489" s="963">
        <f t="shared" si="824"/>
        <v>0</v>
      </c>
      <c r="AY489" s="963">
        <f t="shared" si="824"/>
        <v>0</v>
      </c>
      <c r="AZ489" s="963">
        <f t="shared" si="824"/>
        <v>0</v>
      </c>
      <c r="BA489" s="963">
        <f t="shared" si="824"/>
        <v>0</v>
      </c>
      <c r="BB489" s="963">
        <f t="shared" si="824"/>
        <v>0</v>
      </c>
      <c r="BC489" s="963">
        <f t="shared" si="824"/>
        <v>0</v>
      </c>
      <c r="BD489" s="963">
        <f t="shared" si="824"/>
        <v>0</v>
      </c>
      <c r="BE489" s="963">
        <f t="shared" si="824"/>
        <v>0</v>
      </c>
      <c r="BF489" s="963" t="e">
        <f t="shared" si="824"/>
        <v>#VALUE!</v>
      </c>
    </row>
    <row r="490" spans="29:58" x14ac:dyDescent="0.25">
      <c r="AC490" s="934">
        <f>'T4'!AC10</f>
        <v>42896</v>
      </c>
      <c r="AD490" s="968">
        <f>'T4'!AD10</f>
        <v>0</v>
      </c>
      <c r="AE490" s="962">
        <f>'T4'!N10</f>
        <v>0</v>
      </c>
      <c r="AF490" s="968">
        <f>'T4'!AF10</f>
        <v>0</v>
      </c>
      <c r="AG490" s="962">
        <f>'T4'!O10</f>
        <v>0</v>
      </c>
      <c r="AI490" s="962">
        <f t="shared" si="820"/>
        <v>0</v>
      </c>
      <c r="AJ490" s="962">
        <f t="shared" si="821"/>
        <v>0</v>
      </c>
      <c r="AV490" s="954"/>
      <c r="AW490" s="963">
        <f t="shared" ref="AW490:BF490" si="825">IF(MONTH(AD490)=AW488,AH490,0)</f>
        <v>0</v>
      </c>
      <c r="AX490" s="963">
        <f t="shared" si="825"/>
        <v>0</v>
      </c>
      <c r="AY490" s="963">
        <f t="shared" si="825"/>
        <v>0</v>
      </c>
      <c r="AZ490" s="963">
        <f t="shared" si="825"/>
        <v>0</v>
      </c>
      <c r="BA490" s="963">
        <f t="shared" si="825"/>
        <v>0</v>
      </c>
      <c r="BB490" s="963">
        <f t="shared" si="825"/>
        <v>0</v>
      </c>
      <c r="BC490" s="963">
        <f t="shared" si="825"/>
        <v>0</v>
      </c>
      <c r="BD490" s="963">
        <f t="shared" si="825"/>
        <v>0</v>
      </c>
      <c r="BE490" s="963">
        <f t="shared" si="825"/>
        <v>0</v>
      </c>
      <c r="BF490" s="963">
        <f t="shared" si="825"/>
        <v>0</v>
      </c>
    </row>
    <row r="491" spans="29:58" x14ac:dyDescent="0.25">
      <c r="AC491" s="934">
        <f>'T4'!AC11</f>
        <v>42897</v>
      </c>
      <c r="AD491" s="968">
        <f>'T4'!AD11</f>
        <v>0</v>
      </c>
      <c r="AE491" s="962">
        <f>'T4'!N11</f>
        <v>0</v>
      </c>
      <c r="AF491" s="968">
        <f>'T4'!AF11</f>
        <v>0</v>
      </c>
      <c r="AG491" s="962">
        <f>'T4'!O11</f>
        <v>0</v>
      </c>
      <c r="AI491" s="962">
        <f t="shared" si="820"/>
        <v>0</v>
      </c>
      <c r="AJ491" s="962">
        <f t="shared" si="821"/>
        <v>0</v>
      </c>
      <c r="AV491" s="954"/>
      <c r="AW491" s="963">
        <f t="shared" ref="AW491:BF491" si="826">IF(MONTH(AD491)=AW489,AH491,0)</f>
        <v>0</v>
      </c>
      <c r="AX491" s="963">
        <f t="shared" si="826"/>
        <v>0</v>
      </c>
      <c r="AY491" s="963">
        <f t="shared" si="826"/>
        <v>0</v>
      </c>
      <c r="AZ491" s="963">
        <f t="shared" si="826"/>
        <v>0</v>
      </c>
      <c r="BA491" s="963">
        <f t="shared" si="826"/>
        <v>0</v>
      </c>
      <c r="BB491" s="963">
        <f t="shared" si="826"/>
        <v>0</v>
      </c>
      <c r="BC491" s="963">
        <f t="shared" si="826"/>
        <v>0</v>
      </c>
      <c r="BD491" s="963">
        <f t="shared" si="826"/>
        <v>0</v>
      </c>
      <c r="BE491" s="963">
        <f t="shared" si="826"/>
        <v>0</v>
      </c>
      <c r="BF491" s="963" t="e">
        <f t="shared" si="826"/>
        <v>#VALUE!</v>
      </c>
    </row>
    <row r="492" spans="29:58" x14ac:dyDescent="0.25">
      <c r="AC492" s="934">
        <f>'T4'!AC12</f>
        <v>42898</v>
      </c>
      <c r="AD492" s="968">
        <f>'T4'!AD12</f>
        <v>0</v>
      </c>
      <c r="AE492" s="962">
        <f>'T4'!N12</f>
        <v>0</v>
      </c>
      <c r="AF492" s="968">
        <f>'T4'!AF12</f>
        <v>0</v>
      </c>
      <c r="AG492" s="962">
        <f>'T4'!O12</f>
        <v>0</v>
      </c>
      <c r="AI492" s="962">
        <f t="shared" si="820"/>
        <v>0</v>
      </c>
      <c r="AJ492" s="962">
        <f t="shared" si="821"/>
        <v>0</v>
      </c>
      <c r="AV492" s="954"/>
      <c r="AW492" s="963">
        <f t="shared" ref="AW492:BF492" si="827">IF(MONTH(AD492)=AW490,AH492,0)</f>
        <v>0</v>
      </c>
      <c r="AX492" s="963">
        <f t="shared" si="827"/>
        <v>0</v>
      </c>
      <c r="AY492" s="963">
        <f t="shared" si="827"/>
        <v>0</v>
      </c>
      <c r="AZ492" s="963">
        <f t="shared" si="827"/>
        <v>0</v>
      </c>
      <c r="BA492" s="963">
        <f t="shared" si="827"/>
        <v>0</v>
      </c>
      <c r="BB492" s="963">
        <f t="shared" si="827"/>
        <v>0</v>
      </c>
      <c r="BC492" s="963">
        <f t="shared" si="827"/>
        <v>0</v>
      </c>
      <c r="BD492" s="963">
        <f t="shared" si="827"/>
        <v>0</v>
      </c>
      <c r="BE492" s="963">
        <f t="shared" si="827"/>
        <v>0</v>
      </c>
      <c r="BF492" s="963">
        <f t="shared" si="827"/>
        <v>0</v>
      </c>
    </row>
    <row r="493" spans="29:58" x14ac:dyDescent="0.25">
      <c r="AV493" s="954"/>
      <c r="AW493" s="963">
        <f t="shared" ref="AW493:BF493" si="828">IF(MONTH(AD493)=AW491,AH493,0)</f>
        <v>0</v>
      </c>
      <c r="AX493" s="963">
        <f t="shared" si="828"/>
        <v>0</v>
      </c>
      <c r="AY493" s="963">
        <f t="shared" si="828"/>
        <v>0</v>
      </c>
      <c r="AZ493" s="963">
        <f t="shared" si="828"/>
        <v>0</v>
      </c>
      <c r="BA493" s="963">
        <f t="shared" si="828"/>
        <v>0</v>
      </c>
      <c r="BB493" s="963">
        <f t="shared" si="828"/>
        <v>0</v>
      </c>
      <c r="BC493" s="963">
        <f t="shared" si="828"/>
        <v>0</v>
      </c>
      <c r="BD493" s="963">
        <f t="shared" si="828"/>
        <v>0</v>
      </c>
      <c r="BE493" s="963">
        <f t="shared" si="828"/>
        <v>0</v>
      </c>
      <c r="BF493" s="963" t="e">
        <f t="shared" si="828"/>
        <v>#VALUE!</v>
      </c>
    </row>
    <row r="494" spans="29:58" x14ac:dyDescent="0.25">
      <c r="AV494" s="954"/>
      <c r="AW494" s="963">
        <f t="shared" ref="AW494:BF494" si="829">IF(MONTH(AD494)=AW492,AH494,0)</f>
        <v>0</v>
      </c>
      <c r="AX494" s="963">
        <f t="shared" si="829"/>
        <v>0</v>
      </c>
      <c r="AY494" s="963">
        <f t="shared" si="829"/>
        <v>0</v>
      </c>
      <c r="AZ494" s="963">
        <f t="shared" si="829"/>
        <v>0</v>
      </c>
      <c r="BA494" s="963">
        <f t="shared" si="829"/>
        <v>0</v>
      </c>
      <c r="BB494" s="963">
        <f t="shared" si="829"/>
        <v>0</v>
      </c>
      <c r="BC494" s="963">
        <f t="shared" si="829"/>
        <v>0</v>
      </c>
      <c r="BD494" s="963">
        <f t="shared" si="829"/>
        <v>0</v>
      </c>
      <c r="BE494" s="963">
        <f t="shared" si="829"/>
        <v>0</v>
      </c>
      <c r="BF494" s="963">
        <f t="shared" si="829"/>
        <v>0</v>
      </c>
    </row>
    <row r="495" spans="29:58" x14ac:dyDescent="0.25">
      <c r="AV495" s="954"/>
      <c r="AW495" s="963">
        <f t="shared" ref="AW495:BF495" si="830">IF(MONTH(AD495)=AW493,AH495,0)</f>
        <v>0</v>
      </c>
      <c r="AX495" s="963">
        <f t="shared" si="830"/>
        <v>0</v>
      </c>
      <c r="AY495" s="963">
        <f t="shared" si="830"/>
        <v>0</v>
      </c>
      <c r="AZ495" s="963">
        <f t="shared" si="830"/>
        <v>0</v>
      </c>
      <c r="BA495" s="963">
        <f t="shared" si="830"/>
        <v>0</v>
      </c>
      <c r="BB495" s="963">
        <f t="shared" si="830"/>
        <v>0</v>
      </c>
      <c r="BC495" s="963">
        <f t="shared" si="830"/>
        <v>0</v>
      </c>
      <c r="BD495" s="963">
        <f t="shared" si="830"/>
        <v>0</v>
      </c>
      <c r="BE495" s="963">
        <f t="shared" si="830"/>
        <v>0</v>
      </c>
      <c r="BF495" s="963" t="e">
        <f t="shared" si="830"/>
        <v>#VALUE!</v>
      </c>
    </row>
    <row r="496" spans="29:58" x14ac:dyDescent="0.25">
      <c r="AV496" s="954"/>
      <c r="AW496" s="963">
        <f t="shared" ref="AW496:BF496" si="831">IF(MONTH(AD496)=AW494,AH496,0)</f>
        <v>0</v>
      </c>
      <c r="AX496" s="963">
        <f t="shared" si="831"/>
        <v>0</v>
      </c>
      <c r="AY496" s="963">
        <f t="shared" si="831"/>
        <v>0</v>
      </c>
      <c r="AZ496" s="963">
        <f t="shared" si="831"/>
        <v>0</v>
      </c>
      <c r="BA496" s="963">
        <f t="shared" si="831"/>
        <v>0</v>
      </c>
      <c r="BB496" s="963">
        <f t="shared" si="831"/>
        <v>0</v>
      </c>
      <c r="BC496" s="963">
        <f t="shared" si="831"/>
        <v>0</v>
      </c>
      <c r="BD496" s="963">
        <f t="shared" si="831"/>
        <v>0</v>
      </c>
      <c r="BE496" s="963">
        <f t="shared" si="831"/>
        <v>0</v>
      </c>
      <c r="BF496" s="963">
        <f t="shared" si="831"/>
        <v>0</v>
      </c>
    </row>
    <row r="497" spans="29:58" x14ac:dyDescent="0.25">
      <c r="AV497" s="954"/>
      <c r="AW497" s="963">
        <f t="shared" ref="AW497:BF497" si="832">IF(MONTH(AD497)=AW495,AH497,0)</f>
        <v>0</v>
      </c>
      <c r="AX497" s="963">
        <f t="shared" si="832"/>
        <v>0</v>
      </c>
      <c r="AY497" s="963">
        <f t="shared" si="832"/>
        <v>0</v>
      </c>
      <c r="AZ497" s="963">
        <f t="shared" si="832"/>
        <v>0</v>
      </c>
      <c r="BA497" s="963">
        <f t="shared" si="832"/>
        <v>0</v>
      </c>
      <c r="BB497" s="963">
        <f t="shared" si="832"/>
        <v>0</v>
      </c>
      <c r="BC497" s="963">
        <f t="shared" si="832"/>
        <v>0</v>
      </c>
      <c r="BD497" s="963">
        <f t="shared" si="832"/>
        <v>0</v>
      </c>
      <c r="BE497" s="963">
        <f t="shared" si="832"/>
        <v>0</v>
      </c>
      <c r="BF497" s="963" t="e">
        <f t="shared" si="832"/>
        <v>#VALUE!</v>
      </c>
    </row>
    <row r="498" spans="29:58" x14ac:dyDescent="0.25">
      <c r="AC498" s="934">
        <f>'T4'!AC18</f>
        <v>42899</v>
      </c>
      <c r="AD498" s="968">
        <f>'T4'!AD18</f>
        <v>0</v>
      </c>
      <c r="AE498" s="962">
        <f>'T4'!N18</f>
        <v>0</v>
      </c>
      <c r="AF498" s="968">
        <f>'T4'!AF18</f>
        <v>0</v>
      </c>
      <c r="AG498" s="962">
        <f>'T4'!O18</f>
        <v>0</v>
      </c>
      <c r="AI498" s="962">
        <f>AE498+AI492</f>
        <v>0</v>
      </c>
      <c r="AJ498" s="962">
        <f>AG498+AJ492</f>
        <v>0</v>
      </c>
      <c r="AV498" s="954"/>
      <c r="AW498" s="963">
        <f t="shared" ref="AW498:BF498" si="833">IF(MONTH(AD498)=AW496,AH498,0)</f>
        <v>0</v>
      </c>
      <c r="AX498" s="963">
        <f t="shared" si="833"/>
        <v>0</v>
      </c>
      <c r="AY498" s="963">
        <f t="shared" si="833"/>
        <v>0</v>
      </c>
      <c r="AZ498" s="963">
        <f t="shared" si="833"/>
        <v>0</v>
      </c>
      <c r="BA498" s="963">
        <f t="shared" si="833"/>
        <v>0</v>
      </c>
      <c r="BB498" s="963">
        <f t="shared" si="833"/>
        <v>0</v>
      </c>
      <c r="BC498" s="963">
        <f t="shared" si="833"/>
        <v>0</v>
      </c>
      <c r="BD498" s="963">
        <f t="shared" si="833"/>
        <v>0</v>
      </c>
      <c r="BE498" s="963">
        <f t="shared" si="833"/>
        <v>0</v>
      </c>
      <c r="BF498" s="963">
        <f t="shared" si="833"/>
        <v>0</v>
      </c>
    </row>
    <row r="499" spans="29:58" x14ac:dyDescent="0.25">
      <c r="AC499" s="934">
        <f>'T4'!AC19</f>
        <v>42900</v>
      </c>
      <c r="AD499" s="968">
        <f>'T4'!AD19</f>
        <v>0</v>
      </c>
      <c r="AE499" s="962">
        <f>'T4'!N19</f>
        <v>0</v>
      </c>
      <c r="AF499" s="968">
        <f>'T4'!AF19</f>
        <v>0</v>
      </c>
      <c r="AG499" s="962">
        <f>'T4'!O19</f>
        <v>0</v>
      </c>
      <c r="AI499" s="962">
        <f t="shared" ref="AI499:AI504" si="834">AE499+AI498</f>
        <v>0</v>
      </c>
      <c r="AJ499" s="962">
        <f t="shared" ref="AJ499:AJ504" si="835">AG499+AJ498</f>
        <v>0</v>
      </c>
      <c r="AV499" s="954"/>
      <c r="AW499" s="963">
        <f t="shared" ref="AW499:BF499" si="836">IF(MONTH(AD499)=AW497,AH499,0)</f>
        <v>0</v>
      </c>
      <c r="AX499" s="963">
        <f t="shared" si="836"/>
        <v>0</v>
      </c>
      <c r="AY499" s="963">
        <f t="shared" si="836"/>
        <v>0</v>
      </c>
      <c r="AZ499" s="963">
        <f t="shared" si="836"/>
        <v>0</v>
      </c>
      <c r="BA499" s="963">
        <f t="shared" si="836"/>
        <v>0</v>
      </c>
      <c r="BB499" s="963">
        <f t="shared" si="836"/>
        <v>0</v>
      </c>
      <c r="BC499" s="963">
        <f t="shared" si="836"/>
        <v>0</v>
      </c>
      <c r="BD499" s="963">
        <f t="shared" si="836"/>
        <v>0</v>
      </c>
      <c r="BE499" s="963">
        <f t="shared" si="836"/>
        <v>0</v>
      </c>
      <c r="BF499" s="963" t="e">
        <f t="shared" si="836"/>
        <v>#VALUE!</v>
      </c>
    </row>
    <row r="500" spans="29:58" x14ac:dyDescent="0.25">
      <c r="AC500" s="934">
        <f>'T4'!AC20</f>
        <v>42901</v>
      </c>
      <c r="AD500" s="968">
        <f>'T4'!AD20</f>
        <v>0</v>
      </c>
      <c r="AE500" s="962">
        <f>'T4'!N20</f>
        <v>0</v>
      </c>
      <c r="AF500" s="968">
        <f>'T4'!AF20</f>
        <v>0</v>
      </c>
      <c r="AG500" s="962">
        <f>'T4'!O20</f>
        <v>0</v>
      </c>
      <c r="AI500" s="962">
        <f t="shared" si="834"/>
        <v>0</v>
      </c>
      <c r="AJ500" s="962">
        <f t="shared" si="835"/>
        <v>0</v>
      </c>
      <c r="AV500" s="954"/>
      <c r="AW500" s="963">
        <f t="shared" ref="AW500:BF500" si="837">IF(MONTH(AD500)=AW498,AH500,0)</f>
        <v>0</v>
      </c>
      <c r="AX500" s="963">
        <f t="shared" si="837"/>
        <v>0</v>
      </c>
      <c r="AY500" s="963">
        <f t="shared" si="837"/>
        <v>0</v>
      </c>
      <c r="AZ500" s="963">
        <f t="shared" si="837"/>
        <v>0</v>
      </c>
      <c r="BA500" s="963">
        <f t="shared" si="837"/>
        <v>0</v>
      </c>
      <c r="BB500" s="963">
        <f t="shared" si="837"/>
        <v>0</v>
      </c>
      <c r="BC500" s="963">
        <f t="shared" si="837"/>
        <v>0</v>
      </c>
      <c r="BD500" s="963">
        <f t="shared" si="837"/>
        <v>0</v>
      </c>
      <c r="BE500" s="963">
        <f t="shared" si="837"/>
        <v>0</v>
      </c>
      <c r="BF500" s="963">
        <f t="shared" si="837"/>
        <v>0</v>
      </c>
    </row>
    <row r="501" spans="29:58" x14ac:dyDescent="0.25">
      <c r="AC501" s="934">
        <f>'T4'!AC21</f>
        <v>42902</v>
      </c>
      <c r="AD501" s="968">
        <f>'T4'!AD21</f>
        <v>0</v>
      </c>
      <c r="AE501" s="962">
        <f>'T4'!N21</f>
        <v>0</v>
      </c>
      <c r="AF501" s="968">
        <f>'T4'!AF21</f>
        <v>0</v>
      </c>
      <c r="AG501" s="962">
        <f>'T4'!O21</f>
        <v>0</v>
      </c>
      <c r="AI501" s="962">
        <f t="shared" si="834"/>
        <v>0</v>
      </c>
      <c r="AJ501" s="962">
        <f t="shared" si="835"/>
        <v>0</v>
      </c>
      <c r="AV501" s="954"/>
      <c r="AW501" s="963">
        <f t="shared" ref="AW501:BF501" si="838">IF(MONTH(AD501)=AW499,AH501,0)</f>
        <v>0</v>
      </c>
      <c r="AX501" s="963">
        <f t="shared" si="838"/>
        <v>0</v>
      </c>
      <c r="AY501" s="963">
        <f t="shared" si="838"/>
        <v>0</v>
      </c>
      <c r="AZ501" s="963">
        <f t="shared" si="838"/>
        <v>0</v>
      </c>
      <c r="BA501" s="963">
        <f t="shared" si="838"/>
        <v>0</v>
      </c>
      <c r="BB501" s="963">
        <f t="shared" si="838"/>
        <v>0</v>
      </c>
      <c r="BC501" s="963">
        <f t="shared" si="838"/>
        <v>0</v>
      </c>
      <c r="BD501" s="963">
        <f t="shared" si="838"/>
        <v>0</v>
      </c>
      <c r="BE501" s="963">
        <f t="shared" si="838"/>
        <v>0</v>
      </c>
      <c r="BF501" s="963" t="e">
        <f t="shared" si="838"/>
        <v>#VALUE!</v>
      </c>
    </row>
    <row r="502" spans="29:58" x14ac:dyDescent="0.25">
      <c r="AC502" s="934">
        <f>'T4'!AC22</f>
        <v>42903</v>
      </c>
      <c r="AD502" s="968">
        <f>'T4'!AD22</f>
        <v>0</v>
      </c>
      <c r="AE502" s="962">
        <f>'T4'!N22</f>
        <v>0</v>
      </c>
      <c r="AF502" s="968">
        <f>'T4'!AF22</f>
        <v>0</v>
      </c>
      <c r="AG502" s="962">
        <f>'T4'!O22</f>
        <v>0</v>
      </c>
      <c r="AI502" s="962">
        <f t="shared" si="834"/>
        <v>0</v>
      </c>
      <c r="AJ502" s="962">
        <f t="shared" si="835"/>
        <v>0</v>
      </c>
      <c r="AV502" s="954"/>
      <c r="AW502" s="963">
        <f t="shared" ref="AW502:BF502" si="839">IF(MONTH(AD502)=AW500,AH502,0)</f>
        <v>0</v>
      </c>
      <c r="AX502" s="963">
        <f t="shared" si="839"/>
        <v>0</v>
      </c>
      <c r="AY502" s="963">
        <f t="shared" si="839"/>
        <v>0</v>
      </c>
      <c r="AZ502" s="963">
        <f t="shared" si="839"/>
        <v>0</v>
      </c>
      <c r="BA502" s="963">
        <f t="shared" si="839"/>
        <v>0</v>
      </c>
      <c r="BB502" s="963">
        <f t="shared" si="839"/>
        <v>0</v>
      </c>
      <c r="BC502" s="963">
        <f t="shared" si="839"/>
        <v>0</v>
      </c>
      <c r="BD502" s="963">
        <f t="shared" si="839"/>
        <v>0</v>
      </c>
      <c r="BE502" s="963">
        <f t="shared" si="839"/>
        <v>0</v>
      </c>
      <c r="BF502" s="963">
        <f t="shared" si="839"/>
        <v>0</v>
      </c>
    </row>
    <row r="503" spans="29:58" x14ac:dyDescent="0.25">
      <c r="AC503" s="934">
        <f>'T4'!AC23</f>
        <v>42904</v>
      </c>
      <c r="AD503" s="968">
        <f>'T4'!AD23</f>
        <v>0</v>
      </c>
      <c r="AE503" s="962">
        <f>'T4'!N23</f>
        <v>0</v>
      </c>
      <c r="AF503" s="968">
        <f>'T4'!AF23</f>
        <v>0</v>
      </c>
      <c r="AG503" s="962">
        <f>'T4'!O23</f>
        <v>0</v>
      </c>
      <c r="AI503" s="962">
        <f t="shared" si="834"/>
        <v>0</v>
      </c>
      <c r="AJ503" s="962">
        <f t="shared" si="835"/>
        <v>0</v>
      </c>
      <c r="AV503" s="954"/>
      <c r="AW503" s="963">
        <f t="shared" ref="AW503:BF503" si="840">IF(MONTH(AD503)=AW501,AH503,0)</f>
        <v>0</v>
      </c>
      <c r="AX503" s="963">
        <f t="shared" si="840"/>
        <v>0</v>
      </c>
      <c r="AY503" s="963">
        <f t="shared" si="840"/>
        <v>0</v>
      </c>
      <c r="AZ503" s="963">
        <f t="shared" si="840"/>
        <v>0</v>
      </c>
      <c r="BA503" s="963">
        <f t="shared" si="840"/>
        <v>0</v>
      </c>
      <c r="BB503" s="963">
        <f t="shared" si="840"/>
        <v>0</v>
      </c>
      <c r="BC503" s="963">
        <f t="shared" si="840"/>
        <v>0</v>
      </c>
      <c r="BD503" s="963">
        <f t="shared" si="840"/>
        <v>0</v>
      </c>
      <c r="BE503" s="963">
        <f t="shared" si="840"/>
        <v>0</v>
      </c>
      <c r="BF503" s="963" t="e">
        <f t="shared" si="840"/>
        <v>#VALUE!</v>
      </c>
    </row>
    <row r="504" spans="29:58" x14ac:dyDescent="0.25">
      <c r="AC504" s="934">
        <f>'T4'!AC24</f>
        <v>42905</v>
      </c>
      <c r="AD504" s="968">
        <f>'T4'!AD24</f>
        <v>0</v>
      </c>
      <c r="AE504" s="962">
        <f>'T4'!N24</f>
        <v>0</v>
      </c>
      <c r="AF504" s="968">
        <f>'T4'!AF24</f>
        <v>0</v>
      </c>
      <c r="AG504" s="962">
        <f>'T4'!O24</f>
        <v>0</v>
      </c>
      <c r="AI504" s="962">
        <f t="shared" si="834"/>
        <v>0</v>
      </c>
      <c r="AJ504" s="962">
        <f t="shared" si="835"/>
        <v>0</v>
      </c>
      <c r="AV504" s="954"/>
      <c r="AW504" s="963">
        <f t="shared" ref="AW504:BF504" si="841">IF(MONTH(AD504)=AW502,AH504,0)</f>
        <v>0</v>
      </c>
      <c r="AX504" s="963">
        <f t="shared" si="841"/>
        <v>0</v>
      </c>
      <c r="AY504" s="963">
        <f t="shared" si="841"/>
        <v>0</v>
      </c>
      <c r="AZ504" s="963">
        <f t="shared" si="841"/>
        <v>0</v>
      </c>
      <c r="BA504" s="963">
        <f t="shared" si="841"/>
        <v>0</v>
      </c>
      <c r="BB504" s="963">
        <f t="shared" si="841"/>
        <v>0</v>
      </c>
      <c r="BC504" s="963">
        <f t="shared" si="841"/>
        <v>0</v>
      </c>
      <c r="BD504" s="963">
        <f t="shared" si="841"/>
        <v>0</v>
      </c>
      <c r="BE504" s="963">
        <f t="shared" si="841"/>
        <v>0</v>
      </c>
      <c r="BF504" s="963">
        <f t="shared" si="841"/>
        <v>0</v>
      </c>
    </row>
    <row r="505" spans="29:58" x14ac:dyDescent="0.25">
      <c r="AV505" s="954"/>
      <c r="AW505" s="963">
        <f t="shared" ref="AW505:BF505" si="842">IF(MONTH(AD505)=AW503,AH505,0)</f>
        <v>0</v>
      </c>
      <c r="AX505" s="963">
        <f t="shared" si="842"/>
        <v>0</v>
      </c>
      <c r="AY505" s="963">
        <f t="shared" si="842"/>
        <v>0</v>
      </c>
      <c r="AZ505" s="963">
        <f t="shared" si="842"/>
        <v>0</v>
      </c>
      <c r="BA505" s="963">
        <f t="shared" si="842"/>
        <v>0</v>
      </c>
      <c r="BB505" s="963">
        <f t="shared" si="842"/>
        <v>0</v>
      </c>
      <c r="BC505" s="963">
        <f t="shared" si="842"/>
        <v>0</v>
      </c>
      <c r="BD505" s="963">
        <f t="shared" si="842"/>
        <v>0</v>
      </c>
      <c r="BE505" s="963">
        <f t="shared" si="842"/>
        <v>0</v>
      </c>
      <c r="BF505" s="963" t="e">
        <f t="shared" si="842"/>
        <v>#VALUE!</v>
      </c>
    </row>
    <row r="506" spans="29:58" x14ac:dyDescent="0.25">
      <c r="AV506" s="954"/>
      <c r="AW506" s="963">
        <f t="shared" ref="AW506:BF506" si="843">IF(MONTH(AD506)=AW504,AH506,0)</f>
        <v>0</v>
      </c>
      <c r="AX506" s="963">
        <f t="shared" si="843"/>
        <v>0</v>
      </c>
      <c r="AY506" s="963">
        <f t="shared" si="843"/>
        <v>0</v>
      </c>
      <c r="AZ506" s="963">
        <f t="shared" si="843"/>
        <v>0</v>
      </c>
      <c r="BA506" s="963">
        <f t="shared" si="843"/>
        <v>0</v>
      </c>
      <c r="BB506" s="963">
        <f t="shared" si="843"/>
        <v>0</v>
      </c>
      <c r="BC506" s="963">
        <f t="shared" si="843"/>
        <v>0</v>
      </c>
      <c r="BD506" s="963">
        <f t="shared" si="843"/>
        <v>0</v>
      </c>
      <c r="BE506" s="963">
        <f t="shared" si="843"/>
        <v>0</v>
      </c>
      <c r="BF506" s="963">
        <f t="shared" si="843"/>
        <v>0</v>
      </c>
    </row>
    <row r="507" spans="29:58" x14ac:dyDescent="0.25">
      <c r="AV507" s="954"/>
      <c r="AW507" s="963">
        <f t="shared" ref="AW507:BF507" si="844">IF(MONTH(AD507)=AW505,AH507,0)</f>
        <v>0</v>
      </c>
      <c r="AX507" s="963">
        <f t="shared" si="844"/>
        <v>0</v>
      </c>
      <c r="AY507" s="963">
        <f t="shared" si="844"/>
        <v>0</v>
      </c>
      <c r="AZ507" s="963">
        <f t="shared" si="844"/>
        <v>0</v>
      </c>
      <c r="BA507" s="963">
        <f t="shared" si="844"/>
        <v>0</v>
      </c>
      <c r="BB507" s="963">
        <f t="shared" si="844"/>
        <v>0</v>
      </c>
      <c r="BC507" s="963">
        <f t="shared" si="844"/>
        <v>0</v>
      </c>
      <c r="BD507" s="963">
        <f t="shared" si="844"/>
        <v>0</v>
      </c>
      <c r="BE507" s="963">
        <f t="shared" si="844"/>
        <v>0</v>
      </c>
      <c r="BF507" s="963" t="e">
        <f t="shared" si="844"/>
        <v>#VALUE!</v>
      </c>
    </row>
    <row r="508" spans="29:58" x14ac:dyDescent="0.25">
      <c r="AV508" s="954"/>
      <c r="AW508" s="963">
        <f t="shared" ref="AW508:BF508" si="845">IF(MONTH(AD508)=AW506,AH508,0)</f>
        <v>0</v>
      </c>
      <c r="AX508" s="963">
        <f t="shared" si="845"/>
        <v>0</v>
      </c>
      <c r="AY508" s="963">
        <f t="shared" si="845"/>
        <v>0</v>
      </c>
      <c r="AZ508" s="963">
        <f t="shared" si="845"/>
        <v>0</v>
      </c>
      <c r="BA508" s="963">
        <f t="shared" si="845"/>
        <v>0</v>
      </c>
      <c r="BB508" s="963">
        <f t="shared" si="845"/>
        <v>0</v>
      </c>
      <c r="BC508" s="963">
        <f t="shared" si="845"/>
        <v>0</v>
      </c>
      <c r="BD508" s="963">
        <f t="shared" si="845"/>
        <v>0</v>
      </c>
      <c r="BE508" s="963">
        <f t="shared" si="845"/>
        <v>0</v>
      </c>
      <c r="BF508" s="963">
        <f t="shared" si="845"/>
        <v>0</v>
      </c>
    </row>
    <row r="509" spans="29:58" x14ac:dyDescent="0.25">
      <c r="AV509" s="954"/>
      <c r="AW509" s="963">
        <f t="shared" ref="AW509:BF509" si="846">IF(MONTH(AD509)=AW507,AH509,0)</f>
        <v>0</v>
      </c>
      <c r="AX509" s="963">
        <f t="shared" si="846"/>
        <v>0</v>
      </c>
      <c r="AY509" s="963">
        <f t="shared" si="846"/>
        <v>0</v>
      </c>
      <c r="AZ509" s="963">
        <f t="shared" si="846"/>
        <v>0</v>
      </c>
      <c r="BA509" s="963">
        <f t="shared" si="846"/>
        <v>0</v>
      </c>
      <c r="BB509" s="963">
        <f t="shared" si="846"/>
        <v>0</v>
      </c>
      <c r="BC509" s="963">
        <f t="shared" si="846"/>
        <v>0</v>
      </c>
      <c r="BD509" s="963">
        <f t="shared" si="846"/>
        <v>0</v>
      </c>
      <c r="BE509" s="963">
        <f t="shared" si="846"/>
        <v>0</v>
      </c>
      <c r="BF509" s="963" t="e">
        <f t="shared" si="846"/>
        <v>#VALUE!</v>
      </c>
    </row>
    <row r="510" spans="29:58" x14ac:dyDescent="0.25">
      <c r="AC510" s="934">
        <f>'T4'!AC30</f>
        <v>42906</v>
      </c>
      <c r="AD510" s="968">
        <f>'T4'!AD30</f>
        <v>0</v>
      </c>
      <c r="AE510" s="962">
        <f>'T4'!N30</f>
        <v>0</v>
      </c>
      <c r="AF510" s="968">
        <f>'T4'!AF30</f>
        <v>0</v>
      </c>
      <c r="AG510" s="962">
        <f>'T4'!O30</f>
        <v>0</v>
      </c>
      <c r="AI510" s="962">
        <f>AE510+AI504</f>
        <v>0</v>
      </c>
      <c r="AJ510" s="962">
        <f>AG510+AJ504</f>
        <v>0</v>
      </c>
      <c r="AV510" s="954"/>
      <c r="AW510" s="963">
        <f t="shared" ref="AW510:BF510" si="847">IF(MONTH(AD510)=AW508,AH510,0)</f>
        <v>0</v>
      </c>
      <c r="AX510" s="963">
        <f t="shared" si="847"/>
        <v>0</v>
      </c>
      <c r="AY510" s="963">
        <f t="shared" si="847"/>
        <v>0</v>
      </c>
      <c r="AZ510" s="963">
        <f t="shared" si="847"/>
        <v>0</v>
      </c>
      <c r="BA510" s="963">
        <f t="shared" si="847"/>
        <v>0</v>
      </c>
      <c r="BB510" s="963">
        <f t="shared" si="847"/>
        <v>0</v>
      </c>
      <c r="BC510" s="963">
        <f t="shared" si="847"/>
        <v>0</v>
      </c>
      <c r="BD510" s="963">
        <f t="shared" si="847"/>
        <v>0</v>
      </c>
      <c r="BE510" s="963">
        <f t="shared" si="847"/>
        <v>0</v>
      </c>
      <c r="BF510" s="963">
        <f t="shared" si="847"/>
        <v>0</v>
      </c>
    </row>
    <row r="511" spans="29:58" x14ac:dyDescent="0.25">
      <c r="AC511" s="934">
        <f>'T4'!AC31</f>
        <v>42907</v>
      </c>
      <c r="AD511" s="968">
        <f>'T4'!AD31</f>
        <v>0</v>
      </c>
      <c r="AE511" s="962">
        <f>'T4'!N31</f>
        <v>0</v>
      </c>
      <c r="AF511" s="968">
        <f>'T4'!AF31</f>
        <v>0</v>
      </c>
      <c r="AG511" s="962">
        <f>'T4'!O31</f>
        <v>0</v>
      </c>
      <c r="AI511" s="962">
        <f t="shared" ref="AI511:AI516" si="848">AE511+AI510</f>
        <v>0</v>
      </c>
      <c r="AJ511" s="962">
        <f t="shared" ref="AJ511:AJ516" si="849">AG511+AJ510</f>
        <v>0</v>
      </c>
      <c r="AV511" s="954"/>
      <c r="AW511" s="963">
        <f t="shared" ref="AW511:BF511" si="850">IF(MONTH(AD511)=AW509,AH511,0)</f>
        <v>0</v>
      </c>
      <c r="AX511" s="963">
        <f t="shared" si="850"/>
        <v>0</v>
      </c>
      <c r="AY511" s="963">
        <f t="shared" si="850"/>
        <v>0</v>
      </c>
      <c r="AZ511" s="963">
        <f t="shared" si="850"/>
        <v>0</v>
      </c>
      <c r="BA511" s="963">
        <f t="shared" si="850"/>
        <v>0</v>
      </c>
      <c r="BB511" s="963">
        <f t="shared" si="850"/>
        <v>0</v>
      </c>
      <c r="BC511" s="963">
        <f t="shared" si="850"/>
        <v>0</v>
      </c>
      <c r="BD511" s="963">
        <f t="shared" si="850"/>
        <v>0</v>
      </c>
      <c r="BE511" s="963">
        <f t="shared" si="850"/>
        <v>0</v>
      </c>
      <c r="BF511" s="963" t="e">
        <f t="shared" si="850"/>
        <v>#VALUE!</v>
      </c>
    </row>
    <row r="512" spans="29:58" x14ac:dyDescent="0.25">
      <c r="AC512" s="934">
        <f>'T4'!AC32</f>
        <v>42908</v>
      </c>
      <c r="AD512" s="968">
        <f>'T4'!AD32</f>
        <v>0</v>
      </c>
      <c r="AE512" s="962">
        <f>'T4'!N32</f>
        <v>0</v>
      </c>
      <c r="AF512" s="968">
        <f>'T4'!AF32</f>
        <v>0</v>
      </c>
      <c r="AG512" s="962">
        <f>'T4'!O32</f>
        <v>0</v>
      </c>
      <c r="AI512" s="962">
        <f t="shared" si="848"/>
        <v>0</v>
      </c>
      <c r="AJ512" s="962">
        <f t="shared" si="849"/>
        <v>0</v>
      </c>
      <c r="AV512" s="954"/>
      <c r="AW512" s="963">
        <f t="shared" ref="AW512:BF512" si="851">IF(MONTH(AD512)=AW510,AH512,0)</f>
        <v>0</v>
      </c>
      <c r="AX512" s="963">
        <f t="shared" si="851"/>
        <v>0</v>
      </c>
      <c r="AY512" s="963">
        <f t="shared" si="851"/>
        <v>0</v>
      </c>
      <c r="AZ512" s="963">
        <f t="shared" si="851"/>
        <v>0</v>
      </c>
      <c r="BA512" s="963">
        <f t="shared" si="851"/>
        <v>0</v>
      </c>
      <c r="BB512" s="963">
        <f t="shared" si="851"/>
        <v>0</v>
      </c>
      <c r="BC512" s="963">
        <f t="shared" si="851"/>
        <v>0</v>
      </c>
      <c r="BD512" s="963">
        <f t="shared" si="851"/>
        <v>0</v>
      </c>
      <c r="BE512" s="963">
        <f t="shared" si="851"/>
        <v>0</v>
      </c>
      <c r="BF512" s="963">
        <f t="shared" si="851"/>
        <v>0</v>
      </c>
    </row>
    <row r="513" spans="29:58" x14ac:dyDescent="0.25">
      <c r="AC513" s="934">
        <f>'T4'!AC33</f>
        <v>42909</v>
      </c>
      <c r="AD513" s="968">
        <f>'T4'!AD33</f>
        <v>0</v>
      </c>
      <c r="AE513" s="962">
        <f>'T4'!N33</f>
        <v>0</v>
      </c>
      <c r="AF513" s="968">
        <f>'T4'!AF33</f>
        <v>0</v>
      </c>
      <c r="AG513" s="962">
        <f>'T4'!O33</f>
        <v>0</v>
      </c>
      <c r="AI513" s="962">
        <f t="shared" si="848"/>
        <v>0</v>
      </c>
      <c r="AJ513" s="962">
        <f t="shared" si="849"/>
        <v>0</v>
      </c>
      <c r="AV513" s="954"/>
      <c r="AW513" s="963">
        <f t="shared" ref="AW513:BF513" si="852">IF(MONTH(AD513)=AW511,AH513,0)</f>
        <v>0</v>
      </c>
      <c r="AX513" s="963">
        <f t="shared" si="852"/>
        <v>0</v>
      </c>
      <c r="AY513" s="963">
        <f t="shared" si="852"/>
        <v>0</v>
      </c>
      <c r="AZ513" s="963">
        <f t="shared" si="852"/>
        <v>0</v>
      </c>
      <c r="BA513" s="963">
        <f t="shared" si="852"/>
        <v>0</v>
      </c>
      <c r="BB513" s="963">
        <f t="shared" si="852"/>
        <v>0</v>
      </c>
      <c r="BC513" s="963">
        <f t="shared" si="852"/>
        <v>0</v>
      </c>
      <c r="BD513" s="963">
        <f t="shared" si="852"/>
        <v>0</v>
      </c>
      <c r="BE513" s="963">
        <f t="shared" si="852"/>
        <v>0</v>
      </c>
      <c r="BF513" s="963" t="e">
        <f t="shared" si="852"/>
        <v>#VALUE!</v>
      </c>
    </row>
    <row r="514" spans="29:58" x14ac:dyDescent="0.25">
      <c r="AC514" s="934">
        <f>'T4'!AC34</f>
        <v>42910</v>
      </c>
      <c r="AD514" s="968">
        <f>'T4'!AD34</f>
        <v>0</v>
      </c>
      <c r="AE514" s="962">
        <f>'T4'!N34</f>
        <v>0</v>
      </c>
      <c r="AF514" s="968">
        <f>'T4'!AF34</f>
        <v>0</v>
      </c>
      <c r="AG514" s="962">
        <f>'T4'!O34</f>
        <v>0</v>
      </c>
      <c r="AI514" s="962">
        <f t="shared" si="848"/>
        <v>0</v>
      </c>
      <c r="AJ514" s="962">
        <f t="shared" si="849"/>
        <v>0</v>
      </c>
      <c r="AV514" s="954"/>
      <c r="AW514" s="963">
        <f t="shared" ref="AW514:BF514" si="853">IF(MONTH(AD514)=AW512,AH514,0)</f>
        <v>0</v>
      </c>
      <c r="AX514" s="963">
        <f t="shared" si="853"/>
        <v>0</v>
      </c>
      <c r="AY514" s="963">
        <f t="shared" si="853"/>
        <v>0</v>
      </c>
      <c r="AZ514" s="963">
        <f t="shared" si="853"/>
        <v>0</v>
      </c>
      <c r="BA514" s="963">
        <f t="shared" si="853"/>
        <v>0</v>
      </c>
      <c r="BB514" s="963">
        <f t="shared" si="853"/>
        <v>0</v>
      </c>
      <c r="BC514" s="963">
        <f t="shared" si="853"/>
        <v>0</v>
      </c>
      <c r="BD514" s="963">
        <f t="shared" si="853"/>
        <v>0</v>
      </c>
      <c r="BE514" s="963">
        <f t="shared" si="853"/>
        <v>0</v>
      </c>
      <c r="BF514" s="963">
        <f t="shared" si="853"/>
        <v>0</v>
      </c>
    </row>
    <row r="515" spans="29:58" x14ac:dyDescent="0.25">
      <c r="AC515" s="934">
        <f>'T4'!AC35</f>
        <v>42911</v>
      </c>
      <c r="AD515" s="968">
        <f>'T4'!AD35</f>
        <v>0</v>
      </c>
      <c r="AE515" s="962">
        <f>'T4'!N35</f>
        <v>0</v>
      </c>
      <c r="AF515" s="968">
        <f>'T4'!AF35</f>
        <v>0</v>
      </c>
      <c r="AG515" s="962">
        <f>'T4'!O35</f>
        <v>0</v>
      </c>
      <c r="AI515" s="962">
        <f t="shared" si="848"/>
        <v>0</v>
      </c>
      <c r="AJ515" s="962">
        <f t="shared" si="849"/>
        <v>0</v>
      </c>
      <c r="AV515" s="954"/>
      <c r="AW515" s="963">
        <f t="shared" ref="AW515:BF515" si="854">IF(MONTH(AD515)=AW513,AH515,0)</f>
        <v>0</v>
      </c>
      <c r="AX515" s="963">
        <f t="shared" si="854"/>
        <v>0</v>
      </c>
      <c r="AY515" s="963">
        <f t="shared" si="854"/>
        <v>0</v>
      </c>
      <c r="AZ515" s="963">
        <f t="shared" si="854"/>
        <v>0</v>
      </c>
      <c r="BA515" s="963">
        <f t="shared" si="854"/>
        <v>0</v>
      </c>
      <c r="BB515" s="963">
        <f t="shared" si="854"/>
        <v>0</v>
      </c>
      <c r="BC515" s="963">
        <f t="shared" si="854"/>
        <v>0</v>
      </c>
      <c r="BD515" s="963">
        <f t="shared" si="854"/>
        <v>0</v>
      </c>
      <c r="BE515" s="963">
        <f t="shared" si="854"/>
        <v>0</v>
      </c>
      <c r="BF515" s="963" t="e">
        <f t="shared" si="854"/>
        <v>#VALUE!</v>
      </c>
    </row>
    <row r="516" spans="29:58" x14ac:dyDescent="0.25">
      <c r="AC516" s="934">
        <f>'T4'!AC36</f>
        <v>42912</v>
      </c>
      <c r="AD516" s="968">
        <f>'T4'!AD36</f>
        <v>0</v>
      </c>
      <c r="AE516" s="962">
        <f>'T4'!N36</f>
        <v>0</v>
      </c>
      <c r="AF516" s="968">
        <f>'T4'!AF36</f>
        <v>0</v>
      </c>
      <c r="AG516" s="962">
        <f>'T4'!O36</f>
        <v>0</v>
      </c>
      <c r="AI516" s="962">
        <f t="shared" si="848"/>
        <v>0</v>
      </c>
      <c r="AJ516" s="962">
        <f t="shared" si="849"/>
        <v>0</v>
      </c>
      <c r="AV516" s="954"/>
      <c r="AW516" s="963">
        <f t="shared" ref="AW516:BF516" si="855">IF(MONTH(AD516)=AW514,AH516,0)</f>
        <v>0</v>
      </c>
      <c r="AX516" s="963">
        <f t="shared" si="855"/>
        <v>0</v>
      </c>
      <c r="AY516" s="963">
        <f t="shared" si="855"/>
        <v>0</v>
      </c>
      <c r="AZ516" s="963">
        <f t="shared" si="855"/>
        <v>0</v>
      </c>
      <c r="BA516" s="963">
        <f t="shared" si="855"/>
        <v>0</v>
      </c>
      <c r="BB516" s="963">
        <f t="shared" si="855"/>
        <v>0</v>
      </c>
      <c r="BC516" s="963">
        <f t="shared" si="855"/>
        <v>0</v>
      </c>
      <c r="BD516" s="963">
        <f t="shared" si="855"/>
        <v>0</v>
      </c>
      <c r="BE516" s="963">
        <f t="shared" si="855"/>
        <v>0</v>
      </c>
      <c r="BF516" s="963">
        <f t="shared" si="855"/>
        <v>0</v>
      </c>
    </row>
    <row r="517" spans="29:58" x14ac:dyDescent="0.25">
      <c r="AV517" s="954"/>
      <c r="AW517" s="963">
        <f t="shared" ref="AW517:BF517" si="856">IF(MONTH(AD517)=AW515,AH517,0)</f>
        <v>0</v>
      </c>
      <c r="AX517" s="963">
        <f t="shared" si="856"/>
        <v>0</v>
      </c>
      <c r="AY517" s="963">
        <f t="shared" si="856"/>
        <v>0</v>
      </c>
      <c r="AZ517" s="963">
        <f t="shared" si="856"/>
        <v>0</v>
      </c>
      <c r="BA517" s="963">
        <f t="shared" si="856"/>
        <v>0</v>
      </c>
      <c r="BB517" s="963">
        <f t="shared" si="856"/>
        <v>0</v>
      </c>
      <c r="BC517" s="963">
        <f t="shared" si="856"/>
        <v>0</v>
      </c>
      <c r="BD517" s="963">
        <f t="shared" si="856"/>
        <v>0</v>
      </c>
      <c r="BE517" s="963">
        <f t="shared" si="856"/>
        <v>0</v>
      </c>
      <c r="BF517" s="963" t="e">
        <f t="shared" si="856"/>
        <v>#VALUE!</v>
      </c>
    </row>
    <row r="518" spans="29:58" x14ac:dyDescent="0.25">
      <c r="AV518" s="954"/>
      <c r="AW518" s="963">
        <f t="shared" ref="AW518:BF518" si="857">IF(MONTH(AD518)=AW516,AH518,0)</f>
        <v>0</v>
      </c>
      <c r="AX518" s="963">
        <f t="shared" si="857"/>
        <v>0</v>
      </c>
      <c r="AY518" s="963">
        <f t="shared" si="857"/>
        <v>0</v>
      </c>
      <c r="AZ518" s="963">
        <f t="shared" si="857"/>
        <v>0</v>
      </c>
      <c r="BA518" s="963">
        <f t="shared" si="857"/>
        <v>0</v>
      </c>
      <c r="BB518" s="963">
        <f t="shared" si="857"/>
        <v>0</v>
      </c>
      <c r="BC518" s="963">
        <f t="shared" si="857"/>
        <v>0</v>
      </c>
      <c r="BD518" s="963">
        <f t="shared" si="857"/>
        <v>0</v>
      </c>
      <c r="BE518" s="963">
        <f t="shared" si="857"/>
        <v>0</v>
      </c>
      <c r="BF518" s="963">
        <f t="shared" si="857"/>
        <v>0</v>
      </c>
    </row>
    <row r="519" spans="29:58" x14ac:dyDescent="0.25">
      <c r="AV519" s="954"/>
      <c r="AW519" s="963">
        <f t="shared" ref="AW519:BF519" si="858">IF(MONTH(AD519)=AW517,AH519,0)</f>
        <v>0</v>
      </c>
      <c r="AX519" s="963">
        <f t="shared" si="858"/>
        <v>0</v>
      </c>
      <c r="AY519" s="963">
        <f t="shared" si="858"/>
        <v>0</v>
      </c>
      <c r="AZ519" s="963">
        <f t="shared" si="858"/>
        <v>0</v>
      </c>
      <c r="BA519" s="963">
        <f t="shared" si="858"/>
        <v>0</v>
      </c>
      <c r="BB519" s="963">
        <f t="shared" si="858"/>
        <v>0</v>
      </c>
      <c r="BC519" s="963">
        <f t="shared" si="858"/>
        <v>0</v>
      </c>
      <c r="BD519" s="963">
        <f t="shared" si="858"/>
        <v>0</v>
      </c>
      <c r="BE519" s="963">
        <f t="shared" si="858"/>
        <v>0</v>
      </c>
      <c r="BF519" s="963" t="e">
        <f t="shared" si="858"/>
        <v>#VALUE!</v>
      </c>
    </row>
    <row r="520" spans="29:58" x14ac:dyDescent="0.25">
      <c r="AV520" s="954"/>
      <c r="AW520" s="963">
        <f t="shared" ref="AW520:BF520" si="859">IF(MONTH(AD520)=AW518,AH520,0)</f>
        <v>0</v>
      </c>
      <c r="AX520" s="963">
        <f t="shared" si="859"/>
        <v>0</v>
      </c>
      <c r="AY520" s="963">
        <f t="shared" si="859"/>
        <v>0</v>
      </c>
      <c r="AZ520" s="963">
        <f t="shared" si="859"/>
        <v>0</v>
      </c>
      <c r="BA520" s="963">
        <f t="shared" si="859"/>
        <v>0</v>
      </c>
      <c r="BB520" s="963">
        <f t="shared" si="859"/>
        <v>0</v>
      </c>
      <c r="BC520" s="963">
        <f t="shared" si="859"/>
        <v>0</v>
      </c>
      <c r="BD520" s="963">
        <f t="shared" si="859"/>
        <v>0</v>
      </c>
      <c r="BE520" s="963">
        <f t="shared" si="859"/>
        <v>0</v>
      </c>
      <c r="BF520" s="963">
        <f t="shared" si="859"/>
        <v>0</v>
      </c>
    </row>
    <row r="521" spans="29:58" x14ac:dyDescent="0.25">
      <c r="AV521" s="954"/>
      <c r="AW521" s="963">
        <f t="shared" ref="AW521:BF521" si="860">IF(MONTH(AD521)=AW519,AH521,0)</f>
        <v>0</v>
      </c>
      <c r="AX521" s="963">
        <f t="shared" si="860"/>
        <v>0</v>
      </c>
      <c r="AY521" s="963">
        <f t="shared" si="860"/>
        <v>0</v>
      </c>
      <c r="AZ521" s="963">
        <f t="shared" si="860"/>
        <v>0</v>
      </c>
      <c r="BA521" s="963">
        <f t="shared" si="860"/>
        <v>0</v>
      </c>
      <c r="BB521" s="963">
        <f t="shared" si="860"/>
        <v>0</v>
      </c>
      <c r="BC521" s="963">
        <f t="shared" si="860"/>
        <v>0</v>
      </c>
      <c r="BD521" s="963">
        <f t="shared" si="860"/>
        <v>0</v>
      </c>
      <c r="BE521" s="963">
        <f t="shared" si="860"/>
        <v>0</v>
      </c>
      <c r="BF521" s="963" t="e">
        <f t="shared" si="860"/>
        <v>#VALUE!</v>
      </c>
    </row>
    <row r="522" spans="29:58" x14ac:dyDescent="0.25">
      <c r="AC522" s="934">
        <f>'T4'!AC42</f>
        <v>42913</v>
      </c>
      <c r="AD522" s="968">
        <f>'T4'!AD42</f>
        <v>0</v>
      </c>
      <c r="AE522" s="962">
        <f>'T4'!N42</f>
        <v>0</v>
      </c>
      <c r="AF522" s="968">
        <f>'T4'!AF42</f>
        <v>0</v>
      </c>
      <c r="AG522" s="962">
        <f>'T4'!O42</f>
        <v>0</v>
      </c>
      <c r="AI522" s="962">
        <f>AE522+AI516</f>
        <v>0</v>
      </c>
      <c r="AJ522" s="962">
        <f>AG522+AJ516</f>
        <v>0</v>
      </c>
      <c r="AV522" s="954"/>
      <c r="AW522" s="963">
        <f t="shared" ref="AW522:BF522" si="861">IF(MONTH(AD522)=AW520,AH522,0)</f>
        <v>0</v>
      </c>
      <c r="AX522" s="963">
        <f t="shared" si="861"/>
        <v>0</v>
      </c>
      <c r="AY522" s="963">
        <f t="shared" si="861"/>
        <v>0</v>
      </c>
      <c r="AZ522" s="963">
        <f t="shared" si="861"/>
        <v>0</v>
      </c>
      <c r="BA522" s="963">
        <f t="shared" si="861"/>
        <v>0</v>
      </c>
      <c r="BB522" s="963">
        <f t="shared" si="861"/>
        <v>0</v>
      </c>
      <c r="BC522" s="963">
        <f t="shared" si="861"/>
        <v>0</v>
      </c>
      <c r="BD522" s="963">
        <f t="shared" si="861"/>
        <v>0</v>
      </c>
      <c r="BE522" s="963">
        <f t="shared" si="861"/>
        <v>0</v>
      </c>
      <c r="BF522" s="963">
        <f t="shared" si="861"/>
        <v>0</v>
      </c>
    </row>
    <row r="523" spans="29:58" x14ac:dyDescent="0.25">
      <c r="AC523" s="934">
        <f>'T4'!AC43</f>
        <v>42914</v>
      </c>
      <c r="AD523" s="968">
        <f>'T4'!AD43</f>
        <v>0</v>
      </c>
      <c r="AE523" s="962">
        <f>'T4'!N43</f>
        <v>0</v>
      </c>
      <c r="AF523" s="968">
        <f>'T4'!AF43</f>
        <v>0</v>
      </c>
      <c r="AG523" s="962">
        <f>'T4'!O43</f>
        <v>0</v>
      </c>
      <c r="AI523" s="962">
        <f t="shared" ref="AI523:AI528" si="862">AE523+AI522</f>
        <v>0</v>
      </c>
      <c r="AJ523" s="962">
        <f t="shared" ref="AJ523:AJ528" si="863">AG523+AJ522</f>
        <v>0</v>
      </c>
      <c r="AV523" s="954"/>
      <c r="AW523" s="963">
        <f t="shared" ref="AW523:BF523" si="864">IF(MONTH(AD523)=AW521,AH523,0)</f>
        <v>0</v>
      </c>
      <c r="AX523" s="963">
        <f t="shared" si="864"/>
        <v>0</v>
      </c>
      <c r="AY523" s="963">
        <f t="shared" si="864"/>
        <v>0</v>
      </c>
      <c r="AZ523" s="963">
        <f t="shared" si="864"/>
        <v>0</v>
      </c>
      <c r="BA523" s="963">
        <f t="shared" si="864"/>
        <v>0</v>
      </c>
      <c r="BB523" s="963">
        <f t="shared" si="864"/>
        <v>0</v>
      </c>
      <c r="BC523" s="963">
        <f t="shared" si="864"/>
        <v>0</v>
      </c>
      <c r="BD523" s="963">
        <f t="shared" si="864"/>
        <v>0</v>
      </c>
      <c r="BE523" s="963">
        <f t="shared" si="864"/>
        <v>0</v>
      </c>
      <c r="BF523" s="963" t="e">
        <f t="shared" si="864"/>
        <v>#VALUE!</v>
      </c>
    </row>
    <row r="524" spans="29:58" x14ac:dyDescent="0.25">
      <c r="AC524" s="934">
        <f>'T4'!AC44</f>
        <v>42915</v>
      </c>
      <c r="AD524" s="968">
        <f>'T4'!AD44</f>
        <v>0</v>
      </c>
      <c r="AE524" s="962">
        <f>'T4'!N44</f>
        <v>0</v>
      </c>
      <c r="AF524" s="968">
        <f>'T4'!AF44</f>
        <v>0</v>
      </c>
      <c r="AG524" s="962">
        <f>'T4'!O44</f>
        <v>0</v>
      </c>
      <c r="AI524" s="962">
        <f t="shared" si="862"/>
        <v>0</v>
      </c>
      <c r="AJ524" s="962">
        <f t="shared" si="863"/>
        <v>0</v>
      </c>
      <c r="AV524" s="954"/>
      <c r="AW524" s="963">
        <f t="shared" ref="AW524:BF524" si="865">IF(MONTH(AD524)=AW522,AH524,0)</f>
        <v>0</v>
      </c>
      <c r="AX524" s="963">
        <f t="shared" si="865"/>
        <v>0</v>
      </c>
      <c r="AY524" s="963">
        <f t="shared" si="865"/>
        <v>0</v>
      </c>
      <c r="AZ524" s="963">
        <f t="shared" si="865"/>
        <v>0</v>
      </c>
      <c r="BA524" s="963">
        <f t="shared" si="865"/>
        <v>0</v>
      </c>
      <c r="BB524" s="963">
        <f t="shared" si="865"/>
        <v>0</v>
      </c>
      <c r="BC524" s="963">
        <f t="shared" si="865"/>
        <v>0</v>
      </c>
      <c r="BD524" s="963">
        <f t="shared" si="865"/>
        <v>0</v>
      </c>
      <c r="BE524" s="963">
        <f t="shared" si="865"/>
        <v>0</v>
      </c>
      <c r="BF524" s="963">
        <f t="shared" si="865"/>
        <v>0</v>
      </c>
    </row>
    <row r="525" spans="29:58" x14ac:dyDescent="0.25">
      <c r="AC525" s="934">
        <f>'T4'!AC45</f>
        <v>42916</v>
      </c>
      <c r="AD525" s="968">
        <f>'T4'!AD45</f>
        <v>0</v>
      </c>
      <c r="AE525" s="962">
        <f>'T4'!N45</f>
        <v>0</v>
      </c>
      <c r="AF525" s="968">
        <f>'T4'!AF45</f>
        <v>0</v>
      </c>
      <c r="AG525" s="962">
        <f>'T4'!O45</f>
        <v>0</v>
      </c>
      <c r="AI525" s="962">
        <f t="shared" si="862"/>
        <v>0</v>
      </c>
      <c r="AJ525" s="962">
        <f t="shared" si="863"/>
        <v>0</v>
      </c>
      <c r="AV525" s="954"/>
      <c r="AW525" s="963">
        <f t="shared" ref="AW525:BF525" si="866">IF(MONTH(AD525)=AW523,AH525,0)</f>
        <v>0</v>
      </c>
      <c r="AX525" s="963">
        <f t="shared" si="866"/>
        <v>0</v>
      </c>
      <c r="AY525" s="963">
        <f t="shared" si="866"/>
        <v>0</v>
      </c>
      <c r="AZ525" s="963">
        <f t="shared" si="866"/>
        <v>0</v>
      </c>
      <c r="BA525" s="963">
        <f t="shared" si="866"/>
        <v>0</v>
      </c>
      <c r="BB525" s="963">
        <f t="shared" si="866"/>
        <v>0</v>
      </c>
      <c r="BC525" s="963">
        <f t="shared" si="866"/>
        <v>0</v>
      </c>
      <c r="BD525" s="963">
        <f t="shared" si="866"/>
        <v>0</v>
      </c>
      <c r="BE525" s="963">
        <f t="shared" si="866"/>
        <v>0</v>
      </c>
      <c r="BF525" s="963" t="e">
        <f t="shared" si="866"/>
        <v>#VALUE!</v>
      </c>
    </row>
    <row r="526" spans="29:58" x14ac:dyDescent="0.25">
      <c r="AC526" s="934">
        <f>'T4'!AC46</f>
        <v>42917</v>
      </c>
      <c r="AD526" s="968">
        <f>'T4'!AD46</f>
        <v>0</v>
      </c>
      <c r="AE526" s="962">
        <f>'T4'!N46</f>
        <v>0</v>
      </c>
      <c r="AF526" s="968">
        <f>'T4'!AF46</f>
        <v>0</v>
      </c>
      <c r="AG526" s="962">
        <f>'T4'!O46</f>
        <v>0</v>
      </c>
      <c r="AI526" s="962">
        <f t="shared" si="862"/>
        <v>0</v>
      </c>
      <c r="AJ526" s="962">
        <f t="shared" si="863"/>
        <v>0</v>
      </c>
      <c r="AV526" s="954"/>
      <c r="AW526" s="963">
        <f t="shared" ref="AW526:BF526" si="867">IF(MONTH(AD526)=AW524,AH526,0)</f>
        <v>0</v>
      </c>
      <c r="AX526" s="963">
        <f t="shared" si="867"/>
        <v>0</v>
      </c>
      <c r="AY526" s="963">
        <f t="shared" si="867"/>
        <v>0</v>
      </c>
      <c r="AZ526" s="963">
        <f t="shared" si="867"/>
        <v>0</v>
      </c>
      <c r="BA526" s="963">
        <f t="shared" si="867"/>
        <v>0</v>
      </c>
      <c r="BB526" s="963">
        <f t="shared" si="867"/>
        <v>0</v>
      </c>
      <c r="BC526" s="963">
        <f t="shared" si="867"/>
        <v>0</v>
      </c>
      <c r="BD526" s="963">
        <f t="shared" si="867"/>
        <v>0</v>
      </c>
      <c r="BE526" s="963">
        <f t="shared" si="867"/>
        <v>0</v>
      </c>
      <c r="BF526" s="963">
        <f t="shared" si="867"/>
        <v>0</v>
      </c>
    </row>
    <row r="527" spans="29:58" x14ac:dyDescent="0.25">
      <c r="AC527" s="934">
        <f>'T4'!AC47</f>
        <v>42918</v>
      </c>
      <c r="AD527" s="968">
        <f>'T4'!AD47</f>
        <v>0</v>
      </c>
      <c r="AE527" s="962">
        <f>'T4'!N47</f>
        <v>0</v>
      </c>
      <c r="AF527" s="968">
        <f>'T4'!AF47</f>
        <v>0</v>
      </c>
      <c r="AG527" s="962">
        <f>'T4'!O47</f>
        <v>0</v>
      </c>
      <c r="AI527" s="962">
        <f t="shared" si="862"/>
        <v>0</v>
      </c>
      <c r="AJ527" s="962">
        <f t="shared" si="863"/>
        <v>0</v>
      </c>
      <c r="AV527" s="954"/>
      <c r="AW527" s="963">
        <f t="shared" ref="AW527:BF527" si="868">IF(MONTH(AD527)=AW525,AH527,0)</f>
        <v>0</v>
      </c>
      <c r="AX527" s="963">
        <f t="shared" si="868"/>
        <v>0</v>
      </c>
      <c r="AY527" s="963">
        <f t="shared" si="868"/>
        <v>0</v>
      </c>
      <c r="AZ527" s="963">
        <f t="shared" si="868"/>
        <v>0</v>
      </c>
      <c r="BA527" s="963">
        <f t="shared" si="868"/>
        <v>0</v>
      </c>
      <c r="BB527" s="963">
        <f t="shared" si="868"/>
        <v>0</v>
      </c>
      <c r="BC527" s="963">
        <f t="shared" si="868"/>
        <v>0</v>
      </c>
      <c r="BD527" s="963">
        <f t="shared" si="868"/>
        <v>0</v>
      </c>
      <c r="BE527" s="963">
        <f t="shared" si="868"/>
        <v>0</v>
      </c>
      <c r="BF527" s="963" t="e">
        <f t="shared" si="868"/>
        <v>#VALUE!</v>
      </c>
    </row>
    <row r="528" spans="29:58" x14ac:dyDescent="0.25">
      <c r="AC528" s="934">
        <f>'T4'!AC48</f>
        <v>42919</v>
      </c>
      <c r="AD528" s="968">
        <f>'T4'!AD48</f>
        <v>0</v>
      </c>
      <c r="AE528" s="962">
        <f>'T4'!N48</f>
        <v>0</v>
      </c>
      <c r="AF528" s="968">
        <f>'T4'!AF48</f>
        <v>0</v>
      </c>
      <c r="AG528" s="962">
        <f>'T4'!O48</f>
        <v>0</v>
      </c>
      <c r="AI528" s="962">
        <f t="shared" si="862"/>
        <v>0</v>
      </c>
      <c r="AJ528" s="962">
        <f t="shared" si="863"/>
        <v>0</v>
      </c>
      <c r="AV528" s="954"/>
      <c r="AW528" s="963">
        <f t="shared" ref="AW528:BF528" si="869">IF(MONTH(AD528)=AW526,AH528,0)</f>
        <v>0</v>
      </c>
      <c r="AX528" s="963">
        <f t="shared" si="869"/>
        <v>0</v>
      </c>
      <c r="AY528" s="963">
        <f t="shared" si="869"/>
        <v>0</v>
      </c>
      <c r="AZ528" s="963">
        <f t="shared" si="869"/>
        <v>0</v>
      </c>
      <c r="BA528" s="963">
        <f t="shared" si="869"/>
        <v>0</v>
      </c>
      <c r="BB528" s="963">
        <f t="shared" si="869"/>
        <v>0</v>
      </c>
      <c r="BC528" s="963">
        <f t="shared" si="869"/>
        <v>0</v>
      </c>
      <c r="BD528" s="963">
        <f t="shared" si="869"/>
        <v>0</v>
      </c>
      <c r="BE528" s="963">
        <f t="shared" si="869"/>
        <v>0</v>
      </c>
      <c r="BF528" s="963">
        <f t="shared" si="869"/>
        <v>0</v>
      </c>
    </row>
    <row r="529" spans="29:58" x14ac:dyDescent="0.25">
      <c r="AV529" s="954"/>
      <c r="AW529" s="963">
        <f t="shared" ref="AW529:BF529" si="870">IF(MONTH(AD529)=AW527,AH529,0)</f>
        <v>0</v>
      </c>
      <c r="AX529" s="963">
        <f t="shared" si="870"/>
        <v>0</v>
      </c>
      <c r="AY529" s="963">
        <f t="shared" si="870"/>
        <v>0</v>
      </c>
      <c r="AZ529" s="963">
        <f t="shared" si="870"/>
        <v>0</v>
      </c>
      <c r="BA529" s="963">
        <f t="shared" si="870"/>
        <v>0</v>
      </c>
      <c r="BB529" s="963">
        <f t="shared" si="870"/>
        <v>0</v>
      </c>
      <c r="BC529" s="963">
        <f t="shared" si="870"/>
        <v>0</v>
      </c>
      <c r="BD529" s="963">
        <f t="shared" si="870"/>
        <v>0</v>
      </c>
      <c r="BE529" s="963">
        <f t="shared" si="870"/>
        <v>0</v>
      </c>
      <c r="BF529" s="963" t="e">
        <f t="shared" si="870"/>
        <v>#VALUE!</v>
      </c>
    </row>
    <row r="530" spans="29:58" x14ac:dyDescent="0.25">
      <c r="AV530" s="954"/>
      <c r="AW530" s="963">
        <f t="shared" ref="AW530:BF530" si="871">IF(MONTH(AD530)=AW528,AH530,0)</f>
        <v>0</v>
      </c>
      <c r="AX530" s="963">
        <f t="shared" si="871"/>
        <v>0</v>
      </c>
      <c r="AY530" s="963">
        <f t="shared" si="871"/>
        <v>0</v>
      </c>
      <c r="AZ530" s="963">
        <f t="shared" si="871"/>
        <v>0</v>
      </c>
      <c r="BA530" s="963">
        <f t="shared" si="871"/>
        <v>0</v>
      </c>
      <c r="BB530" s="963">
        <f t="shared" si="871"/>
        <v>0</v>
      </c>
      <c r="BC530" s="963">
        <f t="shared" si="871"/>
        <v>0</v>
      </c>
      <c r="BD530" s="963">
        <f t="shared" si="871"/>
        <v>0</v>
      </c>
      <c r="BE530" s="963">
        <f t="shared" si="871"/>
        <v>0</v>
      </c>
      <c r="BF530" s="963">
        <f t="shared" si="871"/>
        <v>0</v>
      </c>
    </row>
    <row r="531" spans="29:58" x14ac:dyDescent="0.25">
      <c r="AV531" s="954"/>
      <c r="AW531" s="963">
        <f t="shared" ref="AW531:BF531" si="872">IF(MONTH(AD531)=AW529,AH531,0)</f>
        <v>0</v>
      </c>
      <c r="AX531" s="963">
        <f t="shared" si="872"/>
        <v>0</v>
      </c>
      <c r="AY531" s="963">
        <f t="shared" si="872"/>
        <v>0</v>
      </c>
      <c r="AZ531" s="963">
        <f t="shared" si="872"/>
        <v>0</v>
      </c>
      <c r="BA531" s="963">
        <f t="shared" si="872"/>
        <v>0</v>
      </c>
      <c r="BB531" s="963">
        <f t="shared" si="872"/>
        <v>0</v>
      </c>
      <c r="BC531" s="963">
        <f t="shared" si="872"/>
        <v>0</v>
      </c>
      <c r="BD531" s="963">
        <f t="shared" si="872"/>
        <v>0</v>
      </c>
      <c r="BE531" s="963">
        <f t="shared" si="872"/>
        <v>0</v>
      </c>
      <c r="BF531" s="963" t="e">
        <f t="shared" si="872"/>
        <v>#VALUE!</v>
      </c>
    </row>
    <row r="532" spans="29:58" x14ac:dyDescent="0.25">
      <c r="AV532" s="954"/>
      <c r="AW532" s="963">
        <f t="shared" ref="AW532:BF532" si="873">IF(MONTH(AD532)=AW530,AH532,0)</f>
        <v>0</v>
      </c>
      <c r="AX532" s="963">
        <f t="shared" si="873"/>
        <v>0</v>
      </c>
      <c r="AY532" s="963">
        <f t="shared" si="873"/>
        <v>0</v>
      </c>
      <c r="AZ532" s="963">
        <f t="shared" si="873"/>
        <v>0</v>
      </c>
      <c r="BA532" s="963">
        <f t="shared" si="873"/>
        <v>0</v>
      </c>
      <c r="BB532" s="963">
        <f t="shared" si="873"/>
        <v>0</v>
      </c>
      <c r="BC532" s="963">
        <f t="shared" si="873"/>
        <v>0</v>
      </c>
      <c r="BD532" s="963">
        <f t="shared" si="873"/>
        <v>0</v>
      </c>
      <c r="BE532" s="963">
        <f t="shared" si="873"/>
        <v>0</v>
      </c>
      <c r="BF532" s="963">
        <f t="shared" si="873"/>
        <v>0</v>
      </c>
    </row>
    <row r="533" spans="29:58" x14ac:dyDescent="0.25">
      <c r="AV533" s="954"/>
      <c r="AW533" s="963">
        <f t="shared" ref="AW533:BF533" si="874">IF(MONTH(AD533)=AW531,AH533,0)</f>
        <v>0</v>
      </c>
      <c r="AX533" s="963">
        <f t="shared" si="874"/>
        <v>0</v>
      </c>
      <c r="AY533" s="963">
        <f t="shared" si="874"/>
        <v>0</v>
      </c>
      <c r="AZ533" s="963">
        <f t="shared" si="874"/>
        <v>0</v>
      </c>
      <c r="BA533" s="963">
        <f t="shared" si="874"/>
        <v>0</v>
      </c>
      <c r="BB533" s="963">
        <f t="shared" si="874"/>
        <v>0</v>
      </c>
      <c r="BC533" s="963">
        <f t="shared" si="874"/>
        <v>0</v>
      </c>
      <c r="BD533" s="963">
        <f t="shared" si="874"/>
        <v>0</v>
      </c>
      <c r="BE533" s="963">
        <f t="shared" si="874"/>
        <v>0</v>
      </c>
      <c r="BF533" s="963" t="e">
        <f t="shared" si="874"/>
        <v>#VALUE!</v>
      </c>
    </row>
    <row r="534" spans="29:58" x14ac:dyDescent="0.25">
      <c r="AC534" s="934">
        <f>'T4'!AC54</f>
        <v>42920</v>
      </c>
      <c r="AD534" s="968">
        <f>'T4'!AD54</f>
        <v>0</v>
      </c>
      <c r="AE534" s="962">
        <f>'T4'!N54</f>
        <v>0</v>
      </c>
      <c r="AF534" s="968">
        <f>'T4'!AF54</f>
        <v>0</v>
      </c>
      <c r="AG534" s="962">
        <f>'T4'!O54</f>
        <v>0</v>
      </c>
      <c r="AI534" s="962">
        <f>AE534+AI528</f>
        <v>0</v>
      </c>
      <c r="AJ534" s="962">
        <f>AG534+AJ528</f>
        <v>0</v>
      </c>
      <c r="AV534" s="954"/>
      <c r="AW534" s="963">
        <f t="shared" ref="AW534:BF534" si="875">IF(MONTH(AD534)=AW532,AH534,0)</f>
        <v>0</v>
      </c>
      <c r="AX534" s="963">
        <f t="shared" si="875"/>
        <v>0</v>
      </c>
      <c r="AY534" s="963">
        <f t="shared" si="875"/>
        <v>0</v>
      </c>
      <c r="AZ534" s="963">
        <f t="shared" si="875"/>
        <v>0</v>
      </c>
      <c r="BA534" s="963">
        <f t="shared" si="875"/>
        <v>0</v>
      </c>
      <c r="BB534" s="963">
        <f t="shared" si="875"/>
        <v>0</v>
      </c>
      <c r="BC534" s="963">
        <f t="shared" si="875"/>
        <v>0</v>
      </c>
      <c r="BD534" s="963">
        <f t="shared" si="875"/>
        <v>0</v>
      </c>
      <c r="BE534" s="963">
        <f t="shared" si="875"/>
        <v>0</v>
      </c>
      <c r="BF534" s="963">
        <f t="shared" si="875"/>
        <v>0</v>
      </c>
    </row>
    <row r="535" spans="29:58" x14ac:dyDescent="0.25">
      <c r="AC535" s="934">
        <f>'T4'!AC55</f>
        <v>42921</v>
      </c>
      <c r="AD535" s="968">
        <f>'T4'!AD55</f>
        <v>0</v>
      </c>
      <c r="AE535" s="962">
        <f>'T4'!N55</f>
        <v>0</v>
      </c>
      <c r="AF535" s="968">
        <f>'T4'!AF55</f>
        <v>0</v>
      </c>
      <c r="AG535" s="962">
        <f>'T4'!O55</f>
        <v>0</v>
      </c>
      <c r="AI535" s="962">
        <f t="shared" ref="AI535:AI540" si="876">AE535+AI534</f>
        <v>0</v>
      </c>
      <c r="AJ535" s="962">
        <f t="shared" ref="AJ535:AJ540" si="877">AG535+AJ534</f>
        <v>0</v>
      </c>
      <c r="AV535" s="954"/>
      <c r="AW535" s="963">
        <f t="shared" ref="AW535:BF535" si="878">IF(MONTH(AD535)=AW533,AH535,0)</f>
        <v>0</v>
      </c>
      <c r="AX535" s="963">
        <f t="shared" si="878"/>
        <v>0</v>
      </c>
      <c r="AY535" s="963">
        <f t="shared" si="878"/>
        <v>0</v>
      </c>
      <c r="AZ535" s="963">
        <f t="shared" si="878"/>
        <v>0</v>
      </c>
      <c r="BA535" s="963">
        <f t="shared" si="878"/>
        <v>0</v>
      </c>
      <c r="BB535" s="963">
        <f t="shared" si="878"/>
        <v>0</v>
      </c>
      <c r="BC535" s="963">
        <f t="shared" si="878"/>
        <v>0</v>
      </c>
      <c r="BD535" s="963">
        <f t="shared" si="878"/>
        <v>0</v>
      </c>
      <c r="BE535" s="963">
        <f t="shared" si="878"/>
        <v>0</v>
      </c>
      <c r="BF535" s="963" t="e">
        <f t="shared" si="878"/>
        <v>#VALUE!</v>
      </c>
    </row>
    <row r="536" spans="29:58" x14ac:dyDescent="0.25">
      <c r="AC536" s="934">
        <f>'T4'!AC56</f>
        <v>42922</v>
      </c>
      <c r="AD536" s="968">
        <f>'T4'!AD56</f>
        <v>0</v>
      </c>
      <c r="AE536" s="962">
        <f>'T4'!N56</f>
        <v>0</v>
      </c>
      <c r="AF536" s="968">
        <f>'T4'!AF56</f>
        <v>0</v>
      </c>
      <c r="AG536" s="962">
        <f>'T4'!O56</f>
        <v>0</v>
      </c>
      <c r="AI536" s="962">
        <f t="shared" si="876"/>
        <v>0</v>
      </c>
      <c r="AJ536" s="962">
        <f t="shared" si="877"/>
        <v>0</v>
      </c>
      <c r="AV536" s="954"/>
      <c r="AW536" s="963">
        <f t="shared" ref="AW536:BF536" si="879">IF(MONTH(AD536)=AW534,AH536,0)</f>
        <v>0</v>
      </c>
      <c r="AX536" s="963">
        <f t="shared" si="879"/>
        <v>0</v>
      </c>
      <c r="AY536" s="963">
        <f t="shared" si="879"/>
        <v>0</v>
      </c>
      <c r="AZ536" s="963">
        <f t="shared" si="879"/>
        <v>0</v>
      </c>
      <c r="BA536" s="963">
        <f t="shared" si="879"/>
        <v>0</v>
      </c>
      <c r="BB536" s="963">
        <f t="shared" si="879"/>
        <v>0</v>
      </c>
      <c r="BC536" s="963">
        <f t="shared" si="879"/>
        <v>0</v>
      </c>
      <c r="BD536" s="963">
        <f t="shared" si="879"/>
        <v>0</v>
      </c>
      <c r="BE536" s="963">
        <f t="shared" si="879"/>
        <v>0</v>
      </c>
      <c r="BF536" s="963">
        <f t="shared" si="879"/>
        <v>0</v>
      </c>
    </row>
    <row r="537" spans="29:58" x14ac:dyDescent="0.25">
      <c r="AC537" s="934">
        <f>'T4'!AC57</f>
        <v>42923</v>
      </c>
      <c r="AD537" s="968">
        <f>'T4'!AD57</f>
        <v>0</v>
      </c>
      <c r="AE537" s="962">
        <f>'T4'!N57</f>
        <v>0</v>
      </c>
      <c r="AF537" s="968">
        <f>'T4'!AF57</f>
        <v>0</v>
      </c>
      <c r="AG537" s="962">
        <f>'T4'!O57</f>
        <v>0</v>
      </c>
      <c r="AI537" s="962">
        <f t="shared" si="876"/>
        <v>0</v>
      </c>
      <c r="AJ537" s="962">
        <f t="shared" si="877"/>
        <v>0</v>
      </c>
      <c r="AV537" s="954"/>
      <c r="AW537" s="963">
        <f t="shared" ref="AW537:BF537" si="880">IF(MONTH(AD537)=AW535,AH537,0)</f>
        <v>0</v>
      </c>
      <c r="AX537" s="963">
        <f t="shared" si="880"/>
        <v>0</v>
      </c>
      <c r="AY537" s="963">
        <f t="shared" si="880"/>
        <v>0</v>
      </c>
      <c r="AZ537" s="963">
        <f t="shared" si="880"/>
        <v>0</v>
      </c>
      <c r="BA537" s="963">
        <f t="shared" si="880"/>
        <v>0</v>
      </c>
      <c r="BB537" s="963">
        <f t="shared" si="880"/>
        <v>0</v>
      </c>
      <c r="BC537" s="963">
        <f t="shared" si="880"/>
        <v>0</v>
      </c>
      <c r="BD537" s="963">
        <f t="shared" si="880"/>
        <v>0</v>
      </c>
      <c r="BE537" s="963">
        <f t="shared" si="880"/>
        <v>0</v>
      </c>
      <c r="BF537" s="963" t="e">
        <f t="shared" si="880"/>
        <v>#VALUE!</v>
      </c>
    </row>
    <row r="538" spans="29:58" x14ac:dyDescent="0.25">
      <c r="AC538" s="934">
        <f>'T4'!AC58</f>
        <v>42924</v>
      </c>
      <c r="AD538" s="968">
        <f>'T4'!AD58</f>
        <v>0</v>
      </c>
      <c r="AE538" s="962">
        <f>'T4'!N58</f>
        <v>0</v>
      </c>
      <c r="AF538" s="968">
        <f>'T4'!AF58</f>
        <v>0</v>
      </c>
      <c r="AG538" s="962">
        <f>'T4'!O58</f>
        <v>0</v>
      </c>
      <c r="AI538" s="962">
        <f t="shared" si="876"/>
        <v>0</v>
      </c>
      <c r="AJ538" s="962">
        <f t="shared" si="877"/>
        <v>0</v>
      </c>
      <c r="AV538" s="954"/>
      <c r="AW538" s="963">
        <f t="shared" ref="AW538:BF538" si="881">IF(MONTH(AD538)=AW536,AH538,0)</f>
        <v>0</v>
      </c>
      <c r="AX538" s="963">
        <f t="shared" si="881"/>
        <v>0</v>
      </c>
      <c r="AY538" s="963">
        <f t="shared" si="881"/>
        <v>0</v>
      </c>
      <c r="AZ538" s="963">
        <f t="shared" si="881"/>
        <v>0</v>
      </c>
      <c r="BA538" s="963">
        <f t="shared" si="881"/>
        <v>0</v>
      </c>
      <c r="BB538" s="963">
        <f t="shared" si="881"/>
        <v>0</v>
      </c>
      <c r="BC538" s="963">
        <f t="shared" si="881"/>
        <v>0</v>
      </c>
      <c r="BD538" s="963">
        <f t="shared" si="881"/>
        <v>0</v>
      </c>
      <c r="BE538" s="963">
        <f t="shared" si="881"/>
        <v>0</v>
      </c>
      <c r="BF538" s="963">
        <f t="shared" si="881"/>
        <v>0</v>
      </c>
    </row>
    <row r="539" spans="29:58" x14ac:dyDescent="0.25">
      <c r="AC539" s="934">
        <f>'T4'!AC59</f>
        <v>42925</v>
      </c>
      <c r="AD539" s="968">
        <f>'T4'!AD59</f>
        <v>0</v>
      </c>
      <c r="AE539" s="962">
        <f>'T4'!N59</f>
        <v>0</v>
      </c>
      <c r="AF539" s="968">
        <f>'T4'!AF59</f>
        <v>0</v>
      </c>
      <c r="AG539" s="962">
        <f>'T4'!O59</f>
        <v>0</v>
      </c>
      <c r="AI539" s="962">
        <f t="shared" si="876"/>
        <v>0</v>
      </c>
      <c r="AJ539" s="962">
        <f t="shared" si="877"/>
        <v>0</v>
      </c>
      <c r="AV539" s="954"/>
      <c r="AW539" s="963">
        <f t="shared" ref="AW539:BF539" si="882">IF(MONTH(AD539)=AW537,AH539,0)</f>
        <v>0</v>
      </c>
      <c r="AX539" s="963">
        <f t="shared" si="882"/>
        <v>0</v>
      </c>
      <c r="AY539" s="963">
        <f t="shared" si="882"/>
        <v>0</v>
      </c>
      <c r="AZ539" s="963">
        <f t="shared" si="882"/>
        <v>0</v>
      </c>
      <c r="BA539" s="963">
        <f t="shared" si="882"/>
        <v>0</v>
      </c>
      <c r="BB539" s="963">
        <f t="shared" si="882"/>
        <v>0</v>
      </c>
      <c r="BC539" s="963">
        <f t="shared" si="882"/>
        <v>0</v>
      </c>
      <c r="BD539" s="963">
        <f t="shared" si="882"/>
        <v>0</v>
      </c>
      <c r="BE539" s="963">
        <f t="shared" si="882"/>
        <v>0</v>
      </c>
      <c r="BF539" s="963" t="e">
        <f t="shared" si="882"/>
        <v>#VALUE!</v>
      </c>
    </row>
    <row r="540" spans="29:58" x14ac:dyDescent="0.25">
      <c r="AC540" s="934">
        <f>'T4'!AC60</f>
        <v>42926</v>
      </c>
      <c r="AD540" s="968">
        <f>'T4'!AD60</f>
        <v>0</v>
      </c>
      <c r="AE540" s="962">
        <f>'T4'!N60</f>
        <v>0</v>
      </c>
      <c r="AF540" s="968">
        <f>'T4'!AF60</f>
        <v>0</v>
      </c>
      <c r="AG540" s="962">
        <f>'T4'!O60</f>
        <v>0</v>
      </c>
      <c r="AI540" s="962">
        <f t="shared" si="876"/>
        <v>0</v>
      </c>
      <c r="AJ540" s="962">
        <f t="shared" si="877"/>
        <v>0</v>
      </c>
      <c r="AV540" s="954"/>
      <c r="AW540" s="963">
        <f t="shared" ref="AW540:BF540" si="883">IF(MONTH(AD540)=AW538,AH540,0)</f>
        <v>0</v>
      </c>
      <c r="AX540" s="963">
        <f t="shared" si="883"/>
        <v>0</v>
      </c>
      <c r="AY540" s="963">
        <f t="shared" si="883"/>
        <v>0</v>
      </c>
      <c r="AZ540" s="963">
        <f t="shared" si="883"/>
        <v>0</v>
      </c>
      <c r="BA540" s="963">
        <f t="shared" si="883"/>
        <v>0</v>
      </c>
      <c r="BB540" s="963">
        <f t="shared" si="883"/>
        <v>0</v>
      </c>
      <c r="BC540" s="963">
        <f t="shared" si="883"/>
        <v>0</v>
      </c>
      <c r="BD540" s="963">
        <f t="shared" si="883"/>
        <v>0</v>
      </c>
      <c r="BE540" s="963">
        <f t="shared" si="883"/>
        <v>0</v>
      </c>
      <c r="BF540" s="963">
        <f t="shared" si="883"/>
        <v>0</v>
      </c>
    </row>
    <row r="541" spans="29:58" x14ac:dyDescent="0.25">
      <c r="AV541" s="954"/>
      <c r="AW541" s="963">
        <f t="shared" ref="AW541:BF541" si="884">IF(MONTH(AD541)=AW539,AH541,0)</f>
        <v>0</v>
      </c>
      <c r="AX541" s="963">
        <f t="shared" si="884"/>
        <v>0</v>
      </c>
      <c r="AY541" s="963">
        <f t="shared" si="884"/>
        <v>0</v>
      </c>
      <c r="AZ541" s="963">
        <f t="shared" si="884"/>
        <v>0</v>
      </c>
      <c r="BA541" s="963">
        <f t="shared" si="884"/>
        <v>0</v>
      </c>
      <c r="BB541" s="963">
        <f t="shared" si="884"/>
        <v>0</v>
      </c>
      <c r="BC541" s="963">
        <f t="shared" si="884"/>
        <v>0</v>
      </c>
      <c r="BD541" s="963">
        <f t="shared" si="884"/>
        <v>0</v>
      </c>
      <c r="BE541" s="963">
        <f t="shared" si="884"/>
        <v>0</v>
      </c>
      <c r="BF541" s="963" t="e">
        <f t="shared" si="884"/>
        <v>#VALUE!</v>
      </c>
    </row>
    <row r="542" spans="29:58" x14ac:dyDescent="0.25">
      <c r="AV542" s="954"/>
      <c r="AW542" s="963">
        <f t="shared" ref="AW542:BF542" si="885">IF(MONTH(AD542)=AW540,AH542,0)</f>
        <v>0</v>
      </c>
      <c r="AX542" s="963">
        <f t="shared" si="885"/>
        <v>0</v>
      </c>
      <c r="AY542" s="963">
        <f t="shared" si="885"/>
        <v>0</v>
      </c>
      <c r="AZ542" s="963">
        <f t="shared" si="885"/>
        <v>0</v>
      </c>
      <c r="BA542" s="963">
        <f t="shared" si="885"/>
        <v>0</v>
      </c>
      <c r="BB542" s="963">
        <f t="shared" si="885"/>
        <v>0</v>
      </c>
      <c r="BC542" s="963">
        <f t="shared" si="885"/>
        <v>0</v>
      </c>
      <c r="BD542" s="963">
        <f t="shared" si="885"/>
        <v>0</v>
      </c>
      <c r="BE542" s="963">
        <f t="shared" si="885"/>
        <v>0</v>
      </c>
      <c r="BF542" s="963">
        <f t="shared" si="885"/>
        <v>0</v>
      </c>
    </row>
    <row r="543" spans="29:58" x14ac:dyDescent="0.25">
      <c r="AV543" s="954"/>
      <c r="AW543" s="963">
        <f t="shared" ref="AW543:BF543" si="886">IF(MONTH(AD543)=AW541,AH543,0)</f>
        <v>0</v>
      </c>
      <c r="AX543" s="963">
        <f t="shared" si="886"/>
        <v>0</v>
      </c>
      <c r="AY543" s="963">
        <f t="shared" si="886"/>
        <v>0</v>
      </c>
      <c r="AZ543" s="963">
        <f t="shared" si="886"/>
        <v>0</v>
      </c>
      <c r="BA543" s="963">
        <f t="shared" si="886"/>
        <v>0</v>
      </c>
      <c r="BB543" s="963">
        <f t="shared" si="886"/>
        <v>0</v>
      </c>
      <c r="BC543" s="963">
        <f t="shared" si="886"/>
        <v>0</v>
      </c>
      <c r="BD543" s="963">
        <f t="shared" si="886"/>
        <v>0</v>
      </c>
      <c r="BE543" s="963">
        <f t="shared" si="886"/>
        <v>0</v>
      </c>
      <c r="BF543" s="963" t="e">
        <f t="shared" si="886"/>
        <v>#VALUE!</v>
      </c>
    </row>
    <row r="544" spans="29:58" x14ac:dyDescent="0.25">
      <c r="AV544" s="954"/>
      <c r="AW544" s="963">
        <f t="shared" ref="AW544:BF544" si="887">IF(MONTH(AD544)=AW542,AH544,0)</f>
        <v>0</v>
      </c>
      <c r="AX544" s="963">
        <f t="shared" si="887"/>
        <v>0</v>
      </c>
      <c r="AY544" s="963">
        <f t="shared" si="887"/>
        <v>0</v>
      </c>
      <c r="AZ544" s="963">
        <f t="shared" si="887"/>
        <v>0</v>
      </c>
      <c r="BA544" s="963">
        <f t="shared" si="887"/>
        <v>0</v>
      </c>
      <c r="BB544" s="963">
        <f t="shared" si="887"/>
        <v>0</v>
      </c>
      <c r="BC544" s="963">
        <f t="shared" si="887"/>
        <v>0</v>
      </c>
      <c r="BD544" s="963">
        <f t="shared" si="887"/>
        <v>0</v>
      </c>
      <c r="BE544" s="963">
        <f t="shared" si="887"/>
        <v>0</v>
      </c>
      <c r="BF544" s="963">
        <f t="shared" si="887"/>
        <v>0</v>
      </c>
    </row>
    <row r="545" spans="29:58" x14ac:dyDescent="0.25">
      <c r="AV545" s="954"/>
      <c r="AW545" s="963">
        <f t="shared" ref="AW545:BF545" si="888">IF(MONTH(AD545)=AW543,AH545,0)</f>
        <v>0</v>
      </c>
      <c r="AX545" s="963">
        <f t="shared" si="888"/>
        <v>0</v>
      </c>
      <c r="AY545" s="963">
        <f t="shared" si="888"/>
        <v>0</v>
      </c>
      <c r="AZ545" s="963">
        <f t="shared" si="888"/>
        <v>0</v>
      </c>
      <c r="BA545" s="963">
        <f t="shared" si="888"/>
        <v>0</v>
      </c>
      <c r="BB545" s="963">
        <f t="shared" si="888"/>
        <v>0</v>
      </c>
      <c r="BC545" s="963">
        <f t="shared" si="888"/>
        <v>0</v>
      </c>
      <c r="BD545" s="963">
        <f t="shared" si="888"/>
        <v>0</v>
      </c>
      <c r="BE545" s="963">
        <f t="shared" si="888"/>
        <v>0</v>
      </c>
      <c r="BF545" s="963" t="e">
        <f t="shared" si="888"/>
        <v>#VALUE!</v>
      </c>
    </row>
    <row r="546" spans="29:58" x14ac:dyDescent="0.25">
      <c r="AC546" s="934">
        <f>'T4'!AC66</f>
        <v>42927</v>
      </c>
      <c r="AD546" s="968">
        <f>'T4'!AD66</f>
        <v>0</v>
      </c>
      <c r="AE546" s="962">
        <f>'T4'!N66</f>
        <v>0</v>
      </c>
      <c r="AF546" s="968">
        <f>'T4'!AF66</f>
        <v>0</v>
      </c>
      <c r="AG546" s="962">
        <f>'T4'!O66</f>
        <v>0</v>
      </c>
      <c r="AI546" s="962">
        <f>AE546+AI540</f>
        <v>0</v>
      </c>
      <c r="AJ546" s="962">
        <f>AG546+AJ540</f>
        <v>0</v>
      </c>
      <c r="AV546" s="954"/>
      <c r="AW546" s="963">
        <f t="shared" ref="AW546:BF546" si="889">IF(MONTH(AD546)=AW544,AH546,0)</f>
        <v>0</v>
      </c>
      <c r="AX546" s="963">
        <f t="shared" si="889"/>
        <v>0</v>
      </c>
      <c r="AY546" s="963">
        <f t="shared" si="889"/>
        <v>0</v>
      </c>
      <c r="AZ546" s="963">
        <f t="shared" si="889"/>
        <v>0</v>
      </c>
      <c r="BA546" s="963">
        <f t="shared" si="889"/>
        <v>0</v>
      </c>
      <c r="BB546" s="963">
        <f t="shared" si="889"/>
        <v>0</v>
      </c>
      <c r="BC546" s="963">
        <f t="shared" si="889"/>
        <v>0</v>
      </c>
      <c r="BD546" s="963">
        <f t="shared" si="889"/>
        <v>0</v>
      </c>
      <c r="BE546" s="963">
        <f t="shared" si="889"/>
        <v>0</v>
      </c>
      <c r="BF546" s="963">
        <f t="shared" si="889"/>
        <v>0</v>
      </c>
    </row>
    <row r="547" spans="29:58" x14ac:dyDescent="0.25">
      <c r="AC547" s="934">
        <f>'T4'!AC67</f>
        <v>42928</v>
      </c>
      <c r="AD547" s="968">
        <f>'T4'!AD67</f>
        <v>0</v>
      </c>
      <c r="AE547" s="962">
        <f>'T4'!N67</f>
        <v>0</v>
      </c>
      <c r="AF547" s="968">
        <f>'T4'!AF67</f>
        <v>0</v>
      </c>
      <c r="AG547" s="962">
        <f>'T4'!O67</f>
        <v>0</v>
      </c>
      <c r="AI547" s="962">
        <f t="shared" ref="AI547:AI552" si="890">AE547+AI546</f>
        <v>0</v>
      </c>
      <c r="AJ547" s="962">
        <f t="shared" ref="AJ547:AJ552" si="891">AG547+AJ546</f>
        <v>0</v>
      </c>
      <c r="AV547" s="954"/>
      <c r="AW547" s="963">
        <f t="shared" ref="AW547:BF547" si="892">IF(MONTH(AD547)=AW545,AH547,0)</f>
        <v>0</v>
      </c>
      <c r="AX547" s="963">
        <f t="shared" si="892"/>
        <v>0</v>
      </c>
      <c r="AY547" s="963">
        <f t="shared" si="892"/>
        <v>0</v>
      </c>
      <c r="AZ547" s="963">
        <f t="shared" si="892"/>
        <v>0</v>
      </c>
      <c r="BA547" s="963">
        <f t="shared" si="892"/>
        <v>0</v>
      </c>
      <c r="BB547" s="963">
        <f t="shared" si="892"/>
        <v>0</v>
      </c>
      <c r="BC547" s="963">
        <f t="shared" si="892"/>
        <v>0</v>
      </c>
      <c r="BD547" s="963">
        <f t="shared" si="892"/>
        <v>0</v>
      </c>
      <c r="BE547" s="963">
        <f t="shared" si="892"/>
        <v>0</v>
      </c>
      <c r="BF547" s="963" t="e">
        <f t="shared" si="892"/>
        <v>#VALUE!</v>
      </c>
    </row>
    <row r="548" spans="29:58" x14ac:dyDescent="0.25">
      <c r="AC548" s="934">
        <f>'T4'!AC68</f>
        <v>42929</v>
      </c>
      <c r="AD548" s="968">
        <f>'T4'!AD68</f>
        <v>0</v>
      </c>
      <c r="AE548" s="962">
        <f>'T4'!N68</f>
        <v>0</v>
      </c>
      <c r="AF548" s="968">
        <f>'T4'!AF68</f>
        <v>0</v>
      </c>
      <c r="AG548" s="962">
        <f>'T4'!O68</f>
        <v>0</v>
      </c>
      <c r="AI548" s="962">
        <f t="shared" si="890"/>
        <v>0</v>
      </c>
      <c r="AJ548" s="962">
        <f t="shared" si="891"/>
        <v>0</v>
      </c>
      <c r="AV548" s="954"/>
      <c r="AW548" s="963">
        <f t="shared" ref="AW548:BF548" si="893">IF(MONTH(AD548)=AW546,AH548,0)</f>
        <v>0</v>
      </c>
      <c r="AX548" s="963">
        <f t="shared" si="893"/>
        <v>0</v>
      </c>
      <c r="AY548" s="963">
        <f t="shared" si="893"/>
        <v>0</v>
      </c>
      <c r="AZ548" s="963">
        <f t="shared" si="893"/>
        <v>0</v>
      </c>
      <c r="BA548" s="963">
        <f t="shared" si="893"/>
        <v>0</v>
      </c>
      <c r="BB548" s="963">
        <f t="shared" si="893"/>
        <v>0</v>
      </c>
      <c r="BC548" s="963">
        <f t="shared" si="893"/>
        <v>0</v>
      </c>
      <c r="BD548" s="963">
        <f t="shared" si="893"/>
        <v>0</v>
      </c>
      <c r="BE548" s="963">
        <f t="shared" si="893"/>
        <v>0</v>
      </c>
      <c r="BF548" s="963">
        <f t="shared" si="893"/>
        <v>0</v>
      </c>
    </row>
    <row r="549" spans="29:58" x14ac:dyDescent="0.25">
      <c r="AC549" s="934">
        <f>'T4'!AC69</f>
        <v>42930</v>
      </c>
      <c r="AD549" s="968">
        <f>'T4'!AD69</f>
        <v>0</v>
      </c>
      <c r="AE549" s="962">
        <f>'T4'!N69</f>
        <v>0</v>
      </c>
      <c r="AF549" s="968">
        <f>'T4'!AF69</f>
        <v>0</v>
      </c>
      <c r="AG549" s="962">
        <f>'T4'!O69</f>
        <v>0</v>
      </c>
      <c r="AI549" s="962">
        <f t="shared" si="890"/>
        <v>0</v>
      </c>
      <c r="AJ549" s="962">
        <f t="shared" si="891"/>
        <v>0</v>
      </c>
      <c r="AV549" s="954"/>
      <c r="AW549" s="963">
        <f t="shared" ref="AW549:BF549" si="894">IF(MONTH(AD549)=AW547,AH549,0)</f>
        <v>0</v>
      </c>
      <c r="AX549" s="963">
        <f t="shared" si="894"/>
        <v>0</v>
      </c>
      <c r="AY549" s="963">
        <f t="shared" si="894"/>
        <v>0</v>
      </c>
      <c r="AZ549" s="963">
        <f t="shared" si="894"/>
        <v>0</v>
      </c>
      <c r="BA549" s="963">
        <f t="shared" si="894"/>
        <v>0</v>
      </c>
      <c r="BB549" s="963">
        <f t="shared" si="894"/>
        <v>0</v>
      </c>
      <c r="BC549" s="963">
        <f t="shared" si="894"/>
        <v>0</v>
      </c>
      <c r="BD549" s="963">
        <f t="shared" si="894"/>
        <v>0</v>
      </c>
      <c r="BE549" s="963">
        <f t="shared" si="894"/>
        <v>0</v>
      </c>
      <c r="BF549" s="963" t="e">
        <f t="shared" si="894"/>
        <v>#VALUE!</v>
      </c>
    </row>
    <row r="550" spans="29:58" x14ac:dyDescent="0.25">
      <c r="AC550" s="934">
        <f>'T4'!AC70</f>
        <v>42931</v>
      </c>
      <c r="AD550" s="968">
        <f>'T4'!AD70</f>
        <v>0</v>
      </c>
      <c r="AE550" s="962">
        <f>'T4'!N70</f>
        <v>0</v>
      </c>
      <c r="AF550" s="968">
        <f>'T4'!AF70</f>
        <v>0</v>
      </c>
      <c r="AG550" s="962">
        <f>'T4'!O70</f>
        <v>0</v>
      </c>
      <c r="AI550" s="962">
        <f t="shared" si="890"/>
        <v>0</v>
      </c>
      <c r="AJ550" s="962">
        <f t="shared" si="891"/>
        <v>0</v>
      </c>
      <c r="AV550" s="954"/>
      <c r="AW550" s="963">
        <f t="shared" ref="AW550:BF550" si="895">IF(MONTH(AD550)=AW548,AH550,0)</f>
        <v>0</v>
      </c>
      <c r="AX550" s="963">
        <f t="shared" si="895"/>
        <v>0</v>
      </c>
      <c r="AY550" s="963">
        <f t="shared" si="895"/>
        <v>0</v>
      </c>
      <c r="AZ550" s="963">
        <f t="shared" si="895"/>
        <v>0</v>
      </c>
      <c r="BA550" s="963">
        <f t="shared" si="895"/>
        <v>0</v>
      </c>
      <c r="BB550" s="963">
        <f t="shared" si="895"/>
        <v>0</v>
      </c>
      <c r="BC550" s="963">
        <f t="shared" si="895"/>
        <v>0</v>
      </c>
      <c r="BD550" s="963">
        <f t="shared" si="895"/>
        <v>0</v>
      </c>
      <c r="BE550" s="963">
        <f t="shared" si="895"/>
        <v>0</v>
      </c>
      <c r="BF550" s="963">
        <f t="shared" si="895"/>
        <v>0</v>
      </c>
    </row>
    <row r="551" spans="29:58" x14ac:dyDescent="0.25">
      <c r="AC551" s="934">
        <f>'T4'!AC71</f>
        <v>42932</v>
      </c>
      <c r="AD551" s="968">
        <f>'T4'!AD71</f>
        <v>0</v>
      </c>
      <c r="AE551" s="962">
        <f>'T4'!N71</f>
        <v>0</v>
      </c>
      <c r="AF551" s="968">
        <f>'T4'!AF71</f>
        <v>0</v>
      </c>
      <c r="AG551" s="962">
        <f>'T4'!O71</f>
        <v>0</v>
      </c>
      <c r="AI551" s="962">
        <f t="shared" si="890"/>
        <v>0</v>
      </c>
      <c r="AJ551" s="962">
        <f t="shared" si="891"/>
        <v>0</v>
      </c>
      <c r="AV551" s="954"/>
      <c r="AW551" s="963">
        <f t="shared" ref="AW551:BF551" si="896">IF(MONTH(AD551)=AW549,AH551,0)</f>
        <v>0</v>
      </c>
      <c r="AX551" s="963">
        <f t="shared" si="896"/>
        <v>0</v>
      </c>
      <c r="AY551" s="963">
        <f t="shared" si="896"/>
        <v>0</v>
      </c>
      <c r="AZ551" s="963">
        <f t="shared" si="896"/>
        <v>0</v>
      </c>
      <c r="BA551" s="963">
        <f t="shared" si="896"/>
        <v>0</v>
      </c>
      <c r="BB551" s="963">
        <f t="shared" si="896"/>
        <v>0</v>
      </c>
      <c r="BC551" s="963">
        <f t="shared" si="896"/>
        <v>0</v>
      </c>
      <c r="BD551" s="963">
        <f t="shared" si="896"/>
        <v>0</v>
      </c>
      <c r="BE551" s="963">
        <f t="shared" si="896"/>
        <v>0</v>
      </c>
      <c r="BF551" s="963" t="e">
        <f t="shared" si="896"/>
        <v>#VALUE!</v>
      </c>
    </row>
    <row r="552" spans="29:58" x14ac:dyDescent="0.25">
      <c r="AC552" s="934">
        <f>'T4'!AC72</f>
        <v>42933</v>
      </c>
      <c r="AD552" s="968">
        <f>'T4'!AD72</f>
        <v>0</v>
      </c>
      <c r="AE552" s="962">
        <f>'T4'!N72</f>
        <v>0</v>
      </c>
      <c r="AF552" s="968">
        <f>'T4'!AF72</f>
        <v>0</v>
      </c>
      <c r="AG552" s="962">
        <f>'T4'!O72</f>
        <v>0</v>
      </c>
      <c r="AI552" s="962">
        <f t="shared" si="890"/>
        <v>0</v>
      </c>
      <c r="AJ552" s="962">
        <f t="shared" si="891"/>
        <v>0</v>
      </c>
      <c r="AV552" s="954"/>
      <c r="AW552" s="963">
        <f t="shared" ref="AW552:BF552" si="897">IF(MONTH(AD552)=AW550,AH552,0)</f>
        <v>0</v>
      </c>
      <c r="AX552" s="963">
        <f t="shared" si="897"/>
        <v>0</v>
      </c>
      <c r="AY552" s="963">
        <f t="shared" si="897"/>
        <v>0</v>
      </c>
      <c r="AZ552" s="963">
        <f t="shared" si="897"/>
        <v>0</v>
      </c>
      <c r="BA552" s="963">
        <f t="shared" si="897"/>
        <v>0</v>
      </c>
      <c r="BB552" s="963">
        <f t="shared" si="897"/>
        <v>0</v>
      </c>
      <c r="BC552" s="963">
        <f t="shared" si="897"/>
        <v>0</v>
      </c>
      <c r="BD552" s="963">
        <f t="shared" si="897"/>
        <v>0</v>
      </c>
      <c r="BE552" s="963">
        <f t="shared" si="897"/>
        <v>0</v>
      </c>
      <c r="BF552" s="963">
        <f t="shared" si="897"/>
        <v>0</v>
      </c>
    </row>
    <row r="553" spans="29:58" x14ac:dyDescent="0.25">
      <c r="AV553" s="954"/>
      <c r="AW553" s="963">
        <f t="shared" ref="AW553:BF553" si="898">IF(MONTH(AD553)=AW551,AH553,0)</f>
        <v>0</v>
      </c>
      <c r="AX553" s="963">
        <f t="shared" si="898"/>
        <v>0</v>
      </c>
      <c r="AY553" s="963">
        <f t="shared" si="898"/>
        <v>0</v>
      </c>
      <c r="AZ553" s="963">
        <f t="shared" si="898"/>
        <v>0</v>
      </c>
      <c r="BA553" s="963">
        <f t="shared" si="898"/>
        <v>0</v>
      </c>
      <c r="BB553" s="963">
        <f t="shared" si="898"/>
        <v>0</v>
      </c>
      <c r="BC553" s="963">
        <f t="shared" si="898"/>
        <v>0</v>
      </c>
      <c r="BD553" s="963">
        <f t="shared" si="898"/>
        <v>0</v>
      </c>
      <c r="BE553" s="963">
        <f t="shared" si="898"/>
        <v>0</v>
      </c>
      <c r="BF553" s="963" t="e">
        <f t="shared" si="898"/>
        <v>#VALUE!</v>
      </c>
    </row>
    <row r="554" spans="29:58" x14ac:dyDescent="0.25">
      <c r="AV554" s="954"/>
      <c r="AW554" s="963">
        <f t="shared" ref="AW554:BF554" si="899">IF(MONTH(AD554)=AW552,AH554,0)</f>
        <v>0</v>
      </c>
      <c r="AX554" s="963">
        <f t="shared" si="899"/>
        <v>0</v>
      </c>
      <c r="AY554" s="963">
        <f t="shared" si="899"/>
        <v>0</v>
      </c>
      <c r="AZ554" s="963">
        <f t="shared" si="899"/>
        <v>0</v>
      </c>
      <c r="BA554" s="963">
        <f t="shared" si="899"/>
        <v>0</v>
      </c>
      <c r="BB554" s="963">
        <f t="shared" si="899"/>
        <v>0</v>
      </c>
      <c r="BC554" s="963">
        <f t="shared" si="899"/>
        <v>0</v>
      </c>
      <c r="BD554" s="963">
        <f t="shared" si="899"/>
        <v>0</v>
      </c>
      <c r="BE554" s="963">
        <f t="shared" si="899"/>
        <v>0</v>
      </c>
      <c r="BF554" s="963">
        <f t="shared" si="899"/>
        <v>0</v>
      </c>
    </row>
    <row r="555" spans="29:58" x14ac:dyDescent="0.25">
      <c r="AV555" s="954"/>
      <c r="AW555" s="963">
        <f t="shared" ref="AW555:BF555" si="900">IF(MONTH(AD555)=AW553,AH555,0)</f>
        <v>0</v>
      </c>
      <c r="AX555" s="963">
        <f t="shared" si="900"/>
        <v>0</v>
      </c>
      <c r="AY555" s="963">
        <f t="shared" si="900"/>
        <v>0</v>
      </c>
      <c r="AZ555" s="963">
        <f t="shared" si="900"/>
        <v>0</v>
      </c>
      <c r="BA555" s="963">
        <f t="shared" si="900"/>
        <v>0</v>
      </c>
      <c r="BB555" s="963">
        <f t="shared" si="900"/>
        <v>0</v>
      </c>
      <c r="BC555" s="963">
        <f t="shared" si="900"/>
        <v>0</v>
      </c>
      <c r="BD555" s="963">
        <f t="shared" si="900"/>
        <v>0</v>
      </c>
      <c r="BE555" s="963">
        <f t="shared" si="900"/>
        <v>0</v>
      </c>
      <c r="BF555" s="963" t="e">
        <f t="shared" si="900"/>
        <v>#VALUE!</v>
      </c>
    </row>
    <row r="556" spans="29:58" x14ac:dyDescent="0.25">
      <c r="AV556" s="954"/>
      <c r="AW556" s="963">
        <f t="shared" ref="AW556:BF556" si="901">IF(MONTH(AD556)=AW554,AH556,0)</f>
        <v>0</v>
      </c>
      <c r="AX556" s="963">
        <f t="shared" si="901"/>
        <v>0</v>
      </c>
      <c r="AY556" s="963">
        <f t="shared" si="901"/>
        <v>0</v>
      </c>
      <c r="AZ556" s="963">
        <f t="shared" si="901"/>
        <v>0</v>
      </c>
      <c r="BA556" s="963">
        <f t="shared" si="901"/>
        <v>0</v>
      </c>
      <c r="BB556" s="963">
        <f t="shared" si="901"/>
        <v>0</v>
      </c>
      <c r="BC556" s="963">
        <f t="shared" si="901"/>
        <v>0</v>
      </c>
      <c r="BD556" s="963">
        <f t="shared" si="901"/>
        <v>0</v>
      </c>
      <c r="BE556" s="963">
        <f t="shared" si="901"/>
        <v>0</v>
      </c>
      <c r="BF556" s="963">
        <f t="shared" si="901"/>
        <v>0</v>
      </c>
    </row>
    <row r="557" spans="29:58" x14ac:dyDescent="0.25">
      <c r="AV557" s="954"/>
      <c r="AW557" s="963">
        <f t="shared" ref="AW557:BF557" si="902">IF(MONTH(AD557)=AW555,AH557,0)</f>
        <v>0</v>
      </c>
      <c r="AX557" s="963">
        <f t="shared" si="902"/>
        <v>0</v>
      </c>
      <c r="AY557" s="963">
        <f t="shared" si="902"/>
        <v>0</v>
      </c>
      <c r="AZ557" s="963">
        <f t="shared" si="902"/>
        <v>0</v>
      </c>
      <c r="BA557" s="963">
        <f t="shared" si="902"/>
        <v>0</v>
      </c>
      <c r="BB557" s="963">
        <f t="shared" si="902"/>
        <v>0</v>
      </c>
      <c r="BC557" s="963">
        <f t="shared" si="902"/>
        <v>0</v>
      </c>
      <c r="BD557" s="963">
        <f t="shared" si="902"/>
        <v>0</v>
      </c>
      <c r="BE557" s="963">
        <f t="shared" si="902"/>
        <v>0</v>
      </c>
      <c r="BF557" s="963" t="e">
        <f t="shared" si="902"/>
        <v>#VALUE!</v>
      </c>
    </row>
    <row r="558" spans="29:58" x14ac:dyDescent="0.25">
      <c r="AC558" s="934">
        <f>'T4'!AC78</f>
        <v>42934</v>
      </c>
      <c r="AD558" s="968">
        <f>'T4'!AD78</f>
        <v>0</v>
      </c>
      <c r="AE558" s="962">
        <f>'T4'!N78</f>
        <v>0</v>
      </c>
      <c r="AF558" s="968">
        <f>'T4'!AF78</f>
        <v>0</v>
      </c>
      <c r="AG558" s="962">
        <f>'T4'!O78</f>
        <v>0</v>
      </c>
      <c r="AI558" s="962">
        <f>AE558+AI552</f>
        <v>0</v>
      </c>
      <c r="AJ558" s="962">
        <f>AG558+AJ552</f>
        <v>0</v>
      </c>
      <c r="AV558" s="954"/>
      <c r="AW558" s="963">
        <f t="shared" ref="AW558:BF558" si="903">IF(MONTH(AD558)=AW556,AH558,0)</f>
        <v>0</v>
      </c>
      <c r="AX558" s="963">
        <f t="shared" si="903"/>
        <v>0</v>
      </c>
      <c r="AY558" s="963">
        <f t="shared" si="903"/>
        <v>0</v>
      </c>
      <c r="AZ558" s="963">
        <f t="shared" si="903"/>
        <v>0</v>
      </c>
      <c r="BA558" s="963">
        <f t="shared" si="903"/>
        <v>0</v>
      </c>
      <c r="BB558" s="963">
        <f t="shared" si="903"/>
        <v>0</v>
      </c>
      <c r="BC558" s="963">
        <f t="shared" si="903"/>
        <v>0</v>
      </c>
      <c r="BD558" s="963">
        <f t="shared" si="903"/>
        <v>0</v>
      </c>
      <c r="BE558" s="963">
        <f t="shared" si="903"/>
        <v>0</v>
      </c>
      <c r="BF558" s="963">
        <f t="shared" si="903"/>
        <v>0</v>
      </c>
    </row>
    <row r="559" spans="29:58" x14ac:dyDescent="0.25">
      <c r="AC559" s="934">
        <f>'T4'!AC79</f>
        <v>42935</v>
      </c>
      <c r="AD559" s="968">
        <f>'T4'!AD79</f>
        <v>0</v>
      </c>
      <c r="AE559" s="962">
        <f>'T4'!N79</f>
        <v>0</v>
      </c>
      <c r="AF559" s="968">
        <f>'T4'!AF79</f>
        <v>0</v>
      </c>
      <c r="AG559" s="962">
        <f>'T4'!O79</f>
        <v>0</v>
      </c>
      <c r="AI559" s="962">
        <f t="shared" ref="AI559:AI564" si="904">AE559+AI558</f>
        <v>0</v>
      </c>
      <c r="AJ559" s="962">
        <f t="shared" ref="AJ559:AJ564" si="905">AG559+AJ558</f>
        <v>0</v>
      </c>
      <c r="AV559" s="954"/>
      <c r="AW559" s="963">
        <f t="shared" ref="AW559:BF559" si="906">IF(MONTH(AD559)=AW557,AH559,0)</f>
        <v>0</v>
      </c>
      <c r="AX559" s="963">
        <f t="shared" si="906"/>
        <v>0</v>
      </c>
      <c r="AY559" s="963">
        <f t="shared" si="906"/>
        <v>0</v>
      </c>
      <c r="AZ559" s="963">
        <f t="shared" si="906"/>
        <v>0</v>
      </c>
      <c r="BA559" s="963">
        <f t="shared" si="906"/>
        <v>0</v>
      </c>
      <c r="BB559" s="963">
        <f t="shared" si="906"/>
        <v>0</v>
      </c>
      <c r="BC559" s="963">
        <f t="shared" si="906"/>
        <v>0</v>
      </c>
      <c r="BD559" s="963">
        <f t="shared" si="906"/>
        <v>0</v>
      </c>
      <c r="BE559" s="963">
        <f t="shared" si="906"/>
        <v>0</v>
      </c>
      <c r="BF559" s="963" t="e">
        <f t="shared" si="906"/>
        <v>#VALUE!</v>
      </c>
    </row>
    <row r="560" spans="29:58" x14ac:dyDescent="0.25">
      <c r="AC560" s="934">
        <f>'T4'!AC80</f>
        <v>42936</v>
      </c>
      <c r="AD560" s="968">
        <f>'T4'!AD80</f>
        <v>0</v>
      </c>
      <c r="AE560" s="962">
        <f>'T4'!N80</f>
        <v>0</v>
      </c>
      <c r="AF560" s="968">
        <f>'T4'!AF80</f>
        <v>0</v>
      </c>
      <c r="AG560" s="962">
        <f>'T4'!O80</f>
        <v>0</v>
      </c>
      <c r="AI560" s="962">
        <f t="shared" si="904"/>
        <v>0</v>
      </c>
      <c r="AJ560" s="962">
        <f t="shared" si="905"/>
        <v>0</v>
      </c>
      <c r="AV560" s="954"/>
      <c r="AW560" s="963">
        <f t="shared" ref="AW560:BF560" si="907">IF(MONTH(AD560)=AW558,AH560,0)</f>
        <v>0</v>
      </c>
      <c r="AX560" s="963">
        <f t="shared" si="907"/>
        <v>0</v>
      </c>
      <c r="AY560" s="963">
        <f t="shared" si="907"/>
        <v>0</v>
      </c>
      <c r="AZ560" s="963">
        <f t="shared" si="907"/>
        <v>0</v>
      </c>
      <c r="BA560" s="963">
        <f t="shared" si="907"/>
        <v>0</v>
      </c>
      <c r="BB560" s="963">
        <f t="shared" si="907"/>
        <v>0</v>
      </c>
      <c r="BC560" s="963">
        <f t="shared" si="907"/>
        <v>0</v>
      </c>
      <c r="BD560" s="963">
        <f t="shared" si="907"/>
        <v>0</v>
      </c>
      <c r="BE560" s="963">
        <f t="shared" si="907"/>
        <v>0</v>
      </c>
      <c r="BF560" s="963">
        <f t="shared" si="907"/>
        <v>0</v>
      </c>
    </row>
    <row r="561" spans="29:58" x14ac:dyDescent="0.25">
      <c r="AC561" s="934">
        <f>'T4'!AC81</f>
        <v>42937</v>
      </c>
      <c r="AD561" s="968">
        <f>'T4'!AD81</f>
        <v>0</v>
      </c>
      <c r="AE561" s="962">
        <f>'T4'!N81</f>
        <v>0</v>
      </c>
      <c r="AF561" s="968">
        <f>'T4'!AF81</f>
        <v>0</v>
      </c>
      <c r="AG561" s="962">
        <f>'T4'!O81</f>
        <v>0</v>
      </c>
      <c r="AI561" s="962">
        <f t="shared" si="904"/>
        <v>0</v>
      </c>
      <c r="AJ561" s="962">
        <f t="shared" si="905"/>
        <v>0</v>
      </c>
      <c r="AV561" s="954"/>
      <c r="AW561" s="963">
        <f t="shared" ref="AW561:BF561" si="908">IF(MONTH(AD561)=AW559,AH561,0)</f>
        <v>0</v>
      </c>
      <c r="AX561" s="963">
        <f t="shared" si="908"/>
        <v>0</v>
      </c>
      <c r="AY561" s="963">
        <f t="shared" si="908"/>
        <v>0</v>
      </c>
      <c r="AZ561" s="963">
        <f t="shared" si="908"/>
        <v>0</v>
      </c>
      <c r="BA561" s="963">
        <f t="shared" si="908"/>
        <v>0</v>
      </c>
      <c r="BB561" s="963">
        <f t="shared" si="908"/>
        <v>0</v>
      </c>
      <c r="BC561" s="963">
        <f t="shared" si="908"/>
        <v>0</v>
      </c>
      <c r="BD561" s="963">
        <f t="shared" si="908"/>
        <v>0</v>
      </c>
      <c r="BE561" s="963">
        <f t="shared" si="908"/>
        <v>0</v>
      </c>
      <c r="BF561" s="963" t="e">
        <f t="shared" si="908"/>
        <v>#VALUE!</v>
      </c>
    </row>
    <row r="562" spans="29:58" x14ac:dyDescent="0.25">
      <c r="AC562" s="934">
        <f>'T4'!AC82</f>
        <v>42938</v>
      </c>
      <c r="AD562" s="968">
        <f>'T4'!AD82</f>
        <v>0</v>
      </c>
      <c r="AE562" s="962">
        <f>'T4'!N82</f>
        <v>0</v>
      </c>
      <c r="AF562" s="968">
        <f>'T4'!AF82</f>
        <v>0</v>
      </c>
      <c r="AG562" s="962">
        <f>'T4'!O82</f>
        <v>0</v>
      </c>
      <c r="AI562" s="962">
        <f t="shared" si="904"/>
        <v>0</v>
      </c>
      <c r="AJ562" s="962">
        <f t="shared" si="905"/>
        <v>0</v>
      </c>
      <c r="AV562" s="954"/>
      <c r="AW562" s="963">
        <f t="shared" ref="AW562:BF562" si="909">IF(MONTH(AD562)=AW560,AH562,0)</f>
        <v>0</v>
      </c>
      <c r="AX562" s="963">
        <f t="shared" si="909"/>
        <v>0</v>
      </c>
      <c r="AY562" s="963">
        <f t="shared" si="909"/>
        <v>0</v>
      </c>
      <c r="AZ562" s="963">
        <f t="shared" si="909"/>
        <v>0</v>
      </c>
      <c r="BA562" s="963">
        <f t="shared" si="909"/>
        <v>0</v>
      </c>
      <c r="BB562" s="963">
        <f t="shared" si="909"/>
        <v>0</v>
      </c>
      <c r="BC562" s="963">
        <f t="shared" si="909"/>
        <v>0</v>
      </c>
      <c r="BD562" s="963">
        <f t="shared" si="909"/>
        <v>0</v>
      </c>
      <c r="BE562" s="963">
        <f t="shared" si="909"/>
        <v>0</v>
      </c>
      <c r="BF562" s="963">
        <f t="shared" si="909"/>
        <v>0</v>
      </c>
    </row>
    <row r="563" spans="29:58" x14ac:dyDescent="0.25">
      <c r="AC563" s="934">
        <f>'T4'!AC83</f>
        <v>42939</v>
      </c>
      <c r="AD563" s="968">
        <f>'T4'!AD83</f>
        <v>0</v>
      </c>
      <c r="AE563" s="962">
        <f>'T4'!N83</f>
        <v>0</v>
      </c>
      <c r="AF563" s="968">
        <f>'T4'!AF83</f>
        <v>0</v>
      </c>
      <c r="AG563" s="962">
        <f>'T4'!O83</f>
        <v>0</v>
      </c>
      <c r="AI563" s="962">
        <f t="shared" si="904"/>
        <v>0</v>
      </c>
      <c r="AJ563" s="962">
        <f t="shared" si="905"/>
        <v>0</v>
      </c>
      <c r="AV563" s="954"/>
      <c r="AW563" s="963">
        <f t="shared" ref="AW563:BF563" si="910">IF(MONTH(AD563)=AW561,AH563,0)</f>
        <v>0</v>
      </c>
      <c r="AX563" s="963">
        <f t="shared" si="910"/>
        <v>0</v>
      </c>
      <c r="AY563" s="963">
        <f t="shared" si="910"/>
        <v>0</v>
      </c>
      <c r="AZ563" s="963">
        <f t="shared" si="910"/>
        <v>0</v>
      </c>
      <c r="BA563" s="963">
        <f t="shared" si="910"/>
        <v>0</v>
      </c>
      <c r="BB563" s="963">
        <f t="shared" si="910"/>
        <v>0</v>
      </c>
      <c r="BC563" s="963">
        <f t="shared" si="910"/>
        <v>0</v>
      </c>
      <c r="BD563" s="963">
        <f t="shared" si="910"/>
        <v>0</v>
      </c>
      <c r="BE563" s="963">
        <f t="shared" si="910"/>
        <v>0</v>
      </c>
      <c r="BF563" s="963" t="e">
        <f t="shared" si="910"/>
        <v>#VALUE!</v>
      </c>
    </row>
    <row r="564" spans="29:58" x14ac:dyDescent="0.25">
      <c r="AC564" s="934">
        <f>'T4'!AC84</f>
        <v>42940</v>
      </c>
      <c r="AD564" s="968">
        <f>'T4'!AD84</f>
        <v>0</v>
      </c>
      <c r="AE564" s="962">
        <f>'T4'!N84</f>
        <v>0</v>
      </c>
      <c r="AF564" s="968">
        <f>'T4'!AF84</f>
        <v>0</v>
      </c>
      <c r="AG564" s="962">
        <f>'T4'!O84</f>
        <v>0</v>
      </c>
      <c r="AI564" s="962">
        <f t="shared" si="904"/>
        <v>0</v>
      </c>
      <c r="AJ564" s="962">
        <f t="shared" si="905"/>
        <v>0</v>
      </c>
      <c r="AV564" s="954"/>
      <c r="AW564" s="963">
        <f t="shared" ref="AW564:BF564" si="911">IF(MONTH(AD564)=AW562,AH564,0)</f>
        <v>0</v>
      </c>
      <c r="AX564" s="963">
        <f t="shared" si="911"/>
        <v>0</v>
      </c>
      <c r="AY564" s="963">
        <f t="shared" si="911"/>
        <v>0</v>
      </c>
      <c r="AZ564" s="963">
        <f t="shared" si="911"/>
        <v>0</v>
      </c>
      <c r="BA564" s="963">
        <f t="shared" si="911"/>
        <v>0</v>
      </c>
      <c r="BB564" s="963">
        <f t="shared" si="911"/>
        <v>0</v>
      </c>
      <c r="BC564" s="963">
        <f t="shared" si="911"/>
        <v>0</v>
      </c>
      <c r="BD564" s="963">
        <f t="shared" si="911"/>
        <v>0</v>
      </c>
      <c r="BE564" s="963">
        <f t="shared" si="911"/>
        <v>0</v>
      </c>
      <c r="BF564" s="963">
        <f t="shared" si="911"/>
        <v>0</v>
      </c>
    </row>
    <row r="565" spans="29:58" x14ac:dyDescent="0.25">
      <c r="AV565" s="954"/>
      <c r="AW565" s="963">
        <f t="shared" ref="AW565:BF565" si="912">IF(MONTH(AD565)=AW563,AH565,0)</f>
        <v>0</v>
      </c>
      <c r="AX565" s="963">
        <f t="shared" si="912"/>
        <v>0</v>
      </c>
      <c r="AY565" s="963">
        <f t="shared" si="912"/>
        <v>0</v>
      </c>
      <c r="AZ565" s="963">
        <f t="shared" si="912"/>
        <v>0</v>
      </c>
      <c r="BA565" s="963">
        <f t="shared" si="912"/>
        <v>0</v>
      </c>
      <c r="BB565" s="963">
        <f t="shared" si="912"/>
        <v>0</v>
      </c>
      <c r="BC565" s="963">
        <f t="shared" si="912"/>
        <v>0</v>
      </c>
      <c r="BD565" s="963">
        <f t="shared" si="912"/>
        <v>0</v>
      </c>
      <c r="BE565" s="963">
        <f t="shared" si="912"/>
        <v>0</v>
      </c>
      <c r="BF565" s="963" t="e">
        <f t="shared" si="912"/>
        <v>#VALUE!</v>
      </c>
    </row>
    <row r="566" spans="29:58" x14ac:dyDescent="0.25">
      <c r="AV566" s="954"/>
      <c r="AW566" s="963">
        <f t="shared" ref="AW566:BF566" si="913">IF(MONTH(AD566)=AW564,AH566,0)</f>
        <v>0</v>
      </c>
      <c r="AX566" s="963">
        <f t="shared" si="913"/>
        <v>0</v>
      </c>
      <c r="AY566" s="963">
        <f t="shared" si="913"/>
        <v>0</v>
      </c>
      <c r="AZ566" s="963">
        <f t="shared" si="913"/>
        <v>0</v>
      </c>
      <c r="BA566" s="963">
        <f t="shared" si="913"/>
        <v>0</v>
      </c>
      <c r="BB566" s="963">
        <f t="shared" si="913"/>
        <v>0</v>
      </c>
      <c r="BC566" s="963">
        <f t="shared" si="913"/>
        <v>0</v>
      </c>
      <c r="BD566" s="963">
        <f t="shared" si="913"/>
        <v>0</v>
      </c>
      <c r="BE566" s="963">
        <f t="shared" si="913"/>
        <v>0</v>
      </c>
      <c r="BF566" s="963">
        <f t="shared" si="913"/>
        <v>0</v>
      </c>
    </row>
    <row r="567" spans="29:58" x14ac:dyDescent="0.25">
      <c r="AV567" s="954"/>
      <c r="AW567" s="963">
        <f t="shared" ref="AW567:BF567" si="914">IF(MONTH(AD567)=AW565,AH567,0)</f>
        <v>0</v>
      </c>
      <c r="AX567" s="963">
        <f t="shared" si="914"/>
        <v>0</v>
      </c>
      <c r="AY567" s="963">
        <f t="shared" si="914"/>
        <v>0</v>
      </c>
      <c r="AZ567" s="963">
        <f t="shared" si="914"/>
        <v>0</v>
      </c>
      <c r="BA567" s="963">
        <f t="shared" si="914"/>
        <v>0</v>
      </c>
      <c r="BB567" s="963">
        <f t="shared" si="914"/>
        <v>0</v>
      </c>
      <c r="BC567" s="963">
        <f t="shared" si="914"/>
        <v>0</v>
      </c>
      <c r="BD567" s="963">
        <f t="shared" si="914"/>
        <v>0</v>
      </c>
      <c r="BE567" s="963">
        <f t="shared" si="914"/>
        <v>0</v>
      </c>
      <c r="BF567" s="963" t="e">
        <f t="shared" si="914"/>
        <v>#VALUE!</v>
      </c>
    </row>
    <row r="568" spans="29:58" x14ac:dyDescent="0.25">
      <c r="AV568" s="954"/>
      <c r="AW568" s="963">
        <f t="shared" ref="AW568:BF568" si="915">IF(MONTH(AD568)=AW566,AH568,0)</f>
        <v>0</v>
      </c>
      <c r="AX568" s="963">
        <f t="shared" si="915"/>
        <v>0</v>
      </c>
      <c r="AY568" s="963">
        <f t="shared" si="915"/>
        <v>0</v>
      </c>
      <c r="AZ568" s="963">
        <f t="shared" si="915"/>
        <v>0</v>
      </c>
      <c r="BA568" s="963">
        <f t="shared" si="915"/>
        <v>0</v>
      </c>
      <c r="BB568" s="963">
        <f t="shared" si="915"/>
        <v>0</v>
      </c>
      <c r="BC568" s="963">
        <f t="shared" si="915"/>
        <v>0</v>
      </c>
      <c r="BD568" s="963">
        <f t="shared" si="915"/>
        <v>0</v>
      </c>
      <c r="BE568" s="963">
        <f t="shared" si="915"/>
        <v>0</v>
      </c>
      <c r="BF568" s="963">
        <f t="shared" si="915"/>
        <v>0</v>
      </c>
    </row>
    <row r="569" spans="29:58" x14ac:dyDescent="0.25">
      <c r="AV569" s="954"/>
      <c r="AW569" s="963">
        <f t="shared" ref="AW569:BF569" si="916">IF(MONTH(AD569)=AW567,AH569,0)</f>
        <v>0</v>
      </c>
      <c r="AX569" s="963">
        <f t="shared" si="916"/>
        <v>0</v>
      </c>
      <c r="AY569" s="963">
        <f t="shared" si="916"/>
        <v>0</v>
      </c>
      <c r="AZ569" s="963">
        <f t="shared" si="916"/>
        <v>0</v>
      </c>
      <c r="BA569" s="963">
        <f t="shared" si="916"/>
        <v>0</v>
      </c>
      <c r="BB569" s="963">
        <f t="shared" si="916"/>
        <v>0</v>
      </c>
      <c r="BC569" s="963">
        <f t="shared" si="916"/>
        <v>0</v>
      </c>
      <c r="BD569" s="963">
        <f t="shared" si="916"/>
        <v>0</v>
      </c>
      <c r="BE569" s="963">
        <f t="shared" si="916"/>
        <v>0</v>
      </c>
      <c r="BF569" s="963" t="e">
        <f t="shared" si="916"/>
        <v>#VALUE!</v>
      </c>
    </row>
    <row r="570" spans="29:58" x14ac:dyDescent="0.25">
      <c r="AC570" s="934">
        <f>'T4'!AC90</f>
        <v>42941</v>
      </c>
      <c r="AD570" s="968">
        <f>'T4'!AD90</f>
        <v>0</v>
      </c>
      <c r="AE570" s="962">
        <f>'T4'!N90</f>
        <v>0</v>
      </c>
      <c r="AF570" s="968">
        <f>'T4'!AF90</f>
        <v>0</v>
      </c>
      <c r="AG570" s="962">
        <f>'T4'!O90</f>
        <v>0</v>
      </c>
      <c r="AI570" s="962">
        <f>AE570+AI564</f>
        <v>0</v>
      </c>
      <c r="AJ570" s="962">
        <f>AG570+AJ564</f>
        <v>0</v>
      </c>
      <c r="AV570" s="954"/>
      <c r="AW570" s="963">
        <f t="shared" ref="AW570:BF570" si="917">IF(MONTH(AD570)=AW568,AH570,0)</f>
        <v>0</v>
      </c>
      <c r="AX570" s="963">
        <f t="shared" si="917"/>
        <v>0</v>
      </c>
      <c r="AY570" s="963">
        <f t="shared" si="917"/>
        <v>0</v>
      </c>
      <c r="AZ570" s="963">
        <f t="shared" si="917"/>
        <v>0</v>
      </c>
      <c r="BA570" s="963">
        <f t="shared" si="917"/>
        <v>0</v>
      </c>
      <c r="BB570" s="963">
        <f t="shared" si="917"/>
        <v>0</v>
      </c>
      <c r="BC570" s="963">
        <f t="shared" si="917"/>
        <v>0</v>
      </c>
      <c r="BD570" s="963">
        <f t="shared" si="917"/>
        <v>0</v>
      </c>
      <c r="BE570" s="963">
        <f t="shared" si="917"/>
        <v>0</v>
      </c>
      <c r="BF570" s="963">
        <f t="shared" si="917"/>
        <v>0</v>
      </c>
    </row>
    <row r="571" spans="29:58" x14ac:dyDescent="0.25">
      <c r="AC571" s="934">
        <f>'T4'!AC91</f>
        <v>42942</v>
      </c>
      <c r="AD571" s="968">
        <f>'T4'!AD91</f>
        <v>0</v>
      </c>
      <c r="AE571" s="962">
        <f>'T4'!N91</f>
        <v>0</v>
      </c>
      <c r="AF571" s="968">
        <f>'T4'!AF91</f>
        <v>0</v>
      </c>
      <c r="AG571" s="962">
        <f>'T4'!O91</f>
        <v>0</v>
      </c>
      <c r="AI571" s="962">
        <f t="shared" ref="AI571:AI576" si="918">AE571+AI570</f>
        <v>0</v>
      </c>
      <c r="AJ571" s="962">
        <f t="shared" ref="AJ571:AJ576" si="919">AG571+AJ570</f>
        <v>0</v>
      </c>
      <c r="AV571" s="954"/>
      <c r="AW571" s="963">
        <f t="shared" ref="AW571:BF571" si="920">IF(MONTH(AD571)=AW569,AH571,0)</f>
        <v>0</v>
      </c>
      <c r="AX571" s="963">
        <f t="shared" si="920"/>
        <v>0</v>
      </c>
      <c r="AY571" s="963">
        <f t="shared" si="920"/>
        <v>0</v>
      </c>
      <c r="AZ571" s="963">
        <f t="shared" si="920"/>
        <v>0</v>
      </c>
      <c r="BA571" s="963">
        <f t="shared" si="920"/>
        <v>0</v>
      </c>
      <c r="BB571" s="963">
        <f t="shared" si="920"/>
        <v>0</v>
      </c>
      <c r="BC571" s="963">
        <f t="shared" si="920"/>
        <v>0</v>
      </c>
      <c r="BD571" s="963">
        <f t="shared" si="920"/>
        <v>0</v>
      </c>
      <c r="BE571" s="963">
        <f t="shared" si="920"/>
        <v>0</v>
      </c>
      <c r="BF571" s="963" t="e">
        <f t="shared" si="920"/>
        <v>#VALUE!</v>
      </c>
    </row>
    <row r="572" spans="29:58" x14ac:dyDescent="0.25">
      <c r="AC572" s="934">
        <f>'T4'!AC92</f>
        <v>42943</v>
      </c>
      <c r="AD572" s="968">
        <f>'T4'!AD92</f>
        <v>0</v>
      </c>
      <c r="AE572" s="962">
        <f>'T4'!N92</f>
        <v>0</v>
      </c>
      <c r="AF572" s="968">
        <f>'T4'!AF92</f>
        <v>0</v>
      </c>
      <c r="AG572" s="962">
        <f>'T4'!O92</f>
        <v>0</v>
      </c>
      <c r="AI572" s="962">
        <f t="shared" si="918"/>
        <v>0</v>
      </c>
      <c r="AJ572" s="962">
        <f t="shared" si="919"/>
        <v>0</v>
      </c>
      <c r="AV572" s="954"/>
      <c r="AW572" s="963">
        <f t="shared" ref="AW572:BF572" si="921">IF(MONTH(AD572)=AW570,AH572,0)</f>
        <v>0</v>
      </c>
      <c r="AX572" s="963">
        <f t="shared" si="921"/>
        <v>0</v>
      </c>
      <c r="AY572" s="963">
        <f t="shared" si="921"/>
        <v>0</v>
      </c>
      <c r="AZ572" s="963">
        <f t="shared" si="921"/>
        <v>0</v>
      </c>
      <c r="BA572" s="963">
        <f t="shared" si="921"/>
        <v>0</v>
      </c>
      <c r="BB572" s="963">
        <f t="shared" si="921"/>
        <v>0</v>
      </c>
      <c r="BC572" s="963">
        <f t="shared" si="921"/>
        <v>0</v>
      </c>
      <c r="BD572" s="963">
        <f t="shared" si="921"/>
        <v>0</v>
      </c>
      <c r="BE572" s="963">
        <f t="shared" si="921"/>
        <v>0</v>
      </c>
      <c r="BF572" s="963">
        <f t="shared" si="921"/>
        <v>0</v>
      </c>
    </row>
    <row r="573" spans="29:58" x14ac:dyDescent="0.25">
      <c r="AC573" s="934">
        <f>'T4'!AC93</f>
        <v>42944</v>
      </c>
      <c r="AD573" s="968">
        <f>'T4'!AD93</f>
        <v>0</v>
      </c>
      <c r="AE573" s="962">
        <f>'T4'!N93</f>
        <v>0</v>
      </c>
      <c r="AF573" s="968">
        <f>'T4'!AF93</f>
        <v>0</v>
      </c>
      <c r="AG573" s="962">
        <f>'T4'!O93</f>
        <v>0</v>
      </c>
      <c r="AI573" s="962">
        <f t="shared" si="918"/>
        <v>0</v>
      </c>
      <c r="AJ573" s="962">
        <f t="shared" si="919"/>
        <v>0</v>
      </c>
      <c r="AV573" s="954"/>
      <c r="AW573" s="963">
        <f t="shared" ref="AW573:BF573" si="922">IF(MONTH(AD573)=AW571,AH573,0)</f>
        <v>0</v>
      </c>
      <c r="AX573" s="963">
        <f t="shared" si="922"/>
        <v>0</v>
      </c>
      <c r="AY573" s="963">
        <f t="shared" si="922"/>
        <v>0</v>
      </c>
      <c r="AZ573" s="963">
        <f t="shared" si="922"/>
        <v>0</v>
      </c>
      <c r="BA573" s="963">
        <f t="shared" si="922"/>
        <v>0</v>
      </c>
      <c r="BB573" s="963">
        <f t="shared" si="922"/>
        <v>0</v>
      </c>
      <c r="BC573" s="963">
        <f t="shared" si="922"/>
        <v>0</v>
      </c>
      <c r="BD573" s="963">
        <f t="shared" si="922"/>
        <v>0</v>
      </c>
      <c r="BE573" s="963">
        <f t="shared" si="922"/>
        <v>0</v>
      </c>
      <c r="BF573" s="963" t="e">
        <f t="shared" si="922"/>
        <v>#VALUE!</v>
      </c>
    </row>
    <row r="574" spans="29:58" x14ac:dyDescent="0.25">
      <c r="AC574" s="934">
        <f>'T4'!AC94</f>
        <v>42945</v>
      </c>
      <c r="AD574" s="968">
        <f>'T4'!AD94</f>
        <v>0</v>
      </c>
      <c r="AE574" s="962">
        <f>'T4'!N94</f>
        <v>0</v>
      </c>
      <c r="AF574" s="968">
        <f>'T4'!AF94</f>
        <v>0</v>
      </c>
      <c r="AG574" s="962">
        <f>'T4'!O94</f>
        <v>0</v>
      </c>
      <c r="AI574" s="962">
        <f t="shared" si="918"/>
        <v>0</v>
      </c>
      <c r="AJ574" s="962">
        <f t="shared" si="919"/>
        <v>0</v>
      </c>
      <c r="AV574" s="954"/>
      <c r="AW574" s="963">
        <f t="shared" ref="AW574:BF574" si="923">IF(MONTH(AD574)=AW572,AH574,0)</f>
        <v>0</v>
      </c>
      <c r="AX574" s="963">
        <f t="shared" si="923"/>
        <v>0</v>
      </c>
      <c r="AY574" s="963">
        <f t="shared" si="923"/>
        <v>0</v>
      </c>
      <c r="AZ574" s="963">
        <f t="shared" si="923"/>
        <v>0</v>
      </c>
      <c r="BA574" s="963">
        <f t="shared" si="923"/>
        <v>0</v>
      </c>
      <c r="BB574" s="963">
        <f t="shared" si="923"/>
        <v>0</v>
      </c>
      <c r="BC574" s="963">
        <f t="shared" si="923"/>
        <v>0</v>
      </c>
      <c r="BD574" s="963">
        <f t="shared" si="923"/>
        <v>0</v>
      </c>
      <c r="BE574" s="963">
        <f t="shared" si="923"/>
        <v>0</v>
      </c>
      <c r="BF574" s="963">
        <f t="shared" si="923"/>
        <v>0</v>
      </c>
    </row>
    <row r="575" spans="29:58" x14ac:dyDescent="0.25">
      <c r="AC575" s="934">
        <f>'T4'!AC95</f>
        <v>42946</v>
      </c>
      <c r="AD575" s="968">
        <f>'T4'!AD95</f>
        <v>0</v>
      </c>
      <c r="AE575" s="962">
        <f>'T4'!N95</f>
        <v>0</v>
      </c>
      <c r="AF575" s="968">
        <f>'T4'!AF95</f>
        <v>0</v>
      </c>
      <c r="AG575" s="962">
        <f>'T4'!O95</f>
        <v>0</v>
      </c>
      <c r="AI575" s="962">
        <f t="shared" si="918"/>
        <v>0</v>
      </c>
      <c r="AJ575" s="962">
        <f t="shared" si="919"/>
        <v>0</v>
      </c>
      <c r="AV575" s="954"/>
      <c r="AW575" s="963">
        <f t="shared" ref="AW575:BF575" si="924">IF(MONTH(AD575)=AW573,AH575,0)</f>
        <v>0</v>
      </c>
      <c r="AX575" s="963">
        <f t="shared" si="924"/>
        <v>0</v>
      </c>
      <c r="AY575" s="963">
        <f t="shared" si="924"/>
        <v>0</v>
      </c>
      <c r="AZ575" s="963">
        <f t="shared" si="924"/>
        <v>0</v>
      </c>
      <c r="BA575" s="963">
        <f t="shared" si="924"/>
        <v>0</v>
      </c>
      <c r="BB575" s="963">
        <f t="shared" si="924"/>
        <v>0</v>
      </c>
      <c r="BC575" s="963">
        <f t="shared" si="924"/>
        <v>0</v>
      </c>
      <c r="BD575" s="963">
        <f t="shared" si="924"/>
        <v>0</v>
      </c>
      <c r="BE575" s="963">
        <f t="shared" si="924"/>
        <v>0</v>
      </c>
      <c r="BF575" s="963" t="e">
        <f t="shared" si="924"/>
        <v>#VALUE!</v>
      </c>
    </row>
    <row r="576" spans="29:58" x14ac:dyDescent="0.25">
      <c r="AC576" s="934">
        <f>'T4'!AC96</f>
        <v>42947</v>
      </c>
      <c r="AD576" s="968">
        <f>'T4'!AD96</f>
        <v>0</v>
      </c>
      <c r="AE576" s="962">
        <f>'T4'!N96</f>
        <v>0</v>
      </c>
      <c r="AF576" s="968">
        <f>'T4'!AF96</f>
        <v>0</v>
      </c>
      <c r="AG576" s="962">
        <f>'T4'!O96</f>
        <v>0</v>
      </c>
      <c r="AI576" s="962">
        <f t="shared" si="918"/>
        <v>0</v>
      </c>
      <c r="AJ576" s="962">
        <f t="shared" si="919"/>
        <v>0</v>
      </c>
      <c r="AV576" s="954"/>
      <c r="AW576" s="963">
        <f t="shared" ref="AW576:BF576" si="925">IF(MONTH(AD576)=AW574,AH576,0)</f>
        <v>0</v>
      </c>
      <c r="AX576" s="963">
        <f t="shared" si="925"/>
        <v>0</v>
      </c>
      <c r="AY576" s="963">
        <f t="shared" si="925"/>
        <v>0</v>
      </c>
      <c r="AZ576" s="963">
        <f t="shared" si="925"/>
        <v>0</v>
      </c>
      <c r="BA576" s="963">
        <f t="shared" si="925"/>
        <v>0</v>
      </c>
      <c r="BB576" s="963">
        <f t="shared" si="925"/>
        <v>0</v>
      </c>
      <c r="BC576" s="963">
        <f t="shared" si="925"/>
        <v>0</v>
      </c>
      <c r="BD576" s="963">
        <f t="shared" si="925"/>
        <v>0</v>
      </c>
      <c r="BE576" s="963">
        <f t="shared" si="925"/>
        <v>0</v>
      </c>
      <c r="BF576" s="963">
        <f t="shared" si="925"/>
        <v>0</v>
      </c>
    </row>
    <row r="577" spans="29:58" x14ac:dyDescent="0.25">
      <c r="AV577" s="954"/>
      <c r="AW577" s="963">
        <f t="shared" ref="AW577:BF577" si="926">IF(MONTH(AD577)=AW575,AH577,0)</f>
        <v>0</v>
      </c>
      <c r="AX577" s="963">
        <f t="shared" si="926"/>
        <v>0</v>
      </c>
      <c r="AY577" s="963">
        <f t="shared" si="926"/>
        <v>0</v>
      </c>
      <c r="AZ577" s="963">
        <f t="shared" si="926"/>
        <v>0</v>
      </c>
      <c r="BA577" s="963">
        <f t="shared" si="926"/>
        <v>0</v>
      </c>
      <c r="BB577" s="963">
        <f t="shared" si="926"/>
        <v>0</v>
      </c>
      <c r="BC577" s="963">
        <f t="shared" si="926"/>
        <v>0</v>
      </c>
      <c r="BD577" s="963">
        <f t="shared" si="926"/>
        <v>0</v>
      </c>
      <c r="BE577" s="963">
        <f t="shared" si="926"/>
        <v>0</v>
      </c>
      <c r="BF577" s="963" t="e">
        <f t="shared" si="926"/>
        <v>#VALUE!</v>
      </c>
    </row>
    <row r="578" spans="29:58" x14ac:dyDescent="0.25">
      <c r="AV578" s="954"/>
      <c r="AW578" s="963">
        <f t="shared" ref="AW578:BF578" si="927">IF(MONTH(AD578)=AW576,AH578,0)</f>
        <v>0</v>
      </c>
      <c r="AX578" s="963">
        <f t="shared" si="927"/>
        <v>0</v>
      </c>
      <c r="AY578" s="963">
        <f t="shared" si="927"/>
        <v>0</v>
      </c>
      <c r="AZ578" s="963">
        <f t="shared" si="927"/>
        <v>0</v>
      </c>
      <c r="BA578" s="963">
        <f t="shared" si="927"/>
        <v>0</v>
      </c>
      <c r="BB578" s="963">
        <f t="shared" si="927"/>
        <v>0</v>
      </c>
      <c r="BC578" s="963">
        <f t="shared" si="927"/>
        <v>0</v>
      </c>
      <c r="BD578" s="963">
        <f t="shared" si="927"/>
        <v>0</v>
      </c>
      <c r="BE578" s="963">
        <f t="shared" si="927"/>
        <v>0</v>
      </c>
      <c r="BF578" s="963">
        <f t="shared" si="927"/>
        <v>0</v>
      </c>
    </row>
    <row r="579" spans="29:58" x14ac:dyDescent="0.25">
      <c r="AV579" s="954"/>
      <c r="AW579" s="963">
        <f t="shared" ref="AW579:BF579" si="928">IF(MONTH(AD579)=AW577,AH579,0)</f>
        <v>0</v>
      </c>
      <c r="AX579" s="963">
        <f t="shared" si="928"/>
        <v>0</v>
      </c>
      <c r="AY579" s="963">
        <f t="shared" si="928"/>
        <v>0</v>
      </c>
      <c r="AZ579" s="963">
        <f t="shared" si="928"/>
        <v>0</v>
      </c>
      <c r="BA579" s="963">
        <f t="shared" si="928"/>
        <v>0</v>
      </c>
      <c r="BB579" s="963">
        <f t="shared" si="928"/>
        <v>0</v>
      </c>
      <c r="BC579" s="963">
        <f t="shared" si="928"/>
        <v>0</v>
      </c>
      <c r="BD579" s="963">
        <f t="shared" si="928"/>
        <v>0</v>
      </c>
      <c r="BE579" s="963">
        <f t="shared" si="928"/>
        <v>0</v>
      </c>
      <c r="BF579" s="963" t="e">
        <f t="shared" si="928"/>
        <v>#VALUE!</v>
      </c>
    </row>
    <row r="580" spans="29:58" x14ac:dyDescent="0.25">
      <c r="AV580" s="954"/>
      <c r="AW580" s="963">
        <f t="shared" ref="AW580:BF580" si="929">IF(MONTH(AD580)=AW578,AH580,0)</f>
        <v>0</v>
      </c>
      <c r="AX580" s="963">
        <f t="shared" si="929"/>
        <v>0</v>
      </c>
      <c r="AY580" s="963">
        <f t="shared" si="929"/>
        <v>0</v>
      </c>
      <c r="AZ580" s="963">
        <f t="shared" si="929"/>
        <v>0</v>
      </c>
      <c r="BA580" s="963">
        <f t="shared" si="929"/>
        <v>0</v>
      </c>
      <c r="BB580" s="963">
        <f t="shared" si="929"/>
        <v>0</v>
      </c>
      <c r="BC580" s="963">
        <f t="shared" si="929"/>
        <v>0</v>
      </c>
      <c r="BD580" s="963">
        <f t="shared" si="929"/>
        <v>0</v>
      </c>
      <c r="BE580" s="963">
        <f t="shared" si="929"/>
        <v>0</v>
      </c>
      <c r="BF580" s="963">
        <f t="shared" si="929"/>
        <v>0</v>
      </c>
    </row>
    <row r="581" spans="29:58" x14ac:dyDescent="0.25">
      <c r="AV581" s="954"/>
      <c r="AW581" s="963">
        <f t="shared" ref="AW581:BF581" si="930">IF(MONTH(AD581)=AW579,AH581,0)</f>
        <v>0</v>
      </c>
      <c r="AX581" s="963">
        <f t="shared" si="930"/>
        <v>0</v>
      </c>
      <c r="AY581" s="963">
        <f t="shared" si="930"/>
        <v>0</v>
      </c>
      <c r="AZ581" s="963">
        <f t="shared" si="930"/>
        <v>0</v>
      </c>
      <c r="BA581" s="963">
        <f t="shared" si="930"/>
        <v>0</v>
      </c>
      <c r="BB581" s="963">
        <f t="shared" si="930"/>
        <v>0</v>
      </c>
      <c r="BC581" s="963">
        <f t="shared" si="930"/>
        <v>0</v>
      </c>
      <c r="BD581" s="963">
        <f t="shared" si="930"/>
        <v>0</v>
      </c>
      <c r="BE581" s="963">
        <f t="shared" si="930"/>
        <v>0</v>
      </c>
      <c r="BF581" s="963" t="e">
        <f t="shared" si="930"/>
        <v>#VALUE!</v>
      </c>
    </row>
    <row r="582" spans="29:58" x14ac:dyDescent="0.25">
      <c r="AC582" s="934">
        <f>'T4'!AC102</f>
        <v>42948</v>
      </c>
      <c r="AD582" s="968">
        <f>'T4'!AD102</f>
        <v>0</v>
      </c>
      <c r="AE582" s="962">
        <f>'T4'!N102</f>
        <v>0</v>
      </c>
      <c r="AF582" s="968">
        <f>'T4'!AF102</f>
        <v>0</v>
      </c>
      <c r="AG582" s="962">
        <f>'T4'!O102</f>
        <v>0</v>
      </c>
      <c r="AI582" s="962">
        <f>AE582+AI576</f>
        <v>0</v>
      </c>
      <c r="AJ582" s="962">
        <f>AG582+AJ576</f>
        <v>0</v>
      </c>
      <c r="AV582" s="954"/>
      <c r="AW582" s="963">
        <f t="shared" ref="AW582:BF582" si="931">IF(MONTH(AD582)=AW580,AH582,0)</f>
        <v>0</v>
      </c>
      <c r="AX582" s="963">
        <f t="shared" si="931"/>
        <v>0</v>
      </c>
      <c r="AY582" s="963">
        <f t="shared" si="931"/>
        <v>0</v>
      </c>
      <c r="AZ582" s="963">
        <f t="shared" si="931"/>
        <v>0</v>
      </c>
      <c r="BA582" s="963">
        <f t="shared" si="931"/>
        <v>0</v>
      </c>
      <c r="BB582" s="963">
        <f t="shared" si="931"/>
        <v>0</v>
      </c>
      <c r="BC582" s="963">
        <f t="shared" si="931"/>
        <v>0</v>
      </c>
      <c r="BD582" s="963">
        <f t="shared" si="931"/>
        <v>0</v>
      </c>
      <c r="BE582" s="963">
        <f t="shared" si="931"/>
        <v>0</v>
      </c>
      <c r="BF582" s="963">
        <f t="shared" si="931"/>
        <v>0</v>
      </c>
    </row>
    <row r="583" spans="29:58" x14ac:dyDescent="0.25">
      <c r="AC583" s="934">
        <f>'T4'!AC103</f>
        <v>42949</v>
      </c>
      <c r="AD583" s="968">
        <f>'T4'!AD103</f>
        <v>0</v>
      </c>
      <c r="AE583" s="962">
        <f>'T4'!N103</f>
        <v>0</v>
      </c>
      <c r="AF583" s="968">
        <f>'T4'!AF103</f>
        <v>0</v>
      </c>
      <c r="AG583" s="962">
        <f>'T4'!O103</f>
        <v>0</v>
      </c>
      <c r="AI583" s="962">
        <f t="shared" ref="AI583:AI588" si="932">AE583+AI582</f>
        <v>0</v>
      </c>
      <c r="AJ583" s="962">
        <f t="shared" ref="AJ583:AJ588" si="933">AG583+AJ582</f>
        <v>0</v>
      </c>
      <c r="AV583" s="954"/>
      <c r="AW583" s="963">
        <f t="shared" ref="AW583:BF583" si="934">IF(MONTH(AD583)=AW581,AH583,0)</f>
        <v>0</v>
      </c>
      <c r="AX583" s="963">
        <f t="shared" si="934"/>
        <v>0</v>
      </c>
      <c r="AY583" s="963">
        <f t="shared" si="934"/>
        <v>0</v>
      </c>
      <c r="AZ583" s="963">
        <f t="shared" si="934"/>
        <v>0</v>
      </c>
      <c r="BA583" s="963">
        <f t="shared" si="934"/>
        <v>0</v>
      </c>
      <c r="BB583" s="963">
        <f t="shared" si="934"/>
        <v>0</v>
      </c>
      <c r="BC583" s="963">
        <f t="shared" si="934"/>
        <v>0</v>
      </c>
      <c r="BD583" s="963">
        <f t="shared" si="934"/>
        <v>0</v>
      </c>
      <c r="BE583" s="963">
        <f t="shared" si="934"/>
        <v>0</v>
      </c>
      <c r="BF583" s="963" t="e">
        <f t="shared" si="934"/>
        <v>#VALUE!</v>
      </c>
    </row>
    <row r="584" spans="29:58" x14ac:dyDescent="0.25">
      <c r="AC584" s="934">
        <f>'T4'!AC104</f>
        <v>42950</v>
      </c>
      <c r="AD584" s="968">
        <f>'T4'!AD104</f>
        <v>0</v>
      </c>
      <c r="AE584" s="962">
        <f>'T4'!N104</f>
        <v>0</v>
      </c>
      <c r="AF584" s="968">
        <f>'T4'!AF104</f>
        <v>0</v>
      </c>
      <c r="AG584" s="962">
        <f>'T4'!O104</f>
        <v>0</v>
      </c>
      <c r="AI584" s="962">
        <f t="shared" si="932"/>
        <v>0</v>
      </c>
      <c r="AJ584" s="962">
        <f t="shared" si="933"/>
        <v>0</v>
      </c>
      <c r="AV584" s="954"/>
      <c r="AW584" s="963">
        <f t="shared" ref="AW584:BF584" si="935">IF(MONTH(AD584)=AW582,AH584,0)</f>
        <v>0</v>
      </c>
      <c r="AX584" s="963">
        <f t="shared" si="935"/>
        <v>0</v>
      </c>
      <c r="AY584" s="963">
        <f t="shared" si="935"/>
        <v>0</v>
      </c>
      <c r="AZ584" s="963">
        <f t="shared" si="935"/>
        <v>0</v>
      </c>
      <c r="BA584" s="963">
        <f t="shared" si="935"/>
        <v>0</v>
      </c>
      <c r="BB584" s="963">
        <f t="shared" si="935"/>
        <v>0</v>
      </c>
      <c r="BC584" s="963">
        <f t="shared" si="935"/>
        <v>0</v>
      </c>
      <c r="BD584" s="963">
        <f t="shared" si="935"/>
        <v>0</v>
      </c>
      <c r="BE584" s="963">
        <f t="shared" si="935"/>
        <v>0</v>
      </c>
      <c r="BF584" s="963">
        <f t="shared" si="935"/>
        <v>0</v>
      </c>
    </row>
    <row r="585" spans="29:58" x14ac:dyDescent="0.25">
      <c r="AC585" s="934">
        <f>'T4'!AC105</f>
        <v>42951</v>
      </c>
      <c r="AD585" s="968">
        <f>'T4'!AD105</f>
        <v>0</v>
      </c>
      <c r="AE585" s="962">
        <f>'T4'!N105</f>
        <v>0</v>
      </c>
      <c r="AF585" s="968">
        <f>'T4'!AF105</f>
        <v>0</v>
      </c>
      <c r="AG585" s="962">
        <f>'T4'!O105</f>
        <v>0</v>
      </c>
      <c r="AI585" s="962">
        <f t="shared" si="932"/>
        <v>0</v>
      </c>
      <c r="AJ585" s="962">
        <f t="shared" si="933"/>
        <v>0</v>
      </c>
      <c r="AV585" s="954"/>
      <c r="AW585" s="963">
        <f t="shared" ref="AW585:BF585" si="936">IF(MONTH(AD585)=AW583,AH585,0)</f>
        <v>0</v>
      </c>
      <c r="AX585" s="963">
        <f t="shared" si="936"/>
        <v>0</v>
      </c>
      <c r="AY585" s="963">
        <f t="shared" si="936"/>
        <v>0</v>
      </c>
      <c r="AZ585" s="963">
        <f t="shared" si="936"/>
        <v>0</v>
      </c>
      <c r="BA585" s="963">
        <f t="shared" si="936"/>
        <v>0</v>
      </c>
      <c r="BB585" s="963">
        <f t="shared" si="936"/>
        <v>0</v>
      </c>
      <c r="BC585" s="963">
        <f t="shared" si="936"/>
        <v>0</v>
      </c>
      <c r="BD585" s="963">
        <f t="shared" si="936"/>
        <v>0</v>
      </c>
      <c r="BE585" s="963">
        <f t="shared" si="936"/>
        <v>0</v>
      </c>
      <c r="BF585" s="963" t="e">
        <f t="shared" si="936"/>
        <v>#VALUE!</v>
      </c>
    </row>
    <row r="586" spans="29:58" x14ac:dyDescent="0.25">
      <c r="AC586" s="934">
        <f>'T4'!AC106</f>
        <v>42952</v>
      </c>
      <c r="AD586" s="968">
        <f>'T4'!AD106</f>
        <v>0</v>
      </c>
      <c r="AE586" s="962">
        <f>'T4'!N106</f>
        <v>0</v>
      </c>
      <c r="AF586" s="968">
        <f>'T4'!AF106</f>
        <v>0</v>
      </c>
      <c r="AG586" s="962">
        <f>'T4'!O106</f>
        <v>0</v>
      </c>
      <c r="AI586" s="962">
        <f t="shared" si="932"/>
        <v>0</v>
      </c>
      <c r="AJ586" s="962">
        <f t="shared" si="933"/>
        <v>0</v>
      </c>
      <c r="AV586" s="954"/>
      <c r="AW586" s="963">
        <f t="shared" ref="AW586:BF586" si="937">IF(MONTH(AD586)=AW584,AH586,0)</f>
        <v>0</v>
      </c>
      <c r="AX586" s="963">
        <f t="shared" si="937"/>
        <v>0</v>
      </c>
      <c r="AY586" s="963">
        <f t="shared" si="937"/>
        <v>0</v>
      </c>
      <c r="AZ586" s="963">
        <f t="shared" si="937"/>
        <v>0</v>
      </c>
      <c r="BA586" s="963">
        <f t="shared" si="937"/>
        <v>0</v>
      </c>
      <c r="BB586" s="963">
        <f t="shared" si="937"/>
        <v>0</v>
      </c>
      <c r="BC586" s="963">
        <f t="shared" si="937"/>
        <v>0</v>
      </c>
      <c r="BD586" s="963">
        <f t="shared" si="937"/>
        <v>0</v>
      </c>
      <c r="BE586" s="963">
        <f t="shared" si="937"/>
        <v>0</v>
      </c>
      <c r="BF586" s="963">
        <f t="shared" si="937"/>
        <v>0</v>
      </c>
    </row>
    <row r="587" spans="29:58" x14ac:dyDescent="0.25">
      <c r="AC587" s="934">
        <f>'T4'!AC107</f>
        <v>42953</v>
      </c>
      <c r="AD587" s="968">
        <f>'T4'!AD107</f>
        <v>0</v>
      </c>
      <c r="AE587" s="962">
        <f>'T4'!N107</f>
        <v>0</v>
      </c>
      <c r="AF587" s="968">
        <f>'T4'!AF107</f>
        <v>0</v>
      </c>
      <c r="AG587" s="962">
        <f>'T4'!O107</f>
        <v>0</v>
      </c>
      <c r="AI587" s="962">
        <f t="shared" si="932"/>
        <v>0</v>
      </c>
      <c r="AJ587" s="962">
        <f t="shared" si="933"/>
        <v>0</v>
      </c>
      <c r="AV587" s="954"/>
      <c r="AW587" s="963">
        <f t="shared" ref="AW587:BF587" si="938">IF(MONTH(AD587)=AW585,AH587,0)</f>
        <v>0</v>
      </c>
      <c r="AX587" s="963">
        <f t="shared" si="938"/>
        <v>0</v>
      </c>
      <c r="AY587" s="963">
        <f t="shared" si="938"/>
        <v>0</v>
      </c>
      <c r="AZ587" s="963">
        <f t="shared" si="938"/>
        <v>0</v>
      </c>
      <c r="BA587" s="963">
        <f t="shared" si="938"/>
        <v>0</v>
      </c>
      <c r="BB587" s="963">
        <f t="shared" si="938"/>
        <v>0</v>
      </c>
      <c r="BC587" s="963">
        <f t="shared" si="938"/>
        <v>0</v>
      </c>
      <c r="BD587" s="963">
        <f t="shared" si="938"/>
        <v>0</v>
      </c>
      <c r="BE587" s="963">
        <f t="shared" si="938"/>
        <v>0</v>
      </c>
      <c r="BF587" s="963" t="e">
        <f t="shared" si="938"/>
        <v>#VALUE!</v>
      </c>
    </row>
    <row r="588" spans="29:58" x14ac:dyDescent="0.25">
      <c r="AC588" s="934">
        <f>'T4'!AC108</f>
        <v>42954</v>
      </c>
      <c r="AD588" s="968">
        <f>'T4'!AD108</f>
        <v>0</v>
      </c>
      <c r="AE588" s="962">
        <f>'T4'!N108</f>
        <v>0</v>
      </c>
      <c r="AF588" s="968">
        <f>'T4'!AF108</f>
        <v>0</v>
      </c>
      <c r="AG588" s="962">
        <f>'T4'!O108</f>
        <v>0</v>
      </c>
      <c r="AI588" s="962">
        <f t="shared" si="932"/>
        <v>0</v>
      </c>
      <c r="AJ588" s="962">
        <f t="shared" si="933"/>
        <v>0</v>
      </c>
      <c r="AV588" s="954"/>
      <c r="AW588" s="963">
        <f t="shared" ref="AW588:BF588" si="939">IF(MONTH(AD588)=AW586,AH588,0)</f>
        <v>0</v>
      </c>
      <c r="AX588" s="963">
        <f t="shared" si="939"/>
        <v>0</v>
      </c>
      <c r="AY588" s="963">
        <f t="shared" si="939"/>
        <v>0</v>
      </c>
      <c r="AZ588" s="963">
        <f t="shared" si="939"/>
        <v>0</v>
      </c>
      <c r="BA588" s="963">
        <f t="shared" si="939"/>
        <v>0</v>
      </c>
      <c r="BB588" s="963">
        <f t="shared" si="939"/>
        <v>0</v>
      </c>
      <c r="BC588" s="963">
        <f t="shared" si="939"/>
        <v>0</v>
      </c>
      <c r="BD588" s="963">
        <f t="shared" si="939"/>
        <v>0</v>
      </c>
      <c r="BE588" s="963">
        <f t="shared" si="939"/>
        <v>0</v>
      </c>
      <c r="BF588" s="963">
        <f t="shared" si="939"/>
        <v>0</v>
      </c>
    </row>
    <row r="589" spans="29:58" x14ac:dyDescent="0.25">
      <c r="AV589" s="954"/>
      <c r="AW589" s="963">
        <f t="shared" ref="AW589:BF589" si="940">IF(MONTH(AD589)=AW587,AH589,0)</f>
        <v>0</v>
      </c>
      <c r="AX589" s="963">
        <f t="shared" si="940"/>
        <v>0</v>
      </c>
      <c r="AY589" s="963">
        <f t="shared" si="940"/>
        <v>0</v>
      </c>
      <c r="AZ589" s="963">
        <f t="shared" si="940"/>
        <v>0</v>
      </c>
      <c r="BA589" s="963">
        <f t="shared" si="940"/>
        <v>0</v>
      </c>
      <c r="BB589" s="963">
        <f t="shared" si="940"/>
        <v>0</v>
      </c>
      <c r="BC589" s="963">
        <f t="shared" si="940"/>
        <v>0</v>
      </c>
      <c r="BD589" s="963">
        <f t="shared" si="940"/>
        <v>0</v>
      </c>
      <c r="BE589" s="963">
        <f t="shared" si="940"/>
        <v>0</v>
      </c>
      <c r="BF589" s="963" t="e">
        <f t="shared" si="940"/>
        <v>#VALUE!</v>
      </c>
    </row>
    <row r="590" spans="29:58" x14ac:dyDescent="0.25">
      <c r="AV590" s="954"/>
      <c r="AW590" s="963">
        <f t="shared" ref="AW590:BF590" si="941">IF(MONTH(AD590)=AW588,AH590,0)</f>
        <v>0</v>
      </c>
      <c r="AX590" s="963">
        <f t="shared" si="941"/>
        <v>0</v>
      </c>
      <c r="AY590" s="963">
        <f t="shared" si="941"/>
        <v>0</v>
      </c>
      <c r="AZ590" s="963">
        <f t="shared" si="941"/>
        <v>0</v>
      </c>
      <c r="BA590" s="963">
        <f t="shared" si="941"/>
        <v>0</v>
      </c>
      <c r="BB590" s="963">
        <f t="shared" si="941"/>
        <v>0</v>
      </c>
      <c r="BC590" s="963">
        <f t="shared" si="941"/>
        <v>0</v>
      </c>
      <c r="BD590" s="963">
        <f t="shared" si="941"/>
        <v>0</v>
      </c>
      <c r="BE590" s="963">
        <f t="shared" si="941"/>
        <v>0</v>
      </c>
      <c r="BF590" s="963">
        <f t="shared" si="941"/>
        <v>0</v>
      </c>
    </row>
    <row r="591" spans="29:58" x14ac:dyDescent="0.25">
      <c r="AV591" s="954"/>
      <c r="AW591" s="963">
        <f t="shared" ref="AW591:BF591" si="942">IF(MONTH(AD591)=AW589,AH591,0)</f>
        <v>0</v>
      </c>
      <c r="AX591" s="963">
        <f t="shared" si="942"/>
        <v>0</v>
      </c>
      <c r="AY591" s="963">
        <f t="shared" si="942"/>
        <v>0</v>
      </c>
      <c r="AZ591" s="963">
        <f t="shared" si="942"/>
        <v>0</v>
      </c>
      <c r="BA591" s="963">
        <f t="shared" si="942"/>
        <v>0</v>
      </c>
      <c r="BB591" s="963">
        <f t="shared" si="942"/>
        <v>0</v>
      </c>
      <c r="BC591" s="963">
        <f t="shared" si="942"/>
        <v>0</v>
      </c>
      <c r="BD591" s="963">
        <f t="shared" si="942"/>
        <v>0</v>
      </c>
      <c r="BE591" s="963">
        <f t="shared" si="942"/>
        <v>0</v>
      </c>
      <c r="BF591" s="963" t="e">
        <f t="shared" si="942"/>
        <v>#VALUE!</v>
      </c>
    </row>
    <row r="592" spans="29:58" x14ac:dyDescent="0.25">
      <c r="AV592" s="954"/>
      <c r="AW592" s="963">
        <f t="shared" ref="AW592:BF592" si="943">IF(MONTH(AD592)=AW590,AH592,0)</f>
        <v>0</v>
      </c>
      <c r="AX592" s="963">
        <f t="shared" si="943"/>
        <v>0</v>
      </c>
      <c r="AY592" s="963">
        <f t="shared" si="943"/>
        <v>0</v>
      </c>
      <c r="AZ592" s="963">
        <f t="shared" si="943"/>
        <v>0</v>
      </c>
      <c r="BA592" s="963">
        <f t="shared" si="943"/>
        <v>0</v>
      </c>
      <c r="BB592" s="963">
        <f t="shared" si="943"/>
        <v>0</v>
      </c>
      <c r="BC592" s="963">
        <f t="shared" si="943"/>
        <v>0</v>
      </c>
      <c r="BD592" s="963">
        <f t="shared" si="943"/>
        <v>0</v>
      </c>
      <c r="BE592" s="963">
        <f t="shared" si="943"/>
        <v>0</v>
      </c>
      <c r="BF592" s="963">
        <f t="shared" si="943"/>
        <v>0</v>
      </c>
    </row>
    <row r="593" spans="29:58" x14ac:dyDescent="0.25">
      <c r="AV593" s="954"/>
      <c r="AW593" s="963">
        <f t="shared" ref="AW593:BF593" si="944">IF(MONTH(AD593)=AW591,AH593,0)</f>
        <v>0</v>
      </c>
      <c r="AX593" s="963">
        <f t="shared" si="944"/>
        <v>0</v>
      </c>
      <c r="AY593" s="963">
        <f t="shared" si="944"/>
        <v>0</v>
      </c>
      <c r="AZ593" s="963">
        <f t="shared" si="944"/>
        <v>0</v>
      </c>
      <c r="BA593" s="963">
        <f t="shared" si="944"/>
        <v>0</v>
      </c>
      <c r="BB593" s="963">
        <f t="shared" si="944"/>
        <v>0</v>
      </c>
      <c r="BC593" s="963">
        <f t="shared" si="944"/>
        <v>0</v>
      </c>
      <c r="BD593" s="963">
        <f t="shared" si="944"/>
        <v>0</v>
      </c>
      <c r="BE593" s="963">
        <f t="shared" si="944"/>
        <v>0</v>
      </c>
      <c r="BF593" s="963" t="e">
        <f t="shared" si="944"/>
        <v>#VALUE!</v>
      </c>
    </row>
    <row r="594" spans="29:58" x14ac:dyDescent="0.25">
      <c r="AC594" s="934">
        <f>'T4'!AC114</f>
        <v>42955</v>
      </c>
      <c r="AD594" s="968">
        <f>'T4'!AD114</f>
        <v>0</v>
      </c>
      <c r="AE594" s="962">
        <f>'T4'!N114</f>
        <v>0</v>
      </c>
      <c r="AF594" s="968">
        <f>'T4'!AF114</f>
        <v>0</v>
      </c>
      <c r="AG594" s="962">
        <f>'T4'!O114</f>
        <v>0</v>
      </c>
      <c r="AI594" s="962">
        <f>AE594+AI588</f>
        <v>0</v>
      </c>
      <c r="AJ594" s="962">
        <f>AG594+AJ588</f>
        <v>0</v>
      </c>
      <c r="AV594" s="954"/>
      <c r="AW594" s="963">
        <f t="shared" ref="AW594:BF594" si="945">IF(MONTH(AD594)=AW592,AH594,0)</f>
        <v>0</v>
      </c>
      <c r="AX594" s="963">
        <f t="shared" si="945"/>
        <v>0</v>
      </c>
      <c r="AY594" s="963">
        <f t="shared" si="945"/>
        <v>0</v>
      </c>
      <c r="AZ594" s="963">
        <f t="shared" si="945"/>
        <v>0</v>
      </c>
      <c r="BA594" s="963">
        <f t="shared" si="945"/>
        <v>0</v>
      </c>
      <c r="BB594" s="963">
        <f t="shared" si="945"/>
        <v>0</v>
      </c>
      <c r="BC594" s="963">
        <f t="shared" si="945"/>
        <v>0</v>
      </c>
      <c r="BD594" s="963">
        <f t="shared" si="945"/>
        <v>0</v>
      </c>
      <c r="BE594" s="963">
        <f t="shared" si="945"/>
        <v>0</v>
      </c>
      <c r="BF594" s="963">
        <f t="shared" si="945"/>
        <v>0</v>
      </c>
    </row>
    <row r="595" spans="29:58" x14ac:dyDescent="0.25">
      <c r="AC595" s="934">
        <f>'T4'!AC115</f>
        <v>42956</v>
      </c>
      <c r="AD595" s="968">
        <f>'T4'!AD115</f>
        <v>0</v>
      </c>
      <c r="AE595" s="962">
        <f>'T4'!N115</f>
        <v>0</v>
      </c>
      <c r="AF595" s="968">
        <f>'T4'!AF115</f>
        <v>0</v>
      </c>
      <c r="AG595" s="962">
        <f>'T4'!O115</f>
        <v>0</v>
      </c>
      <c r="AI595" s="962">
        <f t="shared" ref="AI595:AI600" si="946">AE595+AI594</f>
        <v>0</v>
      </c>
      <c r="AJ595" s="962">
        <f t="shared" ref="AJ595:AJ600" si="947">AG595+AJ594</f>
        <v>0</v>
      </c>
      <c r="AV595" s="954"/>
      <c r="AW595" s="963">
        <f t="shared" ref="AW595:BF595" si="948">IF(MONTH(AD595)=AW593,AH595,0)</f>
        <v>0</v>
      </c>
      <c r="AX595" s="963">
        <f t="shared" si="948"/>
        <v>0</v>
      </c>
      <c r="AY595" s="963">
        <f t="shared" si="948"/>
        <v>0</v>
      </c>
      <c r="AZ595" s="963">
        <f t="shared" si="948"/>
        <v>0</v>
      </c>
      <c r="BA595" s="963">
        <f t="shared" si="948"/>
        <v>0</v>
      </c>
      <c r="BB595" s="963">
        <f t="shared" si="948"/>
        <v>0</v>
      </c>
      <c r="BC595" s="963">
        <f t="shared" si="948"/>
        <v>0</v>
      </c>
      <c r="BD595" s="963">
        <f t="shared" si="948"/>
        <v>0</v>
      </c>
      <c r="BE595" s="963">
        <f t="shared" si="948"/>
        <v>0</v>
      </c>
      <c r="BF595" s="963" t="e">
        <f t="shared" si="948"/>
        <v>#VALUE!</v>
      </c>
    </row>
    <row r="596" spans="29:58" x14ac:dyDescent="0.25">
      <c r="AC596" s="934">
        <f>'T4'!AC116</f>
        <v>42957</v>
      </c>
      <c r="AD596" s="968">
        <f>'T4'!AD116</f>
        <v>0</v>
      </c>
      <c r="AE596" s="962">
        <f>'T4'!N116</f>
        <v>0</v>
      </c>
      <c r="AF596" s="968">
        <f>'T4'!AF116</f>
        <v>0</v>
      </c>
      <c r="AG596" s="962">
        <f>'T4'!O116</f>
        <v>0</v>
      </c>
      <c r="AI596" s="962">
        <f t="shared" si="946"/>
        <v>0</v>
      </c>
      <c r="AJ596" s="962">
        <f t="shared" si="947"/>
        <v>0</v>
      </c>
      <c r="AV596" s="954"/>
      <c r="AW596" s="963">
        <f t="shared" ref="AW596:BF596" si="949">IF(MONTH(AD596)=AW594,AH596,0)</f>
        <v>0</v>
      </c>
      <c r="AX596" s="963">
        <f t="shared" si="949"/>
        <v>0</v>
      </c>
      <c r="AY596" s="963">
        <f t="shared" si="949"/>
        <v>0</v>
      </c>
      <c r="AZ596" s="963">
        <f t="shared" si="949"/>
        <v>0</v>
      </c>
      <c r="BA596" s="963">
        <f t="shared" si="949"/>
        <v>0</v>
      </c>
      <c r="BB596" s="963">
        <f t="shared" si="949"/>
        <v>0</v>
      </c>
      <c r="BC596" s="963">
        <f t="shared" si="949"/>
        <v>0</v>
      </c>
      <c r="BD596" s="963">
        <f t="shared" si="949"/>
        <v>0</v>
      </c>
      <c r="BE596" s="963">
        <f t="shared" si="949"/>
        <v>0</v>
      </c>
      <c r="BF596" s="963">
        <f t="shared" si="949"/>
        <v>0</v>
      </c>
    </row>
    <row r="597" spans="29:58" x14ac:dyDescent="0.25">
      <c r="AC597" s="934">
        <f>'T4'!AC117</f>
        <v>42958</v>
      </c>
      <c r="AD597" s="968">
        <f>'T4'!AD117</f>
        <v>0</v>
      </c>
      <c r="AE597" s="962">
        <f>'T4'!N117</f>
        <v>0</v>
      </c>
      <c r="AF597" s="968">
        <f>'T4'!AF117</f>
        <v>0</v>
      </c>
      <c r="AG597" s="962">
        <f>'T4'!O117</f>
        <v>0</v>
      </c>
      <c r="AI597" s="962">
        <f t="shared" si="946"/>
        <v>0</v>
      </c>
      <c r="AJ597" s="962">
        <f t="shared" si="947"/>
        <v>0</v>
      </c>
      <c r="AV597" s="954"/>
      <c r="AW597" s="963">
        <f t="shared" ref="AW597:BF597" si="950">IF(MONTH(AD597)=AW595,AH597,0)</f>
        <v>0</v>
      </c>
      <c r="AX597" s="963">
        <f t="shared" si="950"/>
        <v>0</v>
      </c>
      <c r="AY597" s="963">
        <f t="shared" si="950"/>
        <v>0</v>
      </c>
      <c r="AZ597" s="963">
        <f t="shared" si="950"/>
        <v>0</v>
      </c>
      <c r="BA597" s="963">
        <f t="shared" si="950"/>
        <v>0</v>
      </c>
      <c r="BB597" s="963">
        <f t="shared" si="950"/>
        <v>0</v>
      </c>
      <c r="BC597" s="963">
        <f t="shared" si="950"/>
        <v>0</v>
      </c>
      <c r="BD597" s="963">
        <f t="shared" si="950"/>
        <v>0</v>
      </c>
      <c r="BE597" s="963">
        <f t="shared" si="950"/>
        <v>0</v>
      </c>
      <c r="BF597" s="963" t="e">
        <f t="shared" si="950"/>
        <v>#VALUE!</v>
      </c>
    </row>
    <row r="598" spans="29:58" x14ac:dyDescent="0.25">
      <c r="AC598" s="934">
        <f>'T4'!AC118</f>
        <v>42959</v>
      </c>
      <c r="AD598" s="968">
        <f>'T4'!AD118</f>
        <v>0</v>
      </c>
      <c r="AE598" s="962">
        <f>'T4'!N118</f>
        <v>0</v>
      </c>
      <c r="AF598" s="968">
        <f>'T4'!AF118</f>
        <v>0</v>
      </c>
      <c r="AG598" s="962">
        <f>'T4'!O118</f>
        <v>0</v>
      </c>
      <c r="AI598" s="962">
        <f t="shared" si="946"/>
        <v>0</v>
      </c>
      <c r="AJ598" s="962">
        <f t="shared" si="947"/>
        <v>0</v>
      </c>
      <c r="AV598" s="954"/>
      <c r="AW598" s="963">
        <f t="shared" ref="AW598:BF598" si="951">IF(MONTH(AD598)=AW596,AH598,0)</f>
        <v>0</v>
      </c>
      <c r="AX598" s="963">
        <f t="shared" si="951"/>
        <v>0</v>
      </c>
      <c r="AY598" s="963">
        <f t="shared" si="951"/>
        <v>0</v>
      </c>
      <c r="AZ598" s="963">
        <f t="shared" si="951"/>
        <v>0</v>
      </c>
      <c r="BA598" s="963">
        <f t="shared" si="951"/>
        <v>0</v>
      </c>
      <c r="BB598" s="963">
        <f t="shared" si="951"/>
        <v>0</v>
      </c>
      <c r="BC598" s="963">
        <f t="shared" si="951"/>
        <v>0</v>
      </c>
      <c r="BD598" s="963">
        <f t="shared" si="951"/>
        <v>0</v>
      </c>
      <c r="BE598" s="963">
        <f t="shared" si="951"/>
        <v>0</v>
      </c>
      <c r="BF598" s="963">
        <f t="shared" si="951"/>
        <v>0</v>
      </c>
    </row>
    <row r="599" spans="29:58" x14ac:dyDescent="0.25">
      <c r="AC599" s="934">
        <f>'T4'!AC119</f>
        <v>42960</v>
      </c>
      <c r="AD599" s="968">
        <f>'T4'!AD119</f>
        <v>0</v>
      </c>
      <c r="AE599" s="962">
        <f>'T4'!N119</f>
        <v>0</v>
      </c>
      <c r="AF599" s="968">
        <f>'T4'!AF119</f>
        <v>0</v>
      </c>
      <c r="AG599" s="962">
        <f>'T4'!O119</f>
        <v>0</v>
      </c>
      <c r="AI599" s="962">
        <f t="shared" si="946"/>
        <v>0</v>
      </c>
      <c r="AJ599" s="962">
        <f t="shared" si="947"/>
        <v>0</v>
      </c>
      <c r="AV599" s="954"/>
      <c r="AW599" s="963">
        <f t="shared" ref="AW599:BF599" si="952">IF(MONTH(AD599)=AW597,AH599,0)</f>
        <v>0</v>
      </c>
      <c r="AX599" s="963">
        <f t="shared" si="952"/>
        <v>0</v>
      </c>
      <c r="AY599" s="963">
        <f t="shared" si="952"/>
        <v>0</v>
      </c>
      <c r="AZ599" s="963">
        <f t="shared" si="952"/>
        <v>0</v>
      </c>
      <c r="BA599" s="963">
        <f t="shared" si="952"/>
        <v>0</v>
      </c>
      <c r="BB599" s="963">
        <f t="shared" si="952"/>
        <v>0</v>
      </c>
      <c r="BC599" s="963">
        <f t="shared" si="952"/>
        <v>0</v>
      </c>
      <c r="BD599" s="963">
        <f t="shared" si="952"/>
        <v>0</v>
      </c>
      <c r="BE599" s="963">
        <f t="shared" si="952"/>
        <v>0</v>
      </c>
      <c r="BF599" s="963" t="e">
        <f t="shared" si="952"/>
        <v>#VALUE!</v>
      </c>
    </row>
    <row r="600" spans="29:58" x14ac:dyDescent="0.25">
      <c r="AC600" s="934">
        <f>'T4'!AC120</f>
        <v>42961</v>
      </c>
      <c r="AD600" s="968">
        <f>'T4'!AD120</f>
        <v>0</v>
      </c>
      <c r="AE600" s="962">
        <f>'T4'!N120</f>
        <v>0</v>
      </c>
      <c r="AF600" s="968">
        <f>'T4'!AF120</f>
        <v>0</v>
      </c>
      <c r="AG600" s="962">
        <f>'T4'!O120</f>
        <v>0</v>
      </c>
      <c r="AI600" s="962">
        <f t="shared" si="946"/>
        <v>0</v>
      </c>
      <c r="AJ600" s="962">
        <f t="shared" si="947"/>
        <v>0</v>
      </c>
      <c r="AV600" s="954"/>
      <c r="AW600" s="963">
        <f t="shared" ref="AW600:BF600" si="953">IF(MONTH(AD600)=AW598,AH600,0)</f>
        <v>0</v>
      </c>
      <c r="AX600" s="963">
        <f t="shared" si="953"/>
        <v>0</v>
      </c>
      <c r="AY600" s="963">
        <f t="shared" si="953"/>
        <v>0</v>
      </c>
      <c r="AZ600" s="963">
        <f t="shared" si="953"/>
        <v>0</v>
      </c>
      <c r="BA600" s="963">
        <f t="shared" si="953"/>
        <v>0</v>
      </c>
      <c r="BB600" s="963">
        <f t="shared" si="953"/>
        <v>0</v>
      </c>
      <c r="BC600" s="963">
        <f t="shared" si="953"/>
        <v>0</v>
      </c>
      <c r="BD600" s="963">
        <f t="shared" si="953"/>
        <v>0</v>
      </c>
      <c r="BE600" s="963">
        <f t="shared" si="953"/>
        <v>0</v>
      </c>
      <c r="BF600" s="963">
        <f t="shared" si="953"/>
        <v>0</v>
      </c>
    </row>
    <row r="601" spans="29:58" x14ac:dyDescent="0.25">
      <c r="AV601" s="954"/>
      <c r="AW601" s="963">
        <f t="shared" ref="AW601:BF601" si="954">IF(MONTH(AD601)=AW599,AH601,0)</f>
        <v>0</v>
      </c>
      <c r="AX601" s="963">
        <f t="shared" si="954"/>
        <v>0</v>
      </c>
      <c r="AY601" s="963">
        <f t="shared" si="954"/>
        <v>0</v>
      </c>
      <c r="AZ601" s="963">
        <f t="shared" si="954"/>
        <v>0</v>
      </c>
      <c r="BA601" s="963">
        <f t="shared" si="954"/>
        <v>0</v>
      </c>
      <c r="BB601" s="963">
        <f t="shared" si="954"/>
        <v>0</v>
      </c>
      <c r="BC601" s="963">
        <f t="shared" si="954"/>
        <v>0</v>
      </c>
      <c r="BD601" s="963">
        <f t="shared" si="954"/>
        <v>0</v>
      </c>
      <c r="BE601" s="963">
        <f t="shared" si="954"/>
        <v>0</v>
      </c>
      <c r="BF601" s="963" t="e">
        <f t="shared" si="954"/>
        <v>#VALUE!</v>
      </c>
    </row>
    <row r="602" spans="29:58" x14ac:dyDescent="0.25">
      <c r="AV602" s="954"/>
      <c r="AW602" s="963">
        <f t="shared" ref="AW602:BF602" si="955">IF(MONTH(AD602)=AW600,AH602,0)</f>
        <v>0</v>
      </c>
      <c r="AX602" s="963">
        <f t="shared" si="955"/>
        <v>0</v>
      </c>
      <c r="AY602" s="963">
        <f t="shared" si="955"/>
        <v>0</v>
      </c>
      <c r="AZ602" s="963">
        <f t="shared" si="955"/>
        <v>0</v>
      </c>
      <c r="BA602" s="963">
        <f t="shared" si="955"/>
        <v>0</v>
      </c>
      <c r="BB602" s="963">
        <f t="shared" si="955"/>
        <v>0</v>
      </c>
      <c r="BC602" s="963">
        <f t="shared" si="955"/>
        <v>0</v>
      </c>
      <c r="BD602" s="963">
        <f t="shared" si="955"/>
        <v>0</v>
      </c>
      <c r="BE602" s="963">
        <f t="shared" si="955"/>
        <v>0</v>
      </c>
      <c r="BF602" s="963">
        <f t="shared" si="955"/>
        <v>0</v>
      </c>
    </row>
    <row r="603" spans="29:58" x14ac:dyDescent="0.25">
      <c r="AV603" s="954"/>
      <c r="AW603" s="963">
        <f t="shared" ref="AW603:BF603" si="956">IF(MONTH(AD603)=AW601,AH603,0)</f>
        <v>0</v>
      </c>
      <c r="AX603" s="963">
        <f t="shared" si="956"/>
        <v>0</v>
      </c>
      <c r="AY603" s="963">
        <f t="shared" si="956"/>
        <v>0</v>
      </c>
      <c r="AZ603" s="963">
        <f t="shared" si="956"/>
        <v>0</v>
      </c>
      <c r="BA603" s="963">
        <f t="shared" si="956"/>
        <v>0</v>
      </c>
      <c r="BB603" s="963">
        <f t="shared" si="956"/>
        <v>0</v>
      </c>
      <c r="BC603" s="963">
        <f t="shared" si="956"/>
        <v>0</v>
      </c>
      <c r="BD603" s="963">
        <f t="shared" si="956"/>
        <v>0</v>
      </c>
      <c r="BE603" s="963">
        <f t="shared" si="956"/>
        <v>0</v>
      </c>
      <c r="BF603" s="963" t="e">
        <f t="shared" si="956"/>
        <v>#VALUE!</v>
      </c>
    </row>
    <row r="604" spans="29:58" x14ac:dyDescent="0.25">
      <c r="AV604" s="954"/>
      <c r="AW604" s="963">
        <f t="shared" ref="AW604:BF604" si="957">IF(MONTH(AD604)=AW602,AH604,0)</f>
        <v>0</v>
      </c>
      <c r="AX604" s="963">
        <f t="shared" si="957"/>
        <v>0</v>
      </c>
      <c r="AY604" s="963">
        <f t="shared" si="957"/>
        <v>0</v>
      </c>
      <c r="AZ604" s="963">
        <f t="shared" si="957"/>
        <v>0</v>
      </c>
      <c r="BA604" s="963">
        <f t="shared" si="957"/>
        <v>0</v>
      </c>
      <c r="BB604" s="963">
        <f t="shared" si="957"/>
        <v>0</v>
      </c>
      <c r="BC604" s="963">
        <f t="shared" si="957"/>
        <v>0</v>
      </c>
      <c r="BD604" s="963">
        <f t="shared" si="957"/>
        <v>0</v>
      </c>
      <c r="BE604" s="963">
        <f t="shared" si="957"/>
        <v>0</v>
      </c>
      <c r="BF604" s="963">
        <f t="shared" si="957"/>
        <v>0</v>
      </c>
    </row>
    <row r="605" spans="29:58" x14ac:dyDescent="0.25">
      <c r="AV605" s="954"/>
      <c r="AW605" s="963">
        <f t="shared" ref="AW605:BF605" si="958">IF(MONTH(AD605)=AW603,AH605,0)</f>
        <v>0</v>
      </c>
      <c r="AX605" s="963">
        <f t="shared" si="958"/>
        <v>0</v>
      </c>
      <c r="AY605" s="963">
        <f t="shared" si="958"/>
        <v>0</v>
      </c>
      <c r="AZ605" s="963">
        <f t="shared" si="958"/>
        <v>0</v>
      </c>
      <c r="BA605" s="963">
        <f t="shared" si="958"/>
        <v>0</v>
      </c>
      <c r="BB605" s="963">
        <f t="shared" si="958"/>
        <v>0</v>
      </c>
      <c r="BC605" s="963">
        <f t="shared" si="958"/>
        <v>0</v>
      </c>
      <c r="BD605" s="963">
        <f t="shared" si="958"/>
        <v>0</v>
      </c>
      <c r="BE605" s="963">
        <f t="shared" si="958"/>
        <v>0</v>
      </c>
      <c r="BF605" s="963" t="e">
        <f t="shared" si="958"/>
        <v>#VALUE!</v>
      </c>
    </row>
    <row r="606" spans="29:58" x14ac:dyDescent="0.25">
      <c r="AC606" s="934">
        <f>'T4'!AC126</f>
        <v>42962</v>
      </c>
      <c r="AD606" s="968">
        <f>'T4'!AD126</f>
        <v>0</v>
      </c>
      <c r="AE606" s="962">
        <f>'T4'!N126</f>
        <v>0</v>
      </c>
      <c r="AF606" s="968">
        <f>'T4'!AF126</f>
        <v>0</v>
      </c>
      <c r="AG606" s="962">
        <f>'T4'!O126</f>
        <v>0</v>
      </c>
      <c r="AI606" s="962">
        <f>AE606+AI600</f>
        <v>0</v>
      </c>
      <c r="AJ606" s="962">
        <f>AG606+AJ600</f>
        <v>0</v>
      </c>
      <c r="AV606" s="954"/>
      <c r="AW606" s="963">
        <f t="shared" ref="AW606:BF606" si="959">IF(MONTH(AD606)=AW604,AH606,0)</f>
        <v>0</v>
      </c>
      <c r="AX606" s="963">
        <f t="shared" si="959"/>
        <v>0</v>
      </c>
      <c r="AY606" s="963">
        <f t="shared" si="959"/>
        <v>0</v>
      </c>
      <c r="AZ606" s="963">
        <f t="shared" si="959"/>
        <v>0</v>
      </c>
      <c r="BA606" s="963">
        <f t="shared" si="959"/>
        <v>0</v>
      </c>
      <c r="BB606" s="963">
        <f t="shared" si="959"/>
        <v>0</v>
      </c>
      <c r="BC606" s="963">
        <f t="shared" si="959"/>
        <v>0</v>
      </c>
      <c r="BD606" s="963">
        <f t="shared" si="959"/>
        <v>0</v>
      </c>
      <c r="BE606" s="963">
        <f t="shared" si="959"/>
        <v>0</v>
      </c>
      <c r="BF606" s="963">
        <f t="shared" si="959"/>
        <v>0</v>
      </c>
    </row>
    <row r="607" spans="29:58" x14ac:dyDescent="0.25">
      <c r="AC607" s="934">
        <f>'T4'!AC127</f>
        <v>42963</v>
      </c>
      <c r="AD607" s="968">
        <f>'T4'!AD127</f>
        <v>0</v>
      </c>
      <c r="AE607" s="962">
        <f>'T4'!N127</f>
        <v>0</v>
      </c>
      <c r="AF607" s="968">
        <f>'T4'!AF127</f>
        <v>0</v>
      </c>
      <c r="AG607" s="962">
        <f>'T4'!O127</f>
        <v>0</v>
      </c>
      <c r="AI607" s="962">
        <f t="shared" ref="AI607:AI612" si="960">AE607+AI606</f>
        <v>0</v>
      </c>
      <c r="AJ607" s="962">
        <f t="shared" ref="AJ607:AJ612" si="961">AG607+AJ606</f>
        <v>0</v>
      </c>
      <c r="AV607" s="954"/>
      <c r="AW607" s="963">
        <f t="shared" ref="AW607:BF607" si="962">IF(MONTH(AD607)=AW605,AH607,0)</f>
        <v>0</v>
      </c>
      <c r="AX607" s="963">
        <f t="shared" si="962"/>
        <v>0</v>
      </c>
      <c r="AY607" s="963">
        <f t="shared" si="962"/>
        <v>0</v>
      </c>
      <c r="AZ607" s="963">
        <f t="shared" si="962"/>
        <v>0</v>
      </c>
      <c r="BA607" s="963">
        <f t="shared" si="962"/>
        <v>0</v>
      </c>
      <c r="BB607" s="963">
        <f t="shared" si="962"/>
        <v>0</v>
      </c>
      <c r="BC607" s="963">
        <f t="shared" si="962"/>
        <v>0</v>
      </c>
      <c r="BD607" s="963">
        <f t="shared" si="962"/>
        <v>0</v>
      </c>
      <c r="BE607" s="963">
        <f t="shared" si="962"/>
        <v>0</v>
      </c>
      <c r="BF607" s="963" t="e">
        <f t="shared" si="962"/>
        <v>#VALUE!</v>
      </c>
    </row>
    <row r="608" spans="29:58" x14ac:dyDescent="0.25">
      <c r="AC608" s="934">
        <f>'T4'!AC128</f>
        <v>42964</v>
      </c>
      <c r="AD608" s="968">
        <f>'T4'!AD128</f>
        <v>0</v>
      </c>
      <c r="AE608" s="962">
        <f>'T4'!N128</f>
        <v>0</v>
      </c>
      <c r="AF608" s="968">
        <f>'T4'!AF128</f>
        <v>0</v>
      </c>
      <c r="AG608" s="962">
        <f>'T4'!O128</f>
        <v>0</v>
      </c>
      <c r="AI608" s="962">
        <f t="shared" si="960"/>
        <v>0</v>
      </c>
      <c r="AJ608" s="962">
        <f t="shared" si="961"/>
        <v>0</v>
      </c>
      <c r="AV608" s="954"/>
      <c r="AW608" s="963">
        <f t="shared" ref="AW608:BF608" si="963">IF(MONTH(AD608)=AW606,AH608,0)</f>
        <v>0</v>
      </c>
      <c r="AX608" s="963">
        <f t="shared" si="963"/>
        <v>0</v>
      </c>
      <c r="AY608" s="963">
        <f t="shared" si="963"/>
        <v>0</v>
      </c>
      <c r="AZ608" s="963">
        <f t="shared" si="963"/>
        <v>0</v>
      </c>
      <c r="BA608" s="963">
        <f t="shared" si="963"/>
        <v>0</v>
      </c>
      <c r="BB608" s="963">
        <f t="shared" si="963"/>
        <v>0</v>
      </c>
      <c r="BC608" s="963">
        <f t="shared" si="963"/>
        <v>0</v>
      </c>
      <c r="BD608" s="963">
        <f t="shared" si="963"/>
        <v>0</v>
      </c>
      <c r="BE608" s="963">
        <f t="shared" si="963"/>
        <v>0</v>
      </c>
      <c r="BF608" s="963">
        <f t="shared" si="963"/>
        <v>0</v>
      </c>
    </row>
    <row r="609" spans="29:58" x14ac:dyDescent="0.25">
      <c r="AC609" s="934">
        <f>'T4'!AC129</f>
        <v>42965</v>
      </c>
      <c r="AD609" s="968">
        <f>'T4'!AD129</f>
        <v>0</v>
      </c>
      <c r="AE609" s="962">
        <f>'T4'!N129</f>
        <v>0</v>
      </c>
      <c r="AF609" s="968">
        <f>'T4'!AF129</f>
        <v>0</v>
      </c>
      <c r="AG609" s="962">
        <f>'T4'!O129</f>
        <v>0</v>
      </c>
      <c r="AI609" s="962">
        <f t="shared" si="960"/>
        <v>0</v>
      </c>
      <c r="AJ609" s="962">
        <f t="shared" si="961"/>
        <v>0</v>
      </c>
      <c r="AV609" s="954"/>
      <c r="AW609" s="963">
        <f t="shared" ref="AW609:BF609" si="964">IF(MONTH(AD609)=AW607,AH609,0)</f>
        <v>0</v>
      </c>
      <c r="AX609" s="963">
        <f t="shared" si="964"/>
        <v>0</v>
      </c>
      <c r="AY609" s="963">
        <f t="shared" si="964"/>
        <v>0</v>
      </c>
      <c r="AZ609" s="963">
        <f t="shared" si="964"/>
        <v>0</v>
      </c>
      <c r="BA609" s="963">
        <f t="shared" si="964"/>
        <v>0</v>
      </c>
      <c r="BB609" s="963">
        <f t="shared" si="964"/>
        <v>0</v>
      </c>
      <c r="BC609" s="963">
        <f t="shared" si="964"/>
        <v>0</v>
      </c>
      <c r="BD609" s="963">
        <f t="shared" si="964"/>
        <v>0</v>
      </c>
      <c r="BE609" s="963">
        <f t="shared" si="964"/>
        <v>0</v>
      </c>
      <c r="BF609" s="963" t="e">
        <f t="shared" si="964"/>
        <v>#VALUE!</v>
      </c>
    </row>
    <row r="610" spans="29:58" x14ac:dyDescent="0.25">
      <c r="AC610" s="934">
        <f>'T4'!AC130</f>
        <v>42966</v>
      </c>
      <c r="AD610" s="968">
        <f>'T4'!AD130</f>
        <v>0</v>
      </c>
      <c r="AE610" s="962">
        <f>'T4'!N130</f>
        <v>0</v>
      </c>
      <c r="AF610" s="968">
        <f>'T4'!AF130</f>
        <v>0</v>
      </c>
      <c r="AG610" s="962">
        <f>'T4'!O130</f>
        <v>0</v>
      </c>
      <c r="AI610" s="962">
        <f t="shared" si="960"/>
        <v>0</v>
      </c>
      <c r="AJ610" s="962">
        <f t="shared" si="961"/>
        <v>0</v>
      </c>
      <c r="AV610" s="954"/>
      <c r="AW610" s="963">
        <f t="shared" ref="AW610:BF610" si="965">IF(MONTH(AD610)=AW608,AH610,0)</f>
        <v>0</v>
      </c>
      <c r="AX610" s="963">
        <f t="shared" si="965"/>
        <v>0</v>
      </c>
      <c r="AY610" s="963">
        <f t="shared" si="965"/>
        <v>0</v>
      </c>
      <c r="AZ610" s="963">
        <f t="shared" si="965"/>
        <v>0</v>
      </c>
      <c r="BA610" s="963">
        <f t="shared" si="965"/>
        <v>0</v>
      </c>
      <c r="BB610" s="963">
        <f t="shared" si="965"/>
        <v>0</v>
      </c>
      <c r="BC610" s="963">
        <f t="shared" si="965"/>
        <v>0</v>
      </c>
      <c r="BD610" s="963">
        <f t="shared" si="965"/>
        <v>0</v>
      </c>
      <c r="BE610" s="963">
        <f t="shared" si="965"/>
        <v>0</v>
      </c>
      <c r="BF610" s="963">
        <f t="shared" si="965"/>
        <v>0</v>
      </c>
    </row>
    <row r="611" spans="29:58" x14ac:dyDescent="0.25">
      <c r="AC611" s="934">
        <f>'T4'!AC131</f>
        <v>42967</v>
      </c>
      <c r="AD611" s="968">
        <f>'T4'!AD131</f>
        <v>0</v>
      </c>
      <c r="AE611" s="962">
        <f>'T4'!N131</f>
        <v>0</v>
      </c>
      <c r="AF611" s="968">
        <f>'T4'!AF131</f>
        <v>0</v>
      </c>
      <c r="AG611" s="962">
        <f>'T4'!O131</f>
        <v>0</v>
      </c>
      <c r="AI611" s="962">
        <f t="shared" si="960"/>
        <v>0</v>
      </c>
      <c r="AJ611" s="962">
        <f t="shared" si="961"/>
        <v>0</v>
      </c>
      <c r="AV611" s="954"/>
      <c r="AW611" s="963">
        <f t="shared" ref="AW611:BF611" si="966">IF(MONTH(AD611)=AW609,AH611,0)</f>
        <v>0</v>
      </c>
      <c r="AX611" s="963">
        <f t="shared" si="966"/>
        <v>0</v>
      </c>
      <c r="AY611" s="963">
        <f t="shared" si="966"/>
        <v>0</v>
      </c>
      <c r="AZ611" s="963">
        <f t="shared" si="966"/>
        <v>0</v>
      </c>
      <c r="BA611" s="963">
        <f t="shared" si="966"/>
        <v>0</v>
      </c>
      <c r="BB611" s="963">
        <f t="shared" si="966"/>
        <v>0</v>
      </c>
      <c r="BC611" s="963">
        <f t="shared" si="966"/>
        <v>0</v>
      </c>
      <c r="BD611" s="963">
        <f t="shared" si="966"/>
        <v>0</v>
      </c>
      <c r="BE611" s="963">
        <f t="shared" si="966"/>
        <v>0</v>
      </c>
      <c r="BF611" s="963" t="e">
        <f t="shared" si="966"/>
        <v>#VALUE!</v>
      </c>
    </row>
    <row r="612" spans="29:58" x14ac:dyDescent="0.25">
      <c r="AC612" s="934">
        <f>'T4'!AC132</f>
        <v>42968</v>
      </c>
      <c r="AD612" s="968">
        <f>'T4'!AD132</f>
        <v>0</v>
      </c>
      <c r="AE612" s="962">
        <f>'T4'!N132</f>
        <v>0</v>
      </c>
      <c r="AF612" s="968">
        <f>'T4'!AF132</f>
        <v>0</v>
      </c>
      <c r="AG612" s="962">
        <f>'T4'!O132</f>
        <v>0</v>
      </c>
      <c r="AI612" s="962">
        <f t="shared" si="960"/>
        <v>0</v>
      </c>
      <c r="AJ612" s="962">
        <f t="shared" si="961"/>
        <v>0</v>
      </c>
      <c r="AV612" s="954"/>
      <c r="AW612" s="963">
        <f t="shared" ref="AW612:BF612" si="967">IF(MONTH(AD612)=AW610,AH612,0)</f>
        <v>0</v>
      </c>
      <c r="AX612" s="963">
        <f t="shared" si="967"/>
        <v>0</v>
      </c>
      <c r="AY612" s="963">
        <f t="shared" si="967"/>
        <v>0</v>
      </c>
      <c r="AZ612" s="963">
        <f t="shared" si="967"/>
        <v>0</v>
      </c>
      <c r="BA612" s="963">
        <f t="shared" si="967"/>
        <v>0</v>
      </c>
      <c r="BB612" s="963">
        <f t="shared" si="967"/>
        <v>0</v>
      </c>
      <c r="BC612" s="963">
        <f t="shared" si="967"/>
        <v>0</v>
      </c>
      <c r="BD612" s="963">
        <f t="shared" si="967"/>
        <v>0</v>
      </c>
      <c r="BE612" s="963">
        <f t="shared" si="967"/>
        <v>0</v>
      </c>
      <c r="BF612" s="963">
        <f t="shared" si="967"/>
        <v>0</v>
      </c>
    </row>
    <row r="613" spans="29:58" x14ac:dyDescent="0.25">
      <c r="AV613" s="954"/>
      <c r="AW613" s="963">
        <f t="shared" ref="AW613:BF613" si="968">IF(MONTH(AD613)=AW611,AH613,0)</f>
        <v>0</v>
      </c>
      <c r="AX613" s="963">
        <f t="shared" si="968"/>
        <v>0</v>
      </c>
      <c r="AY613" s="963">
        <f t="shared" si="968"/>
        <v>0</v>
      </c>
      <c r="AZ613" s="963">
        <f t="shared" si="968"/>
        <v>0</v>
      </c>
      <c r="BA613" s="963">
        <f t="shared" si="968"/>
        <v>0</v>
      </c>
      <c r="BB613" s="963">
        <f t="shared" si="968"/>
        <v>0</v>
      </c>
      <c r="BC613" s="963">
        <f t="shared" si="968"/>
        <v>0</v>
      </c>
      <c r="BD613" s="963">
        <f t="shared" si="968"/>
        <v>0</v>
      </c>
      <c r="BE613" s="963">
        <f t="shared" si="968"/>
        <v>0</v>
      </c>
      <c r="BF613" s="963" t="e">
        <f t="shared" si="968"/>
        <v>#VALUE!</v>
      </c>
    </row>
    <row r="614" spans="29:58" x14ac:dyDescent="0.25">
      <c r="AV614" s="954"/>
      <c r="AW614" s="963">
        <f t="shared" ref="AW614:BF614" si="969">IF(MONTH(AD614)=AW612,AH614,0)</f>
        <v>0</v>
      </c>
      <c r="AX614" s="963">
        <f t="shared" si="969"/>
        <v>0</v>
      </c>
      <c r="AY614" s="963">
        <f t="shared" si="969"/>
        <v>0</v>
      </c>
      <c r="AZ614" s="963">
        <f t="shared" si="969"/>
        <v>0</v>
      </c>
      <c r="BA614" s="963">
        <f t="shared" si="969"/>
        <v>0</v>
      </c>
      <c r="BB614" s="963">
        <f t="shared" si="969"/>
        <v>0</v>
      </c>
      <c r="BC614" s="963">
        <f t="shared" si="969"/>
        <v>0</v>
      </c>
      <c r="BD614" s="963">
        <f t="shared" si="969"/>
        <v>0</v>
      </c>
      <c r="BE614" s="963">
        <f t="shared" si="969"/>
        <v>0</v>
      </c>
      <c r="BF614" s="963">
        <f t="shared" si="969"/>
        <v>0</v>
      </c>
    </row>
    <row r="615" spans="29:58" x14ac:dyDescent="0.25">
      <c r="AV615" s="954"/>
      <c r="AW615" s="963">
        <f t="shared" ref="AW615:BF615" si="970">IF(MONTH(AD615)=AW613,AH615,0)</f>
        <v>0</v>
      </c>
      <c r="AX615" s="963">
        <f t="shared" si="970"/>
        <v>0</v>
      </c>
      <c r="AY615" s="963">
        <f t="shared" si="970"/>
        <v>0</v>
      </c>
      <c r="AZ615" s="963">
        <f t="shared" si="970"/>
        <v>0</v>
      </c>
      <c r="BA615" s="963">
        <f t="shared" si="970"/>
        <v>0</v>
      </c>
      <c r="BB615" s="963">
        <f t="shared" si="970"/>
        <v>0</v>
      </c>
      <c r="BC615" s="963">
        <f t="shared" si="970"/>
        <v>0</v>
      </c>
      <c r="BD615" s="963">
        <f t="shared" si="970"/>
        <v>0</v>
      </c>
      <c r="BE615" s="963">
        <f t="shared" si="970"/>
        <v>0</v>
      </c>
      <c r="BF615" s="963" t="e">
        <f t="shared" si="970"/>
        <v>#VALUE!</v>
      </c>
    </row>
    <row r="616" spans="29:58" x14ac:dyDescent="0.25">
      <c r="AV616" s="954"/>
      <c r="AW616" s="963">
        <f t="shared" ref="AW616:BF616" si="971">IF(MONTH(AD616)=AW614,AH616,0)</f>
        <v>0</v>
      </c>
      <c r="AX616" s="963">
        <f t="shared" si="971"/>
        <v>0</v>
      </c>
      <c r="AY616" s="963">
        <f t="shared" si="971"/>
        <v>0</v>
      </c>
      <c r="AZ616" s="963">
        <f t="shared" si="971"/>
        <v>0</v>
      </c>
      <c r="BA616" s="963">
        <f t="shared" si="971"/>
        <v>0</v>
      </c>
      <c r="BB616" s="963">
        <f t="shared" si="971"/>
        <v>0</v>
      </c>
      <c r="BC616" s="963">
        <f t="shared" si="971"/>
        <v>0</v>
      </c>
      <c r="BD616" s="963">
        <f t="shared" si="971"/>
        <v>0</v>
      </c>
      <c r="BE616" s="963">
        <f t="shared" si="971"/>
        <v>0</v>
      </c>
      <c r="BF616" s="963">
        <f t="shared" si="971"/>
        <v>0</v>
      </c>
    </row>
    <row r="617" spans="29:58" x14ac:dyDescent="0.25">
      <c r="AV617" s="954"/>
      <c r="AW617" s="963">
        <f t="shared" ref="AW617:BF617" si="972">IF(MONTH(AD617)=AW615,AH617,0)</f>
        <v>0</v>
      </c>
      <c r="AX617" s="963">
        <f t="shared" si="972"/>
        <v>0</v>
      </c>
      <c r="AY617" s="963">
        <f t="shared" si="972"/>
        <v>0</v>
      </c>
      <c r="AZ617" s="963">
        <f t="shared" si="972"/>
        <v>0</v>
      </c>
      <c r="BA617" s="963">
        <f t="shared" si="972"/>
        <v>0</v>
      </c>
      <c r="BB617" s="963">
        <f t="shared" si="972"/>
        <v>0</v>
      </c>
      <c r="BC617" s="963">
        <f t="shared" si="972"/>
        <v>0</v>
      </c>
      <c r="BD617" s="963">
        <f t="shared" si="972"/>
        <v>0</v>
      </c>
      <c r="BE617" s="963">
        <f t="shared" si="972"/>
        <v>0</v>
      </c>
      <c r="BF617" s="963" t="e">
        <f t="shared" si="972"/>
        <v>#VALUE!</v>
      </c>
    </row>
    <row r="618" spans="29:58" x14ac:dyDescent="0.25">
      <c r="AC618" s="934">
        <f>'T4'!AC138</f>
        <v>42969</v>
      </c>
      <c r="AD618" s="968">
        <f>'T4'!AD138</f>
        <v>0</v>
      </c>
      <c r="AE618" s="962">
        <f>'T4'!N138</f>
        <v>0</v>
      </c>
      <c r="AF618" s="968">
        <f>'T4'!AF138</f>
        <v>0</v>
      </c>
      <c r="AG618" s="962">
        <f>'T4'!O138</f>
        <v>0</v>
      </c>
      <c r="AI618" s="962">
        <f>AE618+AI612</f>
        <v>0</v>
      </c>
      <c r="AJ618" s="962">
        <f>AG618+AJ612</f>
        <v>0</v>
      </c>
      <c r="AV618" s="954"/>
      <c r="AW618" s="963">
        <f t="shared" ref="AW618:BF618" si="973">IF(MONTH(AD618)=AW616,AH618,0)</f>
        <v>0</v>
      </c>
      <c r="AX618" s="963">
        <f t="shared" si="973"/>
        <v>0</v>
      </c>
      <c r="AY618" s="963">
        <f t="shared" si="973"/>
        <v>0</v>
      </c>
      <c r="AZ618" s="963">
        <f t="shared" si="973"/>
        <v>0</v>
      </c>
      <c r="BA618" s="963">
        <f t="shared" si="973"/>
        <v>0</v>
      </c>
      <c r="BB618" s="963">
        <f t="shared" si="973"/>
        <v>0</v>
      </c>
      <c r="BC618" s="963">
        <f t="shared" si="973"/>
        <v>0</v>
      </c>
      <c r="BD618" s="963">
        <f t="shared" si="973"/>
        <v>0</v>
      </c>
      <c r="BE618" s="963">
        <f t="shared" si="973"/>
        <v>0</v>
      </c>
      <c r="BF618" s="963">
        <f t="shared" si="973"/>
        <v>0</v>
      </c>
    </row>
    <row r="619" spans="29:58" x14ac:dyDescent="0.25">
      <c r="AC619" s="934">
        <f>'T4'!AC139</f>
        <v>42970</v>
      </c>
      <c r="AD619" s="968">
        <f>'T4'!AD139</f>
        <v>0</v>
      </c>
      <c r="AE619" s="962">
        <f>'T4'!N139</f>
        <v>0</v>
      </c>
      <c r="AF619" s="968">
        <f>'T4'!AF139</f>
        <v>0</v>
      </c>
      <c r="AG619" s="962">
        <f>'T4'!O139</f>
        <v>0</v>
      </c>
      <c r="AI619" s="962">
        <f t="shared" ref="AI619:AI624" si="974">AE619+AI618</f>
        <v>0</v>
      </c>
      <c r="AJ619" s="962">
        <f t="shared" ref="AJ619:AJ624" si="975">AG619+AJ618</f>
        <v>0</v>
      </c>
      <c r="AV619" s="954"/>
      <c r="AW619" s="963">
        <f t="shared" ref="AW619:BF619" si="976">IF(MONTH(AD619)=AW617,AH619,0)</f>
        <v>0</v>
      </c>
      <c r="AX619" s="963">
        <f t="shared" si="976"/>
        <v>0</v>
      </c>
      <c r="AY619" s="963">
        <f t="shared" si="976"/>
        <v>0</v>
      </c>
      <c r="AZ619" s="963">
        <f t="shared" si="976"/>
        <v>0</v>
      </c>
      <c r="BA619" s="963">
        <f t="shared" si="976"/>
        <v>0</v>
      </c>
      <c r="BB619" s="963">
        <f t="shared" si="976"/>
        <v>0</v>
      </c>
      <c r="BC619" s="963">
        <f t="shared" si="976"/>
        <v>0</v>
      </c>
      <c r="BD619" s="963">
        <f t="shared" si="976"/>
        <v>0</v>
      </c>
      <c r="BE619" s="963">
        <f t="shared" si="976"/>
        <v>0</v>
      </c>
      <c r="BF619" s="963" t="e">
        <f t="shared" si="976"/>
        <v>#VALUE!</v>
      </c>
    </row>
    <row r="620" spans="29:58" x14ac:dyDescent="0.25">
      <c r="AC620" s="934">
        <f>'T4'!AC140</f>
        <v>42971</v>
      </c>
      <c r="AD620" s="968">
        <f>'T4'!AD140</f>
        <v>0</v>
      </c>
      <c r="AE620" s="962">
        <f>'T4'!N140</f>
        <v>0</v>
      </c>
      <c r="AF620" s="968">
        <f>'T4'!AF140</f>
        <v>0</v>
      </c>
      <c r="AG620" s="962">
        <f>'T4'!O140</f>
        <v>0</v>
      </c>
      <c r="AI620" s="962">
        <f t="shared" si="974"/>
        <v>0</v>
      </c>
      <c r="AJ620" s="962">
        <f t="shared" si="975"/>
        <v>0</v>
      </c>
      <c r="AV620" s="954"/>
      <c r="AW620" s="963">
        <f t="shared" ref="AW620:BF620" si="977">IF(MONTH(AD620)=AW618,AH620,0)</f>
        <v>0</v>
      </c>
      <c r="AX620" s="963">
        <f t="shared" si="977"/>
        <v>0</v>
      </c>
      <c r="AY620" s="963">
        <f t="shared" si="977"/>
        <v>0</v>
      </c>
      <c r="AZ620" s="963">
        <f t="shared" si="977"/>
        <v>0</v>
      </c>
      <c r="BA620" s="963">
        <f t="shared" si="977"/>
        <v>0</v>
      </c>
      <c r="BB620" s="963">
        <f t="shared" si="977"/>
        <v>0</v>
      </c>
      <c r="BC620" s="963">
        <f t="shared" si="977"/>
        <v>0</v>
      </c>
      <c r="BD620" s="963">
        <f t="shared" si="977"/>
        <v>0</v>
      </c>
      <c r="BE620" s="963">
        <f t="shared" si="977"/>
        <v>0</v>
      </c>
      <c r="BF620" s="963">
        <f t="shared" si="977"/>
        <v>0</v>
      </c>
    </row>
    <row r="621" spans="29:58" x14ac:dyDescent="0.25">
      <c r="AC621" s="934">
        <f>'T4'!AC141</f>
        <v>42972</v>
      </c>
      <c r="AD621" s="968">
        <f>'T4'!AD141</f>
        <v>0</v>
      </c>
      <c r="AE621" s="962">
        <f>'T4'!N141</f>
        <v>0</v>
      </c>
      <c r="AF621" s="968">
        <f>'T4'!AF141</f>
        <v>0</v>
      </c>
      <c r="AG621" s="962">
        <f>'T4'!O141</f>
        <v>0</v>
      </c>
      <c r="AI621" s="962">
        <f t="shared" si="974"/>
        <v>0</v>
      </c>
      <c r="AJ621" s="962">
        <f t="shared" si="975"/>
        <v>0</v>
      </c>
      <c r="AV621" s="954"/>
      <c r="AW621" s="963">
        <f t="shared" ref="AW621:BF621" si="978">IF(MONTH(AD621)=AW619,AH621,0)</f>
        <v>0</v>
      </c>
      <c r="AX621" s="963">
        <f t="shared" si="978"/>
        <v>0</v>
      </c>
      <c r="AY621" s="963">
        <f t="shared" si="978"/>
        <v>0</v>
      </c>
      <c r="AZ621" s="963">
        <f t="shared" si="978"/>
        <v>0</v>
      </c>
      <c r="BA621" s="963">
        <f t="shared" si="978"/>
        <v>0</v>
      </c>
      <c r="BB621" s="963">
        <f t="shared" si="978"/>
        <v>0</v>
      </c>
      <c r="BC621" s="963">
        <f t="shared" si="978"/>
        <v>0</v>
      </c>
      <c r="BD621" s="963">
        <f t="shared" si="978"/>
        <v>0</v>
      </c>
      <c r="BE621" s="963">
        <f t="shared" si="978"/>
        <v>0</v>
      </c>
      <c r="BF621" s="963" t="e">
        <f t="shared" si="978"/>
        <v>#VALUE!</v>
      </c>
    </row>
    <row r="622" spans="29:58" x14ac:dyDescent="0.25">
      <c r="AC622" s="934">
        <f>'T4'!AC142</f>
        <v>42973</v>
      </c>
      <c r="AD622" s="968">
        <f>'T4'!AD142</f>
        <v>0</v>
      </c>
      <c r="AE622" s="962">
        <f>'T4'!N142</f>
        <v>0</v>
      </c>
      <c r="AF622" s="968">
        <f>'T4'!AF142</f>
        <v>0</v>
      </c>
      <c r="AG622" s="962">
        <f>'T4'!O142</f>
        <v>0</v>
      </c>
      <c r="AI622" s="962">
        <f t="shared" si="974"/>
        <v>0</v>
      </c>
      <c r="AJ622" s="962">
        <f t="shared" si="975"/>
        <v>0</v>
      </c>
      <c r="AV622" s="954"/>
      <c r="AW622" s="963">
        <f t="shared" ref="AW622:BF622" si="979">IF(MONTH(AD622)=AW620,AH622,0)</f>
        <v>0</v>
      </c>
      <c r="AX622" s="963">
        <f t="shared" si="979"/>
        <v>0</v>
      </c>
      <c r="AY622" s="963">
        <f t="shared" si="979"/>
        <v>0</v>
      </c>
      <c r="AZ622" s="963">
        <f t="shared" si="979"/>
        <v>0</v>
      </c>
      <c r="BA622" s="963">
        <f t="shared" si="979"/>
        <v>0</v>
      </c>
      <c r="BB622" s="963">
        <f t="shared" si="979"/>
        <v>0</v>
      </c>
      <c r="BC622" s="963">
        <f t="shared" si="979"/>
        <v>0</v>
      </c>
      <c r="BD622" s="963">
        <f t="shared" si="979"/>
        <v>0</v>
      </c>
      <c r="BE622" s="963">
        <f t="shared" si="979"/>
        <v>0</v>
      </c>
      <c r="BF622" s="963">
        <f t="shared" si="979"/>
        <v>0</v>
      </c>
    </row>
    <row r="623" spans="29:58" x14ac:dyDescent="0.25">
      <c r="AC623" s="934">
        <f>'T4'!AC143</f>
        <v>42974</v>
      </c>
      <c r="AD623" s="968">
        <f>'T4'!AD143</f>
        <v>0</v>
      </c>
      <c r="AE623" s="962">
        <f>'T4'!N143</f>
        <v>0</v>
      </c>
      <c r="AF623" s="968">
        <f>'T4'!AF143</f>
        <v>0</v>
      </c>
      <c r="AG623" s="962">
        <f>'T4'!O143</f>
        <v>0</v>
      </c>
      <c r="AI623" s="962">
        <f t="shared" si="974"/>
        <v>0</v>
      </c>
      <c r="AJ623" s="962">
        <f t="shared" si="975"/>
        <v>0</v>
      </c>
      <c r="AV623" s="954"/>
      <c r="AW623" s="963">
        <f t="shared" ref="AW623:BF623" si="980">IF(MONTH(AD623)=AW621,AH623,0)</f>
        <v>0</v>
      </c>
      <c r="AX623" s="963">
        <f t="shared" si="980"/>
        <v>0</v>
      </c>
      <c r="AY623" s="963">
        <f t="shared" si="980"/>
        <v>0</v>
      </c>
      <c r="AZ623" s="963">
        <f t="shared" si="980"/>
        <v>0</v>
      </c>
      <c r="BA623" s="963">
        <f t="shared" si="980"/>
        <v>0</v>
      </c>
      <c r="BB623" s="963">
        <f t="shared" si="980"/>
        <v>0</v>
      </c>
      <c r="BC623" s="963">
        <f t="shared" si="980"/>
        <v>0</v>
      </c>
      <c r="BD623" s="963">
        <f t="shared" si="980"/>
        <v>0</v>
      </c>
      <c r="BE623" s="963">
        <f t="shared" si="980"/>
        <v>0</v>
      </c>
      <c r="BF623" s="963" t="e">
        <f t="shared" si="980"/>
        <v>#VALUE!</v>
      </c>
    </row>
    <row r="624" spans="29:58" x14ac:dyDescent="0.25">
      <c r="AC624" s="934">
        <f>'T4'!AC144</f>
        <v>42975</v>
      </c>
      <c r="AD624" s="968">
        <f>'T4'!AD144</f>
        <v>0</v>
      </c>
      <c r="AE624" s="962">
        <f>'T4'!N144</f>
        <v>0</v>
      </c>
      <c r="AF624" s="968">
        <f>'T4'!AF144</f>
        <v>0</v>
      </c>
      <c r="AG624" s="962">
        <f>'T4'!O144</f>
        <v>0</v>
      </c>
      <c r="AI624" s="962">
        <f t="shared" si="974"/>
        <v>0</v>
      </c>
      <c r="AJ624" s="962">
        <f t="shared" si="975"/>
        <v>0</v>
      </c>
      <c r="AV624" s="954"/>
      <c r="AW624" s="963">
        <f t="shared" ref="AW624:BF624" si="981">IF(MONTH(AD624)=AW622,AH624,0)</f>
        <v>0</v>
      </c>
      <c r="AX624" s="963">
        <f t="shared" si="981"/>
        <v>0</v>
      </c>
      <c r="AY624" s="963">
        <f t="shared" si="981"/>
        <v>0</v>
      </c>
      <c r="AZ624" s="963">
        <f t="shared" si="981"/>
        <v>0</v>
      </c>
      <c r="BA624" s="963">
        <f t="shared" si="981"/>
        <v>0</v>
      </c>
      <c r="BB624" s="963">
        <f t="shared" si="981"/>
        <v>0</v>
      </c>
      <c r="BC624" s="963">
        <f t="shared" si="981"/>
        <v>0</v>
      </c>
      <c r="BD624" s="963">
        <f t="shared" si="981"/>
        <v>0</v>
      </c>
      <c r="BE624" s="963">
        <f t="shared" si="981"/>
        <v>0</v>
      </c>
      <c r="BF624" s="963">
        <f t="shared" si="981"/>
        <v>0</v>
      </c>
    </row>
    <row r="625" spans="29:58" x14ac:dyDescent="0.25">
      <c r="AV625" s="954"/>
      <c r="AW625" s="963">
        <f t="shared" ref="AW625:BF625" si="982">IF(MONTH(AD625)=AW623,AH625,0)</f>
        <v>0</v>
      </c>
      <c r="AX625" s="963">
        <f t="shared" si="982"/>
        <v>0</v>
      </c>
      <c r="AY625" s="963">
        <f t="shared" si="982"/>
        <v>0</v>
      </c>
      <c r="AZ625" s="963">
        <f t="shared" si="982"/>
        <v>0</v>
      </c>
      <c r="BA625" s="963">
        <f t="shared" si="982"/>
        <v>0</v>
      </c>
      <c r="BB625" s="963">
        <f t="shared" si="982"/>
        <v>0</v>
      </c>
      <c r="BC625" s="963">
        <f t="shared" si="982"/>
        <v>0</v>
      </c>
      <c r="BD625" s="963">
        <f t="shared" si="982"/>
        <v>0</v>
      </c>
      <c r="BE625" s="963">
        <f t="shared" si="982"/>
        <v>0</v>
      </c>
      <c r="BF625" s="963" t="e">
        <f t="shared" si="982"/>
        <v>#VALUE!</v>
      </c>
    </row>
    <row r="626" spans="29:58" x14ac:dyDescent="0.25">
      <c r="AV626" s="954"/>
      <c r="AW626" s="963">
        <f t="shared" ref="AW626:BF626" si="983">IF(MONTH(AD626)=AW624,AH626,0)</f>
        <v>0</v>
      </c>
      <c r="AX626" s="963">
        <f t="shared" si="983"/>
        <v>0</v>
      </c>
      <c r="AY626" s="963">
        <f t="shared" si="983"/>
        <v>0</v>
      </c>
      <c r="AZ626" s="963">
        <f t="shared" si="983"/>
        <v>0</v>
      </c>
      <c r="BA626" s="963">
        <f t="shared" si="983"/>
        <v>0</v>
      </c>
      <c r="BB626" s="963">
        <f t="shared" si="983"/>
        <v>0</v>
      </c>
      <c r="BC626" s="963">
        <f t="shared" si="983"/>
        <v>0</v>
      </c>
      <c r="BD626" s="963">
        <f t="shared" si="983"/>
        <v>0</v>
      </c>
      <c r="BE626" s="963">
        <f t="shared" si="983"/>
        <v>0</v>
      </c>
      <c r="BF626" s="963">
        <f t="shared" si="983"/>
        <v>0</v>
      </c>
    </row>
    <row r="627" spans="29:58" x14ac:dyDescent="0.25">
      <c r="AV627" s="954"/>
      <c r="AW627" s="963">
        <f t="shared" ref="AW627:BF627" si="984">IF(MONTH(AD627)=AW625,AH627,0)</f>
        <v>0</v>
      </c>
      <c r="AX627" s="963">
        <f t="shared" si="984"/>
        <v>0</v>
      </c>
      <c r="AY627" s="963">
        <f t="shared" si="984"/>
        <v>0</v>
      </c>
      <c r="AZ627" s="963">
        <f t="shared" si="984"/>
        <v>0</v>
      </c>
      <c r="BA627" s="963">
        <f t="shared" si="984"/>
        <v>0</v>
      </c>
      <c r="BB627" s="963">
        <f t="shared" si="984"/>
        <v>0</v>
      </c>
      <c r="BC627" s="963">
        <f t="shared" si="984"/>
        <v>0</v>
      </c>
      <c r="BD627" s="963">
        <f t="shared" si="984"/>
        <v>0</v>
      </c>
      <c r="BE627" s="963">
        <f t="shared" si="984"/>
        <v>0</v>
      </c>
      <c r="BF627" s="963" t="e">
        <f t="shared" si="984"/>
        <v>#VALUE!</v>
      </c>
    </row>
    <row r="628" spans="29:58" x14ac:dyDescent="0.25">
      <c r="AV628" s="954"/>
      <c r="AW628" s="963">
        <f t="shared" ref="AW628:BF628" si="985">IF(MONTH(AD628)=AW626,AH628,0)</f>
        <v>0</v>
      </c>
      <c r="AX628" s="963">
        <f t="shared" si="985"/>
        <v>0</v>
      </c>
      <c r="AY628" s="963">
        <f t="shared" si="985"/>
        <v>0</v>
      </c>
      <c r="AZ628" s="963">
        <f t="shared" si="985"/>
        <v>0</v>
      </c>
      <c r="BA628" s="963">
        <f t="shared" si="985"/>
        <v>0</v>
      </c>
      <c r="BB628" s="963">
        <f t="shared" si="985"/>
        <v>0</v>
      </c>
      <c r="BC628" s="963">
        <f t="shared" si="985"/>
        <v>0</v>
      </c>
      <c r="BD628" s="963">
        <f t="shared" si="985"/>
        <v>0</v>
      </c>
      <c r="BE628" s="963">
        <f t="shared" si="985"/>
        <v>0</v>
      </c>
      <c r="BF628" s="963">
        <f t="shared" si="985"/>
        <v>0</v>
      </c>
    </row>
    <row r="629" spans="29:58" x14ac:dyDescent="0.25">
      <c r="AV629" s="954"/>
      <c r="AW629" s="963">
        <f t="shared" ref="AW629:BF629" si="986">IF(MONTH(AD629)=AW627,AH629,0)</f>
        <v>0</v>
      </c>
      <c r="AX629" s="963">
        <f t="shared" si="986"/>
        <v>0</v>
      </c>
      <c r="AY629" s="963">
        <f t="shared" si="986"/>
        <v>0</v>
      </c>
      <c r="AZ629" s="963">
        <f t="shared" si="986"/>
        <v>0</v>
      </c>
      <c r="BA629" s="963">
        <f t="shared" si="986"/>
        <v>0</v>
      </c>
      <c r="BB629" s="963">
        <f t="shared" si="986"/>
        <v>0</v>
      </c>
      <c r="BC629" s="963">
        <f t="shared" si="986"/>
        <v>0</v>
      </c>
      <c r="BD629" s="963">
        <f t="shared" si="986"/>
        <v>0</v>
      </c>
      <c r="BE629" s="963">
        <f t="shared" si="986"/>
        <v>0</v>
      </c>
      <c r="BF629" s="963" t="e">
        <f t="shared" si="986"/>
        <v>#VALUE!</v>
      </c>
    </row>
    <row r="630" spans="29:58" x14ac:dyDescent="0.25">
      <c r="AC630" s="934">
        <f>IF('T4'!AC150&gt;annualisation!$AA$62,"", 'T4'!AC150)</f>
        <v>42976</v>
      </c>
      <c r="AD630" s="968">
        <f>'T4'!AD150</f>
        <v>0</v>
      </c>
      <c r="AE630" s="962">
        <f>'T4'!N150</f>
        <v>0</v>
      </c>
      <c r="AF630" s="968">
        <f>'T4'!AF150</f>
        <v>0</v>
      </c>
      <c r="AG630" s="962">
        <f>'T4'!O150</f>
        <v>0</v>
      </c>
      <c r="AI630" s="962">
        <f>AE630+AI624</f>
        <v>0</v>
      </c>
      <c r="AJ630" s="962">
        <f>AG630+AJ624</f>
        <v>0</v>
      </c>
      <c r="AV630" s="954"/>
      <c r="AW630" s="963">
        <f t="shared" ref="AW630:BF630" si="987">IF(MONTH(AD630)=AW628,AH630,0)</f>
        <v>0</v>
      </c>
      <c r="AX630" s="963">
        <f t="shared" si="987"/>
        <v>0</v>
      </c>
      <c r="AY630" s="963">
        <f t="shared" si="987"/>
        <v>0</v>
      </c>
      <c r="AZ630" s="963">
        <f t="shared" si="987"/>
        <v>0</v>
      </c>
      <c r="BA630" s="963">
        <f t="shared" si="987"/>
        <v>0</v>
      </c>
      <c r="BB630" s="963">
        <f t="shared" si="987"/>
        <v>0</v>
      </c>
      <c r="BC630" s="963">
        <f t="shared" si="987"/>
        <v>0</v>
      </c>
      <c r="BD630" s="963">
        <f t="shared" si="987"/>
        <v>0</v>
      </c>
      <c r="BE630" s="963">
        <f t="shared" si="987"/>
        <v>0</v>
      </c>
      <c r="BF630" s="963">
        <f t="shared" si="987"/>
        <v>0</v>
      </c>
    </row>
    <row r="631" spans="29:58" x14ac:dyDescent="0.25">
      <c r="AC631" s="934">
        <f>IF('T4'!AC151&gt;annualisation!$AA$62,"", 'T4'!AC151)</f>
        <v>42977</v>
      </c>
      <c r="AD631" s="968">
        <f>'T4'!AD151</f>
        <v>0</v>
      </c>
      <c r="AE631" s="962">
        <f>'T4'!N151</f>
        <v>0</v>
      </c>
      <c r="AF631" s="968">
        <f>'T4'!AF151</f>
        <v>0</v>
      </c>
      <c r="AG631" s="962">
        <f>'T4'!O151</f>
        <v>0</v>
      </c>
      <c r="AI631" s="962">
        <f t="shared" ref="AI631:AI636" si="988">AE631+AI630</f>
        <v>0</v>
      </c>
      <c r="AJ631" s="962">
        <f t="shared" ref="AJ631:AJ636" si="989">AG631+AJ630</f>
        <v>0</v>
      </c>
      <c r="AV631" s="954"/>
      <c r="AW631" s="963">
        <f t="shared" ref="AW631:BF631" si="990">IF(MONTH(AD631)=AW629,AH631,0)</f>
        <v>0</v>
      </c>
      <c r="AX631" s="963">
        <f t="shared" si="990"/>
        <v>0</v>
      </c>
      <c r="AY631" s="963">
        <f t="shared" si="990"/>
        <v>0</v>
      </c>
      <c r="AZ631" s="963">
        <f t="shared" si="990"/>
        <v>0</v>
      </c>
      <c r="BA631" s="963">
        <f t="shared" si="990"/>
        <v>0</v>
      </c>
      <c r="BB631" s="963">
        <f t="shared" si="990"/>
        <v>0</v>
      </c>
      <c r="BC631" s="963">
        <f t="shared" si="990"/>
        <v>0</v>
      </c>
      <c r="BD631" s="963">
        <f t="shared" si="990"/>
        <v>0</v>
      </c>
      <c r="BE631" s="963">
        <f t="shared" si="990"/>
        <v>0</v>
      </c>
      <c r="BF631" s="963" t="e">
        <f t="shared" si="990"/>
        <v>#VALUE!</v>
      </c>
    </row>
    <row r="632" spans="29:58" x14ac:dyDescent="0.25">
      <c r="AC632" s="934" t="str">
        <f>IF('T4'!AC152&gt;annualisation!$AA$62,"", 'T4'!AC152)</f>
        <v/>
      </c>
      <c r="AD632" s="968">
        <f>'T4'!AD152</f>
        <v>0</v>
      </c>
      <c r="AE632" s="962">
        <f>'T4'!N152</f>
        <v>0</v>
      </c>
      <c r="AF632" s="968">
        <f>'T4'!AF152</f>
        <v>0</v>
      </c>
      <c r="AG632" s="962">
        <f>'T4'!O152</f>
        <v>0</v>
      </c>
      <c r="AI632" s="962">
        <f t="shared" si="988"/>
        <v>0</v>
      </c>
      <c r="AJ632" s="962">
        <f t="shared" si="989"/>
        <v>0</v>
      </c>
      <c r="AV632" s="954"/>
      <c r="AW632" s="963">
        <f t="shared" ref="AW632:BF632" si="991">IF(MONTH(AD632)=AW630,AH632,0)</f>
        <v>0</v>
      </c>
      <c r="AX632" s="963">
        <f t="shared" si="991"/>
        <v>0</v>
      </c>
      <c r="AY632" s="963">
        <f t="shared" si="991"/>
        <v>0</v>
      </c>
      <c r="AZ632" s="963">
        <f t="shared" si="991"/>
        <v>0</v>
      </c>
      <c r="BA632" s="963">
        <f t="shared" si="991"/>
        <v>0</v>
      </c>
      <c r="BB632" s="963">
        <f t="shared" si="991"/>
        <v>0</v>
      </c>
      <c r="BC632" s="963">
        <f t="shared" si="991"/>
        <v>0</v>
      </c>
      <c r="BD632" s="963">
        <f t="shared" si="991"/>
        <v>0</v>
      </c>
      <c r="BE632" s="963">
        <f t="shared" si="991"/>
        <v>0</v>
      </c>
      <c r="BF632" s="963">
        <f t="shared" si="991"/>
        <v>0</v>
      </c>
    </row>
    <row r="633" spans="29:58" x14ac:dyDescent="0.25">
      <c r="AC633" s="934" t="str">
        <f>IF('T4'!AC153&gt;annualisation!$AA$62,"", 'T4'!AC153)</f>
        <v/>
      </c>
      <c r="AD633" s="968">
        <f>'T4'!AD153</f>
        <v>0</v>
      </c>
      <c r="AE633" s="962">
        <f>'T4'!N153</f>
        <v>0</v>
      </c>
      <c r="AF633" s="968">
        <f>'T4'!AF153</f>
        <v>0</v>
      </c>
      <c r="AG633" s="962">
        <f>'T4'!O153</f>
        <v>0</v>
      </c>
      <c r="AI633" s="962">
        <f t="shared" si="988"/>
        <v>0</v>
      </c>
      <c r="AJ633" s="962">
        <f t="shared" si="989"/>
        <v>0</v>
      </c>
      <c r="AV633" s="954"/>
      <c r="AW633" s="963">
        <f t="shared" ref="AW633:BF633" si="992">IF(MONTH(AD633)=AW631,AH633,0)</f>
        <v>0</v>
      </c>
      <c r="AX633" s="963">
        <f t="shared" si="992"/>
        <v>0</v>
      </c>
      <c r="AY633" s="963">
        <f t="shared" si="992"/>
        <v>0</v>
      </c>
      <c r="AZ633" s="963">
        <f t="shared" si="992"/>
        <v>0</v>
      </c>
      <c r="BA633" s="963">
        <f t="shared" si="992"/>
        <v>0</v>
      </c>
      <c r="BB633" s="963">
        <f t="shared" si="992"/>
        <v>0</v>
      </c>
      <c r="BC633" s="963">
        <f t="shared" si="992"/>
        <v>0</v>
      </c>
      <c r="BD633" s="963">
        <f t="shared" si="992"/>
        <v>0</v>
      </c>
      <c r="BE633" s="963">
        <f t="shared" si="992"/>
        <v>0</v>
      </c>
      <c r="BF633" s="963" t="e">
        <f t="shared" si="992"/>
        <v>#VALUE!</v>
      </c>
    </row>
    <row r="634" spans="29:58" x14ac:dyDescent="0.25">
      <c r="AC634" s="934" t="str">
        <f>IF('T4'!AC154&gt;annualisation!$AA$62,"", 'T4'!AC154)</f>
        <v/>
      </c>
      <c r="AD634" s="968">
        <f>'T4'!AD154</f>
        <v>0</v>
      </c>
      <c r="AE634" s="962">
        <f>'T4'!N154</f>
        <v>0</v>
      </c>
      <c r="AF634" s="968">
        <f>'T4'!AF154</f>
        <v>0</v>
      </c>
      <c r="AG634" s="962">
        <f>'T4'!O154</f>
        <v>0</v>
      </c>
      <c r="AI634" s="962">
        <f t="shared" si="988"/>
        <v>0</v>
      </c>
      <c r="AJ634" s="962">
        <f t="shared" si="989"/>
        <v>0</v>
      </c>
      <c r="AV634" s="954"/>
      <c r="AW634" s="963">
        <f t="shared" ref="AW634:BF634" si="993">IF(MONTH(AD634)=AW632,AH634,0)</f>
        <v>0</v>
      </c>
      <c r="AX634" s="963">
        <f t="shared" si="993"/>
        <v>0</v>
      </c>
      <c r="AY634" s="963">
        <f t="shared" si="993"/>
        <v>0</v>
      </c>
      <c r="AZ634" s="963">
        <f t="shared" si="993"/>
        <v>0</v>
      </c>
      <c r="BA634" s="963">
        <f t="shared" si="993"/>
        <v>0</v>
      </c>
      <c r="BB634" s="963">
        <f t="shared" si="993"/>
        <v>0</v>
      </c>
      <c r="BC634" s="963">
        <f t="shared" si="993"/>
        <v>0</v>
      </c>
      <c r="BD634" s="963">
        <f t="shared" si="993"/>
        <v>0</v>
      </c>
      <c r="BE634" s="963">
        <f t="shared" si="993"/>
        <v>0</v>
      </c>
      <c r="BF634" s="963">
        <f t="shared" si="993"/>
        <v>0</v>
      </c>
    </row>
    <row r="635" spans="29:58" x14ac:dyDescent="0.25">
      <c r="AC635" s="934" t="str">
        <f>IF('T4'!AC155&gt;annualisation!$AA$62,"", 'T4'!AC155)</f>
        <v/>
      </c>
      <c r="AD635" s="968">
        <f>'T4'!AD155</f>
        <v>0</v>
      </c>
      <c r="AE635" s="962">
        <f>'T4'!N155</f>
        <v>0</v>
      </c>
      <c r="AF635" s="968">
        <f>'T4'!AF155</f>
        <v>0</v>
      </c>
      <c r="AG635" s="962">
        <f>'T4'!O155</f>
        <v>0</v>
      </c>
      <c r="AI635" s="962">
        <f t="shared" si="988"/>
        <v>0</v>
      </c>
      <c r="AJ635" s="962">
        <f t="shared" si="989"/>
        <v>0</v>
      </c>
      <c r="AV635" s="954"/>
      <c r="AW635" s="963">
        <f t="shared" ref="AW635:BF635" si="994">IF(MONTH(AD635)=AW633,AH635,0)</f>
        <v>0</v>
      </c>
      <c r="AX635" s="963">
        <f t="shared" si="994"/>
        <v>0</v>
      </c>
      <c r="AY635" s="963">
        <f t="shared" si="994"/>
        <v>0</v>
      </c>
      <c r="AZ635" s="963">
        <f t="shared" si="994"/>
        <v>0</v>
      </c>
      <c r="BA635" s="963">
        <f t="shared" si="994"/>
        <v>0</v>
      </c>
      <c r="BB635" s="963">
        <f t="shared" si="994"/>
        <v>0</v>
      </c>
      <c r="BC635" s="963">
        <f t="shared" si="994"/>
        <v>0</v>
      </c>
      <c r="BD635" s="963">
        <f t="shared" si="994"/>
        <v>0</v>
      </c>
      <c r="BE635" s="963">
        <f t="shared" si="994"/>
        <v>0</v>
      </c>
      <c r="BF635" s="963" t="e">
        <f t="shared" si="994"/>
        <v>#VALUE!</v>
      </c>
    </row>
    <row r="636" spans="29:58" x14ac:dyDescent="0.25">
      <c r="AC636" s="934" t="str">
        <f>IF('T4'!AC156&gt;annualisation!$AA$62,"", 'T4'!AC156)</f>
        <v/>
      </c>
      <c r="AD636" s="968">
        <f>'T4'!AD156</f>
        <v>0</v>
      </c>
      <c r="AE636" s="962">
        <f>'T4'!N156</f>
        <v>0</v>
      </c>
      <c r="AF636" s="968">
        <f>'T4'!AF156</f>
        <v>0</v>
      </c>
      <c r="AG636" s="962">
        <f>'T4'!O156</f>
        <v>0</v>
      </c>
      <c r="AI636" s="962">
        <f t="shared" si="988"/>
        <v>0</v>
      </c>
      <c r="AJ636" s="962">
        <f t="shared" si="989"/>
        <v>0</v>
      </c>
      <c r="AV636" s="954"/>
      <c r="AW636" s="963">
        <f t="shared" ref="AW636:BF636" si="995">IF(MONTH(AD636)=AW634,AH636,0)</f>
        <v>0</v>
      </c>
      <c r="AX636" s="963">
        <f t="shared" si="995"/>
        <v>0</v>
      </c>
      <c r="AY636" s="963">
        <f t="shared" si="995"/>
        <v>0</v>
      </c>
      <c r="AZ636" s="963">
        <f t="shared" si="995"/>
        <v>0</v>
      </c>
      <c r="BA636" s="963">
        <f t="shared" si="995"/>
        <v>0</v>
      </c>
      <c r="BB636" s="963">
        <f t="shared" si="995"/>
        <v>0</v>
      </c>
      <c r="BC636" s="963">
        <f t="shared" si="995"/>
        <v>0</v>
      </c>
      <c r="BD636" s="963">
        <f t="shared" si="995"/>
        <v>0</v>
      </c>
      <c r="BE636" s="963">
        <f t="shared" si="995"/>
        <v>0</v>
      </c>
      <c r="BF636" s="963">
        <f t="shared" si="995"/>
        <v>0</v>
      </c>
    </row>
    <row r="642" spans="30:31" x14ac:dyDescent="0.25">
      <c r="AD642" s="968"/>
      <c r="AE642" s="1049"/>
    </row>
    <row r="643" spans="30:31" x14ac:dyDescent="0.25">
      <c r="AD643" s="968"/>
      <c r="AE643" s="1049"/>
    </row>
    <row r="644" spans="30:31" x14ac:dyDescent="0.25">
      <c r="AD644" s="968"/>
      <c r="AE644" s="1049"/>
    </row>
    <row r="645" spans="30:31" x14ac:dyDescent="0.25">
      <c r="AD645" s="968"/>
      <c r="AE645" s="1049"/>
    </row>
    <row r="646" spans="30:31" x14ac:dyDescent="0.25">
      <c r="AD646" s="968"/>
      <c r="AE646" s="1049"/>
    </row>
    <row r="647" spans="30:31" x14ac:dyDescent="0.25">
      <c r="AD647" s="968"/>
      <c r="AE647" s="1049"/>
    </row>
    <row r="648" spans="30:31" x14ac:dyDescent="0.25">
      <c r="AD648" s="968"/>
      <c r="AE648" s="1049"/>
    </row>
    <row r="654" spans="30:31" x14ac:dyDescent="0.25">
      <c r="AD654" s="968"/>
      <c r="AE654" s="1049"/>
    </row>
    <row r="655" spans="30:31" x14ac:dyDescent="0.25">
      <c r="AD655" s="968"/>
      <c r="AE655" s="1049"/>
    </row>
    <row r="656" spans="30:31" x14ac:dyDescent="0.25">
      <c r="AD656" s="968"/>
      <c r="AE656" s="1049"/>
    </row>
    <row r="657" spans="30:31" x14ac:dyDescent="0.25">
      <c r="AD657" s="968"/>
      <c r="AE657" s="1049"/>
    </row>
    <row r="658" spans="30:31" x14ac:dyDescent="0.25">
      <c r="AD658" s="968"/>
      <c r="AE658" s="1049"/>
    </row>
    <row r="659" spans="30:31" x14ac:dyDescent="0.25">
      <c r="AD659" s="968"/>
      <c r="AE659" s="1049"/>
    </row>
    <row r="660" spans="30:31" x14ac:dyDescent="0.25">
      <c r="AD660" s="968"/>
      <c r="AE660" s="1049"/>
    </row>
    <row r="666" spans="30:31" x14ac:dyDescent="0.25">
      <c r="AD666" s="968"/>
      <c r="AE666" s="1049"/>
    </row>
    <row r="667" spans="30:31" x14ac:dyDescent="0.25">
      <c r="AD667" s="968"/>
      <c r="AE667" s="1049"/>
    </row>
    <row r="668" spans="30:31" x14ac:dyDescent="0.25">
      <c r="AD668" s="968"/>
      <c r="AE668" s="1049"/>
    </row>
    <row r="669" spans="30:31" x14ac:dyDescent="0.25">
      <c r="AD669" s="968"/>
      <c r="AE669" s="1049"/>
    </row>
    <row r="670" spans="30:31" x14ac:dyDescent="0.25">
      <c r="AD670" s="968"/>
      <c r="AE670" s="1049"/>
    </row>
    <row r="671" spans="30:31" x14ac:dyDescent="0.25">
      <c r="AD671" s="968"/>
      <c r="AE671" s="1049"/>
    </row>
    <row r="672" spans="30:31" x14ac:dyDescent="0.25">
      <c r="AD672" s="968"/>
      <c r="AE672" s="1049"/>
    </row>
  </sheetData>
  <sheetProtection algorithmName="SHA-512" hashValue="YlyrD+61FH6UJKSEze1LD9FCbwTc1eu56pUMHZSBiIm4I/dLJycEBCUi+dXKm7tQ0Lw+1CEQj32DSPgB8ruiuw==" saltValue="JxZZNQrpN3Lg3ALIrcQhmw==" spinCount="100000" sheet="1" objects="1" scenarios="1" selectLockedCells="1"/>
  <mergeCells count="393">
    <mergeCell ref="AC1:AG1"/>
    <mergeCell ref="A170:G170"/>
    <mergeCell ref="S169:Y170"/>
    <mergeCell ref="S167:Y168"/>
    <mergeCell ref="S165:Y166"/>
    <mergeCell ref="S162:Y164"/>
    <mergeCell ref="Q189:R190"/>
    <mergeCell ref="Q179:R180"/>
    <mergeCell ref="Q162:R164"/>
    <mergeCell ref="S189:Y190"/>
    <mergeCell ref="S187:Y188"/>
    <mergeCell ref="S185:Y186"/>
    <mergeCell ref="S183:Y184"/>
    <mergeCell ref="S181:Y182"/>
    <mergeCell ref="S179:Y180"/>
    <mergeCell ref="A172:C173"/>
    <mergeCell ref="Q165:R166"/>
    <mergeCell ref="Z165:AA166"/>
    <mergeCell ref="Z187:AA188"/>
    <mergeCell ref="Z185:AA186"/>
    <mergeCell ref="Q183:R184"/>
    <mergeCell ref="Q185:R186"/>
    <mergeCell ref="P177:P178"/>
    <mergeCell ref="Z177:AA178"/>
    <mergeCell ref="AL4:AL5"/>
    <mergeCell ref="S76:S77"/>
    <mergeCell ref="S88:S89"/>
    <mergeCell ref="S100:S101"/>
    <mergeCell ref="S112:S113"/>
    <mergeCell ref="S124:S125"/>
    <mergeCell ref="S4:S5"/>
    <mergeCell ref="S16:S17"/>
    <mergeCell ref="S28:S29"/>
    <mergeCell ref="S40:S41"/>
    <mergeCell ref="S52:S53"/>
    <mergeCell ref="S64:S65"/>
    <mergeCell ref="T88:T89"/>
    <mergeCell ref="Z33:AA33"/>
    <mergeCell ref="Z12:AA12"/>
    <mergeCell ref="Z16:AA17"/>
    <mergeCell ref="Z18:AA18"/>
    <mergeCell ref="Z19:AA19"/>
    <mergeCell ref="Z22:AA22"/>
    <mergeCell ref="Z24:AA24"/>
    <mergeCell ref="Z20:AA20"/>
    <mergeCell ref="Z32:AA32"/>
    <mergeCell ref="Z10:AA10"/>
    <mergeCell ref="Z11:AA11"/>
    <mergeCell ref="P179:P180"/>
    <mergeCell ref="Q177:R178"/>
    <mergeCell ref="S177:Y178"/>
    <mergeCell ref="P173:P174"/>
    <mergeCell ref="Z173:AA174"/>
    <mergeCell ref="P175:P176"/>
    <mergeCell ref="Z175:AA176"/>
    <mergeCell ref="Q173:R174"/>
    <mergeCell ref="Q175:R176"/>
    <mergeCell ref="S175:Y176"/>
    <mergeCell ref="Z162:AA164"/>
    <mergeCell ref="Z131:AA131"/>
    <mergeCell ref="Z132:AA132"/>
    <mergeCell ref="Z124:AA125"/>
    <mergeCell ref="Z139:AA139"/>
    <mergeCell ref="Z143:AA143"/>
    <mergeCell ref="Z140:AA140"/>
    <mergeCell ref="Z78:AA78"/>
    <mergeCell ref="Z79:AA79"/>
    <mergeCell ref="Z80:AA80"/>
    <mergeCell ref="Z108:AA108"/>
    <mergeCell ref="Z116:AA116"/>
    <mergeCell ref="Z117:AA117"/>
    <mergeCell ref="Z102:AA102"/>
    <mergeCell ref="Z103:AA103"/>
    <mergeCell ref="Z115:AA115"/>
    <mergeCell ref="Z88:AA89"/>
    <mergeCell ref="Z96:AA96"/>
    <mergeCell ref="Z100:AA101"/>
    <mergeCell ref="Z114:AA114"/>
    <mergeCell ref="Z94:AA94"/>
    <mergeCell ref="Z93:AA93"/>
    <mergeCell ref="Z83:AA83"/>
    <mergeCell ref="Z105:AA105"/>
    <mergeCell ref="Q171:R172"/>
    <mergeCell ref="S171:Y172"/>
    <mergeCell ref="T100:T101"/>
    <mergeCell ref="S136:S137"/>
    <mergeCell ref="N88:N89"/>
    <mergeCell ref="U76:Y76"/>
    <mergeCell ref="R76:R77"/>
    <mergeCell ref="P136:P137"/>
    <mergeCell ref="Q136:Q137"/>
    <mergeCell ref="R136:R137"/>
    <mergeCell ref="O124:O125"/>
    <mergeCell ref="O76:O77"/>
    <mergeCell ref="T148:T149"/>
    <mergeCell ref="S148:S149"/>
    <mergeCell ref="Q100:Q101"/>
    <mergeCell ref="P76:P77"/>
    <mergeCell ref="N76:N77"/>
    <mergeCell ref="A1:AA1"/>
    <mergeCell ref="T124:T125"/>
    <mergeCell ref="U124:Y124"/>
    <mergeCell ref="T64:T65"/>
    <mergeCell ref="U64:Y64"/>
    <mergeCell ref="T76:T77"/>
    <mergeCell ref="T112:T113"/>
    <mergeCell ref="U112:Y112"/>
    <mergeCell ref="J100:K100"/>
    <mergeCell ref="R100:R101"/>
    <mergeCell ref="L100:M100"/>
    <mergeCell ref="U88:Y88"/>
    <mergeCell ref="F99:G99"/>
    <mergeCell ref="I99:J99"/>
    <mergeCell ref="P88:P89"/>
    <mergeCell ref="Q88:Q89"/>
    <mergeCell ref="R88:R89"/>
    <mergeCell ref="O100:O101"/>
    <mergeCell ref="R64:R65"/>
    <mergeCell ref="L52:M52"/>
    <mergeCell ref="N100:N101"/>
    <mergeCell ref="O88:O89"/>
    <mergeCell ref="U100:Y100"/>
    <mergeCell ref="F15:G15"/>
    <mergeCell ref="J52:K52"/>
    <mergeCell ref="J28:K28"/>
    <mergeCell ref="I51:J51"/>
    <mergeCell ref="H40:I40"/>
    <mergeCell ref="L40:M40"/>
    <mergeCell ref="N40:N41"/>
    <mergeCell ref="Q64:Q65"/>
    <mergeCell ref="P52:P53"/>
    <mergeCell ref="N64:N65"/>
    <mergeCell ref="H52:I52"/>
    <mergeCell ref="L112:M112"/>
    <mergeCell ref="N112:N113"/>
    <mergeCell ref="L124:M124"/>
    <mergeCell ref="O112:O113"/>
    <mergeCell ref="N124:N125"/>
    <mergeCell ref="R112:R113"/>
    <mergeCell ref="Q112:Q113"/>
    <mergeCell ref="P112:P113"/>
    <mergeCell ref="F164:G164"/>
    <mergeCell ref="F163:G163"/>
    <mergeCell ref="F159:G159"/>
    <mergeCell ref="H148:I148"/>
    <mergeCell ref="I147:J147"/>
    <mergeCell ref="R148:R149"/>
    <mergeCell ref="A192:AA193"/>
    <mergeCell ref="P165:P166"/>
    <mergeCell ref="P167:P168"/>
    <mergeCell ref="Z167:AA168"/>
    <mergeCell ref="Q167:R168"/>
    <mergeCell ref="Z179:AA180"/>
    <mergeCell ref="F166:G166"/>
    <mergeCell ref="S173:Y174"/>
    <mergeCell ref="P169:P170"/>
    <mergeCell ref="Z169:AA170"/>
    <mergeCell ref="P189:P190"/>
    <mergeCell ref="Z189:AA190"/>
    <mergeCell ref="Q181:R182"/>
    <mergeCell ref="P181:P182"/>
    <mergeCell ref="P187:P188"/>
    <mergeCell ref="P185:P186"/>
    <mergeCell ref="Z181:AA182"/>
    <mergeCell ref="P183:P184"/>
    <mergeCell ref="Q187:R188"/>
    <mergeCell ref="Z183:AA184"/>
    <mergeCell ref="D172:G173"/>
    <mergeCell ref="P171:P172"/>
    <mergeCell ref="Z171:AA172"/>
    <mergeCell ref="Q169:R170"/>
    <mergeCell ref="B100:C100"/>
    <mergeCell ref="D100:E100"/>
    <mergeCell ref="F100:G100"/>
    <mergeCell ref="H100:I100"/>
    <mergeCell ref="F165:G165"/>
    <mergeCell ref="H163:I163"/>
    <mergeCell ref="F161:G161"/>
    <mergeCell ref="F147:G147"/>
    <mergeCell ref="H112:I112"/>
    <mergeCell ref="B124:C124"/>
    <mergeCell ref="D124:E124"/>
    <mergeCell ref="F124:G124"/>
    <mergeCell ref="H124:I124"/>
    <mergeCell ref="B112:C112"/>
    <mergeCell ref="D112:E112"/>
    <mergeCell ref="F112:G112"/>
    <mergeCell ref="I123:J123"/>
    <mergeCell ref="F123:G123"/>
    <mergeCell ref="J124:K124"/>
    <mergeCell ref="J136:K136"/>
    <mergeCell ref="J163:K163"/>
    <mergeCell ref="B148:C148"/>
    <mergeCell ref="B136:C136"/>
    <mergeCell ref="D136:E136"/>
    <mergeCell ref="B64:C64"/>
    <mergeCell ref="L76:M76"/>
    <mergeCell ref="D64:E64"/>
    <mergeCell ref="B88:C88"/>
    <mergeCell ref="H88:I88"/>
    <mergeCell ref="J88:K88"/>
    <mergeCell ref="L64:M64"/>
    <mergeCell ref="F76:G76"/>
    <mergeCell ref="F88:G88"/>
    <mergeCell ref="F87:G87"/>
    <mergeCell ref="I87:J87"/>
    <mergeCell ref="F64:G64"/>
    <mergeCell ref="H76:I76"/>
    <mergeCell ref="J76:K76"/>
    <mergeCell ref="F75:G75"/>
    <mergeCell ref="I75:J75"/>
    <mergeCell ref="L88:M88"/>
    <mergeCell ref="B76:C76"/>
    <mergeCell ref="D76:E76"/>
    <mergeCell ref="H64:I64"/>
    <mergeCell ref="J64:K64"/>
    <mergeCell ref="F63:G63"/>
    <mergeCell ref="O52:O53"/>
    <mergeCell ref="Q76:Q77"/>
    <mergeCell ref="P64:P65"/>
    <mergeCell ref="O64:O65"/>
    <mergeCell ref="I63:J63"/>
    <mergeCell ref="Q40:Q41"/>
    <mergeCell ref="D88:E88"/>
    <mergeCell ref="P4:P5"/>
    <mergeCell ref="O16:O17"/>
    <mergeCell ref="P40:P41"/>
    <mergeCell ref="O40:O41"/>
    <mergeCell ref="N52:N53"/>
    <mergeCell ref="I15:J15"/>
    <mergeCell ref="F27:G27"/>
    <mergeCell ref="I27:J27"/>
    <mergeCell ref="J16:K16"/>
    <mergeCell ref="F52:G52"/>
    <mergeCell ref="O28:O29"/>
    <mergeCell ref="N4:N5"/>
    <mergeCell ref="Q52:Q53"/>
    <mergeCell ref="L28:M28"/>
    <mergeCell ref="J40:K40"/>
    <mergeCell ref="I39:J39"/>
    <mergeCell ref="B52:C52"/>
    <mergeCell ref="B4:C4"/>
    <mergeCell ref="D4:E4"/>
    <mergeCell ref="F4:G4"/>
    <mergeCell ref="H4:I4"/>
    <mergeCell ref="B16:C16"/>
    <mergeCell ref="D16:E16"/>
    <mergeCell ref="F16:G16"/>
    <mergeCell ref="H16:I16"/>
    <mergeCell ref="D52:E52"/>
    <mergeCell ref="D40:E40"/>
    <mergeCell ref="F40:G40"/>
    <mergeCell ref="B28:C28"/>
    <mergeCell ref="D28:E28"/>
    <mergeCell ref="F28:G28"/>
    <mergeCell ref="H28:I28"/>
    <mergeCell ref="F51:G51"/>
    <mergeCell ref="F39:G39"/>
    <mergeCell ref="B40:C40"/>
    <mergeCell ref="Z64:AA65"/>
    <mergeCell ref="Z42:AA42"/>
    <mergeCell ref="F3:G3"/>
    <mergeCell ref="I3:J3"/>
    <mergeCell ref="J4:K4"/>
    <mergeCell ref="T28:T29"/>
    <mergeCell ref="U28:Y28"/>
    <mergeCell ref="Q16:Q17"/>
    <mergeCell ref="R28:R29"/>
    <mergeCell ref="R16:R17"/>
    <mergeCell ref="L16:M16"/>
    <mergeCell ref="N16:N17"/>
    <mergeCell ref="P16:P17"/>
    <mergeCell ref="T16:T17"/>
    <mergeCell ref="U16:Y16"/>
    <mergeCell ref="L4:M4"/>
    <mergeCell ref="U4:Y4"/>
    <mergeCell ref="T4:T5"/>
    <mergeCell ref="O4:O5"/>
    <mergeCell ref="Q4:Q5"/>
    <mergeCell ref="R4:R5"/>
    <mergeCell ref="N28:N29"/>
    <mergeCell ref="Q28:Q29"/>
    <mergeCell ref="P28:P29"/>
    <mergeCell ref="Z54:AA54"/>
    <mergeCell ref="Z55:AA55"/>
    <mergeCell ref="U52:Y52"/>
    <mergeCell ref="Z43:AA43"/>
    <mergeCell ref="Z45:AA45"/>
    <mergeCell ref="Z46:AA46"/>
    <mergeCell ref="Z4:AA5"/>
    <mergeCell ref="Z6:AA6"/>
    <mergeCell ref="Z7:AA7"/>
    <mergeCell ref="Z8:AA8"/>
    <mergeCell ref="Z9:AA9"/>
    <mergeCell ref="Z21:AA21"/>
    <mergeCell ref="Z23:AA23"/>
    <mergeCell ref="Z28:AA29"/>
    <mergeCell ref="R40:R41"/>
    <mergeCell ref="U40:Y40"/>
    <mergeCell ref="Z52:AA53"/>
    <mergeCell ref="Z47:AA47"/>
    <mergeCell ref="Z48:AA48"/>
    <mergeCell ref="Z44:AA44"/>
    <mergeCell ref="T52:T53"/>
    <mergeCell ref="F162:G162"/>
    <mergeCell ref="U148:Y148"/>
    <mergeCell ref="L148:M148"/>
    <mergeCell ref="N148:N149"/>
    <mergeCell ref="O148:O149"/>
    <mergeCell ref="R160:AA160"/>
    <mergeCell ref="Z150:AA150"/>
    <mergeCell ref="Z148:AA149"/>
    <mergeCell ref="Z156:AA156"/>
    <mergeCell ref="Z155:AA155"/>
    <mergeCell ref="Z151:AA151"/>
    <mergeCell ref="Z152:AA152"/>
    <mergeCell ref="Z153:AA153"/>
    <mergeCell ref="Z154:AA154"/>
    <mergeCell ref="J148:K148"/>
    <mergeCell ref="F148:G148"/>
    <mergeCell ref="F160:G160"/>
    <mergeCell ref="D148:E148"/>
    <mergeCell ref="P148:P149"/>
    <mergeCell ref="Q148:Q149"/>
    <mergeCell ref="Z144:AA144"/>
    <mergeCell ref="Z142:AA142"/>
    <mergeCell ref="Z112:AA113"/>
    <mergeCell ref="Z106:AA106"/>
    <mergeCell ref="Z107:AA107"/>
    <mergeCell ref="F111:G111"/>
    <mergeCell ref="F136:G136"/>
    <mergeCell ref="F135:G135"/>
    <mergeCell ref="I135:J135"/>
    <mergeCell ref="P124:P125"/>
    <mergeCell ref="T136:T137"/>
    <mergeCell ref="U136:Y136"/>
    <mergeCell ref="L136:M136"/>
    <mergeCell ref="N136:N137"/>
    <mergeCell ref="H136:I136"/>
    <mergeCell ref="O136:O137"/>
    <mergeCell ref="I111:J111"/>
    <mergeCell ref="J112:K112"/>
    <mergeCell ref="R124:R125"/>
    <mergeCell ref="Z127:AA127"/>
    <mergeCell ref="Z119:AA119"/>
    <mergeCell ref="Z92:AA92"/>
    <mergeCell ref="Z95:AA95"/>
    <mergeCell ref="AD4:AD5"/>
    <mergeCell ref="Z141:AA141"/>
    <mergeCell ref="Z138:AA138"/>
    <mergeCell ref="Z136:AA137"/>
    <mergeCell ref="Z128:AA128"/>
    <mergeCell ref="Z129:AA129"/>
    <mergeCell ref="Z130:AA130"/>
    <mergeCell ref="Z67:AA67"/>
    <mergeCell ref="Z56:AA56"/>
    <mergeCell ref="Z120:AA120"/>
    <mergeCell ref="Z126:AA126"/>
    <mergeCell ref="Z118:AA118"/>
    <mergeCell ref="Z91:AA91"/>
    <mergeCell ref="Z104:AA104"/>
    <mergeCell ref="Z70:AA70"/>
    <mergeCell ref="Z71:AA71"/>
    <mergeCell ref="Z72:AA72"/>
    <mergeCell ref="Z66:AA66"/>
    <mergeCell ref="Z57:AA57"/>
    <mergeCell ref="Z60:AA60"/>
    <mergeCell ref="Z58:AA58"/>
    <mergeCell ref="Z59:AA59"/>
    <mergeCell ref="AV3:BF3"/>
    <mergeCell ref="Z68:AA68"/>
    <mergeCell ref="Z69:AA69"/>
    <mergeCell ref="P100:P101"/>
    <mergeCell ref="Q124:Q125"/>
    <mergeCell ref="Z2:AA2"/>
    <mergeCell ref="AJ4:AJ5"/>
    <mergeCell ref="AG4:AG5"/>
    <mergeCell ref="AF4:AF5"/>
    <mergeCell ref="AI4:AI5"/>
    <mergeCell ref="Z84:AA84"/>
    <mergeCell ref="Z81:AA81"/>
    <mergeCell ref="Z82:AA82"/>
    <mergeCell ref="Z76:AA77"/>
    <mergeCell ref="Z90:AA90"/>
    <mergeCell ref="Z36:AA36"/>
    <mergeCell ref="Z40:AA41"/>
    <mergeCell ref="T40:T41"/>
    <mergeCell ref="Z30:AA30"/>
    <mergeCell ref="Z31:AA31"/>
    <mergeCell ref="R52:R53"/>
    <mergeCell ref="Z34:AA34"/>
    <mergeCell ref="Z35:AA35"/>
    <mergeCell ref="AE4:AE5"/>
  </mergeCells>
  <phoneticPr fontId="34" type="noConversion"/>
  <conditionalFormatting sqref="A91 A103 A7 A115 A79 A67 A55 A43 A31 A19 A127 A139 A151">
    <cfRule type="expression" dxfId="1868" priority="5261" stopIfTrue="1">
      <formula>COUNTIF(tab_vacances,F3+1)&gt;=1</formula>
    </cfRule>
  </conditionalFormatting>
  <conditionalFormatting sqref="A90 A102 A6 A114 A78 A54 A42 A30 A18 A126 A138 A150">
    <cfRule type="expression" dxfId="1867" priority="5262" stopIfTrue="1">
      <formula>COUNTIF(tab_vacances,F3)&gt;=1</formula>
    </cfRule>
  </conditionalFormatting>
  <conditionalFormatting sqref="A92 A104 A8 A116 A80 A68 A56 A44 A32 A128 A140 A152">
    <cfRule type="expression" dxfId="1866" priority="5263" stopIfTrue="1">
      <formula>COUNTIF(tab_vacances,F3+2)&gt;=1</formula>
    </cfRule>
  </conditionalFormatting>
  <conditionalFormatting sqref="A93 A105 A9 A117 A81 A69 A57 A45 A33 A129 A141 A153">
    <cfRule type="expression" dxfId="1865" priority="5264" stopIfTrue="1">
      <formula>COUNTIF(tab_vacances,F3+3)&gt;=1</formula>
    </cfRule>
  </conditionalFormatting>
  <conditionalFormatting sqref="A94 A106 A10 A118 A82 A70 A58 A46 A34 A130 A142 A154">
    <cfRule type="expression" dxfId="1864" priority="5265" stopIfTrue="1">
      <formula>COUNTIF(tab_vacances,F3+4)&gt;=1</formula>
    </cfRule>
  </conditionalFormatting>
  <conditionalFormatting sqref="Y191:Y65536 U191:W65536 Y3:Y5 U3:W5 U25:W27 Y25:Y27 Y37:Y39 U37:W39 U49:W51 Y49:Y51 Y61:Y63 U61:W63 U73:W75 Y73:Y75 Y85:Y87 U85:W87 U97:W99 Y97:Y99 Y109:Y111 U109:W111 U121:W123 Y121:Y123 Y133:Y135 U133:W135 U145:W147 Y145:Y147 Y157:Y159 U157:W159 U13:W15 Y13:Y15">
    <cfRule type="containsText" dxfId="1863" priority="4502" operator="containsText" text="PB">
      <formula>NOT(ISERROR(SEARCH("PB",U3)))</formula>
    </cfRule>
  </conditionalFormatting>
  <conditionalFormatting sqref="AA14 AA26:AA27 AA38:AA39 AA50:AA51 AA62:AA63 AA74:AA75 AA86:AA87 AA98:AA99 AA110:AA111 AA122:AA123 AA134:AA135 AA146:AA147 AA158">
    <cfRule type="cellIs" dxfId="1862" priority="3234" operator="greaterThan">
      <formula>44/24</formula>
    </cfRule>
  </conditionalFormatting>
  <conditionalFormatting sqref="O14 O146 O158">
    <cfRule type="cellIs" dxfId="1861" priority="3588" operator="greaterThan">
      <formula>48/24</formula>
    </cfRule>
  </conditionalFormatting>
  <conditionalFormatting sqref="Z6:AA156">
    <cfRule type="expression" dxfId="1860" priority="2671" stopIfTrue="1">
      <formula>OR(C6="aa",C6="m",C6="css")</formula>
    </cfRule>
  </conditionalFormatting>
  <conditionalFormatting sqref="Y64:Y65 U64:W65">
    <cfRule type="containsText" dxfId="1859" priority="1751" operator="containsText" text="PB">
      <formula>NOT(ISERROR(SEARCH("PB",U64)))</formula>
    </cfRule>
  </conditionalFormatting>
  <conditionalFormatting sqref="Y16:Y17 U16:W17">
    <cfRule type="containsText" dxfId="1858" priority="1756" operator="containsText" text="PB">
      <formula>NOT(ISERROR(SEARCH("PB",U16)))</formula>
    </cfRule>
  </conditionalFormatting>
  <conditionalFormatting sqref="Y28:Y29 U28:W29">
    <cfRule type="containsText" dxfId="1857" priority="1754" operator="containsText" text="PB">
      <formula>NOT(ISERROR(SEARCH("PB",U28)))</formula>
    </cfRule>
  </conditionalFormatting>
  <conditionalFormatting sqref="Y40:Y41 U40:W41">
    <cfRule type="containsText" dxfId="1856" priority="1753" operator="containsText" text="PB">
      <formula>NOT(ISERROR(SEARCH("PB",U40)))</formula>
    </cfRule>
  </conditionalFormatting>
  <conditionalFormatting sqref="Y52:Y53 U52:W53">
    <cfRule type="containsText" dxfId="1855" priority="1752" operator="containsText" text="PB">
      <formula>NOT(ISERROR(SEARCH("PB",U52)))</formula>
    </cfRule>
  </conditionalFormatting>
  <conditionalFormatting sqref="Y76:Y77 U76:W77">
    <cfRule type="containsText" dxfId="1854" priority="1750" operator="containsText" text="PB">
      <formula>NOT(ISERROR(SEARCH("PB",U76)))</formula>
    </cfRule>
  </conditionalFormatting>
  <conditionalFormatting sqref="Y88:Y89 U88:W89">
    <cfRule type="containsText" dxfId="1853" priority="1749" operator="containsText" text="PB">
      <formula>NOT(ISERROR(SEARCH("PB",U88)))</formula>
    </cfRule>
  </conditionalFormatting>
  <conditionalFormatting sqref="Y100:Y101 U100:W101">
    <cfRule type="containsText" dxfId="1852" priority="1748" operator="containsText" text="PB">
      <formula>NOT(ISERROR(SEARCH("PB",U100)))</formula>
    </cfRule>
  </conditionalFormatting>
  <conditionalFormatting sqref="Y112:Y113 U112:W113">
    <cfRule type="containsText" dxfId="1851" priority="1747" operator="containsText" text="PB">
      <formula>NOT(ISERROR(SEARCH("PB",U112)))</formula>
    </cfRule>
  </conditionalFormatting>
  <conditionalFormatting sqref="Y124:Y125 U124:W125">
    <cfRule type="containsText" dxfId="1850" priority="1746" operator="containsText" text="PB">
      <formula>NOT(ISERROR(SEARCH("PB",U124)))</formula>
    </cfRule>
  </conditionalFormatting>
  <conditionalFormatting sqref="Y136:Y137 U136:W137">
    <cfRule type="containsText" dxfId="1849" priority="1745" operator="containsText" text="PB">
      <formula>NOT(ISERROR(SEARCH("PB",U136)))</formula>
    </cfRule>
  </conditionalFormatting>
  <conditionalFormatting sqref="Y148:Y149 U148:W149">
    <cfRule type="containsText" dxfId="1848" priority="1744" operator="containsText" text="PB">
      <formula>NOT(ISERROR(SEARCH("PB",U148)))</formula>
    </cfRule>
  </conditionalFormatting>
  <conditionalFormatting sqref="A20">
    <cfRule type="expression" dxfId="1847" priority="1344" stopIfTrue="1">
      <formula>COUNTIF(tab_vacances,F16+1)&gt;=1</formula>
    </cfRule>
  </conditionalFormatting>
  <conditionalFormatting sqref="A21">
    <cfRule type="expression" dxfId="1846" priority="1343" stopIfTrue="1">
      <formula>COUNTIF(tab_vacances,F17+1)&gt;=1</formula>
    </cfRule>
  </conditionalFormatting>
  <conditionalFormatting sqref="A22">
    <cfRule type="expression" dxfId="1845" priority="1342" stopIfTrue="1">
      <formula>COUNTIF(tab_vacances,F18+1)&gt;=1</formula>
    </cfRule>
  </conditionalFormatting>
  <conditionalFormatting sqref="A23">
    <cfRule type="expression" dxfId="1844" priority="1341" stopIfTrue="1">
      <formula>COUNTIF(tab_vacances,F19+1)&gt;=1</formula>
    </cfRule>
  </conditionalFormatting>
  <conditionalFormatting sqref="C6:C168">
    <cfRule type="expression" dxfId="1843" priority="1295" stopIfTrue="1">
      <formula>OR(C6="cp",C6="jc")</formula>
    </cfRule>
  </conditionalFormatting>
  <conditionalFormatting sqref="B6:B168">
    <cfRule type="expression" dxfId="1842" priority="1293" stopIfTrue="1">
      <formula>OR(B6="cp",B6="jc")</formula>
    </cfRule>
  </conditionalFormatting>
  <conditionalFormatting sqref="U6:U8 W6:W8">
    <cfRule type="containsText" dxfId="1841" priority="480" operator="containsText" text="PB">
      <formula>NOT(ISERROR(SEARCH("PB",U6)))</formula>
    </cfRule>
  </conditionalFormatting>
  <conditionalFormatting sqref="V6:V8">
    <cfRule type="containsText" dxfId="1840" priority="479" operator="containsText" text="PB">
      <formula>NOT(ISERROR(SEARCH("PB",V6)))</formula>
    </cfRule>
  </conditionalFormatting>
  <conditionalFormatting sqref="Y6:Y8">
    <cfRule type="containsText" dxfId="1839" priority="478" operator="containsText" text="PB">
      <formula>NOT(ISERROR(SEARCH("PB",Y6)))</formula>
    </cfRule>
  </conditionalFormatting>
  <conditionalFormatting sqref="X6:X8">
    <cfRule type="expression" priority="475" stopIfTrue="1">
      <formula>IF(OR(C6="aa",C6="cp",C6="f",C6="jc",C6="m"),TRUE,FALSE)</formula>
    </cfRule>
    <cfRule type="expression" dxfId="1838" priority="476" stopIfTrue="1">
      <formula>IF(OR(E6-C6&gt;6/24,I6-G6&gt;6/24,M6-K6&gt;6/24),TRUE,FALSE)</formula>
    </cfRule>
    <cfRule type="expression" dxfId="1837" priority="477" stopIfTrue="1">
      <formula>IF(OR(D6-B6&gt;6/24,H6-F6&gt;6/24,L6-J6&gt;6/24),TRUE,FALSE)</formula>
    </cfRule>
  </conditionalFormatting>
  <conditionalFormatting sqref="U10 W10">
    <cfRule type="containsText" dxfId="1836" priority="470" operator="containsText" text="PB">
      <formula>NOT(ISERROR(SEARCH("PB",U10)))</formula>
    </cfRule>
  </conditionalFormatting>
  <conditionalFormatting sqref="U9 W9 W11:W12 U11:U12">
    <cfRule type="containsText" dxfId="1835" priority="492" operator="containsText" text="PB">
      <formula>NOT(ISERROR(SEARCH("PB",U9)))</formula>
    </cfRule>
  </conditionalFormatting>
  <conditionalFormatting sqref="S66:S68">
    <cfRule type="cellIs" dxfId="1834" priority="296" stopIfTrue="1" operator="equal">
      <formula>"n"</formula>
    </cfRule>
  </conditionalFormatting>
  <conditionalFormatting sqref="N13">
    <cfRule type="cellIs" dxfId="1833" priority="1099" stopIfTrue="1" operator="greaterThan">
      <formula>48/24</formula>
    </cfRule>
  </conditionalFormatting>
  <conditionalFormatting sqref="O13 O25 O37 O49 O61 O73 O85 O97 O109 O121 O133 O145 O157">
    <cfRule type="cellIs" dxfId="1832" priority="1100" stopIfTrue="1" operator="greaterThan">
      <formula>48/24</formula>
    </cfRule>
  </conditionalFormatting>
  <conditionalFormatting sqref="O25">
    <cfRule type="cellIs" dxfId="1831" priority="1096" stopIfTrue="1" operator="greaterThan">
      <formula>48/24</formula>
    </cfRule>
  </conditionalFormatting>
  <conditionalFormatting sqref="O37">
    <cfRule type="cellIs" dxfId="1830" priority="1092" stopIfTrue="1" operator="greaterThan">
      <formula>48/24</formula>
    </cfRule>
  </conditionalFormatting>
  <conditionalFormatting sqref="O49">
    <cfRule type="cellIs" dxfId="1829" priority="1088" stopIfTrue="1" operator="greaterThan">
      <formula>48/24</formula>
    </cfRule>
  </conditionalFormatting>
  <conditionalFormatting sqref="O61">
    <cfRule type="cellIs" dxfId="1828" priority="1084" stopIfTrue="1" operator="greaterThan">
      <formula>48/24</formula>
    </cfRule>
  </conditionalFormatting>
  <conditionalFormatting sqref="O73">
    <cfRule type="cellIs" dxfId="1827" priority="1080" stopIfTrue="1" operator="greaterThan">
      <formula>48/24</formula>
    </cfRule>
  </conditionalFormatting>
  <conditionalFormatting sqref="O85">
    <cfRule type="cellIs" dxfId="1826" priority="1076" stopIfTrue="1" operator="greaterThan">
      <formula>48/24</formula>
    </cfRule>
  </conditionalFormatting>
  <conditionalFormatting sqref="O97">
    <cfRule type="cellIs" dxfId="1825" priority="1072" stopIfTrue="1" operator="greaterThan">
      <formula>48/24</formula>
    </cfRule>
  </conditionalFormatting>
  <conditionalFormatting sqref="O109">
    <cfRule type="cellIs" dxfId="1824" priority="1068" stopIfTrue="1" operator="greaterThan">
      <formula>48/24</formula>
    </cfRule>
  </conditionalFormatting>
  <conditionalFormatting sqref="O121">
    <cfRule type="cellIs" dxfId="1823" priority="1064" stopIfTrue="1" operator="greaterThan">
      <formula>48/24</formula>
    </cfRule>
  </conditionalFormatting>
  <conditionalFormatting sqref="O133">
    <cfRule type="cellIs" dxfId="1822" priority="1060" stopIfTrue="1" operator="greaterThan">
      <formula>48/24</formula>
    </cfRule>
  </conditionalFormatting>
  <conditionalFormatting sqref="O145">
    <cfRule type="cellIs" dxfId="1821" priority="1056" stopIfTrue="1" operator="greaterThan">
      <formula>48/24</formula>
    </cfRule>
  </conditionalFormatting>
  <conditionalFormatting sqref="O157">
    <cfRule type="cellIs" dxfId="1820" priority="1052" stopIfTrue="1" operator="greaterThan">
      <formula>48/24</formula>
    </cfRule>
  </conditionalFormatting>
  <conditionalFormatting sqref="N25">
    <cfRule type="cellIs" dxfId="1819" priority="1045" stopIfTrue="1" operator="greaterThan">
      <formula>48/24</formula>
    </cfRule>
  </conditionalFormatting>
  <conditionalFormatting sqref="N37">
    <cfRule type="cellIs" dxfId="1818" priority="1041" stopIfTrue="1" operator="greaterThan">
      <formula>48/24</formula>
    </cfRule>
  </conditionalFormatting>
  <conditionalFormatting sqref="N107">
    <cfRule type="cellIs" dxfId="1817" priority="189" stopIfTrue="1" operator="greaterThan">
      <formula>10/24</formula>
    </cfRule>
  </conditionalFormatting>
  <conditionalFormatting sqref="N49">
    <cfRule type="cellIs" dxfId="1816" priority="1037" stopIfTrue="1" operator="greaterThan">
      <formula>48/24</formula>
    </cfRule>
  </conditionalFormatting>
  <conditionalFormatting sqref="N61">
    <cfRule type="cellIs" dxfId="1815" priority="1033" stopIfTrue="1" operator="greaterThan">
      <formula>48/24</formula>
    </cfRule>
  </conditionalFormatting>
  <conditionalFormatting sqref="N73">
    <cfRule type="cellIs" dxfId="1814" priority="1029" stopIfTrue="1" operator="greaterThan">
      <formula>48/24</formula>
    </cfRule>
  </conditionalFormatting>
  <conditionalFormatting sqref="N85">
    <cfRule type="cellIs" dxfId="1813" priority="1025" stopIfTrue="1" operator="greaterThan">
      <formula>48/24</formula>
    </cfRule>
  </conditionalFormatting>
  <conditionalFormatting sqref="N97">
    <cfRule type="cellIs" dxfId="1812" priority="1021" stopIfTrue="1" operator="greaterThan">
      <formula>48/24</formula>
    </cfRule>
  </conditionalFormatting>
  <conditionalFormatting sqref="N46">
    <cfRule type="cellIs" dxfId="1811" priority="353" stopIfTrue="1" operator="greaterThan">
      <formula>10/24</formula>
    </cfRule>
  </conditionalFormatting>
  <conditionalFormatting sqref="N109">
    <cfRule type="cellIs" dxfId="1810" priority="1017" stopIfTrue="1" operator="greaterThan">
      <formula>48/24</formula>
    </cfRule>
  </conditionalFormatting>
  <conditionalFormatting sqref="N121">
    <cfRule type="cellIs" dxfId="1809" priority="1013" stopIfTrue="1" operator="greaterThan">
      <formula>48/24</formula>
    </cfRule>
  </conditionalFormatting>
  <conditionalFormatting sqref="N133">
    <cfRule type="cellIs" dxfId="1808" priority="1009" stopIfTrue="1" operator="greaterThan">
      <formula>48/24</formula>
    </cfRule>
  </conditionalFormatting>
  <conditionalFormatting sqref="N145">
    <cfRule type="cellIs" dxfId="1807" priority="1005" stopIfTrue="1" operator="greaterThan">
      <formula>48/24</formula>
    </cfRule>
  </conditionalFormatting>
  <conditionalFormatting sqref="N21">
    <cfRule type="cellIs" dxfId="1806" priority="449" stopIfTrue="1" operator="greaterThan">
      <formula>10/24</formula>
    </cfRule>
  </conditionalFormatting>
  <conditionalFormatting sqref="N23">
    <cfRule type="cellIs" dxfId="1805" priority="448" stopIfTrue="1" operator="greaterThan">
      <formula>10/24</formula>
    </cfRule>
  </conditionalFormatting>
  <conditionalFormatting sqref="N157">
    <cfRule type="cellIs" dxfId="1804" priority="1001" stopIfTrue="1" operator="greaterThan">
      <formula>48/24</formula>
    </cfRule>
  </conditionalFormatting>
  <conditionalFormatting sqref="A66">
    <cfRule type="expression" dxfId="1803" priority="997" stopIfTrue="1">
      <formula>COUNTIF(tab_vacances,F63)&gt;=1</formula>
    </cfRule>
  </conditionalFormatting>
  <conditionalFormatting sqref="O106">
    <cfRule type="cellIs" dxfId="1802" priority="167" operator="greaterThan">
      <formula>10/24</formula>
    </cfRule>
  </conditionalFormatting>
  <conditionalFormatting sqref="O47:O48">
    <cfRule type="cellIs" dxfId="1801" priority="384" operator="greaterThan">
      <formula>10/24</formula>
    </cfRule>
  </conditionalFormatting>
  <conditionalFormatting sqref="B43:M43 B55:M55 B67:M67 B79:M79 B91:M91 B103:M103 B115:M115 B127:M127 B139:M139 B151:M151 B31:M31 B19:M19 B7:M7">
    <cfRule type="expression" dxfId="1800" priority="953" stopIfTrue="1">
      <formula>COUNTIF(tab_ferie,$F3+1)&gt;=1</formula>
    </cfRule>
  </conditionalFormatting>
  <conditionalFormatting sqref="B44:M44 B56:M56 B68:M68 B80:M80 B92:M92 B104:M104 B116:M116 B128:M128 B140:M140 B152:M152 B32:M32 B20:M20 B8:M8">
    <cfRule type="expression" dxfId="1799" priority="954" stopIfTrue="1">
      <formula>COUNTIF(tab_ferie,$F3+2)&gt;=1</formula>
    </cfRule>
  </conditionalFormatting>
  <conditionalFormatting sqref="B45:M45 B57:M57 B69:M69 B81:M81 B93:M93 B105:M105 B117:M117 B129:M129 B141:M141 B153:M153 B33:M33 B21:M21">
    <cfRule type="expression" dxfId="1798" priority="956" stopIfTrue="1">
      <formula>COUNTIF(tab_ferie,$F15+3)&gt;=1</formula>
    </cfRule>
  </conditionalFormatting>
  <conditionalFormatting sqref="B46:M46 B58:M58 B70:M70 B82:M82 B94:M94 B106:M106 B118:M118 B130:M130 B142:M142 B154:M154 B34:M34 B22:M22 B10:M10">
    <cfRule type="expression" dxfId="1797" priority="957">
      <formula>COUNTIF(tab_ferie,$F3+4)&gt;=1</formula>
    </cfRule>
  </conditionalFormatting>
  <conditionalFormatting sqref="B47:M47 B59:M59 B71:M71 B83:M83 B95:M95 B107:M107 B119:M119 B131:M131 B143:M143 B155:M155 B35:M35 B23:M23 B11:M11">
    <cfRule type="expression" dxfId="1796" priority="958">
      <formula>COUNTIF(tab_ferie,$F3+5)&gt;=1</formula>
    </cfRule>
  </conditionalFormatting>
  <conditionalFormatting sqref="B48:M48 B59:M60 B72:M72 B84:M84 B96:M96 B108:M108 B120:M120 B132:M132 B144:M144 B156:M156 B36:M36 B24:M24 B12:M12">
    <cfRule type="expression" dxfId="1795" priority="959">
      <formula>COUNTIF(tab_ferie,$F3+6)&gt;=1</formula>
    </cfRule>
  </conditionalFormatting>
  <conditionalFormatting sqref="B42:M42 B54:M54 B66:M66 B78:M78 B90:M90 B102:M102 B114:M114 B126:M126 B138:M138 B150:M150 B30:D34 B30:M30 B18:M18 B6:M6">
    <cfRule type="expression" dxfId="1794" priority="952" stopIfTrue="1">
      <formula>COUNTIF(tab_ferie,$F3)&gt;=1</formula>
    </cfRule>
  </conditionalFormatting>
  <conditionalFormatting sqref="O95:O96">
    <cfRule type="cellIs" dxfId="1793" priority="236" operator="greaterThan">
      <formula>10/24</formula>
    </cfRule>
  </conditionalFormatting>
  <conditionalFormatting sqref="N36">
    <cfRule type="cellIs" dxfId="1792" priority="410" operator="greaterThan">
      <formula>10/24</formula>
    </cfRule>
  </conditionalFormatting>
  <conditionalFormatting sqref="O33">
    <cfRule type="cellIs" dxfId="1791" priority="409" operator="greaterThan">
      <formula>10/24</formula>
    </cfRule>
  </conditionalFormatting>
  <conditionalFormatting sqref="R18:R20">
    <cfRule type="cellIs" dxfId="1790" priority="445" operator="greaterThan">
      <formula>12/24</formula>
    </cfRule>
  </conditionalFormatting>
  <conditionalFormatting sqref="S18:S20">
    <cfRule type="cellIs" dxfId="1789" priority="444" stopIfTrue="1" operator="equal">
      <formula>"n"</formula>
    </cfRule>
  </conditionalFormatting>
  <conditionalFormatting sqref="U18:U20 W18:W20">
    <cfRule type="containsText" dxfId="1788" priority="443" operator="containsText" text="PB">
      <formula>NOT(ISERROR(SEARCH("PB",U18)))</formula>
    </cfRule>
  </conditionalFormatting>
  <conditionalFormatting sqref="V18:V20">
    <cfRule type="containsText" dxfId="1787" priority="442" operator="containsText" text="PB">
      <formula>NOT(ISERROR(SEARCH("PB",V18)))</formula>
    </cfRule>
  </conditionalFormatting>
  <conditionalFormatting sqref="Y18:Y20">
    <cfRule type="containsText" dxfId="1786" priority="441" operator="containsText" text="PB">
      <formula>NOT(ISERROR(SEARCH("PB",Y18)))</formula>
    </cfRule>
  </conditionalFormatting>
  <conditionalFormatting sqref="X18:X20">
    <cfRule type="expression" priority="438" stopIfTrue="1">
      <formula>IF(OR(C18="aa",C18="cp",C18="f",C18="jc",C18="m"),TRUE,FALSE)</formula>
    </cfRule>
    <cfRule type="expression" dxfId="1785" priority="439" stopIfTrue="1">
      <formula>IF(OR(E18-C18&gt;6/24,I18-G18&gt;6/24,M18-K18&gt;6/24),TRUE,FALSE)</formula>
    </cfRule>
    <cfRule type="expression" dxfId="1784" priority="440" stopIfTrue="1">
      <formula>IF(OR(D18-B18&gt;6/24,H18-F18&gt;6/24,L18-J18&gt;6/24),TRUE,FALSE)</formula>
    </cfRule>
  </conditionalFormatting>
  <conditionalFormatting sqref="N18:N20">
    <cfRule type="cellIs" dxfId="1783" priority="437" stopIfTrue="1" operator="greaterThan">
      <formula>10/24</formula>
    </cfRule>
  </conditionalFormatting>
  <conditionalFormatting sqref="O18:O20">
    <cfRule type="cellIs" dxfId="1782" priority="436" operator="greaterThan">
      <formula>10/24</formula>
    </cfRule>
  </conditionalFormatting>
  <conditionalFormatting sqref="R22">
    <cfRule type="cellIs" dxfId="1781" priority="435" operator="greaterThan">
      <formula>12/24</formula>
    </cfRule>
  </conditionalFormatting>
  <conditionalFormatting sqref="S22">
    <cfRule type="cellIs" dxfId="1780" priority="434" stopIfTrue="1" operator="equal">
      <formula>"n"</formula>
    </cfRule>
  </conditionalFormatting>
  <conditionalFormatting sqref="U22 W22">
    <cfRule type="containsText" dxfId="1779" priority="433" operator="containsText" text="PB">
      <formula>NOT(ISERROR(SEARCH("PB",U22)))</formula>
    </cfRule>
  </conditionalFormatting>
  <conditionalFormatting sqref="V22">
    <cfRule type="containsText" dxfId="1778" priority="432" operator="containsText" text="PB">
      <formula>NOT(ISERROR(SEARCH("PB",V22)))</formula>
    </cfRule>
  </conditionalFormatting>
  <conditionalFormatting sqref="Y22">
    <cfRule type="containsText" dxfId="1777" priority="431" operator="containsText" text="PB">
      <formula>NOT(ISERROR(SEARCH("PB",Y22)))</formula>
    </cfRule>
  </conditionalFormatting>
  <conditionalFormatting sqref="X22">
    <cfRule type="expression" priority="428" stopIfTrue="1">
      <formula>IF(OR(C22="aa",C22="cp",C22="f",C22="jc",C22="m"),TRUE,FALSE)</formula>
    </cfRule>
    <cfRule type="expression" dxfId="1776" priority="429" stopIfTrue="1">
      <formula>IF(OR(E22-C22&gt;6/24,I22-G22&gt;6/24,M22-K22&gt;6/24),TRUE,FALSE)</formula>
    </cfRule>
    <cfRule type="expression" dxfId="1775" priority="430" stopIfTrue="1">
      <formula>IF(OR(D22-B22&gt;6/24,H22-F22&gt;6/24,L22-J22&gt;6/24),TRUE,FALSE)</formula>
    </cfRule>
  </conditionalFormatting>
  <conditionalFormatting sqref="N22">
    <cfRule type="cellIs" dxfId="1774" priority="427" stopIfTrue="1" operator="greaterThan">
      <formula>10/24</formula>
    </cfRule>
  </conditionalFormatting>
  <conditionalFormatting sqref="O22">
    <cfRule type="cellIs" dxfId="1773" priority="426" operator="greaterThan">
      <formula>10/24</formula>
    </cfRule>
  </conditionalFormatting>
  <conditionalFormatting sqref="R23">
    <cfRule type="cellIs" dxfId="1772" priority="425" operator="greaterThan">
      <formula>12/24</formula>
    </cfRule>
  </conditionalFormatting>
  <conditionalFormatting sqref="X23">
    <cfRule type="expression" priority="422" stopIfTrue="1">
      <formula>IF(OR(C23="aa",C23="cp",C23="f",C23="jc",C23="m"),TRUE,FALSE)</formula>
    </cfRule>
    <cfRule type="expression" dxfId="1771" priority="423" stopIfTrue="1">
      <formula>IF(OR(E23-C23&gt;6/24,I23-G23&gt;6/24,M23-K23&gt;6/24),TRUE,FALSE)</formula>
    </cfRule>
    <cfRule type="expression" dxfId="1770" priority="424" stopIfTrue="1">
      <formula>IF(OR(D23-B23&gt;6/24,H23-F23&gt;6/24,L23-J23&gt;6/24),TRUE,FALSE)</formula>
    </cfRule>
  </conditionalFormatting>
  <conditionalFormatting sqref="R21 R24">
    <cfRule type="cellIs" dxfId="1769" priority="457" operator="greaterThan">
      <formula>12/24</formula>
    </cfRule>
  </conditionalFormatting>
  <conditionalFormatting sqref="O23:O24">
    <cfRule type="cellIs" dxfId="1768" priority="458" operator="greaterThan">
      <formula>10/24</formula>
    </cfRule>
  </conditionalFormatting>
  <conditionalFormatting sqref="S21 S23:S24">
    <cfRule type="cellIs" dxfId="1767" priority="456" stopIfTrue="1" operator="equal">
      <formula>"n"</formula>
    </cfRule>
  </conditionalFormatting>
  <conditionalFormatting sqref="U21 W21 W23:W24 U23:U24">
    <cfRule type="containsText" dxfId="1766" priority="455" operator="containsText" text="PB">
      <formula>NOT(ISERROR(SEARCH("PB",U21)))</formula>
    </cfRule>
  </conditionalFormatting>
  <conditionalFormatting sqref="V21 V23:V24">
    <cfRule type="containsText" dxfId="1765" priority="454" operator="containsText" text="PB">
      <formula>NOT(ISERROR(SEARCH("PB",V21)))</formula>
    </cfRule>
  </conditionalFormatting>
  <conditionalFormatting sqref="Y21 Y23:Y24">
    <cfRule type="containsText" dxfId="1764" priority="453" operator="containsText" text="PB">
      <formula>NOT(ISERROR(SEARCH("PB",Y21)))</formula>
    </cfRule>
  </conditionalFormatting>
  <conditionalFormatting sqref="X21 X24">
    <cfRule type="expression" priority="450" stopIfTrue="1">
      <formula>IF(OR(C21="aa",C21="cp",C21="f",C21="jc",C21="m"),TRUE,FALSE)</formula>
    </cfRule>
    <cfRule type="expression" dxfId="1763" priority="451" stopIfTrue="1">
      <formula>IF(OR(E21-C21&gt;6/24,I21-G21&gt;6/24,M21-K21&gt;6/24),TRUE,FALSE)</formula>
    </cfRule>
    <cfRule type="expression" dxfId="1762" priority="452" stopIfTrue="1">
      <formula>IF(OR(D21-B21&gt;6/24,H21-F21&gt;6/24,L21-J21&gt;6/24),TRUE,FALSE)</formula>
    </cfRule>
  </conditionalFormatting>
  <conditionalFormatting sqref="N24">
    <cfRule type="cellIs" dxfId="1761" priority="447" operator="greaterThan">
      <formula>10/24</formula>
    </cfRule>
  </conditionalFormatting>
  <conditionalFormatting sqref="O21">
    <cfRule type="cellIs" dxfId="1760" priority="446" operator="greaterThan">
      <formula>10/24</formula>
    </cfRule>
  </conditionalFormatting>
  <conditionalFormatting sqref="R9 R12">
    <cfRule type="cellIs" dxfId="1759" priority="494" operator="greaterThan">
      <formula>12/24</formula>
    </cfRule>
  </conditionalFormatting>
  <conditionalFormatting sqref="O11:O12">
    <cfRule type="cellIs" dxfId="1758" priority="495" operator="greaterThan">
      <formula>10/24</formula>
    </cfRule>
  </conditionalFormatting>
  <conditionalFormatting sqref="S9 S11:S12">
    <cfRule type="cellIs" dxfId="1757" priority="493" stopIfTrue="1" operator="equal">
      <formula>"n"</formula>
    </cfRule>
  </conditionalFormatting>
  <conditionalFormatting sqref="V9 V11:V12">
    <cfRule type="containsText" dxfId="1756" priority="491" operator="containsText" text="PB">
      <formula>NOT(ISERROR(SEARCH("PB",V9)))</formula>
    </cfRule>
  </conditionalFormatting>
  <conditionalFormatting sqref="Y9 Y11:Y12">
    <cfRule type="containsText" dxfId="1755" priority="490" operator="containsText" text="PB">
      <formula>NOT(ISERROR(SEARCH("PB",Y9)))</formula>
    </cfRule>
  </conditionalFormatting>
  <conditionalFormatting sqref="X9 X12">
    <cfRule type="expression" priority="487" stopIfTrue="1">
      <formula>IF(OR(C9="aa",C9="cp",C9="f",C9="jc",C9="m"),TRUE,FALSE)</formula>
    </cfRule>
    <cfRule type="expression" dxfId="1754" priority="488" stopIfTrue="1">
      <formula>IF(OR(E9-C9&gt;6/24,I9-G9&gt;6/24,M9-K9&gt;6/24),TRUE,FALSE)</formula>
    </cfRule>
    <cfRule type="expression" dxfId="1753" priority="489" stopIfTrue="1">
      <formula>IF(OR(D9-B9&gt;6/24,H9-F9&gt;6/24,L9-J9&gt;6/24),TRUE,FALSE)</formula>
    </cfRule>
  </conditionalFormatting>
  <conditionalFormatting sqref="N9">
    <cfRule type="cellIs" dxfId="1752" priority="486" stopIfTrue="1" operator="greaterThan">
      <formula>10/24</formula>
    </cfRule>
  </conditionalFormatting>
  <conditionalFormatting sqref="N11">
    <cfRule type="cellIs" dxfId="1751" priority="485" stopIfTrue="1" operator="greaterThan">
      <formula>10/24</formula>
    </cfRule>
  </conditionalFormatting>
  <conditionalFormatting sqref="N12">
    <cfRule type="cellIs" dxfId="1750" priority="484" operator="greaterThan">
      <formula>10/24</formula>
    </cfRule>
  </conditionalFormatting>
  <conditionalFormatting sqref="O9">
    <cfRule type="cellIs" dxfId="1749" priority="483" operator="greaterThan">
      <formula>10/24</formula>
    </cfRule>
  </conditionalFormatting>
  <conditionalFormatting sqref="R6:R8">
    <cfRule type="cellIs" dxfId="1748" priority="482" operator="greaterThan">
      <formula>12/24</formula>
    </cfRule>
  </conditionalFormatting>
  <conditionalFormatting sqref="S6:S8">
    <cfRule type="cellIs" dxfId="1747" priority="481" stopIfTrue="1" operator="equal">
      <formula>"n"</formula>
    </cfRule>
  </conditionalFormatting>
  <conditionalFormatting sqref="N6:N8">
    <cfRule type="cellIs" dxfId="1746" priority="474" stopIfTrue="1" operator="greaterThan">
      <formula>10/24</formula>
    </cfRule>
  </conditionalFormatting>
  <conditionalFormatting sqref="O6:O8">
    <cfRule type="cellIs" dxfId="1745" priority="473" operator="greaterThan">
      <formula>10/24</formula>
    </cfRule>
  </conditionalFormatting>
  <conditionalFormatting sqref="R10">
    <cfRule type="cellIs" dxfId="1744" priority="472" operator="greaterThan">
      <formula>12/24</formula>
    </cfRule>
  </conditionalFormatting>
  <conditionalFormatting sqref="S10">
    <cfRule type="cellIs" dxfId="1743" priority="471" stopIfTrue="1" operator="equal">
      <formula>"n"</formula>
    </cfRule>
  </conditionalFormatting>
  <conditionalFormatting sqref="V10">
    <cfRule type="containsText" dxfId="1742" priority="469" operator="containsText" text="PB">
      <formula>NOT(ISERROR(SEARCH("PB",V10)))</formula>
    </cfRule>
  </conditionalFormatting>
  <conditionalFormatting sqref="Y10">
    <cfRule type="containsText" dxfId="1741" priority="468" operator="containsText" text="PB">
      <formula>NOT(ISERROR(SEARCH("PB",Y10)))</formula>
    </cfRule>
  </conditionalFormatting>
  <conditionalFormatting sqref="X10">
    <cfRule type="expression" priority="465" stopIfTrue="1">
      <formula>IF(OR(C10="aa",C10="cp",C10="f",C10="jc",C10="m"),TRUE,FALSE)</formula>
    </cfRule>
    <cfRule type="expression" dxfId="1740" priority="466" stopIfTrue="1">
      <formula>IF(OR(E10-C10&gt;6/24,I10-G10&gt;6/24,M10-K10&gt;6/24),TRUE,FALSE)</formula>
    </cfRule>
    <cfRule type="expression" dxfId="1739" priority="467" stopIfTrue="1">
      <formula>IF(OR(D10-B10&gt;6/24,H10-F10&gt;6/24,L10-J10&gt;6/24),TRUE,FALSE)</formula>
    </cfRule>
  </conditionalFormatting>
  <conditionalFormatting sqref="N10">
    <cfRule type="cellIs" dxfId="1738" priority="464" stopIfTrue="1" operator="greaterThan">
      <formula>10/24</formula>
    </cfRule>
  </conditionalFormatting>
  <conditionalFormatting sqref="O10">
    <cfRule type="cellIs" dxfId="1737" priority="463" operator="greaterThan">
      <formula>10/24</formula>
    </cfRule>
  </conditionalFormatting>
  <conditionalFormatting sqref="R11">
    <cfRule type="cellIs" dxfId="1736" priority="462" operator="greaterThan">
      <formula>12/24</formula>
    </cfRule>
  </conditionalFormatting>
  <conditionalFormatting sqref="X11">
    <cfRule type="expression" priority="459" stopIfTrue="1">
      <formula>IF(OR(C11="aa",C11="cp",C11="f",C11="jc",C11="m"),TRUE,FALSE)</formula>
    </cfRule>
    <cfRule type="expression" dxfId="1735" priority="460" stopIfTrue="1">
      <formula>IF(OR(E11-C11&gt;6/24,I11-G11&gt;6/24,M11-K11&gt;6/24),TRUE,FALSE)</formula>
    </cfRule>
    <cfRule type="expression" dxfId="1734" priority="461" stopIfTrue="1">
      <formula>IF(OR(D11-B11&gt;6/24,H11-F11&gt;6/24,L11-J11&gt;6/24),TRUE,FALSE)</formula>
    </cfRule>
  </conditionalFormatting>
  <conditionalFormatting sqref="R33 R36">
    <cfRule type="cellIs" dxfId="1733" priority="420" operator="greaterThan">
      <formula>12/24</formula>
    </cfRule>
  </conditionalFormatting>
  <conditionalFormatting sqref="O35:O36">
    <cfRule type="cellIs" dxfId="1732" priority="421" operator="greaterThan">
      <formula>10/24</formula>
    </cfRule>
  </conditionalFormatting>
  <conditionalFormatting sqref="S33 S35:S36">
    <cfRule type="cellIs" dxfId="1731" priority="419" stopIfTrue="1" operator="equal">
      <formula>"n"</formula>
    </cfRule>
  </conditionalFormatting>
  <conditionalFormatting sqref="U33 W33 W35:W36 U35:U36">
    <cfRule type="containsText" dxfId="1730" priority="418" operator="containsText" text="PB">
      <formula>NOT(ISERROR(SEARCH("PB",U33)))</formula>
    </cfRule>
  </conditionalFormatting>
  <conditionalFormatting sqref="V33 V35:V36">
    <cfRule type="containsText" dxfId="1729" priority="417" operator="containsText" text="PB">
      <formula>NOT(ISERROR(SEARCH("PB",V33)))</formula>
    </cfRule>
  </conditionalFormatting>
  <conditionalFormatting sqref="Y33 Y35:Y36">
    <cfRule type="containsText" dxfId="1728" priority="416" operator="containsText" text="PB">
      <formula>NOT(ISERROR(SEARCH("PB",Y33)))</formula>
    </cfRule>
  </conditionalFormatting>
  <conditionalFormatting sqref="X33 X36">
    <cfRule type="expression" priority="413" stopIfTrue="1">
      <formula>IF(OR(C33="aa",C33="cp",C33="f",C33="jc",C33="m"),TRUE,FALSE)</formula>
    </cfRule>
    <cfRule type="expression" dxfId="1727" priority="414" stopIfTrue="1">
      <formula>IF(OR(E33-C33&gt;6/24,I33-G33&gt;6/24,M33-K33&gt;6/24),TRUE,FALSE)</formula>
    </cfRule>
    <cfRule type="expression" dxfId="1726" priority="415" stopIfTrue="1">
      <formula>IF(OR(D33-B33&gt;6/24,H33-F33&gt;6/24,L33-J33&gt;6/24),TRUE,FALSE)</formula>
    </cfRule>
  </conditionalFormatting>
  <conditionalFormatting sqref="N33">
    <cfRule type="cellIs" dxfId="1725" priority="412" stopIfTrue="1" operator="greaterThan">
      <formula>10/24</formula>
    </cfRule>
  </conditionalFormatting>
  <conditionalFormatting sqref="N35">
    <cfRule type="cellIs" dxfId="1724" priority="411" stopIfTrue="1" operator="greaterThan">
      <formula>10/24</formula>
    </cfRule>
  </conditionalFormatting>
  <conditionalFormatting sqref="R30:R32">
    <cfRule type="cellIs" dxfId="1723" priority="408" operator="greaterThan">
      <formula>12/24</formula>
    </cfRule>
  </conditionalFormatting>
  <conditionalFormatting sqref="S30:S32">
    <cfRule type="cellIs" dxfId="1722" priority="407" stopIfTrue="1" operator="equal">
      <formula>"n"</formula>
    </cfRule>
  </conditionalFormatting>
  <conditionalFormatting sqref="U30:U32 W30:W32">
    <cfRule type="containsText" dxfId="1721" priority="406" operator="containsText" text="PB">
      <formula>NOT(ISERROR(SEARCH("PB",U30)))</formula>
    </cfRule>
  </conditionalFormatting>
  <conditionalFormatting sqref="V30:V32">
    <cfRule type="containsText" dxfId="1720" priority="405" operator="containsText" text="PB">
      <formula>NOT(ISERROR(SEARCH("PB",V30)))</formula>
    </cfRule>
  </conditionalFormatting>
  <conditionalFormatting sqref="Y30:Y32">
    <cfRule type="containsText" dxfId="1719" priority="404" operator="containsText" text="PB">
      <formula>NOT(ISERROR(SEARCH("PB",Y30)))</formula>
    </cfRule>
  </conditionalFormatting>
  <conditionalFormatting sqref="X30:X32">
    <cfRule type="expression" priority="401" stopIfTrue="1">
      <formula>IF(OR(C30="aa",C30="cp",C30="f",C30="jc",C30="m"),TRUE,FALSE)</formula>
    </cfRule>
    <cfRule type="expression" dxfId="1718" priority="402" stopIfTrue="1">
      <formula>IF(OR(E30-C30&gt;6/24,I30-G30&gt;6/24,M30-K30&gt;6/24),TRUE,FALSE)</formula>
    </cfRule>
    <cfRule type="expression" dxfId="1717" priority="403" stopIfTrue="1">
      <formula>IF(OR(D30-B30&gt;6/24,H30-F30&gt;6/24,L30-J30&gt;6/24),TRUE,FALSE)</formula>
    </cfRule>
  </conditionalFormatting>
  <conditionalFormatting sqref="N30:N32">
    <cfRule type="cellIs" dxfId="1716" priority="400" stopIfTrue="1" operator="greaterThan">
      <formula>10/24</formula>
    </cfRule>
  </conditionalFormatting>
  <conditionalFormatting sqref="O30:O32">
    <cfRule type="cellIs" dxfId="1715" priority="399" operator="greaterThan">
      <formula>10/24</formula>
    </cfRule>
  </conditionalFormatting>
  <conditionalFormatting sqref="R34">
    <cfRule type="cellIs" dxfId="1714" priority="398" operator="greaterThan">
      <formula>12/24</formula>
    </cfRule>
  </conditionalFormatting>
  <conditionalFormatting sqref="S34">
    <cfRule type="cellIs" dxfId="1713" priority="397" stopIfTrue="1" operator="equal">
      <formula>"n"</formula>
    </cfRule>
  </conditionalFormatting>
  <conditionalFormatting sqref="U34 W34">
    <cfRule type="containsText" dxfId="1712" priority="396" operator="containsText" text="PB">
      <formula>NOT(ISERROR(SEARCH("PB",U34)))</formula>
    </cfRule>
  </conditionalFormatting>
  <conditionalFormatting sqref="V34">
    <cfRule type="containsText" dxfId="1711" priority="395" operator="containsText" text="PB">
      <formula>NOT(ISERROR(SEARCH("PB",V34)))</formula>
    </cfRule>
  </conditionalFormatting>
  <conditionalFormatting sqref="Y34">
    <cfRule type="containsText" dxfId="1710" priority="394" operator="containsText" text="PB">
      <formula>NOT(ISERROR(SEARCH("PB",Y34)))</formula>
    </cfRule>
  </conditionalFormatting>
  <conditionalFormatting sqref="X34">
    <cfRule type="expression" priority="391" stopIfTrue="1">
      <formula>IF(OR(C34="aa",C34="cp",C34="f",C34="jc",C34="m"),TRUE,FALSE)</formula>
    </cfRule>
    <cfRule type="expression" dxfId="1709" priority="392" stopIfTrue="1">
      <formula>IF(OR(E34-C34&gt;6/24,I34-G34&gt;6/24,M34-K34&gt;6/24),TRUE,FALSE)</formula>
    </cfRule>
    <cfRule type="expression" dxfId="1708" priority="393" stopIfTrue="1">
      <formula>IF(OR(D34-B34&gt;6/24,H34-F34&gt;6/24,L34-J34&gt;6/24),TRUE,FALSE)</formula>
    </cfRule>
  </conditionalFormatting>
  <conditionalFormatting sqref="N34">
    <cfRule type="cellIs" dxfId="1707" priority="390" stopIfTrue="1" operator="greaterThan">
      <formula>10/24</formula>
    </cfRule>
  </conditionalFormatting>
  <conditionalFormatting sqref="O34">
    <cfRule type="cellIs" dxfId="1706" priority="389" operator="greaterThan">
      <formula>10/24</formula>
    </cfRule>
  </conditionalFormatting>
  <conditionalFormatting sqref="R35">
    <cfRule type="cellIs" dxfId="1705" priority="388" operator="greaterThan">
      <formula>12/24</formula>
    </cfRule>
  </conditionalFormatting>
  <conditionalFormatting sqref="X35">
    <cfRule type="expression" priority="385" stopIfTrue="1">
      <formula>IF(OR(C35="aa",C35="cp",C35="f",C35="jc",C35="m"),TRUE,FALSE)</formula>
    </cfRule>
    <cfRule type="expression" dxfId="1704" priority="386" stopIfTrue="1">
      <formula>IF(OR(E35-C35&gt;6/24,I35-G35&gt;6/24,M35-K35&gt;6/24),TRUE,FALSE)</formula>
    </cfRule>
    <cfRule type="expression" dxfId="1703" priority="387" stopIfTrue="1">
      <formula>IF(OR(D35-B35&gt;6/24,H35-F35&gt;6/24,L35-J35&gt;6/24),TRUE,FALSE)</formula>
    </cfRule>
  </conditionalFormatting>
  <conditionalFormatting sqref="R45 R48">
    <cfRule type="cellIs" dxfId="1702" priority="383" operator="greaterThan">
      <formula>12/24</formula>
    </cfRule>
  </conditionalFormatting>
  <conditionalFormatting sqref="S45 S47:S48">
    <cfRule type="cellIs" dxfId="1701" priority="382" stopIfTrue="1" operator="equal">
      <formula>"n"</formula>
    </cfRule>
  </conditionalFormatting>
  <conditionalFormatting sqref="U45 W45 W47:W48 U47:U48">
    <cfRule type="containsText" dxfId="1700" priority="381" operator="containsText" text="PB">
      <formula>NOT(ISERROR(SEARCH("PB",U45)))</formula>
    </cfRule>
  </conditionalFormatting>
  <conditionalFormatting sqref="V45 V47:V48">
    <cfRule type="containsText" dxfId="1699" priority="380" operator="containsText" text="PB">
      <formula>NOT(ISERROR(SEARCH("PB",V45)))</formula>
    </cfRule>
  </conditionalFormatting>
  <conditionalFormatting sqref="Y45 Y47:Y48">
    <cfRule type="containsText" dxfId="1698" priority="379" operator="containsText" text="PB">
      <formula>NOT(ISERROR(SEARCH("PB",Y45)))</formula>
    </cfRule>
  </conditionalFormatting>
  <conditionalFormatting sqref="X45 X48">
    <cfRule type="expression" priority="376" stopIfTrue="1">
      <formula>IF(OR(C45="aa",C45="cp",C45="f",C45="jc",C45="m"),TRUE,FALSE)</formula>
    </cfRule>
    <cfRule type="expression" dxfId="1697" priority="377" stopIfTrue="1">
      <formula>IF(OR(E45-C45&gt;6/24,I45-G45&gt;6/24,M45-K45&gt;6/24),TRUE,FALSE)</formula>
    </cfRule>
    <cfRule type="expression" dxfId="1696" priority="378" stopIfTrue="1">
      <formula>IF(OR(D45-B45&gt;6/24,H45-F45&gt;6/24,L45-J45&gt;6/24),TRUE,FALSE)</formula>
    </cfRule>
  </conditionalFormatting>
  <conditionalFormatting sqref="N45">
    <cfRule type="cellIs" dxfId="1695" priority="375" stopIfTrue="1" operator="greaterThan">
      <formula>10/24</formula>
    </cfRule>
  </conditionalFormatting>
  <conditionalFormatting sqref="N47">
    <cfRule type="cellIs" dxfId="1694" priority="374" stopIfTrue="1" operator="greaterThan">
      <formula>10/24</formula>
    </cfRule>
  </conditionalFormatting>
  <conditionalFormatting sqref="N48">
    <cfRule type="cellIs" dxfId="1693" priority="373" operator="greaterThan">
      <formula>10/24</formula>
    </cfRule>
  </conditionalFormatting>
  <conditionalFormatting sqref="O45">
    <cfRule type="cellIs" dxfId="1692" priority="372" operator="greaterThan">
      <formula>10/24</formula>
    </cfRule>
  </conditionalFormatting>
  <conditionalFormatting sqref="R42:R44">
    <cfRule type="cellIs" dxfId="1691" priority="371" operator="greaterThan">
      <formula>12/24</formula>
    </cfRule>
  </conditionalFormatting>
  <conditionalFormatting sqref="S42:S44">
    <cfRule type="cellIs" dxfId="1690" priority="370" stopIfTrue="1" operator="equal">
      <formula>"n"</formula>
    </cfRule>
  </conditionalFormatting>
  <conditionalFormatting sqref="U42:U44 W42:W44">
    <cfRule type="containsText" dxfId="1689" priority="369" operator="containsText" text="PB">
      <formula>NOT(ISERROR(SEARCH("PB",U42)))</formula>
    </cfRule>
  </conditionalFormatting>
  <conditionalFormatting sqref="V42:V44">
    <cfRule type="containsText" dxfId="1688" priority="368" operator="containsText" text="PB">
      <formula>NOT(ISERROR(SEARCH("PB",V42)))</formula>
    </cfRule>
  </conditionalFormatting>
  <conditionalFormatting sqref="Y42:Y44">
    <cfRule type="containsText" dxfId="1687" priority="367" operator="containsText" text="PB">
      <formula>NOT(ISERROR(SEARCH("PB",Y42)))</formula>
    </cfRule>
  </conditionalFormatting>
  <conditionalFormatting sqref="X42:X44">
    <cfRule type="expression" priority="364" stopIfTrue="1">
      <formula>IF(OR(C42="aa",C42="cp",C42="f",C42="jc",C42="m"),TRUE,FALSE)</formula>
    </cfRule>
    <cfRule type="expression" dxfId="1686" priority="365" stopIfTrue="1">
      <formula>IF(OR(E42-C42&gt;6/24,I42-G42&gt;6/24,M42-K42&gt;6/24),TRUE,FALSE)</formula>
    </cfRule>
    <cfRule type="expression" dxfId="1685" priority="366" stopIfTrue="1">
      <formula>IF(OR(D42-B42&gt;6/24,H42-F42&gt;6/24,L42-J42&gt;6/24),TRUE,FALSE)</formula>
    </cfRule>
  </conditionalFormatting>
  <conditionalFormatting sqref="N42:N44">
    <cfRule type="cellIs" dxfId="1684" priority="363" stopIfTrue="1" operator="greaterThan">
      <formula>10/24</formula>
    </cfRule>
  </conditionalFormatting>
  <conditionalFormatting sqref="O42:O44">
    <cfRule type="cellIs" dxfId="1683" priority="362" operator="greaterThan">
      <formula>10/24</formula>
    </cfRule>
  </conditionalFormatting>
  <conditionalFormatting sqref="R46">
    <cfRule type="cellIs" dxfId="1682" priority="361" operator="greaterThan">
      <formula>12/24</formula>
    </cfRule>
  </conditionalFormatting>
  <conditionalFormatting sqref="S46">
    <cfRule type="cellIs" dxfId="1681" priority="360" stopIfTrue="1" operator="equal">
      <formula>"n"</formula>
    </cfRule>
  </conditionalFormatting>
  <conditionalFormatting sqref="U46 W46">
    <cfRule type="containsText" dxfId="1680" priority="359" operator="containsText" text="PB">
      <formula>NOT(ISERROR(SEARCH("PB",U46)))</formula>
    </cfRule>
  </conditionalFormatting>
  <conditionalFormatting sqref="V46">
    <cfRule type="containsText" dxfId="1679" priority="358" operator="containsText" text="PB">
      <formula>NOT(ISERROR(SEARCH("PB",V46)))</formula>
    </cfRule>
  </conditionalFormatting>
  <conditionalFormatting sqref="Y46">
    <cfRule type="containsText" dxfId="1678" priority="357" operator="containsText" text="PB">
      <formula>NOT(ISERROR(SEARCH("PB",Y46)))</formula>
    </cfRule>
  </conditionalFormatting>
  <conditionalFormatting sqref="X46">
    <cfRule type="expression" priority="354" stopIfTrue="1">
      <formula>IF(OR(C46="aa",C46="cp",C46="f",C46="jc",C46="m"),TRUE,FALSE)</formula>
    </cfRule>
    <cfRule type="expression" dxfId="1677" priority="355" stopIfTrue="1">
      <formula>IF(OR(E46-C46&gt;6/24,I46-G46&gt;6/24,M46-K46&gt;6/24),TRUE,FALSE)</formula>
    </cfRule>
    <cfRule type="expression" dxfId="1676" priority="356" stopIfTrue="1">
      <formula>IF(OR(D46-B46&gt;6/24,H46-F46&gt;6/24,L46-J46&gt;6/24),TRUE,FALSE)</formula>
    </cfRule>
  </conditionalFormatting>
  <conditionalFormatting sqref="O46">
    <cfRule type="cellIs" dxfId="1675" priority="352" operator="greaterThan">
      <formula>10/24</formula>
    </cfRule>
  </conditionalFormatting>
  <conditionalFormatting sqref="R47">
    <cfRule type="cellIs" dxfId="1674" priority="351" operator="greaterThan">
      <formula>12/24</formula>
    </cfRule>
  </conditionalFormatting>
  <conditionalFormatting sqref="X47">
    <cfRule type="expression" priority="348" stopIfTrue="1">
      <formula>IF(OR(C47="aa",C47="cp",C47="f",C47="jc",C47="m"),TRUE,FALSE)</formula>
    </cfRule>
    <cfRule type="expression" dxfId="1673" priority="349" stopIfTrue="1">
      <formula>IF(OR(E47-C47&gt;6/24,I47-G47&gt;6/24,M47-K47&gt;6/24),TRUE,FALSE)</formula>
    </cfRule>
    <cfRule type="expression" dxfId="1672" priority="350" stopIfTrue="1">
      <formula>IF(OR(D47-B47&gt;6/24,H47-F47&gt;6/24,L47-J47&gt;6/24),TRUE,FALSE)</formula>
    </cfRule>
  </conditionalFormatting>
  <conditionalFormatting sqref="R57 R60">
    <cfRule type="cellIs" dxfId="1671" priority="346" operator="greaterThan">
      <formula>12/24</formula>
    </cfRule>
  </conditionalFormatting>
  <conditionalFormatting sqref="O59:O60">
    <cfRule type="cellIs" dxfId="1670" priority="347" operator="greaterThan">
      <formula>10/24</formula>
    </cfRule>
  </conditionalFormatting>
  <conditionalFormatting sqref="S57 S59:S60">
    <cfRule type="cellIs" dxfId="1669" priority="345" stopIfTrue="1" operator="equal">
      <formula>"n"</formula>
    </cfRule>
  </conditionalFormatting>
  <conditionalFormatting sqref="U57 W57 W59:W60 U59:U60">
    <cfRule type="containsText" dxfId="1668" priority="344" operator="containsText" text="PB">
      <formula>NOT(ISERROR(SEARCH("PB",U57)))</formula>
    </cfRule>
  </conditionalFormatting>
  <conditionalFormatting sqref="V57 V59:V60">
    <cfRule type="containsText" dxfId="1667" priority="343" operator="containsText" text="PB">
      <formula>NOT(ISERROR(SEARCH("PB",V57)))</formula>
    </cfRule>
  </conditionalFormatting>
  <conditionalFormatting sqref="Y57 Y59:Y60">
    <cfRule type="containsText" dxfId="1666" priority="342" operator="containsText" text="PB">
      <formula>NOT(ISERROR(SEARCH("PB",Y57)))</formula>
    </cfRule>
  </conditionalFormatting>
  <conditionalFormatting sqref="X57 X60">
    <cfRule type="expression" priority="339" stopIfTrue="1">
      <formula>IF(OR(C57="aa",C57="cp",C57="f",C57="jc",C57="m"),TRUE,FALSE)</formula>
    </cfRule>
    <cfRule type="expression" dxfId="1665" priority="340" stopIfTrue="1">
      <formula>IF(OR(E57-C57&gt;6/24,I57-G57&gt;6/24,M57-K57&gt;6/24),TRUE,FALSE)</formula>
    </cfRule>
    <cfRule type="expression" dxfId="1664" priority="341" stopIfTrue="1">
      <formula>IF(OR(D57-B57&gt;6/24,H57-F57&gt;6/24,L57-J57&gt;6/24),TRUE,FALSE)</formula>
    </cfRule>
  </conditionalFormatting>
  <conditionalFormatting sqref="N57">
    <cfRule type="cellIs" dxfId="1663" priority="338" stopIfTrue="1" operator="greaterThan">
      <formula>10/24</formula>
    </cfRule>
  </conditionalFormatting>
  <conditionalFormatting sqref="N59">
    <cfRule type="cellIs" dxfId="1662" priority="337" stopIfTrue="1" operator="greaterThan">
      <formula>10/24</formula>
    </cfRule>
  </conditionalFormatting>
  <conditionalFormatting sqref="N60">
    <cfRule type="cellIs" dxfId="1661" priority="336" operator="greaterThan">
      <formula>10/24</formula>
    </cfRule>
  </conditionalFormatting>
  <conditionalFormatting sqref="O57">
    <cfRule type="cellIs" dxfId="1660" priority="335" operator="greaterThan">
      <formula>10/24</formula>
    </cfRule>
  </conditionalFormatting>
  <conditionalFormatting sqref="R54:R56">
    <cfRule type="cellIs" dxfId="1659" priority="334" operator="greaterThan">
      <formula>12/24</formula>
    </cfRule>
  </conditionalFormatting>
  <conditionalFormatting sqref="S54:S56">
    <cfRule type="cellIs" dxfId="1658" priority="333" stopIfTrue="1" operator="equal">
      <formula>"n"</formula>
    </cfRule>
  </conditionalFormatting>
  <conditionalFormatting sqref="U54:U56 W54:W56">
    <cfRule type="containsText" dxfId="1657" priority="332" operator="containsText" text="PB">
      <formula>NOT(ISERROR(SEARCH("PB",U54)))</formula>
    </cfRule>
  </conditionalFormatting>
  <conditionalFormatting sqref="V54:V56">
    <cfRule type="containsText" dxfId="1656" priority="331" operator="containsText" text="PB">
      <formula>NOT(ISERROR(SEARCH("PB",V54)))</formula>
    </cfRule>
  </conditionalFormatting>
  <conditionalFormatting sqref="Y54:Y56">
    <cfRule type="containsText" dxfId="1655" priority="330" operator="containsText" text="PB">
      <formula>NOT(ISERROR(SEARCH("PB",Y54)))</formula>
    </cfRule>
  </conditionalFormatting>
  <conditionalFormatting sqref="X54:X56">
    <cfRule type="expression" priority="327" stopIfTrue="1">
      <formula>IF(OR(C54="aa",C54="cp",C54="f",C54="jc",C54="m"),TRUE,FALSE)</formula>
    </cfRule>
    <cfRule type="expression" dxfId="1654" priority="328" stopIfTrue="1">
      <formula>IF(OR(E54-C54&gt;6/24,I54-G54&gt;6/24,M54-K54&gt;6/24),TRUE,FALSE)</formula>
    </cfRule>
    <cfRule type="expression" dxfId="1653" priority="329" stopIfTrue="1">
      <formula>IF(OR(D54-B54&gt;6/24,H54-F54&gt;6/24,L54-J54&gt;6/24),TRUE,FALSE)</formula>
    </cfRule>
  </conditionalFormatting>
  <conditionalFormatting sqref="N54:N56">
    <cfRule type="cellIs" dxfId="1652" priority="326" stopIfTrue="1" operator="greaterThan">
      <formula>10/24</formula>
    </cfRule>
  </conditionalFormatting>
  <conditionalFormatting sqref="O54:O56">
    <cfRule type="cellIs" dxfId="1651" priority="325" operator="greaterThan">
      <formula>10/24</formula>
    </cfRule>
  </conditionalFormatting>
  <conditionalFormatting sqref="R58">
    <cfRule type="cellIs" dxfId="1650" priority="324" operator="greaterThan">
      <formula>12/24</formula>
    </cfRule>
  </conditionalFormatting>
  <conditionalFormatting sqref="S58">
    <cfRule type="cellIs" dxfId="1649" priority="323" stopIfTrue="1" operator="equal">
      <formula>"n"</formula>
    </cfRule>
  </conditionalFormatting>
  <conditionalFormatting sqref="U58 W58">
    <cfRule type="containsText" dxfId="1648" priority="322" operator="containsText" text="PB">
      <formula>NOT(ISERROR(SEARCH("PB",U58)))</formula>
    </cfRule>
  </conditionalFormatting>
  <conditionalFormatting sqref="V58">
    <cfRule type="containsText" dxfId="1647" priority="321" operator="containsText" text="PB">
      <formula>NOT(ISERROR(SEARCH("PB",V58)))</formula>
    </cfRule>
  </conditionalFormatting>
  <conditionalFormatting sqref="Y58">
    <cfRule type="containsText" dxfId="1646" priority="320" operator="containsText" text="PB">
      <formula>NOT(ISERROR(SEARCH("PB",Y58)))</formula>
    </cfRule>
  </conditionalFormatting>
  <conditionalFormatting sqref="X58">
    <cfRule type="expression" priority="317" stopIfTrue="1">
      <formula>IF(OR(C58="aa",C58="cp",C58="f",C58="jc",C58="m"),TRUE,FALSE)</formula>
    </cfRule>
    <cfRule type="expression" dxfId="1645" priority="318" stopIfTrue="1">
      <formula>IF(OR(E58-C58&gt;6/24,I58-G58&gt;6/24,M58-K58&gt;6/24),TRUE,FALSE)</formula>
    </cfRule>
    <cfRule type="expression" dxfId="1644" priority="319" stopIfTrue="1">
      <formula>IF(OR(D58-B58&gt;6/24,H58-F58&gt;6/24,L58-J58&gt;6/24),TRUE,FALSE)</formula>
    </cfRule>
  </conditionalFormatting>
  <conditionalFormatting sqref="N58">
    <cfRule type="cellIs" dxfId="1643" priority="316" stopIfTrue="1" operator="greaterThan">
      <formula>10/24</formula>
    </cfRule>
  </conditionalFormatting>
  <conditionalFormatting sqref="O58">
    <cfRule type="cellIs" dxfId="1642" priority="315" operator="greaterThan">
      <formula>10/24</formula>
    </cfRule>
  </conditionalFormatting>
  <conditionalFormatting sqref="R59">
    <cfRule type="cellIs" dxfId="1641" priority="314" operator="greaterThan">
      <formula>12/24</formula>
    </cfRule>
  </conditionalFormatting>
  <conditionalFormatting sqref="X59">
    <cfRule type="expression" priority="311" stopIfTrue="1">
      <formula>IF(OR(C59="aa",C59="cp",C59="f",C59="jc",C59="m"),TRUE,FALSE)</formula>
    </cfRule>
    <cfRule type="expression" dxfId="1640" priority="312" stopIfTrue="1">
      <formula>IF(OR(E59-C59&gt;6/24,I59-G59&gt;6/24,M59-K59&gt;6/24),TRUE,FALSE)</formula>
    </cfRule>
    <cfRule type="expression" dxfId="1639" priority="313" stopIfTrue="1">
      <formula>IF(OR(D59-B59&gt;6/24,H59-F59&gt;6/24,L59-J59&gt;6/24),TRUE,FALSE)</formula>
    </cfRule>
  </conditionalFormatting>
  <conditionalFormatting sqref="R69 R72">
    <cfRule type="cellIs" dxfId="1638" priority="309" operator="greaterThan">
      <formula>12/24</formula>
    </cfRule>
  </conditionalFormatting>
  <conditionalFormatting sqref="O71:O72">
    <cfRule type="cellIs" dxfId="1637" priority="310" operator="greaterThan">
      <formula>10/24</formula>
    </cfRule>
  </conditionalFormatting>
  <conditionalFormatting sqref="S69 S71:S72">
    <cfRule type="cellIs" dxfId="1636" priority="308" stopIfTrue="1" operator="equal">
      <formula>"n"</formula>
    </cfRule>
  </conditionalFormatting>
  <conditionalFormatting sqref="U69 W69 W71:W72 U71:U72">
    <cfRule type="containsText" dxfId="1635" priority="307" operator="containsText" text="PB">
      <formula>NOT(ISERROR(SEARCH("PB",U69)))</formula>
    </cfRule>
  </conditionalFormatting>
  <conditionalFormatting sqref="V69 V71:V72">
    <cfRule type="containsText" dxfId="1634" priority="306" operator="containsText" text="PB">
      <formula>NOT(ISERROR(SEARCH("PB",V69)))</formula>
    </cfRule>
  </conditionalFormatting>
  <conditionalFormatting sqref="Y69 Y71:Y72">
    <cfRule type="containsText" dxfId="1633" priority="305" operator="containsText" text="PB">
      <formula>NOT(ISERROR(SEARCH("PB",Y69)))</formula>
    </cfRule>
  </conditionalFormatting>
  <conditionalFormatting sqref="X69 X72">
    <cfRule type="expression" priority="302" stopIfTrue="1">
      <formula>IF(OR(C69="aa",C69="cp",C69="f",C69="jc",C69="m"),TRUE,FALSE)</formula>
    </cfRule>
    <cfRule type="expression" dxfId="1632" priority="303" stopIfTrue="1">
      <formula>IF(OR(E69-C69&gt;6/24,I69-G69&gt;6/24,M69-K69&gt;6/24),TRUE,FALSE)</formula>
    </cfRule>
    <cfRule type="expression" dxfId="1631" priority="304" stopIfTrue="1">
      <formula>IF(OR(D69-B69&gt;6/24,H69-F69&gt;6/24,L69-J69&gt;6/24),TRUE,FALSE)</formula>
    </cfRule>
  </conditionalFormatting>
  <conditionalFormatting sqref="N69">
    <cfRule type="cellIs" dxfId="1630" priority="301" stopIfTrue="1" operator="greaterThan">
      <formula>10/24</formula>
    </cfRule>
  </conditionalFormatting>
  <conditionalFormatting sqref="N71">
    <cfRule type="cellIs" dxfId="1629" priority="300" stopIfTrue="1" operator="greaterThan">
      <formula>10/24</formula>
    </cfRule>
  </conditionalFormatting>
  <conditionalFormatting sqref="N72">
    <cfRule type="cellIs" dxfId="1628" priority="299" operator="greaterThan">
      <formula>10/24</formula>
    </cfRule>
  </conditionalFormatting>
  <conditionalFormatting sqref="O69">
    <cfRule type="cellIs" dxfId="1627" priority="298" operator="greaterThan">
      <formula>10/24</formula>
    </cfRule>
  </conditionalFormatting>
  <conditionalFormatting sqref="R66:R68">
    <cfRule type="cellIs" dxfId="1626" priority="297" operator="greaterThan">
      <formula>12/24</formula>
    </cfRule>
  </conditionalFormatting>
  <conditionalFormatting sqref="U66:U68 W66:W68">
    <cfRule type="containsText" dxfId="1625" priority="295" operator="containsText" text="PB">
      <formula>NOT(ISERROR(SEARCH("PB",U66)))</formula>
    </cfRule>
  </conditionalFormatting>
  <conditionalFormatting sqref="V66:V68">
    <cfRule type="containsText" dxfId="1624" priority="294" operator="containsText" text="PB">
      <formula>NOT(ISERROR(SEARCH("PB",V66)))</formula>
    </cfRule>
  </conditionalFormatting>
  <conditionalFormatting sqref="Y66:Y68">
    <cfRule type="containsText" dxfId="1623" priority="293" operator="containsText" text="PB">
      <formula>NOT(ISERROR(SEARCH("PB",Y66)))</formula>
    </cfRule>
  </conditionalFormatting>
  <conditionalFormatting sqref="X66:X68">
    <cfRule type="expression" priority="290" stopIfTrue="1">
      <formula>IF(OR(C66="aa",C66="cp",C66="f",C66="jc",C66="m"),TRUE,FALSE)</formula>
    </cfRule>
    <cfRule type="expression" dxfId="1622" priority="291" stopIfTrue="1">
      <formula>IF(OR(E66-C66&gt;6/24,I66-G66&gt;6/24,M66-K66&gt;6/24),TRUE,FALSE)</formula>
    </cfRule>
    <cfRule type="expression" dxfId="1621" priority="292" stopIfTrue="1">
      <formula>IF(OR(D66-B66&gt;6/24,H66-F66&gt;6/24,L66-J66&gt;6/24),TRUE,FALSE)</formula>
    </cfRule>
  </conditionalFormatting>
  <conditionalFormatting sqref="N66:N68">
    <cfRule type="cellIs" dxfId="1620" priority="289" stopIfTrue="1" operator="greaterThan">
      <formula>10/24</formula>
    </cfRule>
  </conditionalFormatting>
  <conditionalFormatting sqref="O66:O68">
    <cfRule type="cellIs" dxfId="1619" priority="288" operator="greaterThan">
      <formula>10/24</formula>
    </cfRule>
  </conditionalFormatting>
  <conditionalFormatting sqref="R70">
    <cfRule type="cellIs" dxfId="1618" priority="287" operator="greaterThan">
      <formula>12/24</formula>
    </cfRule>
  </conditionalFormatting>
  <conditionalFormatting sqref="S70">
    <cfRule type="cellIs" dxfId="1617" priority="286" stopIfTrue="1" operator="equal">
      <formula>"n"</formula>
    </cfRule>
  </conditionalFormatting>
  <conditionalFormatting sqref="U70 W70">
    <cfRule type="containsText" dxfId="1616" priority="285" operator="containsText" text="PB">
      <formula>NOT(ISERROR(SEARCH("PB",U70)))</formula>
    </cfRule>
  </conditionalFormatting>
  <conditionalFormatting sqref="V70">
    <cfRule type="containsText" dxfId="1615" priority="284" operator="containsText" text="PB">
      <formula>NOT(ISERROR(SEARCH("PB",V70)))</formula>
    </cfRule>
  </conditionalFormatting>
  <conditionalFormatting sqref="Y70">
    <cfRule type="containsText" dxfId="1614" priority="283" operator="containsText" text="PB">
      <formula>NOT(ISERROR(SEARCH("PB",Y70)))</formula>
    </cfRule>
  </conditionalFormatting>
  <conditionalFormatting sqref="X70">
    <cfRule type="expression" priority="280" stopIfTrue="1">
      <formula>IF(OR(C70="aa",C70="cp",C70="f",C70="jc",C70="m"),TRUE,FALSE)</formula>
    </cfRule>
    <cfRule type="expression" dxfId="1613" priority="281" stopIfTrue="1">
      <formula>IF(OR(E70-C70&gt;6/24,I70-G70&gt;6/24,M70-K70&gt;6/24),TRUE,FALSE)</formula>
    </cfRule>
    <cfRule type="expression" dxfId="1612" priority="282" stopIfTrue="1">
      <formula>IF(OR(D70-B70&gt;6/24,H70-F70&gt;6/24,L70-J70&gt;6/24),TRUE,FALSE)</formula>
    </cfRule>
  </conditionalFormatting>
  <conditionalFormatting sqref="N70">
    <cfRule type="cellIs" dxfId="1611" priority="279" stopIfTrue="1" operator="greaterThan">
      <formula>10/24</formula>
    </cfRule>
  </conditionalFormatting>
  <conditionalFormatting sqref="O70">
    <cfRule type="cellIs" dxfId="1610" priority="278" operator="greaterThan">
      <formula>10/24</formula>
    </cfRule>
  </conditionalFormatting>
  <conditionalFormatting sqref="R71">
    <cfRule type="cellIs" dxfId="1609" priority="277" operator="greaterThan">
      <formula>12/24</formula>
    </cfRule>
  </conditionalFormatting>
  <conditionalFormatting sqref="X71">
    <cfRule type="expression" priority="274" stopIfTrue="1">
      <formula>IF(OR(C71="aa",C71="cp",C71="f",C71="jc",C71="m"),TRUE,FALSE)</formula>
    </cfRule>
    <cfRule type="expression" dxfId="1608" priority="275" stopIfTrue="1">
      <formula>IF(OR(E71-C71&gt;6/24,I71-G71&gt;6/24,M71-K71&gt;6/24),TRUE,FALSE)</formula>
    </cfRule>
    <cfRule type="expression" dxfId="1607" priority="276" stopIfTrue="1">
      <formula>IF(OR(D71-B71&gt;6/24,H71-F71&gt;6/24,L71-J71&gt;6/24),TRUE,FALSE)</formula>
    </cfRule>
  </conditionalFormatting>
  <conditionalFormatting sqref="R81 R84">
    <cfRule type="cellIs" dxfId="1606" priority="272" operator="greaterThan">
      <formula>12/24</formula>
    </cfRule>
  </conditionalFormatting>
  <conditionalFormatting sqref="O83:O84">
    <cfRule type="cellIs" dxfId="1605" priority="273" operator="greaterThan">
      <formula>10/24</formula>
    </cfRule>
  </conditionalFormatting>
  <conditionalFormatting sqref="S81 S83:S84">
    <cfRule type="cellIs" dxfId="1604" priority="271" stopIfTrue="1" operator="equal">
      <formula>"n"</formula>
    </cfRule>
  </conditionalFormatting>
  <conditionalFormatting sqref="U81 W81 W83:W84 U83:U84">
    <cfRule type="containsText" dxfId="1603" priority="270" operator="containsText" text="PB">
      <formula>NOT(ISERROR(SEARCH("PB",U81)))</formula>
    </cfRule>
  </conditionalFormatting>
  <conditionalFormatting sqref="V81 V83:V84">
    <cfRule type="containsText" dxfId="1602" priority="269" operator="containsText" text="PB">
      <formula>NOT(ISERROR(SEARCH("PB",V81)))</formula>
    </cfRule>
  </conditionalFormatting>
  <conditionalFormatting sqref="Y81 Y83:Y84">
    <cfRule type="containsText" dxfId="1601" priority="268" operator="containsText" text="PB">
      <formula>NOT(ISERROR(SEARCH("PB",Y81)))</formula>
    </cfRule>
  </conditionalFormatting>
  <conditionalFormatting sqref="X81 X84">
    <cfRule type="expression" priority="265" stopIfTrue="1">
      <formula>IF(OR(C81="aa",C81="cp",C81="f",C81="jc",C81="m"),TRUE,FALSE)</formula>
    </cfRule>
    <cfRule type="expression" dxfId="1600" priority="266" stopIfTrue="1">
      <formula>IF(OR(E81-C81&gt;6/24,I81-G81&gt;6/24,M81-K81&gt;6/24),TRUE,FALSE)</formula>
    </cfRule>
    <cfRule type="expression" dxfId="1599" priority="267" stopIfTrue="1">
      <formula>IF(OR(D81-B81&gt;6/24,H81-F81&gt;6/24,L81-J81&gt;6/24),TRUE,FALSE)</formula>
    </cfRule>
  </conditionalFormatting>
  <conditionalFormatting sqref="N81">
    <cfRule type="cellIs" dxfId="1598" priority="264" stopIfTrue="1" operator="greaterThan">
      <formula>10/24</formula>
    </cfRule>
  </conditionalFormatting>
  <conditionalFormatting sqref="N83">
    <cfRule type="cellIs" dxfId="1597" priority="263" stopIfTrue="1" operator="greaterThan">
      <formula>10/24</formula>
    </cfRule>
  </conditionalFormatting>
  <conditionalFormatting sqref="N84">
    <cfRule type="cellIs" dxfId="1596" priority="262" operator="greaterThan">
      <formula>10/24</formula>
    </cfRule>
  </conditionalFormatting>
  <conditionalFormatting sqref="O81">
    <cfRule type="cellIs" dxfId="1595" priority="261" operator="greaterThan">
      <formula>10/24</formula>
    </cfRule>
  </conditionalFormatting>
  <conditionalFormatting sqref="R78:R80">
    <cfRule type="cellIs" dxfId="1594" priority="260" operator="greaterThan">
      <formula>12/24</formula>
    </cfRule>
  </conditionalFormatting>
  <conditionalFormatting sqref="S78:S80">
    <cfRule type="cellIs" dxfId="1593" priority="259" stopIfTrue="1" operator="equal">
      <formula>"n"</formula>
    </cfRule>
  </conditionalFormatting>
  <conditionalFormatting sqref="U78:U80 W78:W80">
    <cfRule type="containsText" dxfId="1592" priority="258" operator="containsText" text="PB">
      <formula>NOT(ISERROR(SEARCH("PB",U78)))</formula>
    </cfRule>
  </conditionalFormatting>
  <conditionalFormatting sqref="V78:V80">
    <cfRule type="containsText" dxfId="1591" priority="257" operator="containsText" text="PB">
      <formula>NOT(ISERROR(SEARCH("PB",V78)))</formula>
    </cfRule>
  </conditionalFormatting>
  <conditionalFormatting sqref="Y78:Y80">
    <cfRule type="containsText" dxfId="1590" priority="256" operator="containsText" text="PB">
      <formula>NOT(ISERROR(SEARCH("PB",Y78)))</formula>
    </cfRule>
  </conditionalFormatting>
  <conditionalFormatting sqref="X78:X80">
    <cfRule type="expression" priority="253" stopIfTrue="1">
      <formula>IF(OR(C78="aa",C78="cp",C78="f",C78="jc",C78="m"),TRUE,FALSE)</formula>
    </cfRule>
    <cfRule type="expression" dxfId="1589" priority="254" stopIfTrue="1">
      <formula>IF(OR(E78-C78&gt;6/24,I78-G78&gt;6/24,M78-K78&gt;6/24),TRUE,FALSE)</formula>
    </cfRule>
    <cfRule type="expression" dxfId="1588" priority="255" stopIfTrue="1">
      <formula>IF(OR(D78-B78&gt;6/24,H78-F78&gt;6/24,L78-J78&gt;6/24),TRUE,FALSE)</formula>
    </cfRule>
  </conditionalFormatting>
  <conditionalFormatting sqref="N78:N80">
    <cfRule type="cellIs" dxfId="1587" priority="252" stopIfTrue="1" operator="greaterThan">
      <formula>10/24</formula>
    </cfRule>
  </conditionalFormatting>
  <conditionalFormatting sqref="O78:O80">
    <cfRule type="cellIs" dxfId="1586" priority="251" operator="greaterThan">
      <formula>10/24</formula>
    </cfRule>
  </conditionalFormatting>
  <conditionalFormatting sqref="R82">
    <cfRule type="cellIs" dxfId="1585" priority="250" operator="greaterThan">
      <formula>12/24</formula>
    </cfRule>
  </conditionalFormatting>
  <conditionalFormatting sqref="S82">
    <cfRule type="cellIs" dxfId="1584" priority="249" stopIfTrue="1" operator="equal">
      <formula>"n"</formula>
    </cfRule>
  </conditionalFormatting>
  <conditionalFormatting sqref="U82 W82">
    <cfRule type="containsText" dxfId="1583" priority="248" operator="containsText" text="PB">
      <formula>NOT(ISERROR(SEARCH("PB",U82)))</formula>
    </cfRule>
  </conditionalFormatting>
  <conditionalFormatting sqref="V82">
    <cfRule type="containsText" dxfId="1582" priority="247" operator="containsText" text="PB">
      <formula>NOT(ISERROR(SEARCH("PB",V82)))</formula>
    </cfRule>
  </conditionalFormatting>
  <conditionalFormatting sqref="Y82">
    <cfRule type="containsText" dxfId="1581" priority="246" operator="containsText" text="PB">
      <formula>NOT(ISERROR(SEARCH("PB",Y82)))</formula>
    </cfRule>
  </conditionalFormatting>
  <conditionalFormatting sqref="X82">
    <cfRule type="expression" priority="243" stopIfTrue="1">
      <formula>IF(OR(C82="aa",C82="cp",C82="f",C82="jc",C82="m"),TRUE,FALSE)</formula>
    </cfRule>
    <cfRule type="expression" dxfId="1580" priority="244" stopIfTrue="1">
      <formula>IF(OR(E82-C82&gt;6/24,I82-G82&gt;6/24,M82-K82&gt;6/24),TRUE,FALSE)</formula>
    </cfRule>
    <cfRule type="expression" dxfId="1579" priority="245" stopIfTrue="1">
      <formula>IF(OR(D82-B82&gt;6/24,H82-F82&gt;6/24,L82-J82&gt;6/24),TRUE,FALSE)</formula>
    </cfRule>
  </conditionalFormatting>
  <conditionalFormatting sqref="N82">
    <cfRule type="cellIs" dxfId="1578" priority="242" stopIfTrue="1" operator="greaterThan">
      <formula>10/24</formula>
    </cfRule>
  </conditionalFormatting>
  <conditionalFormatting sqref="O82">
    <cfRule type="cellIs" dxfId="1577" priority="241" operator="greaterThan">
      <formula>10/24</formula>
    </cfRule>
  </conditionalFormatting>
  <conditionalFormatting sqref="R83">
    <cfRule type="cellIs" dxfId="1576" priority="240" operator="greaterThan">
      <formula>12/24</formula>
    </cfRule>
  </conditionalFormatting>
  <conditionalFormatting sqref="X83">
    <cfRule type="expression" priority="237" stopIfTrue="1">
      <formula>IF(OR(C83="aa",C83="cp",C83="f",C83="jc",C83="m"),TRUE,FALSE)</formula>
    </cfRule>
    <cfRule type="expression" dxfId="1575" priority="238" stopIfTrue="1">
      <formula>IF(OR(E83-C83&gt;6/24,I83-G83&gt;6/24,M83-K83&gt;6/24),TRUE,FALSE)</formula>
    </cfRule>
    <cfRule type="expression" dxfId="1574" priority="239" stopIfTrue="1">
      <formula>IF(OR(D83-B83&gt;6/24,H83-F83&gt;6/24,L83-J83&gt;6/24),TRUE,FALSE)</formula>
    </cfRule>
  </conditionalFormatting>
  <conditionalFormatting sqref="R93 R96">
    <cfRule type="cellIs" dxfId="1573" priority="235" operator="greaterThan">
      <formula>12/24</formula>
    </cfRule>
  </conditionalFormatting>
  <conditionalFormatting sqref="S93 S95:S96">
    <cfRule type="cellIs" dxfId="1572" priority="234" stopIfTrue="1" operator="equal">
      <formula>"n"</formula>
    </cfRule>
  </conditionalFormatting>
  <conditionalFormatting sqref="U93 W93 W95:W96 U95:U96">
    <cfRule type="containsText" dxfId="1571" priority="233" operator="containsText" text="PB">
      <formula>NOT(ISERROR(SEARCH("PB",U93)))</formula>
    </cfRule>
  </conditionalFormatting>
  <conditionalFormatting sqref="V93 V95:V96">
    <cfRule type="containsText" dxfId="1570" priority="232" operator="containsText" text="PB">
      <formula>NOT(ISERROR(SEARCH("PB",V93)))</formula>
    </cfRule>
  </conditionalFormatting>
  <conditionalFormatting sqref="Y93 Y95:Y96">
    <cfRule type="containsText" dxfId="1569" priority="231" operator="containsText" text="PB">
      <formula>NOT(ISERROR(SEARCH("PB",Y93)))</formula>
    </cfRule>
  </conditionalFormatting>
  <conditionalFormatting sqref="X93 X96">
    <cfRule type="expression" priority="228" stopIfTrue="1">
      <formula>IF(OR(C93="aa",C93="cp",C93="f",C93="jc",C93="m"),TRUE,FALSE)</formula>
    </cfRule>
    <cfRule type="expression" dxfId="1568" priority="229" stopIfTrue="1">
      <formula>IF(OR(E93-C93&gt;6/24,I93-G93&gt;6/24,M93-K93&gt;6/24),TRUE,FALSE)</formula>
    </cfRule>
    <cfRule type="expression" dxfId="1567" priority="230" stopIfTrue="1">
      <formula>IF(OR(D93-B93&gt;6/24,H93-F93&gt;6/24,L93-J93&gt;6/24),TRUE,FALSE)</formula>
    </cfRule>
  </conditionalFormatting>
  <conditionalFormatting sqref="N93">
    <cfRule type="cellIs" dxfId="1566" priority="227" stopIfTrue="1" operator="greaterThan">
      <formula>10/24</formula>
    </cfRule>
  </conditionalFormatting>
  <conditionalFormatting sqref="N95">
    <cfRule type="cellIs" dxfId="1565" priority="226" stopIfTrue="1" operator="greaterThan">
      <formula>10/24</formula>
    </cfRule>
  </conditionalFormatting>
  <conditionalFormatting sqref="N96">
    <cfRule type="cellIs" dxfId="1564" priority="225" operator="greaterThan">
      <formula>10/24</formula>
    </cfRule>
  </conditionalFormatting>
  <conditionalFormatting sqref="O93">
    <cfRule type="cellIs" dxfId="1563" priority="224" operator="greaterThan">
      <formula>10/24</formula>
    </cfRule>
  </conditionalFormatting>
  <conditionalFormatting sqref="R90:R92">
    <cfRule type="cellIs" dxfId="1562" priority="223" operator="greaterThan">
      <formula>12/24</formula>
    </cfRule>
  </conditionalFormatting>
  <conditionalFormatting sqref="S90:S92">
    <cfRule type="cellIs" dxfId="1561" priority="222" stopIfTrue="1" operator="equal">
      <formula>"n"</formula>
    </cfRule>
  </conditionalFormatting>
  <conditionalFormatting sqref="U90:U92 W90:W92">
    <cfRule type="containsText" dxfId="1560" priority="221" operator="containsText" text="PB">
      <formula>NOT(ISERROR(SEARCH("PB",U90)))</formula>
    </cfRule>
  </conditionalFormatting>
  <conditionalFormatting sqref="V90:V92">
    <cfRule type="containsText" dxfId="1559" priority="220" operator="containsText" text="PB">
      <formula>NOT(ISERROR(SEARCH("PB",V90)))</formula>
    </cfRule>
  </conditionalFormatting>
  <conditionalFormatting sqref="Y90:Y92">
    <cfRule type="containsText" dxfId="1558" priority="219" operator="containsText" text="PB">
      <formula>NOT(ISERROR(SEARCH("PB",Y90)))</formula>
    </cfRule>
  </conditionalFormatting>
  <conditionalFormatting sqref="X90:X92">
    <cfRule type="expression" priority="216" stopIfTrue="1">
      <formula>IF(OR(C90="aa",C90="cp",C90="f",C90="jc",C90="m"),TRUE,FALSE)</formula>
    </cfRule>
    <cfRule type="expression" dxfId="1557" priority="217" stopIfTrue="1">
      <formula>IF(OR(E90-C90&gt;6/24,I90-G90&gt;6/24,M90-K90&gt;6/24),TRUE,FALSE)</formula>
    </cfRule>
    <cfRule type="expression" dxfId="1556" priority="218" stopIfTrue="1">
      <formula>IF(OR(D90-B90&gt;6/24,H90-F90&gt;6/24,L90-J90&gt;6/24),TRUE,FALSE)</formula>
    </cfRule>
  </conditionalFormatting>
  <conditionalFormatting sqref="N90:N92">
    <cfRule type="cellIs" dxfId="1555" priority="215" stopIfTrue="1" operator="greaterThan">
      <formula>10/24</formula>
    </cfRule>
  </conditionalFormatting>
  <conditionalFormatting sqref="O90:O92">
    <cfRule type="cellIs" dxfId="1554" priority="214" operator="greaterThan">
      <formula>10/24</formula>
    </cfRule>
  </conditionalFormatting>
  <conditionalFormatting sqref="R94">
    <cfRule type="cellIs" dxfId="1553" priority="213" operator="greaterThan">
      <formula>12/24</formula>
    </cfRule>
  </conditionalFormatting>
  <conditionalFormatting sqref="S94">
    <cfRule type="cellIs" dxfId="1552" priority="212" stopIfTrue="1" operator="equal">
      <formula>"n"</formula>
    </cfRule>
  </conditionalFormatting>
  <conditionalFormatting sqref="U94 W94">
    <cfRule type="containsText" dxfId="1551" priority="211" operator="containsText" text="PB">
      <formula>NOT(ISERROR(SEARCH("PB",U94)))</formula>
    </cfRule>
  </conditionalFormatting>
  <conditionalFormatting sqref="V94">
    <cfRule type="containsText" dxfId="1550" priority="210" operator="containsText" text="PB">
      <formula>NOT(ISERROR(SEARCH("PB",V94)))</formula>
    </cfRule>
  </conditionalFormatting>
  <conditionalFormatting sqref="Y94">
    <cfRule type="containsText" dxfId="1549" priority="209" operator="containsText" text="PB">
      <formula>NOT(ISERROR(SEARCH("PB",Y94)))</formula>
    </cfRule>
  </conditionalFormatting>
  <conditionalFormatting sqref="X94">
    <cfRule type="expression" priority="206" stopIfTrue="1">
      <formula>IF(OR(C94="aa",C94="cp",C94="f",C94="jc",C94="m"),TRUE,FALSE)</formula>
    </cfRule>
    <cfRule type="expression" dxfId="1548" priority="207" stopIfTrue="1">
      <formula>IF(OR(E94-C94&gt;6/24,I94-G94&gt;6/24,M94-K94&gt;6/24),TRUE,FALSE)</formula>
    </cfRule>
    <cfRule type="expression" dxfId="1547" priority="208" stopIfTrue="1">
      <formula>IF(OR(D94-B94&gt;6/24,H94-F94&gt;6/24,L94-J94&gt;6/24),TRUE,FALSE)</formula>
    </cfRule>
  </conditionalFormatting>
  <conditionalFormatting sqref="N94">
    <cfRule type="cellIs" dxfId="1546" priority="205" stopIfTrue="1" operator="greaterThan">
      <formula>10/24</formula>
    </cfRule>
  </conditionalFormatting>
  <conditionalFormatting sqref="O94">
    <cfRule type="cellIs" dxfId="1545" priority="204" operator="greaterThan">
      <formula>10/24</formula>
    </cfRule>
  </conditionalFormatting>
  <conditionalFormatting sqref="R95">
    <cfRule type="cellIs" dxfId="1544" priority="203" operator="greaterThan">
      <formula>12/24</formula>
    </cfRule>
  </conditionalFormatting>
  <conditionalFormatting sqref="X95">
    <cfRule type="expression" priority="200" stopIfTrue="1">
      <formula>IF(OR(C95="aa",C95="cp",C95="f",C95="jc",C95="m"),TRUE,FALSE)</formula>
    </cfRule>
    <cfRule type="expression" dxfId="1543" priority="201" stopIfTrue="1">
      <formula>IF(OR(E95-C95&gt;6/24,I95-G95&gt;6/24,M95-K95&gt;6/24),TRUE,FALSE)</formula>
    </cfRule>
    <cfRule type="expression" dxfId="1542" priority="202" stopIfTrue="1">
      <formula>IF(OR(D95-B95&gt;6/24,H95-F95&gt;6/24,L95-J95&gt;6/24),TRUE,FALSE)</formula>
    </cfRule>
  </conditionalFormatting>
  <conditionalFormatting sqref="R105 R108">
    <cfRule type="cellIs" dxfId="1541" priority="198" operator="greaterThan">
      <formula>12/24</formula>
    </cfRule>
  </conditionalFormatting>
  <conditionalFormatting sqref="O107:O108">
    <cfRule type="cellIs" dxfId="1540" priority="199" operator="greaterThan">
      <formula>10/24</formula>
    </cfRule>
  </conditionalFormatting>
  <conditionalFormatting sqref="S105 S107:S108">
    <cfRule type="cellIs" dxfId="1539" priority="197" stopIfTrue="1" operator="equal">
      <formula>"n"</formula>
    </cfRule>
  </conditionalFormatting>
  <conditionalFormatting sqref="U105 W105 W107:W108 U107:U108">
    <cfRule type="containsText" dxfId="1538" priority="196" operator="containsText" text="PB">
      <formula>NOT(ISERROR(SEARCH("PB",U105)))</formula>
    </cfRule>
  </conditionalFormatting>
  <conditionalFormatting sqref="V105 V107:V108">
    <cfRule type="containsText" dxfId="1537" priority="195" operator="containsText" text="PB">
      <formula>NOT(ISERROR(SEARCH("PB",V105)))</formula>
    </cfRule>
  </conditionalFormatting>
  <conditionalFormatting sqref="Y105 Y107:Y108">
    <cfRule type="containsText" dxfId="1536" priority="194" operator="containsText" text="PB">
      <formula>NOT(ISERROR(SEARCH("PB",Y105)))</formula>
    </cfRule>
  </conditionalFormatting>
  <conditionalFormatting sqref="X105 X108">
    <cfRule type="expression" priority="191" stopIfTrue="1">
      <formula>IF(OR(C105="aa",C105="cp",C105="f",C105="jc",C105="m"),TRUE,FALSE)</formula>
    </cfRule>
    <cfRule type="expression" dxfId="1535" priority="192" stopIfTrue="1">
      <formula>IF(OR(E105-C105&gt;6/24,I105-G105&gt;6/24,M105-K105&gt;6/24),TRUE,FALSE)</formula>
    </cfRule>
    <cfRule type="expression" dxfId="1534" priority="193" stopIfTrue="1">
      <formula>IF(OR(D105-B105&gt;6/24,H105-F105&gt;6/24,L105-J105&gt;6/24),TRUE,FALSE)</formula>
    </cfRule>
  </conditionalFormatting>
  <conditionalFormatting sqref="N105">
    <cfRule type="cellIs" dxfId="1533" priority="190" stopIfTrue="1" operator="greaterThan">
      <formula>10/24</formula>
    </cfRule>
  </conditionalFormatting>
  <conditionalFormatting sqref="N108">
    <cfRule type="cellIs" dxfId="1532" priority="188" operator="greaterThan">
      <formula>10/24</formula>
    </cfRule>
  </conditionalFormatting>
  <conditionalFormatting sqref="O105">
    <cfRule type="cellIs" dxfId="1531" priority="187" operator="greaterThan">
      <formula>10/24</formula>
    </cfRule>
  </conditionalFormatting>
  <conditionalFormatting sqref="R102:R104">
    <cfRule type="cellIs" dxfId="1530" priority="186" operator="greaterThan">
      <formula>12/24</formula>
    </cfRule>
  </conditionalFormatting>
  <conditionalFormatting sqref="S102:S104">
    <cfRule type="cellIs" dxfId="1529" priority="185" stopIfTrue="1" operator="equal">
      <formula>"n"</formula>
    </cfRule>
  </conditionalFormatting>
  <conditionalFormatting sqref="W102:W104 U102:U104">
    <cfRule type="containsText" dxfId="1528" priority="184" operator="containsText" text="PB">
      <formula>NOT(ISERROR(SEARCH("PB",U102)))</formula>
    </cfRule>
  </conditionalFormatting>
  <conditionalFormatting sqref="V102:V104">
    <cfRule type="containsText" dxfId="1527" priority="183" operator="containsText" text="PB">
      <formula>NOT(ISERROR(SEARCH("PB",V102)))</formula>
    </cfRule>
  </conditionalFormatting>
  <conditionalFormatting sqref="Y102:Y104">
    <cfRule type="containsText" dxfId="1526" priority="182" operator="containsText" text="PB">
      <formula>NOT(ISERROR(SEARCH("PB",Y102)))</formula>
    </cfRule>
  </conditionalFormatting>
  <conditionalFormatting sqref="X102:X104">
    <cfRule type="expression" priority="179" stopIfTrue="1">
      <formula>IF(OR(C102="aa",C102="cp",C102="f",C102="jc",C102="m"),TRUE,FALSE)</formula>
    </cfRule>
    <cfRule type="expression" dxfId="1525" priority="180" stopIfTrue="1">
      <formula>IF(OR(E102-C102&gt;6/24,I102-G102&gt;6/24,M102-K102&gt;6/24),TRUE,FALSE)</formula>
    </cfRule>
    <cfRule type="expression" dxfId="1524" priority="181" stopIfTrue="1">
      <formula>IF(OR(D102-B102&gt;6/24,H102-F102&gt;6/24,L102-J102&gt;6/24),TRUE,FALSE)</formula>
    </cfRule>
  </conditionalFormatting>
  <conditionalFormatting sqref="N102:N104">
    <cfRule type="cellIs" dxfId="1523" priority="178" stopIfTrue="1" operator="greaterThan">
      <formula>10/24</formula>
    </cfRule>
  </conditionalFormatting>
  <conditionalFormatting sqref="O102:O104">
    <cfRule type="cellIs" dxfId="1522" priority="177" operator="greaterThan">
      <formula>10/24</formula>
    </cfRule>
  </conditionalFormatting>
  <conditionalFormatting sqref="R106">
    <cfRule type="cellIs" dxfId="1521" priority="176" operator="greaterThan">
      <formula>12/24</formula>
    </cfRule>
  </conditionalFormatting>
  <conditionalFormatting sqref="S106">
    <cfRule type="cellIs" dxfId="1520" priority="175" stopIfTrue="1" operator="equal">
      <formula>"n"</formula>
    </cfRule>
  </conditionalFormatting>
  <conditionalFormatting sqref="U106 W106">
    <cfRule type="containsText" dxfId="1519" priority="174" operator="containsText" text="PB">
      <formula>NOT(ISERROR(SEARCH("PB",U106)))</formula>
    </cfRule>
  </conditionalFormatting>
  <conditionalFormatting sqref="V106">
    <cfRule type="containsText" dxfId="1518" priority="173" operator="containsText" text="PB">
      <formula>NOT(ISERROR(SEARCH("PB",V106)))</formula>
    </cfRule>
  </conditionalFormatting>
  <conditionalFormatting sqref="Y106">
    <cfRule type="containsText" dxfId="1517" priority="172" operator="containsText" text="PB">
      <formula>NOT(ISERROR(SEARCH("PB",Y106)))</formula>
    </cfRule>
  </conditionalFormatting>
  <conditionalFormatting sqref="X106">
    <cfRule type="expression" priority="169" stopIfTrue="1">
      <formula>IF(OR(C106="aa",C106="cp",C106="f",C106="jc",C106="m"),TRUE,FALSE)</formula>
    </cfRule>
    <cfRule type="expression" dxfId="1516" priority="170" stopIfTrue="1">
      <formula>IF(OR(E106-C106&gt;6/24,I106-G106&gt;6/24,M106-K106&gt;6/24),TRUE,FALSE)</formula>
    </cfRule>
    <cfRule type="expression" dxfId="1515" priority="171" stopIfTrue="1">
      <formula>IF(OR(D106-B106&gt;6/24,H106-F106&gt;6/24,L106-J106&gt;6/24),TRUE,FALSE)</formula>
    </cfRule>
  </conditionalFormatting>
  <conditionalFormatting sqref="N106">
    <cfRule type="cellIs" dxfId="1514" priority="168" stopIfTrue="1" operator="greaterThan">
      <formula>10/24</formula>
    </cfRule>
  </conditionalFormatting>
  <conditionalFormatting sqref="R107">
    <cfRule type="cellIs" dxfId="1513" priority="166" operator="greaterThan">
      <formula>12/24</formula>
    </cfRule>
  </conditionalFormatting>
  <conditionalFormatting sqref="X107">
    <cfRule type="expression" priority="163" stopIfTrue="1">
      <formula>IF(OR(C107="aa",C107="cp",C107="f",C107="jc",C107="m"),TRUE,FALSE)</formula>
    </cfRule>
    <cfRule type="expression" dxfId="1512" priority="164" stopIfTrue="1">
      <formula>IF(OR(E107-C107&gt;6/24,I107-G107&gt;6/24,M107-K107&gt;6/24),TRUE,FALSE)</formula>
    </cfRule>
    <cfRule type="expression" dxfId="1511" priority="165" stopIfTrue="1">
      <formula>IF(OR(D107-B107&gt;6/24,H107-F107&gt;6/24,L107-J107&gt;6/24),TRUE,FALSE)</formula>
    </cfRule>
  </conditionalFormatting>
  <conditionalFormatting sqref="R117 R120">
    <cfRule type="cellIs" dxfId="1510" priority="161" operator="greaterThan">
      <formula>12/24</formula>
    </cfRule>
  </conditionalFormatting>
  <conditionalFormatting sqref="O119:O120">
    <cfRule type="cellIs" dxfId="1509" priority="162" operator="greaterThan">
      <formula>10/24</formula>
    </cfRule>
  </conditionalFormatting>
  <conditionalFormatting sqref="S117 S119:S120">
    <cfRule type="cellIs" dxfId="1508" priority="160" stopIfTrue="1" operator="equal">
      <formula>"n"</formula>
    </cfRule>
  </conditionalFormatting>
  <conditionalFormatting sqref="U117 W117 W119:W120 U119:U120">
    <cfRule type="containsText" dxfId="1507" priority="159" operator="containsText" text="PB">
      <formula>NOT(ISERROR(SEARCH("PB",U117)))</formula>
    </cfRule>
  </conditionalFormatting>
  <conditionalFormatting sqref="V117 V119:V120">
    <cfRule type="containsText" dxfId="1506" priority="158" operator="containsText" text="PB">
      <formula>NOT(ISERROR(SEARCH("PB",V117)))</formula>
    </cfRule>
  </conditionalFormatting>
  <conditionalFormatting sqref="Y117 Y119:Y120">
    <cfRule type="containsText" dxfId="1505" priority="157" operator="containsText" text="PB">
      <formula>NOT(ISERROR(SEARCH("PB",Y117)))</formula>
    </cfRule>
  </conditionalFormatting>
  <conditionalFormatting sqref="X117 X120">
    <cfRule type="expression" priority="154" stopIfTrue="1">
      <formula>IF(OR(C117="aa",C117="cp",C117="f",C117="jc",C117="m"),TRUE,FALSE)</formula>
    </cfRule>
    <cfRule type="expression" dxfId="1504" priority="155" stopIfTrue="1">
      <formula>IF(OR(E117-C117&gt;6/24,I117-G117&gt;6/24,M117-K117&gt;6/24),TRUE,FALSE)</formula>
    </cfRule>
    <cfRule type="expression" dxfId="1503" priority="156" stopIfTrue="1">
      <formula>IF(OR(D117-B117&gt;6/24,H117-F117&gt;6/24,L117-J117&gt;6/24),TRUE,FALSE)</formula>
    </cfRule>
  </conditionalFormatting>
  <conditionalFormatting sqref="N117">
    <cfRule type="cellIs" dxfId="1502" priority="153" stopIfTrue="1" operator="greaterThan">
      <formula>10/24</formula>
    </cfRule>
  </conditionalFormatting>
  <conditionalFormatting sqref="N119">
    <cfRule type="cellIs" dxfId="1501" priority="152" stopIfTrue="1" operator="greaterThan">
      <formula>10/24</formula>
    </cfRule>
  </conditionalFormatting>
  <conditionalFormatting sqref="N120">
    <cfRule type="cellIs" dxfId="1500" priority="151" operator="greaterThan">
      <formula>10/24</formula>
    </cfRule>
  </conditionalFormatting>
  <conditionalFormatting sqref="O117">
    <cfRule type="cellIs" dxfId="1499" priority="150" operator="greaterThan">
      <formula>10/24</formula>
    </cfRule>
  </conditionalFormatting>
  <conditionalFormatting sqref="R114:R116">
    <cfRule type="cellIs" dxfId="1498" priority="149" operator="greaterThan">
      <formula>12/24</formula>
    </cfRule>
  </conditionalFormatting>
  <conditionalFormatting sqref="S114:S116">
    <cfRule type="cellIs" dxfId="1497" priority="148" stopIfTrue="1" operator="equal">
      <formula>"n"</formula>
    </cfRule>
  </conditionalFormatting>
  <conditionalFormatting sqref="U114:U116 W114:W116">
    <cfRule type="containsText" dxfId="1496" priority="147" operator="containsText" text="PB">
      <formula>NOT(ISERROR(SEARCH("PB",U114)))</formula>
    </cfRule>
  </conditionalFormatting>
  <conditionalFormatting sqref="V114:V116">
    <cfRule type="containsText" dxfId="1495" priority="146" operator="containsText" text="PB">
      <formula>NOT(ISERROR(SEARCH("PB",V114)))</formula>
    </cfRule>
  </conditionalFormatting>
  <conditionalFormatting sqref="Y114:Y116">
    <cfRule type="containsText" dxfId="1494" priority="145" operator="containsText" text="PB">
      <formula>NOT(ISERROR(SEARCH("PB",Y114)))</formula>
    </cfRule>
  </conditionalFormatting>
  <conditionalFormatting sqref="X114:X116">
    <cfRule type="expression" priority="142" stopIfTrue="1">
      <formula>IF(OR(C114="aa",C114="cp",C114="f",C114="jc",C114="m"),TRUE,FALSE)</formula>
    </cfRule>
    <cfRule type="expression" dxfId="1493" priority="143" stopIfTrue="1">
      <formula>IF(OR(E114-C114&gt;6/24,I114-G114&gt;6/24,M114-K114&gt;6/24),TRUE,FALSE)</formula>
    </cfRule>
    <cfRule type="expression" dxfId="1492" priority="144" stopIfTrue="1">
      <formula>IF(OR(D114-B114&gt;6/24,H114-F114&gt;6/24,L114-J114&gt;6/24),TRUE,FALSE)</formula>
    </cfRule>
  </conditionalFormatting>
  <conditionalFormatting sqref="N114:N116">
    <cfRule type="cellIs" dxfId="1491" priority="141" stopIfTrue="1" operator="greaterThan">
      <formula>10/24</formula>
    </cfRule>
  </conditionalFormatting>
  <conditionalFormatting sqref="O114:O116">
    <cfRule type="cellIs" dxfId="1490" priority="140" operator="greaterThan">
      <formula>10/24</formula>
    </cfRule>
  </conditionalFormatting>
  <conditionalFormatting sqref="R118">
    <cfRule type="cellIs" dxfId="1489" priority="139" operator="greaterThan">
      <formula>12/24</formula>
    </cfRule>
  </conditionalFormatting>
  <conditionalFormatting sqref="S118">
    <cfRule type="cellIs" dxfId="1488" priority="138" stopIfTrue="1" operator="equal">
      <formula>"n"</formula>
    </cfRule>
  </conditionalFormatting>
  <conditionalFormatting sqref="U118 W118">
    <cfRule type="containsText" dxfId="1487" priority="137" operator="containsText" text="PB">
      <formula>NOT(ISERROR(SEARCH("PB",U118)))</formula>
    </cfRule>
  </conditionalFormatting>
  <conditionalFormatting sqref="V118">
    <cfRule type="containsText" dxfId="1486" priority="136" operator="containsText" text="PB">
      <formula>NOT(ISERROR(SEARCH("PB",V118)))</formula>
    </cfRule>
  </conditionalFormatting>
  <conditionalFormatting sqref="Y118">
    <cfRule type="containsText" dxfId="1485" priority="135" operator="containsText" text="PB">
      <formula>NOT(ISERROR(SEARCH("PB",Y118)))</formula>
    </cfRule>
  </conditionalFormatting>
  <conditionalFormatting sqref="X118">
    <cfRule type="expression" priority="132" stopIfTrue="1">
      <formula>IF(OR(C118="aa",C118="cp",C118="f",C118="jc",C118="m"),TRUE,FALSE)</formula>
    </cfRule>
    <cfRule type="expression" dxfId="1484" priority="133" stopIfTrue="1">
      <formula>IF(OR(E118-C118&gt;6/24,I118-G118&gt;6/24,M118-K118&gt;6/24),TRUE,FALSE)</formula>
    </cfRule>
    <cfRule type="expression" dxfId="1483" priority="134" stopIfTrue="1">
      <formula>IF(OR(D118-B118&gt;6/24,H118-F118&gt;6/24,L118-J118&gt;6/24),TRUE,FALSE)</formula>
    </cfRule>
  </conditionalFormatting>
  <conditionalFormatting sqref="N118">
    <cfRule type="cellIs" dxfId="1482" priority="131" stopIfTrue="1" operator="greaterThan">
      <formula>10/24</formula>
    </cfRule>
  </conditionalFormatting>
  <conditionalFormatting sqref="O118">
    <cfRule type="cellIs" dxfId="1481" priority="130" operator="greaterThan">
      <formula>10/24</formula>
    </cfRule>
  </conditionalFormatting>
  <conditionalFormatting sqref="R119">
    <cfRule type="cellIs" dxfId="1480" priority="129" operator="greaterThan">
      <formula>12/24</formula>
    </cfRule>
  </conditionalFormatting>
  <conditionalFormatting sqref="X119">
    <cfRule type="expression" priority="126" stopIfTrue="1">
      <formula>IF(OR(C119="aa",C119="cp",C119="f",C119="jc",C119="m"),TRUE,FALSE)</formula>
    </cfRule>
    <cfRule type="expression" dxfId="1479" priority="127" stopIfTrue="1">
      <formula>IF(OR(E119-C119&gt;6/24,I119-G119&gt;6/24,M119-K119&gt;6/24),TRUE,FALSE)</formula>
    </cfRule>
    <cfRule type="expression" dxfId="1478" priority="128" stopIfTrue="1">
      <formula>IF(OR(D119-B119&gt;6/24,H119-F119&gt;6/24,L119-J119&gt;6/24),TRUE,FALSE)</formula>
    </cfRule>
  </conditionalFormatting>
  <conditionalFormatting sqref="R129 R132">
    <cfRule type="cellIs" dxfId="1477" priority="124" operator="greaterThan">
      <formula>12/24</formula>
    </cfRule>
  </conditionalFormatting>
  <conditionalFormatting sqref="O131:O132">
    <cfRule type="cellIs" dxfId="1476" priority="125" operator="greaterThan">
      <formula>10/24</formula>
    </cfRule>
  </conditionalFormatting>
  <conditionalFormatting sqref="S129 S131:S132">
    <cfRule type="cellIs" dxfId="1475" priority="123" stopIfTrue="1" operator="equal">
      <formula>"n"</formula>
    </cfRule>
  </conditionalFormatting>
  <conditionalFormatting sqref="U129 W129 W131:W132 U131:U132">
    <cfRule type="containsText" dxfId="1474" priority="122" operator="containsText" text="PB">
      <formula>NOT(ISERROR(SEARCH("PB",U129)))</formula>
    </cfRule>
  </conditionalFormatting>
  <conditionalFormatting sqref="V129 V131:V132">
    <cfRule type="containsText" dxfId="1473" priority="121" operator="containsText" text="PB">
      <formula>NOT(ISERROR(SEARCH("PB",V129)))</formula>
    </cfRule>
  </conditionalFormatting>
  <conditionalFormatting sqref="Y129 Y131:Y132">
    <cfRule type="containsText" dxfId="1472" priority="120" operator="containsText" text="PB">
      <formula>NOT(ISERROR(SEARCH("PB",Y129)))</formula>
    </cfRule>
  </conditionalFormatting>
  <conditionalFormatting sqref="X129 X132">
    <cfRule type="expression" priority="117" stopIfTrue="1">
      <formula>IF(OR(C129="aa",C129="cp",C129="f",C129="jc",C129="m"),TRUE,FALSE)</formula>
    </cfRule>
    <cfRule type="expression" dxfId="1471" priority="118" stopIfTrue="1">
      <formula>IF(OR(E129-C129&gt;6/24,I129-G129&gt;6/24,M129-K129&gt;6/24),TRUE,FALSE)</formula>
    </cfRule>
    <cfRule type="expression" dxfId="1470" priority="119" stopIfTrue="1">
      <formula>IF(OR(D129-B129&gt;6/24,H129-F129&gt;6/24,L129-J129&gt;6/24),TRUE,FALSE)</formula>
    </cfRule>
  </conditionalFormatting>
  <conditionalFormatting sqref="N129">
    <cfRule type="cellIs" dxfId="1469" priority="116" stopIfTrue="1" operator="greaterThan">
      <formula>10/24</formula>
    </cfRule>
  </conditionalFormatting>
  <conditionalFormatting sqref="N131">
    <cfRule type="cellIs" dxfId="1468" priority="115" stopIfTrue="1" operator="greaterThan">
      <formula>10/24</formula>
    </cfRule>
  </conditionalFormatting>
  <conditionalFormatting sqref="N132">
    <cfRule type="cellIs" dxfId="1467" priority="114" operator="greaterThan">
      <formula>10/24</formula>
    </cfRule>
  </conditionalFormatting>
  <conditionalFormatting sqref="O129">
    <cfRule type="cellIs" dxfId="1466" priority="113" operator="greaterThan">
      <formula>10/24</formula>
    </cfRule>
  </conditionalFormatting>
  <conditionalFormatting sqref="R126:R128">
    <cfRule type="cellIs" dxfId="1465" priority="112" operator="greaterThan">
      <formula>12/24</formula>
    </cfRule>
  </conditionalFormatting>
  <conditionalFormatting sqref="S126:S128">
    <cfRule type="cellIs" dxfId="1464" priority="111" stopIfTrue="1" operator="equal">
      <formula>"n"</formula>
    </cfRule>
  </conditionalFormatting>
  <conditionalFormatting sqref="U126:U128 W126:W128">
    <cfRule type="containsText" dxfId="1463" priority="110" operator="containsText" text="PB">
      <formula>NOT(ISERROR(SEARCH("PB",U126)))</formula>
    </cfRule>
  </conditionalFormatting>
  <conditionalFormatting sqref="V126:V128">
    <cfRule type="containsText" dxfId="1462" priority="109" operator="containsText" text="PB">
      <formula>NOT(ISERROR(SEARCH("PB",V126)))</formula>
    </cfRule>
  </conditionalFormatting>
  <conditionalFormatting sqref="Y126:Y128">
    <cfRule type="containsText" dxfId="1461" priority="108" operator="containsText" text="PB">
      <formula>NOT(ISERROR(SEARCH("PB",Y126)))</formula>
    </cfRule>
  </conditionalFormatting>
  <conditionalFormatting sqref="X126:X128">
    <cfRule type="expression" priority="105" stopIfTrue="1">
      <formula>IF(OR(C126="aa",C126="cp",C126="f",C126="jc",C126="m"),TRUE,FALSE)</formula>
    </cfRule>
    <cfRule type="expression" dxfId="1460" priority="106" stopIfTrue="1">
      <formula>IF(OR(E126-C126&gt;6/24,I126-G126&gt;6/24,M126-K126&gt;6/24),TRUE,FALSE)</formula>
    </cfRule>
    <cfRule type="expression" dxfId="1459" priority="107" stopIfTrue="1">
      <formula>IF(OR(D126-B126&gt;6/24,H126-F126&gt;6/24,L126-J126&gt;6/24),TRUE,FALSE)</formula>
    </cfRule>
  </conditionalFormatting>
  <conditionalFormatting sqref="N126:N128">
    <cfRule type="cellIs" dxfId="1458" priority="104" stopIfTrue="1" operator="greaterThan">
      <formula>10/24</formula>
    </cfRule>
  </conditionalFormatting>
  <conditionalFormatting sqref="O126:O128">
    <cfRule type="cellIs" dxfId="1457" priority="103" operator="greaterThan">
      <formula>10/24</formula>
    </cfRule>
  </conditionalFormatting>
  <conditionalFormatting sqref="R130">
    <cfRule type="cellIs" dxfId="1456" priority="102" operator="greaterThan">
      <formula>12/24</formula>
    </cfRule>
  </conditionalFormatting>
  <conditionalFormatting sqref="S130">
    <cfRule type="cellIs" dxfId="1455" priority="101" stopIfTrue="1" operator="equal">
      <formula>"n"</formula>
    </cfRule>
  </conditionalFormatting>
  <conditionalFormatting sqref="U130 W130">
    <cfRule type="containsText" dxfId="1454" priority="100" operator="containsText" text="PB">
      <formula>NOT(ISERROR(SEARCH("PB",U130)))</formula>
    </cfRule>
  </conditionalFormatting>
  <conditionalFormatting sqref="V130">
    <cfRule type="containsText" dxfId="1453" priority="99" operator="containsText" text="PB">
      <formula>NOT(ISERROR(SEARCH("PB",V130)))</formula>
    </cfRule>
  </conditionalFormatting>
  <conditionalFormatting sqref="Y130">
    <cfRule type="containsText" dxfId="1452" priority="98" operator="containsText" text="PB">
      <formula>NOT(ISERROR(SEARCH("PB",Y130)))</formula>
    </cfRule>
  </conditionalFormatting>
  <conditionalFormatting sqref="X130">
    <cfRule type="expression" priority="95" stopIfTrue="1">
      <formula>IF(OR(C130="aa",C130="cp",C130="f",C130="jc",C130="m"),TRUE,FALSE)</formula>
    </cfRule>
    <cfRule type="expression" dxfId="1451" priority="96" stopIfTrue="1">
      <formula>IF(OR(E130-C130&gt;6/24,I130-G130&gt;6/24,M130-K130&gt;6/24),TRUE,FALSE)</formula>
    </cfRule>
    <cfRule type="expression" dxfId="1450" priority="97" stopIfTrue="1">
      <formula>IF(OR(D130-B130&gt;6/24,H130-F130&gt;6/24,L130-J130&gt;6/24),TRUE,FALSE)</formula>
    </cfRule>
  </conditionalFormatting>
  <conditionalFormatting sqref="N130">
    <cfRule type="cellIs" dxfId="1449" priority="94" stopIfTrue="1" operator="greaterThan">
      <formula>10/24</formula>
    </cfRule>
  </conditionalFormatting>
  <conditionalFormatting sqref="O130">
    <cfRule type="cellIs" dxfId="1448" priority="93" operator="greaterThan">
      <formula>10/24</formula>
    </cfRule>
  </conditionalFormatting>
  <conditionalFormatting sqref="R131">
    <cfRule type="cellIs" dxfId="1447" priority="92" operator="greaterThan">
      <formula>12/24</formula>
    </cfRule>
  </conditionalFormatting>
  <conditionalFormatting sqref="X131">
    <cfRule type="expression" priority="89" stopIfTrue="1">
      <formula>IF(OR(C131="aa",C131="cp",C131="f",C131="jc",C131="m"),TRUE,FALSE)</formula>
    </cfRule>
    <cfRule type="expression" dxfId="1446" priority="90" stopIfTrue="1">
      <formula>IF(OR(E131-C131&gt;6/24,I131-G131&gt;6/24,M131-K131&gt;6/24),TRUE,FALSE)</formula>
    </cfRule>
    <cfRule type="expression" dxfId="1445" priority="91" stopIfTrue="1">
      <formula>IF(OR(D131-B131&gt;6/24,H131-F131&gt;6/24,L131-J131&gt;6/24),TRUE,FALSE)</formula>
    </cfRule>
  </conditionalFormatting>
  <conditionalFormatting sqref="R141 R144">
    <cfRule type="cellIs" dxfId="1444" priority="87" operator="greaterThan">
      <formula>12/24</formula>
    </cfRule>
  </conditionalFormatting>
  <conditionalFormatting sqref="O143:O144">
    <cfRule type="cellIs" dxfId="1443" priority="88" operator="greaterThan">
      <formula>10/24</formula>
    </cfRule>
  </conditionalFormatting>
  <conditionalFormatting sqref="S141 S143:S144">
    <cfRule type="cellIs" dxfId="1442" priority="86" stopIfTrue="1" operator="equal">
      <formula>"n"</formula>
    </cfRule>
  </conditionalFormatting>
  <conditionalFormatting sqref="U141 W141 W143:W144 U143:U144">
    <cfRule type="containsText" dxfId="1441" priority="85" operator="containsText" text="PB">
      <formula>NOT(ISERROR(SEARCH("PB",U141)))</formula>
    </cfRule>
  </conditionalFormatting>
  <conditionalFormatting sqref="V141 V143:V144">
    <cfRule type="containsText" dxfId="1440" priority="84" operator="containsText" text="PB">
      <formula>NOT(ISERROR(SEARCH("PB",V141)))</formula>
    </cfRule>
  </conditionalFormatting>
  <conditionalFormatting sqref="Y141 Y143:Y144">
    <cfRule type="containsText" dxfId="1439" priority="83" operator="containsText" text="PB">
      <formula>NOT(ISERROR(SEARCH("PB",Y141)))</formula>
    </cfRule>
  </conditionalFormatting>
  <conditionalFormatting sqref="X141 X144">
    <cfRule type="expression" priority="80" stopIfTrue="1">
      <formula>IF(OR(C141="aa",C141="cp",C141="f",C141="jc",C141="m"),TRUE,FALSE)</formula>
    </cfRule>
    <cfRule type="expression" dxfId="1438" priority="81" stopIfTrue="1">
      <formula>IF(OR(E141-C141&gt;6/24,I141-G141&gt;6/24,M141-K141&gt;6/24),TRUE,FALSE)</formula>
    </cfRule>
    <cfRule type="expression" dxfId="1437" priority="82" stopIfTrue="1">
      <formula>IF(OR(D141-B141&gt;6/24,H141-F141&gt;6/24,L141-J141&gt;6/24),TRUE,FALSE)</formula>
    </cfRule>
  </conditionalFormatting>
  <conditionalFormatting sqref="N141">
    <cfRule type="cellIs" dxfId="1436" priority="79" stopIfTrue="1" operator="greaterThan">
      <formula>10/24</formula>
    </cfRule>
  </conditionalFormatting>
  <conditionalFormatting sqref="N143">
    <cfRule type="cellIs" dxfId="1435" priority="78" stopIfTrue="1" operator="greaterThan">
      <formula>10/24</formula>
    </cfRule>
  </conditionalFormatting>
  <conditionalFormatting sqref="N144">
    <cfRule type="cellIs" dxfId="1434" priority="77" operator="greaterThan">
      <formula>10/24</formula>
    </cfRule>
  </conditionalFormatting>
  <conditionalFormatting sqref="O141">
    <cfRule type="cellIs" dxfId="1433" priority="76" operator="greaterThan">
      <formula>10/24</formula>
    </cfRule>
  </conditionalFormatting>
  <conditionalFormatting sqref="R138:R140">
    <cfRule type="cellIs" dxfId="1432" priority="75" operator="greaterThan">
      <formula>12/24</formula>
    </cfRule>
  </conditionalFormatting>
  <conditionalFormatting sqref="S138:S140">
    <cfRule type="cellIs" dxfId="1431" priority="74" stopIfTrue="1" operator="equal">
      <formula>"n"</formula>
    </cfRule>
  </conditionalFormatting>
  <conditionalFormatting sqref="U138:U140 W138:W140">
    <cfRule type="containsText" dxfId="1430" priority="73" operator="containsText" text="PB">
      <formula>NOT(ISERROR(SEARCH("PB",U138)))</formula>
    </cfRule>
  </conditionalFormatting>
  <conditionalFormatting sqref="V138:V140">
    <cfRule type="containsText" dxfId="1429" priority="72" operator="containsText" text="PB">
      <formula>NOT(ISERROR(SEARCH("PB",V138)))</formula>
    </cfRule>
  </conditionalFormatting>
  <conditionalFormatting sqref="Y138:Y140">
    <cfRule type="containsText" dxfId="1428" priority="71" operator="containsText" text="PB">
      <formula>NOT(ISERROR(SEARCH("PB",Y138)))</formula>
    </cfRule>
  </conditionalFormatting>
  <conditionalFormatting sqref="X138:X140">
    <cfRule type="expression" priority="68" stopIfTrue="1">
      <formula>IF(OR(C138="aa",C138="cp",C138="f",C138="jc",C138="m"),TRUE,FALSE)</formula>
    </cfRule>
    <cfRule type="expression" dxfId="1427" priority="69" stopIfTrue="1">
      <formula>IF(OR(E138-C138&gt;6/24,I138-G138&gt;6/24,M138-K138&gt;6/24),TRUE,FALSE)</formula>
    </cfRule>
    <cfRule type="expression" dxfId="1426" priority="70" stopIfTrue="1">
      <formula>IF(OR(D138-B138&gt;6/24,H138-F138&gt;6/24,L138-J138&gt;6/24),TRUE,FALSE)</formula>
    </cfRule>
  </conditionalFormatting>
  <conditionalFormatting sqref="N138:N140">
    <cfRule type="cellIs" dxfId="1425" priority="67" stopIfTrue="1" operator="greaterThan">
      <formula>10/24</formula>
    </cfRule>
  </conditionalFormatting>
  <conditionalFormatting sqref="O138:O140">
    <cfRule type="cellIs" dxfId="1424" priority="66" operator="greaterThan">
      <formula>10/24</formula>
    </cfRule>
  </conditionalFormatting>
  <conditionalFormatting sqref="R142">
    <cfRule type="cellIs" dxfId="1423" priority="65" operator="greaterThan">
      <formula>12/24</formula>
    </cfRule>
  </conditionalFormatting>
  <conditionalFormatting sqref="S142">
    <cfRule type="cellIs" dxfId="1422" priority="64" stopIfTrue="1" operator="equal">
      <formula>"n"</formula>
    </cfRule>
  </conditionalFormatting>
  <conditionalFormatting sqref="U142 W142">
    <cfRule type="containsText" dxfId="1421" priority="63" operator="containsText" text="PB">
      <formula>NOT(ISERROR(SEARCH("PB",U142)))</formula>
    </cfRule>
  </conditionalFormatting>
  <conditionalFormatting sqref="V142">
    <cfRule type="containsText" dxfId="1420" priority="62" operator="containsText" text="PB">
      <formula>NOT(ISERROR(SEARCH("PB",V142)))</formula>
    </cfRule>
  </conditionalFormatting>
  <conditionalFormatting sqref="Y142">
    <cfRule type="containsText" dxfId="1419" priority="61" operator="containsText" text="PB">
      <formula>NOT(ISERROR(SEARCH("PB",Y142)))</formula>
    </cfRule>
  </conditionalFormatting>
  <conditionalFormatting sqref="X142">
    <cfRule type="expression" priority="58" stopIfTrue="1">
      <formula>IF(OR(C142="aa",C142="cp",C142="f",C142="jc",C142="m"),TRUE,FALSE)</formula>
    </cfRule>
    <cfRule type="expression" dxfId="1418" priority="59" stopIfTrue="1">
      <formula>IF(OR(E142-C142&gt;6/24,I142-G142&gt;6/24,M142-K142&gt;6/24),TRUE,FALSE)</formula>
    </cfRule>
    <cfRule type="expression" dxfId="1417" priority="60" stopIfTrue="1">
      <formula>IF(OR(D142-B142&gt;6/24,H142-F142&gt;6/24,L142-J142&gt;6/24),TRUE,FALSE)</formula>
    </cfRule>
  </conditionalFormatting>
  <conditionalFormatting sqref="N142">
    <cfRule type="cellIs" dxfId="1416" priority="57" stopIfTrue="1" operator="greaterThan">
      <formula>10/24</formula>
    </cfRule>
  </conditionalFormatting>
  <conditionalFormatting sqref="O142">
    <cfRule type="cellIs" dxfId="1415" priority="56" operator="greaterThan">
      <formula>10/24</formula>
    </cfRule>
  </conditionalFormatting>
  <conditionalFormatting sqref="R143">
    <cfRule type="cellIs" dxfId="1414" priority="55" operator="greaterThan">
      <formula>12/24</formula>
    </cfRule>
  </conditionalFormatting>
  <conditionalFormatting sqref="X143">
    <cfRule type="expression" priority="52" stopIfTrue="1">
      <formula>IF(OR(C143="aa",C143="cp",C143="f",C143="jc",C143="m"),TRUE,FALSE)</formula>
    </cfRule>
    <cfRule type="expression" dxfId="1413" priority="53" stopIfTrue="1">
      <formula>IF(OR(E143-C143&gt;6/24,I143-G143&gt;6/24,M143-K143&gt;6/24),TRUE,FALSE)</formula>
    </cfRule>
    <cfRule type="expression" dxfId="1412" priority="54" stopIfTrue="1">
      <formula>IF(OR(D143-B143&gt;6/24,H143-F143&gt;6/24,L143-J143&gt;6/24),TRUE,FALSE)</formula>
    </cfRule>
  </conditionalFormatting>
  <conditionalFormatting sqref="R153 R156">
    <cfRule type="cellIs" dxfId="1411" priority="50" operator="greaterThan">
      <formula>12/24</formula>
    </cfRule>
  </conditionalFormatting>
  <conditionalFormatting sqref="O155:O156">
    <cfRule type="cellIs" dxfId="1410" priority="51" operator="greaterThan">
      <formula>10/24</formula>
    </cfRule>
  </conditionalFormatting>
  <conditionalFormatting sqref="S153 S155:S156">
    <cfRule type="cellIs" dxfId="1409" priority="49" stopIfTrue="1" operator="equal">
      <formula>"n"</formula>
    </cfRule>
  </conditionalFormatting>
  <conditionalFormatting sqref="U153 W153 W155:W156 U155:U156">
    <cfRule type="containsText" dxfId="1408" priority="48" operator="containsText" text="PB">
      <formula>NOT(ISERROR(SEARCH("PB",U153)))</formula>
    </cfRule>
  </conditionalFormatting>
  <conditionalFormatting sqref="V153 V155:V156">
    <cfRule type="containsText" dxfId="1407" priority="47" operator="containsText" text="PB">
      <formula>NOT(ISERROR(SEARCH("PB",V153)))</formula>
    </cfRule>
  </conditionalFormatting>
  <conditionalFormatting sqref="Y153 Y155:Y156">
    <cfRule type="containsText" dxfId="1406" priority="46" operator="containsText" text="PB">
      <formula>NOT(ISERROR(SEARCH("PB",Y153)))</formula>
    </cfRule>
  </conditionalFormatting>
  <conditionalFormatting sqref="X153 X156">
    <cfRule type="expression" priority="43" stopIfTrue="1">
      <formula>IF(OR(C153="aa",C153="cp",C153="f",C153="jc",C153="m"),TRUE,FALSE)</formula>
    </cfRule>
    <cfRule type="expression" dxfId="1405" priority="44" stopIfTrue="1">
      <formula>IF(OR(E153-C153&gt;6/24,I153-G153&gt;6/24,M153-K153&gt;6/24),TRUE,FALSE)</formula>
    </cfRule>
    <cfRule type="expression" dxfId="1404" priority="45" stopIfTrue="1">
      <formula>IF(OR(D153-B153&gt;6/24,H153-F153&gt;6/24,L153-J153&gt;6/24),TRUE,FALSE)</formula>
    </cfRule>
  </conditionalFormatting>
  <conditionalFormatting sqref="N153">
    <cfRule type="cellIs" dxfId="1403" priority="42" stopIfTrue="1" operator="greaterThan">
      <formula>10/24</formula>
    </cfRule>
  </conditionalFormatting>
  <conditionalFormatting sqref="N155">
    <cfRule type="cellIs" dxfId="1402" priority="41" stopIfTrue="1" operator="greaterThan">
      <formula>10/24</formula>
    </cfRule>
  </conditionalFormatting>
  <conditionalFormatting sqref="N156">
    <cfRule type="cellIs" dxfId="1401" priority="40" operator="greaterThan">
      <formula>10/24</formula>
    </cfRule>
  </conditionalFormatting>
  <conditionalFormatting sqref="O153">
    <cfRule type="cellIs" dxfId="1400" priority="39" operator="greaterThan">
      <formula>10/24</formula>
    </cfRule>
  </conditionalFormatting>
  <conditionalFormatting sqref="R150:R152">
    <cfRule type="cellIs" dxfId="1399" priority="38" operator="greaterThan">
      <formula>12/24</formula>
    </cfRule>
  </conditionalFormatting>
  <conditionalFormatting sqref="S150:S152">
    <cfRule type="cellIs" dxfId="1398" priority="37" stopIfTrue="1" operator="equal">
      <formula>"n"</formula>
    </cfRule>
  </conditionalFormatting>
  <conditionalFormatting sqref="U150:U152 W150:W152">
    <cfRule type="containsText" dxfId="1397" priority="36" operator="containsText" text="PB">
      <formula>NOT(ISERROR(SEARCH("PB",U150)))</formula>
    </cfRule>
  </conditionalFormatting>
  <conditionalFormatting sqref="V150:V152">
    <cfRule type="containsText" dxfId="1396" priority="35" operator="containsText" text="PB">
      <formula>NOT(ISERROR(SEARCH("PB",V150)))</formula>
    </cfRule>
  </conditionalFormatting>
  <conditionalFormatting sqref="Y150:Y152">
    <cfRule type="containsText" dxfId="1395" priority="34" operator="containsText" text="PB">
      <formula>NOT(ISERROR(SEARCH("PB",Y150)))</formula>
    </cfRule>
  </conditionalFormatting>
  <conditionalFormatting sqref="X150:X152">
    <cfRule type="expression" priority="31" stopIfTrue="1">
      <formula>IF(OR(C150="aa",C150="cp",C150="f",C150="jc",C150="m"),TRUE,FALSE)</formula>
    </cfRule>
    <cfRule type="expression" dxfId="1394" priority="32" stopIfTrue="1">
      <formula>IF(OR(E150-C150&gt;6/24,I150-G150&gt;6/24,M150-K150&gt;6/24),TRUE,FALSE)</formula>
    </cfRule>
    <cfRule type="expression" dxfId="1393" priority="33" stopIfTrue="1">
      <formula>IF(OR(D150-B150&gt;6/24,H150-F150&gt;6/24,L150-J150&gt;6/24),TRUE,FALSE)</formula>
    </cfRule>
  </conditionalFormatting>
  <conditionalFormatting sqref="N150:N152">
    <cfRule type="cellIs" dxfId="1392" priority="30" stopIfTrue="1" operator="greaterThan">
      <formula>10/24</formula>
    </cfRule>
  </conditionalFormatting>
  <conditionalFormatting sqref="O150:O152">
    <cfRule type="cellIs" dxfId="1391" priority="29" operator="greaterThan">
      <formula>10/24</formula>
    </cfRule>
  </conditionalFormatting>
  <conditionalFormatting sqref="R154">
    <cfRule type="cellIs" dxfId="1390" priority="28" operator="greaterThan">
      <formula>12/24</formula>
    </cfRule>
  </conditionalFormatting>
  <conditionalFormatting sqref="S154">
    <cfRule type="cellIs" dxfId="1389" priority="27" stopIfTrue="1" operator="equal">
      <formula>"n"</formula>
    </cfRule>
  </conditionalFormatting>
  <conditionalFormatting sqref="U154 W154">
    <cfRule type="containsText" dxfId="1388" priority="26" operator="containsText" text="PB">
      <formula>NOT(ISERROR(SEARCH("PB",U154)))</formula>
    </cfRule>
  </conditionalFormatting>
  <conditionalFormatting sqref="V154">
    <cfRule type="containsText" dxfId="1387" priority="25" operator="containsText" text="PB">
      <formula>NOT(ISERROR(SEARCH("PB",V154)))</formula>
    </cfRule>
  </conditionalFormatting>
  <conditionalFormatting sqref="Y154">
    <cfRule type="containsText" dxfId="1386" priority="24" operator="containsText" text="PB">
      <formula>NOT(ISERROR(SEARCH("PB",Y154)))</formula>
    </cfRule>
  </conditionalFormatting>
  <conditionalFormatting sqref="X154">
    <cfRule type="expression" priority="21" stopIfTrue="1">
      <formula>IF(OR(C154="aa",C154="cp",C154="f",C154="jc",C154="m"),TRUE,FALSE)</formula>
    </cfRule>
    <cfRule type="expression" dxfId="1385" priority="22" stopIfTrue="1">
      <formula>IF(OR(E154-C154&gt;6/24,I154-G154&gt;6/24,M154-K154&gt;6/24),TRUE,FALSE)</formula>
    </cfRule>
    <cfRule type="expression" dxfId="1384" priority="23" stopIfTrue="1">
      <formula>IF(OR(D154-B154&gt;6/24,H154-F154&gt;6/24,L154-J154&gt;6/24),TRUE,FALSE)</formula>
    </cfRule>
  </conditionalFormatting>
  <conditionalFormatting sqref="N154">
    <cfRule type="cellIs" dxfId="1383" priority="20" stopIfTrue="1" operator="greaterThan">
      <formula>10/24</formula>
    </cfRule>
  </conditionalFormatting>
  <conditionalFormatting sqref="O154">
    <cfRule type="cellIs" dxfId="1382" priority="19" operator="greaterThan">
      <formula>10/24</formula>
    </cfRule>
  </conditionalFormatting>
  <conditionalFormatting sqref="R155">
    <cfRule type="cellIs" dxfId="1381" priority="18" operator="greaterThan">
      <formula>12/24</formula>
    </cfRule>
  </conditionalFormatting>
  <conditionalFormatting sqref="X155">
    <cfRule type="expression" priority="15" stopIfTrue="1">
      <formula>IF(OR(C155="aa",C155="cp",C155="f",C155="jc",C155="m"),TRUE,FALSE)</formula>
    </cfRule>
    <cfRule type="expression" dxfId="1380" priority="16" stopIfTrue="1">
      <formula>IF(OR(E155-C155&gt;6/24,I155-G155&gt;6/24,M155-K155&gt;6/24),TRUE,FALSE)</formula>
    </cfRule>
    <cfRule type="expression" dxfId="1379" priority="17" stopIfTrue="1">
      <formula>IF(OR(D155-B155&gt;6/24,H155-F155&gt;6/24,L155-J155&gt;6/24),TRUE,FALSE)</formula>
    </cfRule>
  </conditionalFormatting>
  <conditionalFormatting sqref="C6:C156">
    <cfRule type="expression" dxfId="1378" priority="1292" stopIfTrue="1">
      <formula>OR(C6="aa",C6="m")</formula>
    </cfRule>
  </conditionalFormatting>
  <conditionalFormatting sqref="C9">
    <cfRule type="expression" dxfId="1377" priority="14" stopIfTrue="1">
      <formula>OR(C9="cp",C9="jc")</formula>
    </cfRule>
  </conditionalFormatting>
  <conditionalFormatting sqref="B9">
    <cfRule type="expression" dxfId="1376" priority="13" stopIfTrue="1">
      <formula>OR(B9="cp",B9="jc")</formula>
    </cfRule>
  </conditionalFormatting>
  <conditionalFormatting sqref="B9:M9">
    <cfRule type="expression" dxfId="1375" priority="11" stopIfTrue="1">
      <formula>COUNTIF(tab_ferie,$F4+2)&gt;=1</formula>
    </cfRule>
  </conditionalFormatting>
  <conditionalFormatting sqref="C9">
    <cfRule type="expression" dxfId="1374" priority="12" stopIfTrue="1">
      <formula>OR(C9="aa",C9="m")</formula>
    </cfRule>
  </conditionalFormatting>
  <conditionalFormatting sqref="B4:M156">
    <cfRule type="cellIs" dxfId="1373" priority="10" operator="equal">
      <formula>FALSE</formula>
    </cfRule>
  </conditionalFormatting>
  <conditionalFormatting sqref="C10">
    <cfRule type="expression" dxfId="1372" priority="9" stopIfTrue="1">
      <formula>OR(C10="cp",C10="jc")</formula>
    </cfRule>
  </conditionalFormatting>
  <conditionalFormatting sqref="B10">
    <cfRule type="expression" dxfId="1371" priority="8" stopIfTrue="1">
      <formula>OR(B10="cp",B10="jc")</formula>
    </cfRule>
  </conditionalFormatting>
  <conditionalFormatting sqref="B10:M10">
    <cfRule type="expression" dxfId="1370" priority="6" stopIfTrue="1">
      <formula>COUNTIF(tab_ferie,$F5+2)&gt;=1</formula>
    </cfRule>
  </conditionalFormatting>
  <conditionalFormatting sqref="C10">
    <cfRule type="expression" dxfId="1369" priority="7" stopIfTrue="1">
      <formula>OR(C10="aa",C10="m")</formula>
    </cfRule>
  </conditionalFormatting>
  <conditionalFormatting sqref="F3:G3">
    <cfRule type="expression" dxfId="1368" priority="9807">
      <formula>IF($AD$2-$AC$2&lt;&gt;6,TRUE,FALSE)</formula>
    </cfRule>
  </conditionalFormatting>
  <conditionalFormatting sqref="A5">
    <cfRule type="expression" dxfId="1367" priority="3">
      <formula>IF($AG$2&lt;&gt;1,TRUE,FALSE)</formula>
    </cfRule>
  </conditionalFormatting>
  <conditionalFormatting sqref="O160:O190">
    <cfRule type="expression" dxfId="1366" priority="9808" stopIfTrue="1">
      <formula>IF($A$170&lt;&gt;"",TRUE,FALSE)</formula>
    </cfRule>
  </conditionalFormatting>
  <conditionalFormatting sqref="P160:AA190">
    <cfRule type="expression" dxfId="1365" priority="9809" stopIfTrue="1">
      <formula>IF($A$170&lt;&gt;"",TRUE,FALSE)</formula>
    </cfRule>
  </conditionalFormatting>
  <conditionalFormatting sqref="B9:M9">
    <cfRule type="expression" dxfId="1364" priority="2" stopIfTrue="1">
      <formula>COUNTIF(tab_ferie,$F3+3)&gt;=1</formula>
    </cfRule>
  </conditionalFormatting>
  <conditionalFormatting sqref="B9:M9">
    <cfRule type="expression" dxfId="1363" priority="1" stopIfTrue="1">
      <formula>COUNTIF(tab_ferie,$F3+3)&gt;=1</formula>
    </cfRule>
  </conditionalFormatting>
  <pageMargins left="0" right="0" top="0.39370078740157483" bottom="0" header="0.31496062992125984" footer="0"/>
  <pageSetup paperSize="9" scale="51" fitToHeight="0" orientation="portrait" r:id="rId1"/>
  <rowBreaks count="1" manualBreakCount="1">
    <brk id="98" max="16383"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dimension ref="A1:AS636"/>
  <sheetViews>
    <sheetView showGridLines="0" zoomScale="85" zoomScaleNormal="85" workbookViewId="0">
      <selection activeCell="C9" sqref="C9"/>
    </sheetView>
  </sheetViews>
  <sheetFormatPr baseColWidth="10" defaultColWidth="11.5703125" defaultRowHeight="15" x14ac:dyDescent="0.25"/>
  <cols>
    <col min="1" max="1" width="14.7109375" style="917" customWidth="1"/>
    <col min="2" max="5" width="7.7109375" style="917" customWidth="1"/>
    <col min="6" max="6" width="8.140625" style="917" bestFit="1" customWidth="1"/>
    <col min="7" max="13" width="7.7109375" style="917" customWidth="1"/>
    <col min="14" max="18" width="6.7109375" style="917" customWidth="1"/>
    <col min="19" max="19" width="4.7109375" style="917" customWidth="1"/>
    <col min="20" max="20" width="6.7109375" style="917" hidden="1" customWidth="1"/>
    <col min="21" max="25" width="2.7109375" style="917" customWidth="1"/>
    <col min="26" max="26" width="19.7109375" style="917" customWidth="1"/>
    <col min="27" max="27" width="15.7109375" style="1060" customWidth="1"/>
    <col min="28" max="28" width="4.7109375" style="917" hidden="1" customWidth="1"/>
    <col min="29" max="45" width="11.5703125" style="917" hidden="1" customWidth="1"/>
    <col min="46" max="46" width="0" style="917" hidden="1" customWidth="1"/>
    <col min="47" max="16384" width="11.5703125" style="917"/>
  </cols>
  <sheetData>
    <row r="1" spans="1:45" ht="57.95" customHeight="1" x14ac:dyDescent="0.35">
      <c r="A1" s="916" t="str">
        <f>"Planning 2ème trimestre de "&amp;annualisation!$B$1&amp;"  "&amp;Paramétrage!K5</f>
        <v xml:space="preserve">Planning 2ème trimestre de   </v>
      </c>
      <c r="B1" s="916"/>
      <c r="C1" s="916"/>
      <c r="D1" s="916"/>
      <c r="E1" s="916"/>
      <c r="F1" s="916"/>
      <c r="G1" s="916"/>
      <c r="H1" s="916"/>
      <c r="I1" s="916"/>
      <c r="J1" s="916"/>
      <c r="K1" s="916"/>
      <c r="L1" s="916"/>
      <c r="M1" s="916"/>
      <c r="N1" s="916"/>
      <c r="O1" s="916"/>
      <c r="P1" s="916"/>
      <c r="Q1" s="916"/>
      <c r="R1" s="916"/>
      <c r="S1" s="916"/>
      <c r="T1" s="916"/>
      <c r="U1" s="916"/>
      <c r="V1" s="916"/>
      <c r="W1" s="916"/>
      <c r="X1" s="916"/>
      <c r="Y1" s="916"/>
      <c r="Z1" s="916"/>
      <c r="AA1" s="916"/>
    </row>
    <row r="2" spans="1:45" ht="27" customHeight="1" x14ac:dyDescent="0.35">
      <c r="A2" s="919"/>
      <c r="B2" s="1050"/>
      <c r="C2" s="927"/>
      <c r="D2" s="931"/>
      <c r="E2" s="931"/>
      <c r="F2" s="931"/>
      <c r="G2" s="931"/>
      <c r="H2" s="931"/>
      <c r="I2" s="931"/>
      <c r="J2" s="931"/>
      <c r="K2" s="931"/>
      <c r="L2" s="931"/>
      <c r="M2" s="931"/>
      <c r="N2" s="931"/>
      <c r="O2" s="931"/>
      <c r="P2" s="931"/>
      <c r="Q2" s="931"/>
      <c r="R2" s="931"/>
      <c r="S2" s="931"/>
      <c r="T2" s="931"/>
      <c r="U2" s="931"/>
      <c r="V2" s="931"/>
      <c r="W2" s="931"/>
      <c r="X2" s="931"/>
      <c r="Y2" s="931"/>
      <c r="Z2" s="921" t="str">
        <f>Paramétrage!AG2</f>
        <v>version 5.0</v>
      </c>
      <c r="AA2" s="921"/>
      <c r="AB2" s="933"/>
    </row>
    <row r="3" spans="1:45" ht="16.5" x14ac:dyDescent="0.3">
      <c r="A3" s="969"/>
      <c r="B3" s="969"/>
      <c r="C3" s="969"/>
      <c r="D3" s="969"/>
      <c r="E3" s="969"/>
      <c r="F3" s="928">
        <f>+'T1'!F147+7</f>
        <v>42703</v>
      </c>
      <c r="G3" s="928"/>
      <c r="H3" s="929" t="s">
        <v>58</v>
      </c>
      <c r="I3" s="928">
        <f>+F3+6</f>
        <v>42709</v>
      </c>
      <c r="J3" s="930"/>
      <c r="K3" s="969"/>
      <c r="L3" s="969"/>
      <c r="M3" s="969"/>
      <c r="N3" s="973"/>
      <c r="O3" s="969"/>
      <c r="P3" s="980"/>
      <c r="Q3" s="980"/>
      <c r="R3" s="980"/>
      <c r="S3" s="927"/>
      <c r="T3" s="980"/>
      <c r="U3" s="980"/>
      <c r="V3" s="980"/>
      <c r="W3" s="980"/>
      <c r="X3" s="980"/>
      <c r="Y3" s="980"/>
      <c r="Z3" s="976"/>
      <c r="AA3" s="995"/>
      <c r="AM3" s="935"/>
      <c r="AN3" s="935"/>
      <c r="AO3" s="935"/>
      <c r="AP3" s="935"/>
      <c r="AR3" s="934">
        <f>DATE(YEAR(Paramétrage!AF6+1),5,31)</f>
        <v>42885</v>
      </c>
    </row>
    <row r="4" spans="1:45" ht="14.45" customHeight="1" x14ac:dyDescent="0.25">
      <c r="A4" s="994"/>
      <c r="B4" s="938" t="s">
        <v>17</v>
      </c>
      <c r="C4" s="938"/>
      <c r="D4" s="938" t="s">
        <v>18</v>
      </c>
      <c r="E4" s="938"/>
      <c r="F4" s="938" t="s">
        <v>17</v>
      </c>
      <c r="G4" s="938"/>
      <c r="H4" s="938" t="s">
        <v>18</v>
      </c>
      <c r="I4" s="938"/>
      <c r="J4" s="938" t="s">
        <v>17</v>
      </c>
      <c r="K4" s="938"/>
      <c r="L4" s="938" t="s">
        <v>18</v>
      </c>
      <c r="M4" s="938"/>
      <c r="N4" s="939" t="s">
        <v>61</v>
      </c>
      <c r="O4" s="939" t="s">
        <v>62</v>
      </c>
      <c r="P4" s="939" t="s">
        <v>60</v>
      </c>
      <c r="Q4" s="939" t="s">
        <v>63</v>
      </c>
      <c r="R4" s="939" t="s">
        <v>64</v>
      </c>
      <c r="S4" s="940" t="s">
        <v>223</v>
      </c>
      <c r="T4" s="939" t="s">
        <v>70</v>
      </c>
      <c r="U4" s="941" t="s">
        <v>65</v>
      </c>
      <c r="V4" s="942"/>
      <c r="W4" s="942"/>
      <c r="X4" s="942"/>
      <c r="Y4" s="943"/>
      <c r="Z4" s="944" t="s">
        <v>22</v>
      </c>
      <c r="AA4" s="944"/>
      <c r="AG4" s="946" t="s">
        <v>135</v>
      </c>
      <c r="AI4" s="946" t="s">
        <v>207</v>
      </c>
      <c r="AJ4" s="946" t="s">
        <v>208</v>
      </c>
      <c r="AL4" s="947"/>
      <c r="AR4" s="917" t="s">
        <v>287</v>
      </c>
    </row>
    <row r="5" spans="1:45" ht="26.25" thickBot="1" x14ac:dyDescent="0.4">
      <c r="A5" s="937" t="str">
        <f>"S"&amp;WEEKNUM(F3,21)</f>
        <v>S49</v>
      </c>
      <c r="B5" s="949" t="s">
        <v>0</v>
      </c>
      <c r="C5" s="950" t="s">
        <v>1</v>
      </c>
      <c r="D5" s="949" t="s">
        <v>0</v>
      </c>
      <c r="E5" s="950" t="s">
        <v>1</v>
      </c>
      <c r="F5" s="949" t="s">
        <v>0</v>
      </c>
      <c r="G5" s="950" t="s">
        <v>1</v>
      </c>
      <c r="H5" s="949" t="s">
        <v>0</v>
      </c>
      <c r="I5" s="950" t="s">
        <v>1</v>
      </c>
      <c r="J5" s="949" t="s">
        <v>0</v>
      </c>
      <c r="K5" s="950" t="s">
        <v>1</v>
      </c>
      <c r="L5" s="949" t="s">
        <v>0</v>
      </c>
      <c r="M5" s="950" t="s">
        <v>1</v>
      </c>
      <c r="N5" s="951"/>
      <c r="O5" s="951"/>
      <c r="P5" s="951"/>
      <c r="Q5" s="951"/>
      <c r="R5" s="951"/>
      <c r="S5" s="951"/>
      <c r="T5" s="939"/>
      <c r="U5" s="952" t="s">
        <v>66</v>
      </c>
      <c r="V5" s="952" t="s">
        <v>67</v>
      </c>
      <c r="W5" s="952" t="s">
        <v>68</v>
      </c>
      <c r="X5" s="952" t="s">
        <v>137</v>
      </c>
      <c r="Y5" s="952" t="s">
        <v>69</v>
      </c>
      <c r="Z5" s="944"/>
      <c r="AA5" s="944"/>
      <c r="AD5" s="1051" t="s">
        <v>175</v>
      </c>
      <c r="AE5" s="1051" t="s">
        <v>174</v>
      </c>
      <c r="AF5" s="1051" t="s">
        <v>189</v>
      </c>
      <c r="AG5" s="946"/>
      <c r="AI5" s="946"/>
      <c r="AJ5" s="946"/>
      <c r="AL5" s="947"/>
      <c r="AM5" s="917" t="s">
        <v>274</v>
      </c>
      <c r="AR5" s="917" t="s">
        <v>288</v>
      </c>
      <c r="AS5" s="917" t="s">
        <v>279</v>
      </c>
    </row>
    <row r="6" spans="1:45" ht="14.45" customHeight="1" x14ac:dyDescent="0.3">
      <c r="A6" s="955" t="s">
        <v>12</v>
      </c>
      <c r="B6" s="414" t="b">
        <f>IF(Paramétrage!$O$42="",FALSE,Paramétrage!$O$42)</f>
        <v>0</v>
      </c>
      <c r="C6" s="263"/>
      <c r="D6" s="415" t="b">
        <f>IF(Paramétrage!$Q$42="",FALSE,Paramétrage!$Q$42)</f>
        <v>0</v>
      </c>
      <c r="E6" s="264"/>
      <c r="F6" s="414" t="b">
        <f>IF(Paramétrage!$R$42="",FALSE,Paramétrage!$R$42)</f>
        <v>0</v>
      </c>
      <c r="G6" s="264"/>
      <c r="H6" s="416" t="b">
        <f>IF(Paramétrage!$T$42="",FALSE,Paramétrage!$T$42)</f>
        <v>0</v>
      </c>
      <c r="I6" s="263"/>
      <c r="J6" s="417" t="b">
        <f>IF(Paramétrage!$U$42="",FALSE,Paramétrage!$U$42)</f>
        <v>0</v>
      </c>
      <c r="K6" s="263"/>
      <c r="L6" s="418" t="b">
        <f>IF(Paramétrage!$W$42="",FALSE,Paramétrage!$W$42)</f>
        <v>0</v>
      </c>
      <c r="M6" s="263"/>
      <c r="N6" s="956">
        <f t="shared" ref="N6:N8" si="0">IF(OR(B6="aa",B6="cp",B6="f",B6="jc",B6="m",B6="css"),0,(L6-J6)+(H6-F6)+(D6-B6))</f>
        <v>0</v>
      </c>
      <c r="O6" s="956">
        <f t="shared" ref="O6:O8" si="1">SUM(AM6:AP6)+IF(OR(C6="m",C6="aa"),N6,IF(C6="css",0,IF(C6="cp",0,IF(C6="jc",0,IF(C6="f",0,E6-C6+I6-G6+M6-K6)))))</f>
        <v>0</v>
      </c>
      <c r="P6" s="956">
        <f t="shared" ref="P6:P12" si="2">IF(OR(C6="aa",C6="cp",C6="f",C6="jc",C6="m",C6="css"),0,IF(C6="",IF(OR(F6="",F6=FALSE),0,F6-D6),IF(G6="",0,G6-E6)))</f>
        <v>0</v>
      </c>
      <c r="Q6" s="956">
        <f t="shared" ref="Q6:Q12" si="3">IF(P6=0,0,IF(G6="",IF(OR(J6="",J6=FALSE),0,J6-H6),IF(K6="",0,K6-I6)))</f>
        <v>0</v>
      </c>
      <c r="R6" s="957">
        <f t="shared" ref="R6:R8" si="4">IF(OR(C6="aa",C6="cp",C6="f",C6="jc",C6="m",C6="css"),0,IF(C6=0,MAX(B6,D6,F6,H6,J6,L6)-MIN(B6,D6,F6,H6,J6,L6),IF(C6&lt;&gt;0,MAX(C6,E6,G6,I6,K6,M6)-MIN(C6,E6,G6,I6,K6,M6))))</f>
        <v>0</v>
      </c>
      <c r="S6" s="262"/>
      <c r="T6" s="958" t="str">
        <f t="shared" ref="T6:T7" si="5">IF(AND(B6=FALSE,C6=""),"",IF(AND(B6=0,C6=0),"",(IF(OR(C6="cp",C6="f",C6="jc",C6="css"),"",IF(OR(C6="",C6="aa",C6="m"),(IF(OR(B6="cp",B6="f",B6="jc",B6="css"),"",B6*24+24-MAX(D5,H5,L5)*24)),C6*24+24-MAX(M5,I5,E5)*24)))))</f>
        <v/>
      </c>
      <c r="U6" s="959" t="str">
        <f>IF(P6=0,"",IF(P6&lt;Paramétrage!$S$12,"PB",IF(AND(Q6&lt;Paramétrage!$S$12,Q6&lt;&gt;0),"PB","")))</f>
        <v/>
      </c>
      <c r="V6" s="959" t="str">
        <f t="shared" ref="V6:V12" si="6">IF(C6="",IF((N6*24)&gt;10,"PB",""),IF((O6*24)&gt;10,"PB",""))</f>
        <v/>
      </c>
      <c r="W6" s="959" t="str">
        <f t="shared" ref="W6:W12" si="7">IF((R6*24)&gt;12,"PB","")</f>
        <v/>
      </c>
      <c r="X6" s="960" t="str">
        <f t="shared" ref="X6:X8" si="8">IF(AND(N6=0,O6=0),"",(IF(OR(C6="aa",C6="cp",C6="f",C6="jc",C6="m",C6="css"),"",IF(C6="",IF(OR(D6-B6&gt;6/24,H6-F6&gt;6/24,L6-J6&gt;6/24),"PB",""),IF(OR(E6-C6&gt;6/24,I6-G6&gt;6/24,M6-K6&gt;6/24),"PB","")))))</f>
        <v/>
      </c>
      <c r="Y6" s="959" t="str">
        <f t="shared" ref="Y6:Y12" si="9">IF(T6="","",IF(T6&lt;11,"PB",""))</f>
        <v/>
      </c>
      <c r="Z6" s="836"/>
      <c r="AA6" s="837"/>
      <c r="AC6" s="934">
        <f>'T1'!AC156+1</f>
        <v>42703</v>
      </c>
      <c r="AD6" s="961">
        <f>IF(AND(N(AC6)&gt;=Paramétrage!$AU$11,N(AC6)&lt;=Paramétrage!$AU$12),IF(C6="cp",1,0),0)</f>
        <v>0</v>
      </c>
      <c r="AE6" s="962">
        <f t="shared" ref="AE6:AE12" si="10">IF(O6&lt;&gt;"erreur",N6,O6)</f>
        <v>0</v>
      </c>
      <c r="AF6" s="961">
        <f>IF(AND(N(AC6)&gt;=Paramétrage!$AX$11,N(AC6)&lt;=Paramétrage!$AX$12),IF(C6="cp",1,0),0)</f>
        <v>0</v>
      </c>
      <c r="AG6" s="962">
        <f>O6</f>
        <v>0</v>
      </c>
      <c r="AI6" s="962">
        <f>AE6</f>
        <v>0</v>
      </c>
      <c r="AJ6" s="962">
        <f>AG6</f>
        <v>0</v>
      </c>
      <c r="AM6" s="962">
        <f>IF(AND($B6="cp",$C6="m"),$Z6,0)</f>
        <v>0</v>
      </c>
      <c r="AN6" s="962">
        <f>IF(AND($B6="jc",$C6="m"),$Z6,0)</f>
        <v>0</v>
      </c>
      <c r="AO6" s="962">
        <f>IF(AND($B6="cp",$C6="aa"),$Z6,0)</f>
        <v>0</v>
      </c>
      <c r="AP6" s="962">
        <f>IF(AND($B6="jc",$C6="aa"),$Z6,0)</f>
        <v>0</v>
      </c>
      <c r="AR6" s="917">
        <f>IF(AND(AC6&lt;=$AR$3,B6="CP"),1,0)</f>
        <v>0</v>
      </c>
      <c r="AS6" s="917">
        <f>IF(AND(AC6&lt;=$AR$3,C6="CP"),1,0)</f>
        <v>0</v>
      </c>
    </row>
    <row r="7" spans="1:45" ht="14.45" customHeight="1" x14ac:dyDescent="0.3">
      <c r="A7" s="964" t="s">
        <v>13</v>
      </c>
      <c r="B7" s="414" t="b">
        <f>IF(Paramétrage!$O$43="",FALSE,Paramétrage!$O$43)</f>
        <v>0</v>
      </c>
      <c r="C7" s="263"/>
      <c r="D7" s="415" t="b">
        <f>IF(Paramétrage!$Q$43="",FALSE,Paramétrage!$Q$43)</f>
        <v>0</v>
      </c>
      <c r="E7" s="264"/>
      <c r="F7" s="414" t="b">
        <f>IF(Paramétrage!$R$43="",FALSE,Paramétrage!$R$43)</f>
        <v>0</v>
      </c>
      <c r="G7" s="264"/>
      <c r="H7" s="416" t="b">
        <f>IF(Paramétrage!$T$43="",FALSE,Paramétrage!$T$43)</f>
        <v>0</v>
      </c>
      <c r="I7" s="263"/>
      <c r="J7" s="417" t="b">
        <f>IF(Paramétrage!$U$43="",FALSE,Paramétrage!$U$43)</f>
        <v>0</v>
      </c>
      <c r="K7" s="263"/>
      <c r="L7" s="418" t="b">
        <f>IF(Paramétrage!$W$43="",FALSE,Paramétrage!$W$43)</f>
        <v>0</v>
      </c>
      <c r="M7" s="263"/>
      <c r="N7" s="956">
        <f t="shared" si="0"/>
        <v>0</v>
      </c>
      <c r="O7" s="956">
        <f t="shared" si="1"/>
        <v>0</v>
      </c>
      <c r="P7" s="956">
        <f t="shared" si="2"/>
        <v>0</v>
      </c>
      <c r="Q7" s="956">
        <f t="shared" si="3"/>
        <v>0</v>
      </c>
      <c r="R7" s="957">
        <f t="shared" si="4"/>
        <v>0</v>
      </c>
      <c r="S7" s="262"/>
      <c r="T7" s="958" t="str">
        <f t="shared" si="5"/>
        <v/>
      </c>
      <c r="U7" s="959" t="str">
        <f>IF(P7=0,"",IF(P7&lt;Paramétrage!$S$12,"PB",IF(AND(Q7&lt;Paramétrage!$S$12,Q7&lt;&gt;0),"PB","")))</f>
        <v/>
      </c>
      <c r="V7" s="959" t="str">
        <f t="shared" si="6"/>
        <v/>
      </c>
      <c r="W7" s="959" t="str">
        <f t="shared" si="7"/>
        <v/>
      </c>
      <c r="X7" s="960" t="str">
        <f t="shared" si="8"/>
        <v/>
      </c>
      <c r="Y7" s="959" t="str">
        <f t="shared" si="9"/>
        <v/>
      </c>
      <c r="Z7" s="836"/>
      <c r="AA7" s="837"/>
      <c r="AC7" s="934">
        <f t="shared" ref="AC7:AC12" si="11">AC6+1</f>
        <v>42704</v>
      </c>
      <c r="AD7" s="961">
        <f>IF(AND(N(AC7)&gt;=Paramétrage!$AU$11,N(AC7)&lt;=Paramétrage!$AU$12),IF(C7="cp",1,0),0)</f>
        <v>0</v>
      </c>
      <c r="AE7" s="962">
        <f t="shared" si="10"/>
        <v>0</v>
      </c>
      <c r="AF7" s="961">
        <f>IF(AND(N(AC7)&gt;=Paramétrage!$AX$11,N(AC7)&lt;=Paramétrage!$AX$12),IF(C7="cp",1,0),0)</f>
        <v>0</v>
      </c>
      <c r="AG7" s="962">
        <f t="shared" ref="AG7:AG12" si="12">O7</f>
        <v>0</v>
      </c>
      <c r="AI7" s="962">
        <f t="shared" ref="AI7:AI12" si="13">AE7+AI6</f>
        <v>0</v>
      </c>
      <c r="AJ7" s="962">
        <f t="shared" ref="AJ7:AJ12" si="14">AG7+AJ6</f>
        <v>0</v>
      </c>
      <c r="AM7" s="962">
        <f t="shared" ref="AM7:AM10" si="15">IF(AND($B7="cp",$C7="m"),$Z7,0)</f>
        <v>0</v>
      </c>
      <c r="AN7" s="962">
        <f t="shared" ref="AN7:AN10" si="16">IF(AND($B7="jc",$C7="m"),$Z7,0)</f>
        <v>0</v>
      </c>
      <c r="AO7" s="962">
        <f t="shared" ref="AO7:AO10" si="17">IF(AND($B7="cp",$C7="aa"),$Z7,0)</f>
        <v>0</v>
      </c>
      <c r="AP7" s="962">
        <f t="shared" ref="AP7:AP10" si="18">IF(AND($B7="jc",$C7="aa"),$Z7,0)</f>
        <v>0</v>
      </c>
      <c r="AR7" s="917">
        <f>IF(AND(AC7&lt;=$AR$3,B7="CP"),1,0)</f>
        <v>0</v>
      </c>
      <c r="AS7" s="917">
        <f>IF(AND(AC7&lt;=$AR$3,C7="CP"),1,0)</f>
        <v>0</v>
      </c>
    </row>
    <row r="8" spans="1:45" ht="14.45" customHeight="1" x14ac:dyDescent="0.3">
      <c r="A8" s="964" t="s">
        <v>14</v>
      </c>
      <c r="B8" s="414" t="b">
        <f>IF(Paramétrage!$O$44="",FALSE,Paramétrage!$O$44)</f>
        <v>0</v>
      </c>
      <c r="C8" s="263"/>
      <c r="D8" s="415" t="b">
        <f>IF(Paramétrage!$Q$44="",FALSE,Paramétrage!$Q$44)</f>
        <v>0</v>
      </c>
      <c r="E8" s="264"/>
      <c r="F8" s="414" t="b">
        <f>IF(Paramétrage!$R$44="",FALSE,Paramétrage!$R$44)</f>
        <v>0</v>
      </c>
      <c r="G8" s="264"/>
      <c r="H8" s="416" t="b">
        <f>IF(Paramétrage!$T$44="",FALSE,Paramétrage!$T$44)</f>
        <v>0</v>
      </c>
      <c r="I8" s="263"/>
      <c r="J8" s="417" t="b">
        <f>IF(Paramétrage!$U$44="",FALSE,Paramétrage!$U$44)</f>
        <v>0</v>
      </c>
      <c r="K8" s="263"/>
      <c r="L8" s="418" t="b">
        <f>IF(Paramétrage!$W$44="",FALSE,Paramétrage!$W$44)</f>
        <v>0</v>
      </c>
      <c r="M8" s="263"/>
      <c r="N8" s="956">
        <f t="shared" si="0"/>
        <v>0</v>
      </c>
      <c r="O8" s="956">
        <f t="shared" si="1"/>
        <v>0</v>
      </c>
      <c r="P8" s="956">
        <f t="shared" si="2"/>
        <v>0</v>
      </c>
      <c r="Q8" s="956">
        <f t="shared" si="3"/>
        <v>0</v>
      </c>
      <c r="R8" s="957">
        <f t="shared" si="4"/>
        <v>0</v>
      </c>
      <c r="S8" s="262"/>
      <c r="T8" s="958" t="str">
        <f>IF(AND(B8=FALSE,C8=""),"",IF(AND(B8=0,C8=0),"",(IF(OR(C8="cp",C8="f",C8="jc",C8="css"),"",IF(OR(C8="",C8="aa",C8="m"),(IF(OR(B8="cp",B8="f",B8="jc",B8="css"),"",B8*24+24-MAX(D7,H7,L7)*24)),C8*24+24-MAX(M7,I7,E7)*24)))))</f>
        <v/>
      </c>
      <c r="U8" s="959" t="str">
        <f>IF(P8=0,"",IF(P8&lt;Paramétrage!$S$12,"PB",IF(AND(Q8&lt;Paramétrage!$S$12,Q8&lt;&gt;0),"PB","")))</f>
        <v/>
      </c>
      <c r="V8" s="959" t="str">
        <f t="shared" si="6"/>
        <v/>
      </c>
      <c r="W8" s="959" t="str">
        <f t="shared" si="7"/>
        <v/>
      </c>
      <c r="X8" s="960" t="str">
        <f t="shared" si="8"/>
        <v/>
      </c>
      <c r="Y8" s="959" t="str">
        <f t="shared" si="9"/>
        <v/>
      </c>
      <c r="Z8" s="836"/>
      <c r="AA8" s="837"/>
      <c r="AC8" s="934">
        <f t="shared" si="11"/>
        <v>42705</v>
      </c>
      <c r="AD8" s="961">
        <f>IF(AND(N(AC8)&gt;=Paramétrage!$AU$11,N(AC8)&lt;=Paramétrage!$AU$12),IF(C8="cp",1,0),0)</f>
        <v>0</v>
      </c>
      <c r="AE8" s="962">
        <f t="shared" si="10"/>
        <v>0</v>
      </c>
      <c r="AF8" s="961">
        <f>IF(AND(N(AC8)&gt;=Paramétrage!$AX$11,N(AC8)&lt;=Paramétrage!$AX$12),IF(C8="cp",1,0),0)</f>
        <v>0</v>
      </c>
      <c r="AG8" s="962">
        <f t="shared" si="12"/>
        <v>0</v>
      </c>
      <c r="AI8" s="962">
        <f t="shared" si="13"/>
        <v>0</v>
      </c>
      <c r="AJ8" s="962">
        <f t="shared" si="14"/>
        <v>0</v>
      </c>
      <c r="AM8" s="962">
        <f t="shared" si="15"/>
        <v>0</v>
      </c>
      <c r="AN8" s="962">
        <f t="shared" si="16"/>
        <v>0</v>
      </c>
      <c r="AO8" s="962">
        <f t="shared" si="17"/>
        <v>0</v>
      </c>
      <c r="AP8" s="962">
        <f t="shared" si="18"/>
        <v>0</v>
      </c>
      <c r="AR8" s="917">
        <f>IF(AND(AC8&lt;=$AR$3,B8="CP"),1,0)</f>
        <v>0</v>
      </c>
      <c r="AS8" s="917">
        <f>IF(AND(AC8&lt;=$AR$3,C8="CP"),1,0)</f>
        <v>0</v>
      </c>
    </row>
    <row r="9" spans="1:45" ht="14.45" customHeight="1" x14ac:dyDescent="0.3">
      <c r="A9" s="964" t="s">
        <v>15</v>
      </c>
      <c r="B9" s="414" t="b">
        <f>IF(Paramétrage!$O$45="",FALSE,Paramétrage!$O$45)</f>
        <v>0</v>
      </c>
      <c r="C9" s="263"/>
      <c r="D9" s="415" t="b">
        <f>IF(Paramétrage!$Q$45="",FALSE,Paramétrage!$Q$45)</f>
        <v>0</v>
      </c>
      <c r="E9" s="264"/>
      <c r="F9" s="414" t="b">
        <f>IF(Paramétrage!$R$45="",FALSE,Paramétrage!$R$45)</f>
        <v>0</v>
      </c>
      <c r="G9" s="264"/>
      <c r="H9" s="416" t="b">
        <f>IF(Paramétrage!$T$45="",FALSE,Paramétrage!$T$45)</f>
        <v>0</v>
      </c>
      <c r="I9" s="263"/>
      <c r="J9" s="417" t="b">
        <f>IF(Paramétrage!$U$45="",FALSE,Paramétrage!$U$45)</f>
        <v>0</v>
      </c>
      <c r="K9" s="263"/>
      <c r="L9" s="418" t="b">
        <f>IF(Paramétrage!$W$45="",FALSE,Paramétrage!$W$45)</f>
        <v>0</v>
      </c>
      <c r="M9" s="263"/>
      <c r="N9" s="956">
        <f>IF(OR(B9="aa",B9="cp",B9="f",B9="jc",B9="m",B9="css"),0,(L9-J9)+(H9-F9)+(D9-B9))</f>
        <v>0</v>
      </c>
      <c r="O9" s="956">
        <f>SUM(AM9:AP9)+IF(OR(C9="m",C9="aa"),N9,IF(C9="css",0,IF(C9="cp",0,IF(C9="jc",0,IF(C9="f",0,E9-C9+I9-G9+M9-K9)))))</f>
        <v>0</v>
      </c>
      <c r="P9" s="956">
        <f t="shared" si="2"/>
        <v>0</v>
      </c>
      <c r="Q9" s="956">
        <f t="shared" si="3"/>
        <v>0</v>
      </c>
      <c r="R9" s="957">
        <f>IF(OR(C9="aa",C9="cp",C9="f",C9="jc",C9="m",C9="css"),0,IF(C9=0,MAX(B9,D9,F9,H9,J9,L9)-MIN(B9,D9,F9,H9,J9,L9),IF(C9&lt;&gt;0,MAX(C9,E9,G9,I9,K9,M9)-MIN(C9,E9,G9,I9,K9,M9))))</f>
        <v>0</v>
      </c>
      <c r="S9" s="262"/>
      <c r="T9" s="958" t="str">
        <f t="shared" ref="T9:T12" si="19">IF(AND(B9=FALSE,C9=""),"",IF(AND(B9=0,C9=0),"",(IF(OR(C9="cp",C9="f",C9="jc",C9="css"),"",IF(OR(C9="",C9="aa",C9="m"),(IF(OR(B9="cp",B9="f",B9="jc",B9="css"),"",B9*24+24-MAX(D8,H8,L8)*24)),C9*24+24-MAX(M8,I8,E8)*24)))))</f>
        <v/>
      </c>
      <c r="U9" s="959" t="str">
        <f>IF(P9=0,"",IF(P9&lt;Paramétrage!$S$12,"PB",IF(AND(Q9&lt;Paramétrage!$S$12,Q9&lt;&gt;0),"PB","")))</f>
        <v/>
      </c>
      <c r="V9" s="959" t="str">
        <f t="shared" si="6"/>
        <v/>
      </c>
      <c r="W9" s="959" t="str">
        <f t="shared" si="7"/>
        <v/>
      </c>
      <c r="X9" s="960" t="str">
        <f>IF(AND(N9=0,O9=0),"",(IF(OR(C9="aa",C9="cp",C9="f",C9="jc",C9="m",C9="css"),"",IF(C9="",IF(OR(D9-B9&gt;6/24,H9-F9&gt;6/24,L9-J9&gt;6/24),"PB",""),IF(OR(E9-C9&gt;6/24,I9-G9&gt;6/24,M9-K9&gt;6/24),"PB","")))))</f>
        <v/>
      </c>
      <c r="Y9" s="959" t="str">
        <f t="shared" si="9"/>
        <v/>
      </c>
      <c r="Z9" s="836"/>
      <c r="AA9" s="837"/>
      <c r="AB9" s="967"/>
      <c r="AC9" s="934">
        <f t="shared" si="11"/>
        <v>42706</v>
      </c>
      <c r="AD9" s="961">
        <f>IF(AND(N(AC9)&gt;=Paramétrage!$AU$11,N(AC9)&lt;=Paramétrage!$AU$12),IF(C9="cp",1,0),0)</f>
        <v>0</v>
      </c>
      <c r="AE9" s="962">
        <f t="shared" si="10"/>
        <v>0</v>
      </c>
      <c r="AF9" s="961">
        <f>IF(AND(N(AC9)&gt;=Paramétrage!$AX$11,N(AC9)&lt;=Paramétrage!$AX$12),IF(C9="cp",1,0),0)</f>
        <v>0</v>
      </c>
      <c r="AG9" s="962">
        <f t="shared" si="12"/>
        <v>0</v>
      </c>
      <c r="AI9" s="962">
        <f t="shared" si="13"/>
        <v>0</v>
      </c>
      <c r="AJ9" s="962">
        <f t="shared" si="14"/>
        <v>0</v>
      </c>
      <c r="AM9" s="962">
        <f t="shared" si="15"/>
        <v>0</v>
      </c>
      <c r="AN9" s="962">
        <f t="shared" si="16"/>
        <v>0</v>
      </c>
      <c r="AO9" s="962">
        <f t="shared" si="17"/>
        <v>0</v>
      </c>
      <c r="AP9" s="962">
        <f t="shared" si="18"/>
        <v>0</v>
      </c>
      <c r="AR9" s="917">
        <f>IF(AND(AC9&lt;=$AR$3,B9="CP"),1,0)</f>
        <v>0</v>
      </c>
      <c r="AS9" s="917">
        <f>IF(AND(AC9&lt;=$AR$3,C9="CP"),1,0)</f>
        <v>0</v>
      </c>
    </row>
    <row r="10" spans="1:45" ht="14.45" customHeight="1" x14ac:dyDescent="0.3">
      <c r="A10" s="964" t="s">
        <v>16</v>
      </c>
      <c r="B10" s="414" t="b">
        <f>IF(Paramétrage!$O$46="",FALSE,Paramétrage!$O$46)</f>
        <v>0</v>
      </c>
      <c r="C10" s="263"/>
      <c r="D10" s="415" t="b">
        <f>IF(Paramétrage!$Q$46="",FALSE,Paramétrage!$Q$46)</f>
        <v>0</v>
      </c>
      <c r="E10" s="264"/>
      <c r="F10" s="414" t="b">
        <f>IF(Paramétrage!$R$46="",FALSE,Paramétrage!$R$46)</f>
        <v>0</v>
      </c>
      <c r="G10" s="264"/>
      <c r="H10" s="416" t="b">
        <f>IF(Paramétrage!$T$46="",FALSE,Paramétrage!$T$46)</f>
        <v>0</v>
      </c>
      <c r="I10" s="263"/>
      <c r="J10" s="417" t="b">
        <f>IF(Paramétrage!$U$46="",FALSE,Paramétrage!$U$46)</f>
        <v>0</v>
      </c>
      <c r="K10" s="263"/>
      <c r="L10" s="418" t="b">
        <f>IF(Paramétrage!$W$46="",FALSE,Paramétrage!$W$46)</f>
        <v>0</v>
      </c>
      <c r="M10" s="263"/>
      <c r="N10" s="956">
        <f>IF(OR(B10="aa",B10="cp",B10="f",B10="jc",B10="m",B10="css"),0,(L10-J10)+(H10-F10)+(D10-B10))</f>
        <v>0</v>
      </c>
      <c r="O10" s="956">
        <f>SUM(AM10:AP10)+IF(OR(C10="m",C10="aa"),N10,IF(C10="css",0,IF(C10="cp",0,IF(C10="jc",0,IF(C10="f",0,E10-C10+I10-G10+M10-K10)))))</f>
        <v>0</v>
      </c>
      <c r="P10" s="956">
        <f t="shared" si="2"/>
        <v>0</v>
      </c>
      <c r="Q10" s="956">
        <f t="shared" si="3"/>
        <v>0</v>
      </c>
      <c r="R10" s="957">
        <f>IF(OR(C10="aa",C10="cp",C10="f",C10="jc",C10="m",C10="css"),0,IF(C10=0,MAX(B10,D10,F10,H10,J10,L10)-MIN(B10,D10,F10,H10,J10,L10),IF(C10&lt;&gt;0,MAX(C10,E10,G10,I10,K10,M10)-MIN(C10,E10,G10,I10,K10,M10))))</f>
        <v>0</v>
      </c>
      <c r="S10" s="262"/>
      <c r="T10" s="958" t="str">
        <f t="shared" si="19"/>
        <v/>
      </c>
      <c r="U10" s="959" t="str">
        <f>IF(P10=0,"",IF(P10&lt;Paramétrage!$S$12,"PB",IF(AND(Q10&lt;Paramétrage!$S$12,Q10&lt;&gt;0),"PB","")))</f>
        <v/>
      </c>
      <c r="V10" s="959" t="str">
        <f t="shared" si="6"/>
        <v/>
      </c>
      <c r="W10" s="959" t="str">
        <f t="shared" si="7"/>
        <v/>
      </c>
      <c r="X10" s="960" t="str">
        <f>IF(AND(N10=0,O10=0),"",(IF(OR(C10="aa",C10="cp",C10="f",C10="jc",C10="m",C10="css"),"",IF(C10="",IF(OR(D10-B10&gt;6/24,H10-F10&gt;6/24,L10-J10&gt;6/24),"PB",""),IF(OR(E10-C10&gt;6/24,I10-G10&gt;6/24,M10-K10&gt;6/24),"PB","")))))</f>
        <v/>
      </c>
      <c r="Y10" s="959" t="str">
        <f t="shared" si="9"/>
        <v/>
      </c>
      <c r="Z10" s="836"/>
      <c r="AA10" s="837"/>
      <c r="AB10" s="967"/>
      <c r="AC10" s="934">
        <f t="shared" si="11"/>
        <v>42707</v>
      </c>
      <c r="AD10" s="961">
        <f>IF(AND(N(AC10)&gt;=Paramétrage!$AU$11,N(AC10)&lt;=Paramétrage!$AU$12),IF(C10="cp",1,0),0)</f>
        <v>0</v>
      </c>
      <c r="AE10" s="962">
        <f t="shared" si="10"/>
        <v>0</v>
      </c>
      <c r="AF10" s="961">
        <f>IF(AND(N(AC10)&gt;=Paramétrage!$AX$11,N(AC10)&lt;=Paramétrage!$AX$12),IF(C10="cp",1,0),0)</f>
        <v>0</v>
      </c>
      <c r="AG10" s="962">
        <f t="shared" si="12"/>
        <v>0</v>
      </c>
      <c r="AI10" s="962">
        <f t="shared" si="13"/>
        <v>0</v>
      </c>
      <c r="AJ10" s="962">
        <f t="shared" si="14"/>
        <v>0</v>
      </c>
      <c r="AM10" s="962">
        <f t="shared" si="15"/>
        <v>0</v>
      </c>
      <c r="AN10" s="962">
        <f t="shared" si="16"/>
        <v>0</v>
      </c>
      <c r="AO10" s="962">
        <f t="shared" si="17"/>
        <v>0</v>
      </c>
      <c r="AP10" s="962">
        <f t="shared" si="18"/>
        <v>0</v>
      </c>
      <c r="AR10" s="917">
        <f>IF(AND(AC10&lt;=$AR$3,B10="CP"),1,0)</f>
        <v>0</v>
      </c>
      <c r="AS10" s="917">
        <f>IF(AND(AC10&lt;=$AR$3,C10="CP"),1,0)</f>
        <v>0</v>
      </c>
    </row>
    <row r="11" spans="1:45" ht="14.45" customHeight="1" x14ac:dyDescent="0.3">
      <c r="A11" s="964" t="s">
        <v>19</v>
      </c>
      <c r="B11" s="414" t="b">
        <f>IF(Paramétrage!$O$47="",FALSE,Paramétrage!$O$47)</f>
        <v>0</v>
      </c>
      <c r="C11" s="263"/>
      <c r="D11" s="415" t="b">
        <f>IF(Paramétrage!$Q$47="",FALSE,Paramétrage!$Q$47)</f>
        <v>0</v>
      </c>
      <c r="E11" s="264"/>
      <c r="F11" s="414" t="b">
        <f>IF(Paramétrage!$R$47="",FALSE,Paramétrage!$R$47)</f>
        <v>0</v>
      </c>
      <c r="G11" s="264"/>
      <c r="H11" s="416" t="b">
        <f>IF(Paramétrage!$T$47="",FALSE,Paramétrage!$T$47)</f>
        <v>0</v>
      </c>
      <c r="I11" s="263"/>
      <c r="J11" s="417" t="b">
        <f>IF(Paramétrage!$U$47="",FALSE,Paramétrage!$U$47)</f>
        <v>0</v>
      </c>
      <c r="K11" s="263"/>
      <c r="L11" s="418" t="b">
        <f>IF(Paramétrage!$W$47="",FALSE,Paramétrage!$W$47)</f>
        <v>0</v>
      </c>
      <c r="M11" s="263"/>
      <c r="N11" s="956">
        <f>IF(OR(B11="aa",B11="cp",B11="f",B11="jc",B11="m",B11="css"),0,(L11-J11)+(H11-F11)+(D11-B11))</f>
        <v>0</v>
      </c>
      <c r="O11" s="956">
        <f>IF(OR(C11="m",C11="aa"),N11,IF(C11="cp",0,IF(OR(C11="css",C11="jc"),0,IF(C11="f",0,E11-C11+I11-G11+M11-K11))))</f>
        <v>0</v>
      </c>
      <c r="P11" s="956">
        <f t="shared" si="2"/>
        <v>0</v>
      </c>
      <c r="Q11" s="956">
        <f t="shared" si="3"/>
        <v>0</v>
      </c>
      <c r="R11" s="957">
        <f>IF(OR(C11="aa",C11="cp",C11="f",C11="jc",C11="m",C11="css"),0,IF(C11=0,MAX(B11,D11,F11,H11,J11,L11)-MIN(B11,D11,F11,H11,J11,L11),IF(C11&lt;&gt;0,MAX(C11,E11,G11,I11,K11,M11)-MIN(C11,E11,G11,I11,K11,M11))))</f>
        <v>0</v>
      </c>
      <c r="S11" s="262"/>
      <c r="T11" s="958" t="str">
        <f t="shared" si="19"/>
        <v/>
      </c>
      <c r="U11" s="959" t="str">
        <f>IF(P11=0,"",IF(P11&lt;Paramétrage!$S$12,"PB",IF(AND(Q11&lt;Paramétrage!$S$12,Q11&lt;&gt;0),"PB","")))</f>
        <v/>
      </c>
      <c r="V11" s="959" t="str">
        <f t="shared" si="6"/>
        <v/>
      </c>
      <c r="W11" s="959" t="str">
        <f t="shared" si="7"/>
        <v/>
      </c>
      <c r="X11" s="960" t="str">
        <f>IF(AND(N11=0,O11=0),"",(IF(OR(C11="aa",C11="cp",C11="f",C11="jc",C11="m",C11="css"),"",IF(C11="",IF(OR(D11-B11&gt;6/24,H11-F11&gt;6/24,L11-J11&gt;6/24),"PB",""),IF(OR(E11-C11&gt;6/24,I11-G11&gt;6/24,M11-K11&gt;6/24),"PB","")))))</f>
        <v/>
      </c>
      <c r="Y11" s="959" t="str">
        <f t="shared" si="9"/>
        <v/>
      </c>
      <c r="Z11" s="836"/>
      <c r="AA11" s="837"/>
      <c r="AC11" s="934">
        <f t="shared" si="11"/>
        <v>42708</v>
      </c>
      <c r="AD11" s="961">
        <f>IF(AND(N(AC11)&gt;=Paramétrage!$AU$11,N(AC11)&lt;=Paramétrage!$AU$12),IF(C11="cp",1,0),0)</f>
        <v>0</v>
      </c>
      <c r="AE11" s="962">
        <f t="shared" si="10"/>
        <v>0</v>
      </c>
      <c r="AF11" s="961">
        <f>IF(AND(N(AC11)&gt;=Paramétrage!$AX$11,N(AC11)&lt;=Paramétrage!$AX$12),IF(C11="cp",1,0),0)</f>
        <v>0</v>
      </c>
      <c r="AG11" s="962">
        <f t="shared" si="12"/>
        <v>0</v>
      </c>
      <c r="AI11" s="962">
        <f t="shared" si="13"/>
        <v>0</v>
      </c>
      <c r="AJ11" s="962">
        <f t="shared" si="14"/>
        <v>0</v>
      </c>
      <c r="AM11" s="962"/>
      <c r="AN11" s="962"/>
      <c r="AO11" s="962"/>
      <c r="AP11" s="962"/>
    </row>
    <row r="12" spans="1:45" ht="14.45" customHeight="1" thickBot="1" x14ac:dyDescent="0.35">
      <c r="A12" s="966" t="s">
        <v>20</v>
      </c>
      <c r="B12" s="414" t="b">
        <f>IF(Paramétrage!$O$48="",FALSE,Paramétrage!$O$48)</f>
        <v>0</v>
      </c>
      <c r="C12" s="263"/>
      <c r="D12" s="415" t="b">
        <f>IF(Paramétrage!$Q$48="",FALSE,Paramétrage!$Q$48)</f>
        <v>0</v>
      </c>
      <c r="E12" s="264"/>
      <c r="F12" s="414" t="b">
        <f>IF(Paramétrage!$R$48="",FALSE,Paramétrage!$R$48)</f>
        <v>0</v>
      </c>
      <c r="G12" s="264"/>
      <c r="H12" s="416" t="b">
        <f>IF(Paramétrage!$T$48="",FALSE,Paramétrage!$T$48)</f>
        <v>0</v>
      </c>
      <c r="I12" s="263"/>
      <c r="J12" s="417" t="b">
        <f>IF(Paramétrage!$U$48="",FALSE,Paramétrage!$U$48)</f>
        <v>0</v>
      </c>
      <c r="K12" s="263"/>
      <c r="L12" s="418" t="b">
        <f>IF(Paramétrage!$W$48="",FALSE,Paramétrage!$W$48)</f>
        <v>0</v>
      </c>
      <c r="M12" s="263"/>
      <c r="N12" s="956">
        <f>IF(OR(B12="aa",B12="m"),M12,IF(B12="cp",0,IF(B12="jc",0,IF(B12="f",0,(D12-B12)*Paramétrage!$S$13+(H12-F12)*Paramétrage!$S$13+(L12-J12)*Paramétrage!$S$13+(D12-B12+H12-F12+L12-J12)))))</f>
        <v>0</v>
      </c>
      <c r="O12" s="956">
        <f>IF(OR(C12="aa",C12="m"),N12,IF(C12="cp",0,IF(C12="jc",0,IF(C12="f",0,(E12-C12)*Paramétrage!$S$13+(I12-G12)*Paramétrage!$S$13+(M12-K12)*Paramétrage!$S$13+(E12-C12+I12-G12+M12-K12)))))</f>
        <v>0</v>
      </c>
      <c r="P12" s="956">
        <f t="shared" si="2"/>
        <v>0</v>
      </c>
      <c r="Q12" s="956">
        <f t="shared" si="3"/>
        <v>0</v>
      </c>
      <c r="R12" s="957">
        <f t="shared" ref="R12" si="20">IF(OR(C12="aa",C12="cp",C12="f",C12="jc",C12="m",C12=0),MAX(B12,D12,F12,H12,J12,L12)-MIN(B12,D12,F12,H12,J12,L12),IF(C12&lt;&gt;0,MAX(C12,E12,G12,I12,K12,M12)-MIN(C12,E12,G12,I12,K12,M12)))</f>
        <v>0</v>
      </c>
      <c r="S12" s="262"/>
      <c r="T12" s="958" t="str">
        <f t="shared" si="19"/>
        <v/>
      </c>
      <c r="U12" s="959" t="str">
        <f>IF(P12=0,"",IF(P12&lt;Paramétrage!$S$12,"PB",IF(AND(Q12&lt;Paramétrage!$S$12,Q12&lt;&gt;0),"PB","")))</f>
        <v/>
      </c>
      <c r="V12" s="959" t="str">
        <f t="shared" si="6"/>
        <v/>
      </c>
      <c r="W12" s="959" t="str">
        <f t="shared" si="7"/>
        <v/>
      </c>
      <c r="X12" s="960" t="str">
        <f t="shared" ref="X12" si="21">IF(AND(N12=0,O12=0),"",(IF(OR(C12="aa",C12="cp",C12="f",C12="jc",C12="m"),"",IF(C12="",IF(OR(D12-B12&gt;6/24,H12-F12&gt;6/24,L12-J12&gt;6/24),"PB",""),IF(OR(E12-C12&gt;6/24,I12-G12&gt;6/24,M12-K12&gt;6/24),"PB","")))))</f>
        <v/>
      </c>
      <c r="Y12" s="959" t="str">
        <f t="shared" si="9"/>
        <v/>
      </c>
      <c r="Z12" s="836"/>
      <c r="AA12" s="837"/>
      <c r="AC12" s="934">
        <f t="shared" si="11"/>
        <v>42709</v>
      </c>
      <c r="AD12" s="961">
        <f>IF(AND(N(AC12)&gt;=Paramétrage!$AU$11,N(AC12)&lt;=Paramétrage!$AU$12),IF(C12="cp",1,0),0)</f>
        <v>0</v>
      </c>
      <c r="AE12" s="962">
        <f t="shared" si="10"/>
        <v>0</v>
      </c>
      <c r="AF12" s="961">
        <f>IF(AND(N(AC12)&gt;=Paramétrage!$AX$11,N(AC12)&lt;=Paramétrage!$AX$12),IF(C12="cp",1,0),0)</f>
        <v>0</v>
      </c>
      <c r="AG12" s="962">
        <f t="shared" si="12"/>
        <v>0</v>
      </c>
      <c r="AH12" s="968"/>
      <c r="AI12" s="962">
        <f t="shared" si="13"/>
        <v>0</v>
      </c>
      <c r="AJ12" s="962">
        <f t="shared" si="14"/>
        <v>0</v>
      </c>
      <c r="AM12" s="962"/>
      <c r="AN12" s="962"/>
      <c r="AO12" s="962"/>
      <c r="AP12" s="962"/>
    </row>
    <row r="13" spans="1:45" x14ac:dyDescent="0.25">
      <c r="A13" s="969" t="s">
        <v>78</v>
      </c>
      <c r="B13" s="970"/>
      <c r="C13" s="970"/>
      <c r="D13" s="970"/>
      <c r="E13" s="970"/>
      <c r="F13" s="970"/>
      <c r="G13" s="970"/>
      <c r="H13" s="970"/>
      <c r="I13" s="970"/>
      <c r="J13" s="970"/>
      <c r="K13" s="971"/>
      <c r="L13" s="970"/>
      <c r="M13" s="970"/>
      <c r="N13" s="972">
        <f>SUM(N6:N12)</f>
        <v>0</v>
      </c>
      <c r="O13" s="972">
        <f>SUM(O6:O12)</f>
        <v>0</v>
      </c>
      <c r="P13" s="972">
        <f>SUM(P6:P12)</f>
        <v>0</v>
      </c>
      <c r="Q13" s="972">
        <f>SUM(Q6:Q12)</f>
        <v>0</v>
      </c>
      <c r="R13" s="972"/>
      <c r="S13" s="972"/>
      <c r="T13" s="973"/>
      <c r="U13" s="974"/>
      <c r="V13" s="975" t="str">
        <f>IF((O13*24)&gt;48,"PB","")</f>
        <v/>
      </c>
      <c r="W13" s="974"/>
      <c r="X13" s="974"/>
      <c r="Y13" s="974"/>
      <c r="Z13" s="976" t="s">
        <v>59</v>
      </c>
      <c r="AA13" s="977">
        <f>+O13-N13</f>
        <v>0</v>
      </c>
    </row>
    <row r="14" spans="1:45" x14ac:dyDescent="0.25">
      <c r="A14" s="969"/>
      <c r="B14" s="970"/>
      <c r="C14" s="970"/>
      <c r="D14" s="970"/>
      <c r="E14" s="970"/>
      <c r="F14" s="970"/>
      <c r="G14" s="970"/>
      <c r="H14" s="970"/>
      <c r="I14" s="970"/>
      <c r="J14" s="970"/>
      <c r="K14" s="971"/>
      <c r="L14" s="970"/>
      <c r="M14" s="970"/>
      <c r="N14" s="973"/>
      <c r="O14" s="973"/>
      <c r="P14" s="973"/>
      <c r="Q14" s="973"/>
      <c r="R14" s="973"/>
      <c r="S14" s="972"/>
      <c r="T14" s="973"/>
      <c r="U14" s="974"/>
      <c r="V14" s="978"/>
      <c r="W14" s="974"/>
      <c r="X14" s="974"/>
      <c r="Y14" s="974"/>
      <c r="Z14" s="976"/>
      <c r="AA14" s="977"/>
    </row>
    <row r="15" spans="1:45" ht="16.5" x14ac:dyDescent="0.3">
      <c r="A15" s="969"/>
      <c r="B15" s="969"/>
      <c r="C15" s="969"/>
      <c r="D15" s="969"/>
      <c r="E15" s="969"/>
      <c r="F15" s="928">
        <f>+F3+7</f>
        <v>42710</v>
      </c>
      <c r="G15" s="928"/>
      <c r="H15" s="929" t="s">
        <v>58</v>
      </c>
      <c r="I15" s="928">
        <f>+F15+6</f>
        <v>42716</v>
      </c>
      <c r="J15" s="930"/>
      <c r="K15" s="969"/>
      <c r="L15" s="969"/>
      <c r="M15" s="969"/>
      <c r="N15" s="973"/>
      <c r="O15" s="969"/>
      <c r="P15" s="980"/>
      <c r="Q15" s="980"/>
      <c r="R15" s="980"/>
      <c r="S15" s="981"/>
      <c r="T15" s="980"/>
      <c r="U15" s="980"/>
      <c r="V15" s="980"/>
      <c r="W15" s="980"/>
      <c r="X15" s="980"/>
      <c r="Y15" s="980"/>
      <c r="Z15" s="976"/>
      <c r="AA15" s="995"/>
    </row>
    <row r="16" spans="1:45" ht="14.45" customHeight="1" x14ac:dyDescent="0.25">
      <c r="A16" s="994"/>
      <c r="B16" s="938" t="s">
        <v>17</v>
      </c>
      <c r="C16" s="938"/>
      <c r="D16" s="938" t="s">
        <v>18</v>
      </c>
      <c r="E16" s="938"/>
      <c r="F16" s="938" t="s">
        <v>17</v>
      </c>
      <c r="G16" s="938"/>
      <c r="H16" s="938" t="s">
        <v>18</v>
      </c>
      <c r="I16" s="938"/>
      <c r="J16" s="938" t="s">
        <v>17</v>
      </c>
      <c r="K16" s="938"/>
      <c r="L16" s="938" t="s">
        <v>18</v>
      </c>
      <c r="M16" s="938"/>
      <c r="N16" s="939" t="s">
        <v>61</v>
      </c>
      <c r="O16" s="939" t="s">
        <v>62</v>
      </c>
      <c r="P16" s="939" t="s">
        <v>60</v>
      </c>
      <c r="Q16" s="939" t="s">
        <v>63</v>
      </c>
      <c r="R16" s="939" t="s">
        <v>64</v>
      </c>
      <c r="S16" s="940" t="s">
        <v>223</v>
      </c>
      <c r="T16" s="939" t="s">
        <v>70</v>
      </c>
      <c r="U16" s="941" t="s">
        <v>65</v>
      </c>
      <c r="V16" s="942"/>
      <c r="W16" s="942"/>
      <c r="X16" s="942"/>
      <c r="Y16" s="943"/>
      <c r="Z16" s="944" t="s">
        <v>22</v>
      </c>
      <c r="AA16" s="944"/>
    </row>
    <row r="17" spans="1:45" ht="26.25" thickBot="1" x14ac:dyDescent="0.4">
      <c r="A17" s="937" t="str">
        <f>"S"&amp;WEEKNUM(F15,21)</f>
        <v>S50</v>
      </c>
      <c r="B17" s="949" t="s">
        <v>0</v>
      </c>
      <c r="C17" s="950" t="s">
        <v>1</v>
      </c>
      <c r="D17" s="949" t="s">
        <v>0</v>
      </c>
      <c r="E17" s="950" t="s">
        <v>1</v>
      </c>
      <c r="F17" s="949" t="s">
        <v>0</v>
      </c>
      <c r="G17" s="950" t="s">
        <v>1</v>
      </c>
      <c r="H17" s="949" t="s">
        <v>0</v>
      </c>
      <c r="I17" s="950" t="s">
        <v>1</v>
      </c>
      <c r="J17" s="949" t="s">
        <v>0</v>
      </c>
      <c r="K17" s="950" t="s">
        <v>1</v>
      </c>
      <c r="L17" s="949" t="s">
        <v>0</v>
      </c>
      <c r="M17" s="950" t="s">
        <v>1</v>
      </c>
      <c r="N17" s="951"/>
      <c r="O17" s="951"/>
      <c r="P17" s="951"/>
      <c r="Q17" s="951"/>
      <c r="R17" s="951"/>
      <c r="S17" s="951"/>
      <c r="T17" s="939"/>
      <c r="U17" s="952" t="s">
        <v>66</v>
      </c>
      <c r="V17" s="952" t="s">
        <v>67</v>
      </c>
      <c r="W17" s="952" t="s">
        <v>68</v>
      </c>
      <c r="X17" s="952" t="s">
        <v>137</v>
      </c>
      <c r="Y17" s="952" t="s">
        <v>69</v>
      </c>
      <c r="Z17" s="944"/>
      <c r="AA17" s="944"/>
      <c r="AM17" s="917" t="s">
        <v>274</v>
      </c>
    </row>
    <row r="18" spans="1:45" ht="14.45" customHeight="1" x14ac:dyDescent="0.3">
      <c r="A18" s="955" t="s">
        <v>12</v>
      </c>
      <c r="B18" s="414" t="b">
        <f>IF(Paramétrage!$O$42="",FALSE,Paramétrage!$O$42)</f>
        <v>0</v>
      </c>
      <c r="C18" s="263"/>
      <c r="D18" s="415" t="b">
        <f>IF(Paramétrage!$Q$42="",FALSE,Paramétrage!$Q$42)</f>
        <v>0</v>
      </c>
      <c r="E18" s="264"/>
      <c r="F18" s="414" t="b">
        <f>IF(Paramétrage!$R$42="",FALSE,Paramétrage!$R$42)</f>
        <v>0</v>
      </c>
      <c r="G18" s="264"/>
      <c r="H18" s="416" t="b">
        <f>IF(Paramétrage!$T$42="",FALSE,Paramétrage!$T$42)</f>
        <v>0</v>
      </c>
      <c r="I18" s="263"/>
      <c r="J18" s="417" t="b">
        <f>IF(Paramétrage!$U$42="",FALSE,Paramétrage!$U$42)</f>
        <v>0</v>
      </c>
      <c r="K18" s="263"/>
      <c r="L18" s="418" t="b">
        <f>IF(Paramétrage!$W$42="",FALSE,Paramétrage!$W$42)</f>
        <v>0</v>
      </c>
      <c r="M18" s="263"/>
      <c r="N18" s="956">
        <f t="shared" ref="N18:N20" si="22">IF(OR(B18="aa",B18="cp",B18="f",B18="jc",B18="m",B18="css"),0,(L18-J18)+(H18-F18)+(D18-B18))</f>
        <v>0</v>
      </c>
      <c r="O18" s="956">
        <f t="shared" ref="O18:O20" si="23">SUM(AM18:AP18)+IF(OR(C18="m",C18="aa"),N18,IF(C18="css",0,IF(C18="cp",0,IF(C18="jc",0,IF(C18="f",0,E18-C18+I18-G18+M18-K18)))))</f>
        <v>0</v>
      </c>
      <c r="P18" s="956">
        <f t="shared" ref="P18:P24" si="24">IF(OR(C18="aa",C18="cp",C18="f",C18="jc",C18="m",C18="css"),0,IF(C18="",IF(OR(F18="",F18=FALSE),0,F18-D18),IF(G18="",0,G18-E18)))</f>
        <v>0</v>
      </c>
      <c r="Q18" s="956">
        <f t="shared" ref="Q18:Q24" si="25">IF(P18=0,0,IF(G18="",IF(OR(J18="",J18=FALSE),0,J18-H18),IF(K18="",0,K18-I18)))</f>
        <v>0</v>
      </c>
      <c r="R18" s="957">
        <f t="shared" ref="R18:R20" si="26">IF(OR(C18="aa",C18="cp",C18="f",C18="jc",C18="m",C18="css"),0,IF(C18=0,MAX(B18,D18,F18,H18,J18,L18)-MIN(B18,D18,F18,H18,J18,L18),IF(C18&lt;&gt;0,MAX(C18,E18,G18,I18,K18,M18)-MIN(C18,E18,G18,I18,K18,M18))))</f>
        <v>0</v>
      </c>
      <c r="S18" s="262"/>
      <c r="T18" s="958" t="str">
        <f t="shared" ref="T18:T19" si="27">IF(AND(B18=FALSE,C18=""),"",IF(AND(B18=0,C18=0),"",(IF(OR(C18="cp",C18="f",C18="jc",C18="css"),"",IF(OR(C18="",C18="aa",C18="m"),(IF(OR(B18="cp",B18="f",B18="jc",B18="css"),"",B18*24+24-MAX(D17,H17,L17)*24)),C18*24+24-MAX(M17,I17,E17)*24)))))</f>
        <v/>
      </c>
      <c r="U18" s="959" t="str">
        <f>IF(P18=0,"",IF(P18&lt;Paramétrage!$S$12,"PB",IF(AND(Q18&lt;Paramétrage!$S$12,Q18&lt;&gt;0),"PB","")))</f>
        <v/>
      </c>
      <c r="V18" s="959" t="str">
        <f t="shared" ref="V18:V24" si="28">IF(C18="",IF((N18*24)&gt;10,"PB",""),IF((O18*24)&gt;10,"PB",""))</f>
        <v/>
      </c>
      <c r="W18" s="959" t="str">
        <f t="shared" ref="W18:W24" si="29">IF((R18*24)&gt;12,"PB","")</f>
        <v/>
      </c>
      <c r="X18" s="960" t="str">
        <f t="shared" ref="X18:X20" si="30">IF(AND(N18=0,O18=0),"",(IF(OR(C18="aa",C18="cp",C18="f",C18="jc",C18="m",C18="css"),"",IF(C18="",IF(OR(D18-B18&gt;6/24,H18-F18&gt;6/24,L18-J18&gt;6/24),"PB",""),IF(OR(E18-C18&gt;6/24,I18-G18&gt;6/24,M18-K18&gt;6/24),"PB","")))))</f>
        <v/>
      </c>
      <c r="Y18" s="959" t="str">
        <f t="shared" ref="Y18:Y24" si="31">IF(T18="","",IF(T18&lt;11,"PB",""))</f>
        <v/>
      </c>
      <c r="Z18" s="836"/>
      <c r="AA18" s="837"/>
      <c r="AC18" s="934">
        <f>AC12+1</f>
        <v>42710</v>
      </c>
      <c r="AD18" s="961">
        <f>IF(AND(N(AC18)&gt;=Paramétrage!$AU$11,N(AC18)&lt;=Paramétrage!$AU$12),IF(C18="cp",1,0),0)</f>
        <v>0</v>
      </c>
      <c r="AE18" s="962">
        <f t="shared" ref="AE18:AE24" si="32">IF(O18&lt;&gt;"erreur",N18,O18)</f>
        <v>0</v>
      </c>
      <c r="AF18" s="961">
        <f>IF(AND(N(AC18)&gt;=Paramétrage!$AX$11,N(AC18)&lt;=Paramétrage!$AX$12),IF(C18="cp",1,0),0)</f>
        <v>0</v>
      </c>
      <c r="AG18" s="962">
        <f t="shared" ref="AG18:AG24" si="33">O18</f>
        <v>0</v>
      </c>
      <c r="AI18" s="962">
        <f>AE18+AI12</f>
        <v>0</v>
      </c>
      <c r="AJ18" s="962">
        <f>AG18+AJ12</f>
        <v>0</v>
      </c>
      <c r="AK18" s="968"/>
      <c r="AM18" s="962">
        <f>IF(AND($B18="cp",$C18="m"),$Z18,0)</f>
        <v>0</v>
      </c>
      <c r="AN18" s="962">
        <f>IF(AND($B18="jc",$C18="m"),$Z18,0)</f>
        <v>0</v>
      </c>
      <c r="AO18" s="962">
        <f>IF(AND($B18="cp",$C18="aa"),$Z18,0)</f>
        <v>0</v>
      </c>
      <c r="AP18" s="962">
        <f>IF(AND($B18="jc",$C18="aa"),$Z18,0)</f>
        <v>0</v>
      </c>
      <c r="AR18" s="917">
        <f>IF(AND(AC18&lt;=$AR$3,B18="CP"),1,0)</f>
        <v>0</v>
      </c>
      <c r="AS18" s="917">
        <f>IF(AND(AC18&lt;=$AR$3,C18="CP"),1,0)</f>
        <v>0</v>
      </c>
    </row>
    <row r="19" spans="1:45" ht="14.45" customHeight="1" x14ac:dyDescent="0.3">
      <c r="A19" s="964" t="s">
        <v>13</v>
      </c>
      <c r="B19" s="414" t="b">
        <f>IF(Paramétrage!$O$43="",FALSE,Paramétrage!$O$43)</f>
        <v>0</v>
      </c>
      <c r="C19" s="263"/>
      <c r="D19" s="415" t="b">
        <f>IF(Paramétrage!$Q$43="",FALSE,Paramétrage!$Q$43)</f>
        <v>0</v>
      </c>
      <c r="E19" s="264"/>
      <c r="F19" s="414" t="b">
        <f>IF(Paramétrage!$R$43="",FALSE,Paramétrage!$R$43)</f>
        <v>0</v>
      </c>
      <c r="G19" s="264"/>
      <c r="H19" s="416" t="b">
        <f>IF(Paramétrage!$T$43="",FALSE,Paramétrage!$T$43)</f>
        <v>0</v>
      </c>
      <c r="I19" s="263"/>
      <c r="J19" s="417" t="b">
        <f>IF(Paramétrage!$U$43="",FALSE,Paramétrage!$U$43)</f>
        <v>0</v>
      </c>
      <c r="K19" s="263"/>
      <c r="L19" s="418" t="b">
        <f>IF(Paramétrage!$W$43="",FALSE,Paramétrage!$W$43)</f>
        <v>0</v>
      </c>
      <c r="M19" s="263"/>
      <c r="N19" s="956">
        <f t="shared" si="22"/>
        <v>0</v>
      </c>
      <c r="O19" s="956">
        <f t="shared" si="23"/>
        <v>0</v>
      </c>
      <c r="P19" s="956">
        <f t="shared" si="24"/>
        <v>0</v>
      </c>
      <c r="Q19" s="956">
        <f t="shared" si="25"/>
        <v>0</v>
      </c>
      <c r="R19" s="957">
        <f t="shared" si="26"/>
        <v>0</v>
      </c>
      <c r="S19" s="262"/>
      <c r="T19" s="958" t="str">
        <f t="shared" si="27"/>
        <v/>
      </c>
      <c r="U19" s="959" t="str">
        <f>IF(P19=0,"",IF(P19&lt;Paramétrage!$S$12,"PB",IF(AND(Q19&lt;Paramétrage!$S$12,Q19&lt;&gt;0),"PB","")))</f>
        <v/>
      </c>
      <c r="V19" s="959" t="str">
        <f t="shared" si="28"/>
        <v/>
      </c>
      <c r="W19" s="959" t="str">
        <f t="shared" si="29"/>
        <v/>
      </c>
      <c r="X19" s="960" t="str">
        <f t="shared" si="30"/>
        <v/>
      </c>
      <c r="Y19" s="959" t="str">
        <f t="shared" si="31"/>
        <v/>
      </c>
      <c r="Z19" s="836"/>
      <c r="AA19" s="837"/>
      <c r="AC19" s="934">
        <f t="shared" ref="AC19:AC24" si="34">AC18+1</f>
        <v>42711</v>
      </c>
      <c r="AD19" s="961">
        <f>IF(AND(N(AC19)&gt;=Paramétrage!$AU$11,N(AC19)&lt;=Paramétrage!$AU$12),IF(C19="cp",1,0),0)</f>
        <v>0</v>
      </c>
      <c r="AE19" s="962">
        <f t="shared" si="32"/>
        <v>0</v>
      </c>
      <c r="AF19" s="961">
        <f>IF(AND(N(AC19)&gt;=Paramétrage!$AX$11,N(AC19)&lt;=Paramétrage!$AX$12),IF(C19="cp",1,0),0)</f>
        <v>0</v>
      </c>
      <c r="AG19" s="962">
        <f t="shared" si="33"/>
        <v>0</v>
      </c>
      <c r="AI19" s="962">
        <f t="shared" ref="AI19:AI24" si="35">AE19+AI18</f>
        <v>0</v>
      </c>
      <c r="AJ19" s="962">
        <f t="shared" ref="AJ19:AJ24" si="36">AG19+AJ18</f>
        <v>0</v>
      </c>
      <c r="AM19" s="962">
        <f t="shared" ref="AM19:AM22" si="37">IF(AND($B19="cp",$C19="m"),$Z19,0)</f>
        <v>0</v>
      </c>
      <c r="AN19" s="962">
        <f t="shared" ref="AN19:AN22" si="38">IF(AND($B19="jc",$C19="m"),$Z19,0)</f>
        <v>0</v>
      </c>
      <c r="AO19" s="962">
        <f t="shared" ref="AO19:AO22" si="39">IF(AND($B19="cp",$C19="aa"),$Z19,0)</f>
        <v>0</v>
      </c>
      <c r="AP19" s="962">
        <f t="shared" ref="AP19:AP22" si="40">IF(AND($B19="jc",$C19="aa"),$Z19,0)</f>
        <v>0</v>
      </c>
      <c r="AR19" s="917">
        <f>IF(AND(AC19&lt;=$AR$3,B19="CP"),1,0)</f>
        <v>0</v>
      </c>
      <c r="AS19" s="917">
        <f>IF(AND(AC19&lt;=$AR$3,C19="CP"),1,0)</f>
        <v>0</v>
      </c>
    </row>
    <row r="20" spans="1:45" ht="14.45" customHeight="1" x14ac:dyDescent="0.3">
      <c r="A20" s="964" t="s">
        <v>14</v>
      </c>
      <c r="B20" s="414" t="b">
        <f>IF(Paramétrage!$O$44="",FALSE,Paramétrage!$O$44)</f>
        <v>0</v>
      </c>
      <c r="C20" s="263"/>
      <c r="D20" s="415" t="b">
        <f>IF(Paramétrage!$Q$44="",FALSE,Paramétrage!$Q$44)</f>
        <v>0</v>
      </c>
      <c r="E20" s="264"/>
      <c r="F20" s="414" t="b">
        <f>IF(Paramétrage!$R$44="",FALSE,Paramétrage!$R$44)</f>
        <v>0</v>
      </c>
      <c r="G20" s="264"/>
      <c r="H20" s="416" t="b">
        <f>IF(Paramétrage!$T$44="",FALSE,Paramétrage!$T$44)</f>
        <v>0</v>
      </c>
      <c r="I20" s="263"/>
      <c r="J20" s="417" t="b">
        <f>IF(Paramétrage!$U$44="",FALSE,Paramétrage!$U$44)</f>
        <v>0</v>
      </c>
      <c r="K20" s="263"/>
      <c r="L20" s="418" t="b">
        <f>IF(Paramétrage!$W$44="",FALSE,Paramétrage!$W$44)</f>
        <v>0</v>
      </c>
      <c r="M20" s="263"/>
      <c r="N20" s="956">
        <f t="shared" si="22"/>
        <v>0</v>
      </c>
      <c r="O20" s="956">
        <f t="shared" si="23"/>
        <v>0</v>
      </c>
      <c r="P20" s="956">
        <f t="shared" si="24"/>
        <v>0</v>
      </c>
      <c r="Q20" s="956">
        <f t="shared" si="25"/>
        <v>0</v>
      </c>
      <c r="R20" s="957">
        <f t="shared" si="26"/>
        <v>0</v>
      </c>
      <c r="S20" s="262"/>
      <c r="T20" s="958" t="str">
        <f>IF(AND(B20=FALSE,C20=""),"",IF(AND(B20=0,C20=0),"",(IF(OR(C20="cp",C20="f",C20="jc",C20="css"),"",IF(OR(C20="",C20="aa",C20="m"),(IF(OR(B20="cp",B20="f",B20="jc",B20="css"),"",B20*24+24-MAX(D19,H19,L19)*24)),C20*24+24-MAX(M19,I19,E19)*24)))))</f>
        <v/>
      </c>
      <c r="U20" s="959" t="str">
        <f>IF(P20=0,"",IF(P20&lt;Paramétrage!$S$12,"PB",IF(AND(Q20&lt;Paramétrage!$S$12,Q20&lt;&gt;0),"PB","")))</f>
        <v/>
      </c>
      <c r="V20" s="959" t="str">
        <f t="shared" si="28"/>
        <v/>
      </c>
      <c r="W20" s="959" t="str">
        <f t="shared" si="29"/>
        <v/>
      </c>
      <c r="X20" s="960" t="str">
        <f t="shared" si="30"/>
        <v/>
      </c>
      <c r="Y20" s="959" t="str">
        <f t="shared" si="31"/>
        <v/>
      </c>
      <c r="Z20" s="836"/>
      <c r="AA20" s="837"/>
      <c r="AC20" s="934">
        <f t="shared" si="34"/>
        <v>42712</v>
      </c>
      <c r="AD20" s="961">
        <f>IF(AND(N(AC20)&gt;=Paramétrage!$AU$11,N(AC20)&lt;=Paramétrage!$AU$12),IF(C20="cp",1,0),0)</f>
        <v>0</v>
      </c>
      <c r="AE20" s="962">
        <f t="shared" si="32"/>
        <v>0</v>
      </c>
      <c r="AF20" s="961">
        <f>IF(AND(N(AC20)&gt;=Paramétrage!$AX$11,N(AC20)&lt;=Paramétrage!$AX$12),IF(C20="cp",1,0),0)</f>
        <v>0</v>
      </c>
      <c r="AG20" s="962">
        <f t="shared" si="33"/>
        <v>0</v>
      </c>
      <c r="AI20" s="962">
        <f t="shared" si="35"/>
        <v>0</v>
      </c>
      <c r="AJ20" s="962">
        <f t="shared" si="36"/>
        <v>0</v>
      </c>
      <c r="AM20" s="962">
        <f t="shared" si="37"/>
        <v>0</v>
      </c>
      <c r="AN20" s="962">
        <f t="shared" si="38"/>
        <v>0</v>
      </c>
      <c r="AO20" s="962">
        <f t="shared" si="39"/>
        <v>0</v>
      </c>
      <c r="AP20" s="962">
        <f t="shared" si="40"/>
        <v>0</v>
      </c>
      <c r="AR20" s="917">
        <f>IF(AND(AC20&lt;=$AR$3,B20="CP"),1,0)</f>
        <v>0</v>
      </c>
      <c r="AS20" s="917">
        <f>IF(AND(AC20&lt;=$AR$3,C20="CP"),1,0)</f>
        <v>0</v>
      </c>
    </row>
    <row r="21" spans="1:45" ht="14.45" customHeight="1" x14ac:dyDescent="0.3">
      <c r="A21" s="964" t="s">
        <v>15</v>
      </c>
      <c r="B21" s="414" t="b">
        <f>IF(Paramétrage!$O$45="",FALSE,Paramétrage!$O$45)</f>
        <v>0</v>
      </c>
      <c r="C21" s="263"/>
      <c r="D21" s="415" t="b">
        <f>IF(Paramétrage!$Q$45="",FALSE,Paramétrage!$Q$45)</f>
        <v>0</v>
      </c>
      <c r="E21" s="264"/>
      <c r="F21" s="414" t="b">
        <f>IF(Paramétrage!$R$45="",FALSE,Paramétrage!$R$45)</f>
        <v>0</v>
      </c>
      <c r="G21" s="264"/>
      <c r="H21" s="416" t="b">
        <f>IF(Paramétrage!$T$45="",FALSE,Paramétrage!$T$45)</f>
        <v>0</v>
      </c>
      <c r="I21" s="263"/>
      <c r="J21" s="417" t="b">
        <f>IF(Paramétrage!$U$45="",FALSE,Paramétrage!$U$45)</f>
        <v>0</v>
      </c>
      <c r="K21" s="263"/>
      <c r="L21" s="418" t="b">
        <f>IF(Paramétrage!$W$45="",FALSE,Paramétrage!$W$45)</f>
        <v>0</v>
      </c>
      <c r="M21" s="263"/>
      <c r="N21" s="956">
        <f>IF(OR(B21="aa",B21="cp",B21="f",B21="jc",B21="m",B21="css"),0,(L21-J21)+(H21-F21)+(D21-B21))</f>
        <v>0</v>
      </c>
      <c r="O21" s="956">
        <f>SUM(AM21:AP21)+IF(OR(C21="m",C21="aa"),N21,IF(C21="css",0,IF(C21="cp",0,IF(C21="jc",0,IF(C21="f",0,E21-C21+I21-G21+M21-K21)))))</f>
        <v>0</v>
      </c>
      <c r="P21" s="956">
        <f t="shared" si="24"/>
        <v>0</v>
      </c>
      <c r="Q21" s="956">
        <f t="shared" si="25"/>
        <v>0</v>
      </c>
      <c r="R21" s="957">
        <f>IF(OR(C21="aa",C21="cp",C21="f",C21="jc",C21="m",C21="css"),0,IF(C21=0,MAX(B21,D21,F21,H21,J21,L21)-MIN(B21,D21,F21,H21,J21,L21),IF(C21&lt;&gt;0,MAX(C21,E21,G21,I21,K21,M21)-MIN(C21,E21,G21,I21,K21,M21))))</f>
        <v>0</v>
      </c>
      <c r="S21" s="262"/>
      <c r="T21" s="958" t="str">
        <f t="shared" ref="T21:T24" si="41">IF(AND(B21=FALSE,C21=""),"",IF(AND(B21=0,C21=0),"",(IF(OR(C21="cp",C21="f",C21="jc",C21="css"),"",IF(OR(C21="",C21="aa",C21="m"),(IF(OR(B21="cp",B21="f",B21="jc",B21="css"),"",B21*24+24-MAX(D20,H20,L20)*24)),C21*24+24-MAX(M20,I20,E20)*24)))))</f>
        <v/>
      </c>
      <c r="U21" s="959" t="str">
        <f>IF(P21=0,"",IF(P21&lt;Paramétrage!$S$12,"PB",IF(AND(Q21&lt;Paramétrage!$S$12,Q21&lt;&gt;0),"PB","")))</f>
        <v/>
      </c>
      <c r="V21" s="959" t="str">
        <f t="shared" si="28"/>
        <v/>
      </c>
      <c r="W21" s="959" t="str">
        <f t="shared" si="29"/>
        <v/>
      </c>
      <c r="X21" s="960" t="str">
        <f>IF(AND(N21=0,O21=0),"",(IF(OR(C21="aa",C21="cp",C21="f",C21="jc",C21="m",C21="css"),"",IF(C21="",IF(OR(D21-B21&gt;6/24,H21-F21&gt;6/24,L21-J21&gt;6/24),"PB",""),IF(OR(E21-C21&gt;6/24,I21-G21&gt;6/24,M21-K21&gt;6/24),"PB","")))))</f>
        <v/>
      </c>
      <c r="Y21" s="959" t="str">
        <f t="shared" si="31"/>
        <v/>
      </c>
      <c r="Z21" s="836"/>
      <c r="AA21" s="837"/>
      <c r="AB21" s="967"/>
      <c r="AC21" s="934">
        <f t="shared" si="34"/>
        <v>42713</v>
      </c>
      <c r="AD21" s="961">
        <f>IF(AND(N(AC21)&gt;=Paramétrage!$AU$11,N(AC21)&lt;=Paramétrage!$AU$12),IF(C21="cp",1,0),0)</f>
        <v>0</v>
      </c>
      <c r="AE21" s="962">
        <f t="shared" si="32"/>
        <v>0</v>
      </c>
      <c r="AF21" s="961">
        <f>IF(AND(N(AC21)&gt;=Paramétrage!$AX$11,N(AC21)&lt;=Paramétrage!$AX$12),IF(C21="cp",1,0),0)</f>
        <v>0</v>
      </c>
      <c r="AG21" s="962">
        <f t="shared" si="33"/>
        <v>0</v>
      </c>
      <c r="AI21" s="962">
        <f t="shared" si="35"/>
        <v>0</v>
      </c>
      <c r="AJ21" s="962">
        <f t="shared" si="36"/>
        <v>0</v>
      </c>
      <c r="AM21" s="962">
        <f t="shared" si="37"/>
        <v>0</v>
      </c>
      <c r="AN21" s="962">
        <f t="shared" si="38"/>
        <v>0</v>
      </c>
      <c r="AO21" s="962">
        <f t="shared" si="39"/>
        <v>0</v>
      </c>
      <c r="AP21" s="962">
        <f t="shared" si="40"/>
        <v>0</v>
      </c>
      <c r="AR21" s="917">
        <f>IF(AND(AC21&lt;=$AR$3,B21="CP"),1,0)</f>
        <v>0</v>
      </c>
      <c r="AS21" s="917">
        <f>IF(AND(AC21&lt;=$AR$3,C21="CP"),1,0)</f>
        <v>0</v>
      </c>
    </row>
    <row r="22" spans="1:45" ht="14.45" customHeight="1" x14ac:dyDescent="0.3">
      <c r="A22" s="964" t="s">
        <v>16</v>
      </c>
      <c r="B22" s="414" t="b">
        <f>IF(Paramétrage!$O$46="",FALSE,Paramétrage!$O$46)</f>
        <v>0</v>
      </c>
      <c r="C22" s="263"/>
      <c r="D22" s="415" t="b">
        <f>IF(Paramétrage!$Q$46="",FALSE,Paramétrage!$Q$46)</f>
        <v>0</v>
      </c>
      <c r="E22" s="264"/>
      <c r="F22" s="414" t="b">
        <f>IF(Paramétrage!$R$46="",FALSE,Paramétrage!$R$46)</f>
        <v>0</v>
      </c>
      <c r="G22" s="264"/>
      <c r="H22" s="416" t="b">
        <f>IF(Paramétrage!$T$46="",FALSE,Paramétrage!$T$46)</f>
        <v>0</v>
      </c>
      <c r="I22" s="263"/>
      <c r="J22" s="417" t="b">
        <f>IF(Paramétrage!$U$46="",FALSE,Paramétrage!$U$46)</f>
        <v>0</v>
      </c>
      <c r="K22" s="263"/>
      <c r="L22" s="418" t="b">
        <f>IF(Paramétrage!$W$46="",FALSE,Paramétrage!$W$46)</f>
        <v>0</v>
      </c>
      <c r="M22" s="263"/>
      <c r="N22" s="956">
        <f>IF(OR(B22="aa",B22="cp",B22="f",B22="jc",B22="m",B22="css"),0,(L22-J22)+(H22-F22)+(D22-B22))</f>
        <v>0</v>
      </c>
      <c r="O22" s="956">
        <f>SUM(AM22:AP22)+IF(OR(C22="m",C22="aa"),N22,IF(C22="css",0,IF(C22="cp",0,IF(C22="jc",0,IF(C22="f",0,E22-C22+I22-G22+M22-K22)))))</f>
        <v>0</v>
      </c>
      <c r="P22" s="956">
        <f t="shared" si="24"/>
        <v>0</v>
      </c>
      <c r="Q22" s="956">
        <f t="shared" si="25"/>
        <v>0</v>
      </c>
      <c r="R22" s="957">
        <f>IF(OR(C22="aa",C22="cp",C22="f",C22="jc",C22="m",C22="css"),0,IF(C22=0,MAX(B22,D22,F22,H22,J22,L22)-MIN(B22,D22,F22,H22,J22,L22),IF(C22&lt;&gt;0,MAX(C22,E22,G22,I22,K22,M22)-MIN(C22,E22,G22,I22,K22,M22))))</f>
        <v>0</v>
      </c>
      <c r="S22" s="262"/>
      <c r="T22" s="958" t="str">
        <f t="shared" si="41"/>
        <v/>
      </c>
      <c r="U22" s="959" t="str">
        <f>IF(P22=0,"",IF(P22&lt;Paramétrage!$S$12,"PB",IF(AND(Q22&lt;Paramétrage!$S$12,Q22&lt;&gt;0),"PB","")))</f>
        <v/>
      </c>
      <c r="V22" s="959" t="str">
        <f t="shared" si="28"/>
        <v/>
      </c>
      <c r="W22" s="959" t="str">
        <f t="shared" si="29"/>
        <v/>
      </c>
      <c r="X22" s="960" t="str">
        <f>IF(AND(N22=0,O22=0),"",(IF(OR(C22="aa",C22="cp",C22="f",C22="jc",C22="m",C22="css"),"",IF(C22="",IF(OR(D22-B22&gt;6/24,H22-F22&gt;6/24,L22-J22&gt;6/24),"PB",""),IF(OR(E22-C22&gt;6/24,I22-G22&gt;6/24,M22-K22&gt;6/24),"PB","")))))</f>
        <v/>
      </c>
      <c r="Y22" s="959" t="str">
        <f t="shared" si="31"/>
        <v/>
      </c>
      <c r="Z22" s="836"/>
      <c r="AA22" s="837"/>
      <c r="AB22" s="967"/>
      <c r="AC22" s="934">
        <f t="shared" si="34"/>
        <v>42714</v>
      </c>
      <c r="AD22" s="961">
        <f>IF(AND(N(AC22)&gt;=Paramétrage!$AU$11,N(AC22)&lt;=Paramétrage!$AU$12),IF(C22="cp",1,0),0)</f>
        <v>0</v>
      </c>
      <c r="AE22" s="962">
        <f t="shared" si="32"/>
        <v>0</v>
      </c>
      <c r="AF22" s="961">
        <f>IF(AND(N(AC22)&gt;=Paramétrage!$AX$11,N(AC22)&lt;=Paramétrage!$AX$12),IF(C22="cp",1,0),0)</f>
        <v>0</v>
      </c>
      <c r="AG22" s="962">
        <f t="shared" si="33"/>
        <v>0</v>
      </c>
      <c r="AI22" s="962">
        <f t="shared" si="35"/>
        <v>0</v>
      </c>
      <c r="AJ22" s="962">
        <f t="shared" si="36"/>
        <v>0</v>
      </c>
      <c r="AM22" s="962">
        <f t="shared" si="37"/>
        <v>0</v>
      </c>
      <c r="AN22" s="962">
        <f t="shared" si="38"/>
        <v>0</v>
      </c>
      <c r="AO22" s="962">
        <f t="shared" si="39"/>
        <v>0</v>
      </c>
      <c r="AP22" s="962">
        <f t="shared" si="40"/>
        <v>0</v>
      </c>
      <c r="AR22" s="917">
        <f>IF(AND(AC22&lt;=$AR$3,B22="CP"),1,0)</f>
        <v>0</v>
      </c>
      <c r="AS22" s="917">
        <f>IF(AND(AC22&lt;=$AR$3,C22="CP"),1,0)</f>
        <v>0</v>
      </c>
    </row>
    <row r="23" spans="1:45" ht="14.45" customHeight="1" x14ac:dyDescent="0.3">
      <c r="A23" s="964" t="s">
        <v>19</v>
      </c>
      <c r="B23" s="414" t="b">
        <f>IF(Paramétrage!$O$47="",FALSE,Paramétrage!$O$47)</f>
        <v>0</v>
      </c>
      <c r="C23" s="263"/>
      <c r="D23" s="415" t="b">
        <f>IF(Paramétrage!$Q$47="",FALSE,Paramétrage!$Q$47)</f>
        <v>0</v>
      </c>
      <c r="E23" s="264"/>
      <c r="F23" s="414" t="b">
        <f>IF(Paramétrage!$R$47="",FALSE,Paramétrage!$R$47)</f>
        <v>0</v>
      </c>
      <c r="G23" s="264"/>
      <c r="H23" s="416" t="b">
        <f>IF(Paramétrage!$T$47="",FALSE,Paramétrage!$T$47)</f>
        <v>0</v>
      </c>
      <c r="I23" s="263"/>
      <c r="J23" s="417" t="b">
        <f>IF(Paramétrage!$U$47="",FALSE,Paramétrage!$U$47)</f>
        <v>0</v>
      </c>
      <c r="K23" s="263"/>
      <c r="L23" s="418" t="b">
        <f>IF(Paramétrage!$W$47="",FALSE,Paramétrage!$W$47)</f>
        <v>0</v>
      </c>
      <c r="M23" s="263"/>
      <c r="N23" s="956">
        <f>IF(OR(B23="aa",B23="cp",B23="f",B23="jc",B23="m",B23="css"),0,(L23-J23)+(H23-F23)+(D23-B23))</f>
        <v>0</v>
      </c>
      <c r="O23" s="956">
        <f>IF(OR(C23="m",C23="aa"),N23,IF(C23="cp",0,IF(OR(C23="css",C23="jc"),0,IF(C23="f",0,E23-C23+I23-G23+M23-K23))))</f>
        <v>0</v>
      </c>
      <c r="P23" s="956">
        <f t="shared" si="24"/>
        <v>0</v>
      </c>
      <c r="Q23" s="956">
        <f t="shared" si="25"/>
        <v>0</v>
      </c>
      <c r="R23" s="957">
        <f>IF(OR(C23="aa",C23="cp",C23="f",C23="jc",C23="m",C23="css"),0,IF(C23=0,MAX(B23,D23,F23,H23,J23,L23)-MIN(B23,D23,F23,H23,J23,L23),IF(C23&lt;&gt;0,MAX(C23,E23,G23,I23,K23,M23)-MIN(C23,E23,G23,I23,K23,M23))))</f>
        <v>0</v>
      </c>
      <c r="S23" s="262"/>
      <c r="T23" s="958" t="str">
        <f t="shared" si="41"/>
        <v/>
      </c>
      <c r="U23" s="959" t="str">
        <f>IF(P23=0,"",IF(P23&lt;Paramétrage!$S$12,"PB",IF(AND(Q23&lt;Paramétrage!$S$12,Q23&lt;&gt;0),"PB","")))</f>
        <v/>
      </c>
      <c r="V23" s="959" t="str">
        <f t="shared" si="28"/>
        <v/>
      </c>
      <c r="W23" s="959" t="str">
        <f t="shared" si="29"/>
        <v/>
      </c>
      <c r="X23" s="960" t="str">
        <f>IF(AND(N23=0,O23=0),"",(IF(OR(C23="aa",C23="cp",C23="f",C23="jc",C23="m",C23="css"),"",IF(C23="",IF(OR(D23-B23&gt;6/24,H23-F23&gt;6/24,L23-J23&gt;6/24),"PB",""),IF(OR(E23-C23&gt;6/24,I23-G23&gt;6/24,M23-K23&gt;6/24),"PB","")))))</f>
        <v/>
      </c>
      <c r="Y23" s="959" t="str">
        <f t="shared" si="31"/>
        <v/>
      </c>
      <c r="Z23" s="836"/>
      <c r="AA23" s="837"/>
      <c r="AC23" s="934">
        <f t="shared" si="34"/>
        <v>42715</v>
      </c>
      <c r="AD23" s="961">
        <f>IF(AND(N(AC23)&gt;=Paramétrage!$AU$11,N(AC23)&lt;=Paramétrage!$AU$12),IF(C23="cp",1,0),0)</f>
        <v>0</v>
      </c>
      <c r="AE23" s="962">
        <f t="shared" si="32"/>
        <v>0</v>
      </c>
      <c r="AF23" s="961">
        <f>IF(AND(N(AC23)&gt;=Paramétrage!$AX$11,N(AC23)&lt;=Paramétrage!$AX$12),IF(C23="cp",1,0),0)</f>
        <v>0</v>
      </c>
      <c r="AG23" s="962">
        <f t="shared" si="33"/>
        <v>0</v>
      </c>
      <c r="AI23" s="962">
        <f t="shared" si="35"/>
        <v>0</v>
      </c>
      <c r="AJ23" s="962">
        <f t="shared" si="36"/>
        <v>0</v>
      </c>
      <c r="AM23" s="962"/>
      <c r="AN23" s="962"/>
      <c r="AO23" s="962"/>
      <c r="AP23" s="962"/>
    </row>
    <row r="24" spans="1:45" ht="14.45" customHeight="1" thickBot="1" x14ac:dyDescent="0.35">
      <c r="A24" s="966" t="s">
        <v>20</v>
      </c>
      <c r="B24" s="414" t="b">
        <f>IF(Paramétrage!$O$48="",FALSE,Paramétrage!$O$48)</f>
        <v>0</v>
      </c>
      <c r="C24" s="263"/>
      <c r="D24" s="415" t="b">
        <f>IF(Paramétrage!$Q$48="",FALSE,Paramétrage!$Q$48)</f>
        <v>0</v>
      </c>
      <c r="E24" s="264"/>
      <c r="F24" s="414" t="b">
        <f>IF(Paramétrage!$R$48="",FALSE,Paramétrage!$R$48)</f>
        <v>0</v>
      </c>
      <c r="G24" s="264"/>
      <c r="H24" s="416" t="b">
        <f>IF(Paramétrage!$T$48="",FALSE,Paramétrage!$T$48)</f>
        <v>0</v>
      </c>
      <c r="I24" s="263"/>
      <c r="J24" s="417" t="b">
        <f>IF(Paramétrage!$U$48="",FALSE,Paramétrage!$U$48)</f>
        <v>0</v>
      </c>
      <c r="K24" s="263"/>
      <c r="L24" s="418" t="b">
        <f>IF(Paramétrage!$W$48="",FALSE,Paramétrage!$W$48)</f>
        <v>0</v>
      </c>
      <c r="M24" s="263"/>
      <c r="N24" s="956">
        <f>IF(OR(B24="aa",B24="m"),M24,IF(B24="cp",0,IF(B24="jc",0,IF(B24="f",0,(D24-B24)*Paramétrage!$S$13+(H24-F24)*Paramétrage!$S$13+(L24-J24)*Paramétrage!$S$13+(D24-B24+H24-F24+L24-J24)))))</f>
        <v>0</v>
      </c>
      <c r="O24" s="956">
        <f>IF(OR(C24="aa",C24="m"),N24,IF(C24="cp",0,IF(C24="jc",0,IF(C24="f",0,(E24-C24)*Paramétrage!$S$13+(I24-G24)*Paramétrage!$S$13+(M24-K24)*Paramétrage!$S$13+(E24-C24+I24-G24+M24-K24)))))</f>
        <v>0</v>
      </c>
      <c r="P24" s="956">
        <f t="shared" si="24"/>
        <v>0</v>
      </c>
      <c r="Q24" s="956">
        <f t="shared" si="25"/>
        <v>0</v>
      </c>
      <c r="R24" s="957">
        <f t="shared" ref="R24" si="42">IF(OR(C24="aa",C24="cp",C24="f",C24="jc",C24="m",C24=0),MAX(B24,D24,F24,H24,J24,L24)-MIN(B24,D24,F24,H24,J24,L24),IF(C24&lt;&gt;0,MAX(C24,E24,G24,I24,K24,M24)-MIN(C24,E24,G24,I24,K24,M24)))</f>
        <v>0</v>
      </c>
      <c r="S24" s="262"/>
      <c r="T24" s="958" t="str">
        <f t="shared" si="41"/>
        <v/>
      </c>
      <c r="U24" s="959" t="str">
        <f>IF(P24=0,"",IF(P24&lt;Paramétrage!$S$12,"PB",IF(AND(Q24&lt;Paramétrage!$S$12,Q24&lt;&gt;0),"PB","")))</f>
        <v/>
      </c>
      <c r="V24" s="959" t="str">
        <f t="shared" si="28"/>
        <v/>
      </c>
      <c r="W24" s="959" t="str">
        <f t="shared" si="29"/>
        <v/>
      </c>
      <c r="X24" s="960" t="str">
        <f t="shared" ref="X24" si="43">IF(AND(N24=0,O24=0),"",(IF(OR(C24="aa",C24="cp",C24="f",C24="jc",C24="m"),"",IF(C24="",IF(OR(D24-B24&gt;6/24,H24-F24&gt;6/24,L24-J24&gt;6/24),"PB",""),IF(OR(E24-C24&gt;6/24,I24-G24&gt;6/24,M24-K24&gt;6/24),"PB","")))))</f>
        <v/>
      </c>
      <c r="Y24" s="959" t="str">
        <f t="shared" si="31"/>
        <v/>
      </c>
      <c r="Z24" s="836"/>
      <c r="AA24" s="837"/>
      <c r="AC24" s="934">
        <f t="shared" si="34"/>
        <v>42716</v>
      </c>
      <c r="AD24" s="961">
        <f>IF(AND(N(AC24)&gt;=Paramétrage!$AU$11,N(AC24)&lt;=Paramétrage!$AU$12),IF(C24="cp",1,0),0)</f>
        <v>0</v>
      </c>
      <c r="AE24" s="962">
        <f t="shared" si="32"/>
        <v>0</v>
      </c>
      <c r="AF24" s="961">
        <f>IF(AND(N(AC24)&gt;=Paramétrage!$AX$11,N(AC24)&lt;=Paramétrage!$AX$12),IF(C24="cp",1,0),0)</f>
        <v>0</v>
      </c>
      <c r="AG24" s="962">
        <f t="shared" si="33"/>
        <v>0</v>
      </c>
      <c r="AI24" s="962">
        <f t="shared" si="35"/>
        <v>0</v>
      </c>
      <c r="AJ24" s="962">
        <f t="shared" si="36"/>
        <v>0</v>
      </c>
      <c r="AM24" s="962"/>
      <c r="AN24" s="962"/>
      <c r="AO24" s="962"/>
      <c r="AP24" s="962"/>
    </row>
    <row r="25" spans="1:45" x14ac:dyDescent="0.25">
      <c r="A25" s="969" t="s">
        <v>78</v>
      </c>
      <c r="B25" s="970"/>
      <c r="C25" s="970"/>
      <c r="D25" s="970"/>
      <c r="E25" s="970"/>
      <c r="F25" s="970"/>
      <c r="G25" s="970"/>
      <c r="H25" s="970"/>
      <c r="I25" s="970"/>
      <c r="J25" s="970"/>
      <c r="K25" s="971"/>
      <c r="L25" s="970"/>
      <c r="M25" s="970"/>
      <c r="N25" s="972">
        <f>SUM(N18:N24)</f>
        <v>0</v>
      </c>
      <c r="O25" s="972">
        <f>SUM(O18:O24)</f>
        <v>0</v>
      </c>
      <c r="P25" s="972">
        <f>SUM(P18:P24)</f>
        <v>0</v>
      </c>
      <c r="Q25" s="972">
        <f>SUM(Q18:Q24)</f>
        <v>0</v>
      </c>
      <c r="R25" s="972"/>
      <c r="S25" s="972"/>
      <c r="T25" s="973"/>
      <c r="U25" s="974"/>
      <c r="V25" s="975" t="str">
        <f>IF((O25*24)&gt;48,"PB","")</f>
        <v/>
      </c>
      <c r="W25" s="974"/>
      <c r="X25" s="974"/>
      <c r="Y25" s="974"/>
      <c r="Z25" s="976" t="s">
        <v>59</v>
      </c>
      <c r="AA25" s="977">
        <f>+O25-N25</f>
        <v>0</v>
      </c>
      <c r="AC25" s="934"/>
    </row>
    <row r="26" spans="1:45" x14ac:dyDescent="0.25">
      <c r="A26" s="969"/>
      <c r="B26" s="970"/>
      <c r="C26" s="970"/>
      <c r="D26" s="970"/>
      <c r="E26" s="970"/>
      <c r="F26" s="970"/>
      <c r="G26" s="970"/>
      <c r="H26" s="970"/>
      <c r="I26" s="970"/>
      <c r="J26" s="970"/>
      <c r="K26" s="971"/>
      <c r="L26" s="970"/>
      <c r="M26" s="970"/>
      <c r="N26" s="973"/>
      <c r="O26" s="973"/>
      <c r="P26" s="973"/>
      <c r="Q26" s="973"/>
      <c r="R26" s="973"/>
      <c r="S26" s="981"/>
      <c r="T26" s="973"/>
      <c r="U26" s="974"/>
      <c r="V26" s="978"/>
      <c r="W26" s="974"/>
      <c r="X26" s="974"/>
      <c r="Y26" s="974"/>
      <c r="Z26" s="976"/>
      <c r="AA26" s="977"/>
      <c r="AC26" s="934"/>
    </row>
    <row r="27" spans="1:45" ht="16.5" x14ac:dyDescent="0.3">
      <c r="A27" s="969"/>
      <c r="B27" s="969"/>
      <c r="C27" s="969"/>
      <c r="D27" s="969"/>
      <c r="E27" s="969"/>
      <c r="F27" s="928">
        <f>+F15+7</f>
        <v>42717</v>
      </c>
      <c r="G27" s="928"/>
      <c r="H27" s="929" t="s">
        <v>58</v>
      </c>
      <c r="I27" s="928">
        <f>+F27+6</f>
        <v>42723</v>
      </c>
      <c r="J27" s="930"/>
      <c r="K27" s="969"/>
      <c r="L27" s="969"/>
      <c r="M27" s="969"/>
      <c r="N27" s="973"/>
      <c r="O27" s="969"/>
      <c r="P27" s="980"/>
      <c r="Q27" s="980"/>
      <c r="R27" s="980"/>
      <c r="S27" s="981"/>
      <c r="T27" s="980"/>
      <c r="U27" s="980"/>
      <c r="V27" s="980"/>
      <c r="W27" s="980"/>
      <c r="X27" s="980"/>
      <c r="Y27" s="980"/>
      <c r="Z27" s="976"/>
      <c r="AA27" s="995"/>
      <c r="AC27" s="934"/>
    </row>
    <row r="28" spans="1:45" ht="14.45" customHeight="1" x14ac:dyDescent="0.25">
      <c r="A28" s="994"/>
      <c r="B28" s="938" t="s">
        <v>17</v>
      </c>
      <c r="C28" s="938"/>
      <c r="D28" s="938" t="s">
        <v>18</v>
      </c>
      <c r="E28" s="938"/>
      <c r="F28" s="938" t="s">
        <v>17</v>
      </c>
      <c r="G28" s="938"/>
      <c r="H28" s="938" t="s">
        <v>18</v>
      </c>
      <c r="I28" s="938"/>
      <c r="J28" s="938" t="s">
        <v>17</v>
      </c>
      <c r="K28" s="938"/>
      <c r="L28" s="938" t="s">
        <v>18</v>
      </c>
      <c r="M28" s="938"/>
      <c r="N28" s="939" t="s">
        <v>61</v>
      </c>
      <c r="O28" s="939" t="s">
        <v>62</v>
      </c>
      <c r="P28" s="939" t="s">
        <v>60</v>
      </c>
      <c r="Q28" s="939" t="s">
        <v>63</v>
      </c>
      <c r="R28" s="939" t="s">
        <v>64</v>
      </c>
      <c r="S28" s="940" t="s">
        <v>223</v>
      </c>
      <c r="T28" s="939" t="s">
        <v>70</v>
      </c>
      <c r="U28" s="941" t="s">
        <v>65</v>
      </c>
      <c r="V28" s="942"/>
      <c r="W28" s="942"/>
      <c r="X28" s="942"/>
      <c r="Y28" s="943"/>
      <c r="Z28" s="944" t="s">
        <v>22</v>
      </c>
      <c r="AA28" s="944"/>
      <c r="AC28" s="934"/>
    </row>
    <row r="29" spans="1:45" ht="26.25" thickBot="1" x14ac:dyDescent="0.4">
      <c r="A29" s="937" t="str">
        <f>"S"&amp;WEEKNUM(F27,21)</f>
        <v>S51</v>
      </c>
      <c r="B29" s="949" t="s">
        <v>0</v>
      </c>
      <c r="C29" s="950" t="s">
        <v>1</v>
      </c>
      <c r="D29" s="949" t="s">
        <v>0</v>
      </c>
      <c r="E29" s="950" t="s">
        <v>1</v>
      </c>
      <c r="F29" s="949" t="s">
        <v>0</v>
      </c>
      <c r="G29" s="950" t="s">
        <v>1</v>
      </c>
      <c r="H29" s="949" t="s">
        <v>0</v>
      </c>
      <c r="I29" s="950" t="s">
        <v>1</v>
      </c>
      <c r="J29" s="949" t="s">
        <v>0</v>
      </c>
      <c r="K29" s="950" t="s">
        <v>1</v>
      </c>
      <c r="L29" s="949" t="s">
        <v>0</v>
      </c>
      <c r="M29" s="950" t="s">
        <v>1</v>
      </c>
      <c r="N29" s="951"/>
      <c r="O29" s="951"/>
      <c r="P29" s="951"/>
      <c r="Q29" s="951"/>
      <c r="R29" s="951"/>
      <c r="S29" s="951"/>
      <c r="T29" s="939"/>
      <c r="U29" s="952" t="s">
        <v>66</v>
      </c>
      <c r="V29" s="952" t="s">
        <v>67</v>
      </c>
      <c r="W29" s="952" t="s">
        <v>68</v>
      </c>
      <c r="X29" s="952" t="s">
        <v>137</v>
      </c>
      <c r="Y29" s="952" t="s">
        <v>69</v>
      </c>
      <c r="Z29" s="944"/>
      <c r="AA29" s="944"/>
      <c r="AC29" s="934"/>
      <c r="AM29" s="917" t="s">
        <v>274</v>
      </c>
    </row>
    <row r="30" spans="1:45" ht="14.45" customHeight="1" x14ac:dyDescent="0.3">
      <c r="A30" s="955" t="s">
        <v>12</v>
      </c>
      <c r="B30" s="414" t="b">
        <f>IF(Paramétrage!$O$42="",FALSE,Paramétrage!$O$42)</f>
        <v>0</v>
      </c>
      <c r="C30" s="263"/>
      <c r="D30" s="415" t="b">
        <f>IF(Paramétrage!$Q$42="",FALSE,Paramétrage!$Q$42)</f>
        <v>0</v>
      </c>
      <c r="E30" s="264"/>
      <c r="F30" s="414" t="b">
        <f>IF(Paramétrage!$R$42="",FALSE,Paramétrage!$R$42)</f>
        <v>0</v>
      </c>
      <c r="G30" s="264"/>
      <c r="H30" s="414" t="b">
        <f>IF(Paramétrage!$T$42="",FALSE,Paramétrage!$T$42)</f>
        <v>0</v>
      </c>
      <c r="I30" s="263"/>
      <c r="J30" s="414" t="b">
        <f>IF(Paramétrage!$U$42="",FALSE,Paramétrage!$U$42)</f>
        <v>0</v>
      </c>
      <c r="K30" s="263"/>
      <c r="L30" s="418" t="b">
        <f>IF(Paramétrage!$W$42="",FALSE,Paramétrage!$W$42)</f>
        <v>0</v>
      </c>
      <c r="M30" s="263"/>
      <c r="N30" s="956">
        <f t="shared" ref="N30:N32" si="44">IF(OR(B30="aa",B30="cp",B30="f",B30="jc",B30="m",B30="css"),0,(L30-J30)+(H30-F30)+(D30-B30))</f>
        <v>0</v>
      </c>
      <c r="O30" s="956">
        <f t="shared" ref="O30:O32" si="45">SUM(AM30:AP30)+IF(OR(C30="m",C30="aa"),N30,IF(C30="css",0,IF(C30="cp",0,IF(C30="jc",0,IF(C30="f",0,E30-C30+I30-G30+M30-K30)))))</f>
        <v>0</v>
      </c>
      <c r="P30" s="956">
        <f t="shared" ref="P30:P36" si="46">IF(OR(C30="aa",C30="cp",C30="f",C30="jc",C30="m",C30="css"),0,IF(C30="",IF(OR(F30="",F30=FALSE),0,F30-D30),IF(G30="",0,G30-E30)))</f>
        <v>0</v>
      </c>
      <c r="Q30" s="956">
        <f t="shared" ref="Q30:Q36" si="47">IF(P30=0,0,IF(G30="",IF(OR(J30="",J30=FALSE),0,J30-H30),IF(K30="",0,K30-I30)))</f>
        <v>0</v>
      </c>
      <c r="R30" s="957">
        <f t="shared" ref="R30:R32" si="48">IF(OR(C30="aa",C30="cp",C30="f",C30="jc",C30="m",C30="css"),0,IF(C30=0,MAX(B30,D30,F30,H30,J30,L30)-MIN(B30,D30,F30,H30,J30,L30),IF(C30&lt;&gt;0,MAX(C30,E30,G30,I30,K30,M30)-MIN(C30,E30,G30,I30,K30,M30))))</f>
        <v>0</v>
      </c>
      <c r="S30" s="262"/>
      <c r="T30" s="958" t="str">
        <f t="shared" ref="T30:T31" si="49">IF(AND(B30=FALSE,C30=""),"",IF(AND(B30=0,C30=0),"",(IF(OR(C30="cp",C30="f",C30="jc",C30="css"),"",IF(OR(C30="",C30="aa",C30="m"),(IF(OR(B30="cp",B30="f",B30="jc",B30="css"),"",B30*24+24-MAX(D29,H29,L29)*24)),C30*24+24-MAX(M29,I29,E29)*24)))))</f>
        <v/>
      </c>
      <c r="U30" s="959" t="str">
        <f>IF(P30=0,"",IF(P30&lt;Paramétrage!$S$12,"PB",IF(AND(Q30&lt;Paramétrage!$S$12,Q30&lt;&gt;0),"PB","")))</f>
        <v/>
      </c>
      <c r="V30" s="959" t="str">
        <f t="shared" ref="V30:V36" si="50">IF(C30="",IF((N30*24)&gt;10,"PB",""),IF((O30*24)&gt;10,"PB",""))</f>
        <v/>
      </c>
      <c r="W30" s="959" t="str">
        <f t="shared" ref="W30:W36" si="51">IF((R30*24)&gt;12,"PB","")</f>
        <v/>
      </c>
      <c r="X30" s="960" t="str">
        <f t="shared" ref="X30:X32" si="52">IF(AND(N30=0,O30=0),"",(IF(OR(C30="aa",C30="cp",C30="f",C30="jc",C30="m",C30="css"),"",IF(C30="",IF(OR(D30-B30&gt;6/24,H30-F30&gt;6/24,L30-J30&gt;6/24),"PB",""),IF(OR(E30-C30&gt;6/24,I30-G30&gt;6/24,M30-K30&gt;6/24),"PB","")))))</f>
        <v/>
      </c>
      <c r="Y30" s="959" t="str">
        <f t="shared" ref="Y30:Y36" si="53">IF(T30="","",IF(T30&lt;11,"PB",""))</f>
        <v/>
      </c>
      <c r="Z30" s="836"/>
      <c r="AA30" s="837"/>
      <c r="AC30" s="934">
        <f>AC24+1</f>
        <v>42717</v>
      </c>
      <c r="AD30" s="961">
        <f>IF(AND(N(AC30)&gt;=Paramétrage!$AU$11,N(AC30)&lt;=Paramétrage!$AU$12),IF(C30="cp",1,0),0)</f>
        <v>0</v>
      </c>
      <c r="AE30" s="962">
        <f t="shared" ref="AE30:AE36" si="54">IF(O30&lt;&gt;"erreur",N30,O30)</f>
        <v>0</v>
      </c>
      <c r="AF30" s="961">
        <f>IF(AND(N(AC30)&gt;=Paramétrage!$AX$11,N(AC30)&lt;=Paramétrage!$AX$12),IF(C30="cp",1,0),0)</f>
        <v>0</v>
      </c>
      <c r="AG30" s="962">
        <f>O30</f>
        <v>0</v>
      </c>
      <c r="AI30" s="962">
        <f>AE30+AI24</f>
        <v>0</v>
      </c>
      <c r="AJ30" s="962">
        <f>AG30+AJ24</f>
        <v>0</v>
      </c>
      <c r="AM30" s="962">
        <f>IF(AND($B30="cp",$C30="m"),$Z30,0)</f>
        <v>0</v>
      </c>
      <c r="AN30" s="962">
        <f>IF(AND($B30="jc",$C30="m"),$Z30,0)</f>
        <v>0</v>
      </c>
      <c r="AO30" s="962">
        <f>IF(AND($B30="cp",$C30="aa"),$Z30,0)</f>
        <v>0</v>
      </c>
      <c r="AP30" s="962">
        <f>IF(AND($B30="jc",$C30="aa"),$Z30,0)</f>
        <v>0</v>
      </c>
      <c r="AR30" s="917">
        <f>IF(AND(AC30&lt;=$AR$3,B30="CP"),1,0)</f>
        <v>0</v>
      </c>
      <c r="AS30" s="917">
        <f>IF(AND(AC30&lt;=$AR$3,C30="CP"),1,0)</f>
        <v>0</v>
      </c>
    </row>
    <row r="31" spans="1:45" ht="14.45" customHeight="1" x14ac:dyDescent="0.3">
      <c r="A31" s="964" t="s">
        <v>13</v>
      </c>
      <c r="B31" s="414" t="b">
        <f>IF(Paramétrage!$O$43="",FALSE,Paramétrage!$O$43)</f>
        <v>0</v>
      </c>
      <c r="C31" s="263"/>
      <c r="D31" s="415" t="b">
        <f>IF(Paramétrage!$Q$43="",FALSE,Paramétrage!$Q$43)</f>
        <v>0</v>
      </c>
      <c r="E31" s="264"/>
      <c r="F31" s="414" t="b">
        <f>IF(Paramétrage!$R$43="",FALSE,Paramétrage!$R$43)</f>
        <v>0</v>
      </c>
      <c r="G31" s="264"/>
      <c r="H31" s="414" t="b">
        <f>IF(Paramétrage!$T$43="",FALSE,Paramétrage!$T$43)</f>
        <v>0</v>
      </c>
      <c r="I31" s="263"/>
      <c r="J31" s="414" t="b">
        <f>IF(Paramétrage!$U$43="",FALSE,Paramétrage!$U$43)</f>
        <v>0</v>
      </c>
      <c r="K31" s="263"/>
      <c r="L31" s="418" t="b">
        <f>IF(Paramétrage!$W$43="",FALSE,Paramétrage!$W$43)</f>
        <v>0</v>
      </c>
      <c r="M31" s="263"/>
      <c r="N31" s="956">
        <f t="shared" si="44"/>
        <v>0</v>
      </c>
      <c r="O31" s="956">
        <f t="shared" si="45"/>
        <v>0</v>
      </c>
      <c r="P31" s="956">
        <f t="shared" si="46"/>
        <v>0</v>
      </c>
      <c r="Q31" s="956">
        <f t="shared" si="47"/>
        <v>0</v>
      </c>
      <c r="R31" s="957">
        <f t="shared" si="48"/>
        <v>0</v>
      </c>
      <c r="S31" s="262"/>
      <c r="T31" s="958" t="str">
        <f t="shared" si="49"/>
        <v/>
      </c>
      <c r="U31" s="959" t="str">
        <f>IF(P31=0,"",IF(P31&lt;Paramétrage!$S$12,"PB",IF(AND(Q31&lt;Paramétrage!$S$12,Q31&lt;&gt;0),"PB","")))</f>
        <v/>
      </c>
      <c r="V31" s="959" t="str">
        <f t="shared" si="50"/>
        <v/>
      </c>
      <c r="W31" s="959" t="str">
        <f t="shared" si="51"/>
        <v/>
      </c>
      <c r="X31" s="960" t="str">
        <f t="shared" si="52"/>
        <v/>
      </c>
      <c r="Y31" s="959" t="str">
        <f t="shared" si="53"/>
        <v/>
      </c>
      <c r="Z31" s="836"/>
      <c r="AA31" s="837"/>
      <c r="AC31" s="934">
        <f t="shared" ref="AC31:AC36" si="55">AC30+1</f>
        <v>42718</v>
      </c>
      <c r="AD31" s="961">
        <f>IF(AND(N(AC31)&gt;=Paramétrage!$AU$11,N(AC31)&lt;=Paramétrage!$AU$12),IF(C31="cp",1,0),0)</f>
        <v>0</v>
      </c>
      <c r="AE31" s="962">
        <f t="shared" si="54"/>
        <v>0</v>
      </c>
      <c r="AF31" s="961">
        <f>IF(AND(N(AC31)&gt;=Paramétrage!$AX$11,N(AC31)&lt;=Paramétrage!$AX$12),IF(C31="cp",1,0),0)</f>
        <v>0</v>
      </c>
      <c r="AG31" s="962">
        <f t="shared" ref="AG31:AG36" si="56">O31</f>
        <v>0</v>
      </c>
      <c r="AI31" s="962">
        <f t="shared" ref="AI31:AI36" si="57">AE31+AI30</f>
        <v>0</v>
      </c>
      <c r="AJ31" s="962">
        <f t="shared" ref="AJ31:AJ36" si="58">AG31+AJ30</f>
        <v>0</v>
      </c>
      <c r="AM31" s="962">
        <f t="shared" ref="AM31:AM34" si="59">IF(AND($B31="cp",$C31="m"),$Z31,0)</f>
        <v>0</v>
      </c>
      <c r="AN31" s="962">
        <f t="shared" ref="AN31:AN34" si="60">IF(AND($B31="jc",$C31="m"),$Z31,0)</f>
        <v>0</v>
      </c>
      <c r="AO31" s="962">
        <f t="shared" ref="AO31:AO34" si="61">IF(AND($B31="cp",$C31="aa"),$Z31,0)</f>
        <v>0</v>
      </c>
      <c r="AP31" s="962">
        <f t="shared" ref="AP31:AP34" si="62">IF(AND($B31="jc",$C31="aa"),$Z31,0)</f>
        <v>0</v>
      </c>
      <c r="AR31" s="917">
        <f>IF(AND(AC31&lt;=$AR$3,B31="CP"),1,0)</f>
        <v>0</v>
      </c>
      <c r="AS31" s="917">
        <f>IF(AND(AC31&lt;=$AR$3,C31="CP"),1,0)</f>
        <v>0</v>
      </c>
    </row>
    <row r="32" spans="1:45" ht="14.45" customHeight="1" x14ac:dyDescent="0.3">
      <c r="A32" s="964" t="s">
        <v>14</v>
      </c>
      <c r="B32" s="414" t="b">
        <f>IF(Paramétrage!$O$44="",FALSE,Paramétrage!$O$44)</f>
        <v>0</v>
      </c>
      <c r="C32" s="263"/>
      <c r="D32" s="415" t="b">
        <f>IF(Paramétrage!$Q$44="",FALSE,Paramétrage!$Q$44)</f>
        <v>0</v>
      </c>
      <c r="E32" s="264"/>
      <c r="F32" s="414" t="b">
        <f>IF(Paramétrage!$R$44="",FALSE,Paramétrage!$R$44)</f>
        <v>0</v>
      </c>
      <c r="G32" s="264"/>
      <c r="H32" s="414" t="b">
        <f>IF(Paramétrage!$T$44="",FALSE,Paramétrage!$T$44)</f>
        <v>0</v>
      </c>
      <c r="I32" s="263"/>
      <c r="J32" s="414" t="b">
        <f>IF(Paramétrage!$U$44="",FALSE,Paramétrage!$U$44)</f>
        <v>0</v>
      </c>
      <c r="K32" s="263"/>
      <c r="L32" s="418" t="b">
        <f>IF(Paramétrage!$W$44="",FALSE,Paramétrage!$W$44)</f>
        <v>0</v>
      </c>
      <c r="M32" s="263"/>
      <c r="N32" s="956">
        <f t="shared" si="44"/>
        <v>0</v>
      </c>
      <c r="O32" s="956">
        <f t="shared" si="45"/>
        <v>0</v>
      </c>
      <c r="P32" s="956">
        <f t="shared" si="46"/>
        <v>0</v>
      </c>
      <c r="Q32" s="956">
        <f t="shared" si="47"/>
        <v>0</v>
      </c>
      <c r="R32" s="957">
        <f t="shared" si="48"/>
        <v>0</v>
      </c>
      <c r="S32" s="262"/>
      <c r="T32" s="958" t="str">
        <f>IF(AND(B32=FALSE,C32=""),"",IF(AND(B32=0,C32=0),"",(IF(OR(C32="cp",C32="f",C32="jc",C32="css"),"",IF(OR(C32="",C32="aa",C32="m"),(IF(OR(B32="cp",B32="f",B32="jc",B32="css"),"",B32*24+24-MAX(D31,H31,L31)*24)),C32*24+24-MAX(M31,I31,E31)*24)))))</f>
        <v/>
      </c>
      <c r="U32" s="959" t="str">
        <f>IF(P32=0,"",IF(P32&lt;Paramétrage!$S$12,"PB",IF(AND(Q32&lt;Paramétrage!$S$12,Q32&lt;&gt;0),"PB","")))</f>
        <v/>
      </c>
      <c r="V32" s="959" t="str">
        <f t="shared" si="50"/>
        <v/>
      </c>
      <c r="W32" s="959" t="str">
        <f t="shared" si="51"/>
        <v/>
      </c>
      <c r="X32" s="960" t="str">
        <f t="shared" si="52"/>
        <v/>
      </c>
      <c r="Y32" s="959" t="str">
        <f t="shared" si="53"/>
        <v/>
      </c>
      <c r="Z32" s="836"/>
      <c r="AA32" s="837"/>
      <c r="AC32" s="934">
        <f t="shared" si="55"/>
        <v>42719</v>
      </c>
      <c r="AD32" s="961">
        <f>IF(AND(N(AC32)&gt;=Paramétrage!$AU$11,N(AC32)&lt;=Paramétrage!$AU$12),IF(C32="cp",1,0),0)</f>
        <v>0</v>
      </c>
      <c r="AE32" s="962">
        <f t="shared" si="54"/>
        <v>0</v>
      </c>
      <c r="AF32" s="961">
        <f>IF(AND(N(AC32)&gt;=Paramétrage!$AX$11,N(AC32)&lt;=Paramétrage!$AX$12),IF(C32="cp",1,0),0)</f>
        <v>0</v>
      </c>
      <c r="AG32" s="962">
        <f t="shared" si="56"/>
        <v>0</v>
      </c>
      <c r="AI32" s="962">
        <f t="shared" si="57"/>
        <v>0</v>
      </c>
      <c r="AJ32" s="962">
        <f t="shared" si="58"/>
        <v>0</v>
      </c>
      <c r="AM32" s="962">
        <f t="shared" si="59"/>
        <v>0</v>
      </c>
      <c r="AN32" s="962">
        <f t="shared" si="60"/>
        <v>0</v>
      </c>
      <c r="AO32" s="962">
        <f t="shared" si="61"/>
        <v>0</v>
      </c>
      <c r="AP32" s="962">
        <f t="shared" si="62"/>
        <v>0</v>
      </c>
      <c r="AR32" s="917">
        <f>IF(AND(AC32&lt;=$AR$3,B32="CP"),1,0)</f>
        <v>0</v>
      </c>
      <c r="AS32" s="917">
        <f>IF(AND(AC32&lt;=$AR$3,C32="CP"),1,0)</f>
        <v>0</v>
      </c>
    </row>
    <row r="33" spans="1:45" ht="14.45" customHeight="1" x14ac:dyDescent="0.3">
      <c r="A33" s="964" t="s">
        <v>15</v>
      </c>
      <c r="B33" s="414" t="b">
        <f>IF(Paramétrage!$O$45="",FALSE,Paramétrage!$O$45)</f>
        <v>0</v>
      </c>
      <c r="C33" s="263"/>
      <c r="D33" s="415" t="b">
        <f>IF(Paramétrage!$Q$45="",FALSE,Paramétrage!$Q$45)</f>
        <v>0</v>
      </c>
      <c r="E33" s="264"/>
      <c r="F33" s="414" t="b">
        <f>IF(Paramétrage!$R$45="",FALSE,Paramétrage!$R$45)</f>
        <v>0</v>
      </c>
      <c r="G33" s="264"/>
      <c r="H33" s="414" t="b">
        <f>IF(Paramétrage!$T$45="",FALSE,Paramétrage!$T$45)</f>
        <v>0</v>
      </c>
      <c r="I33" s="263"/>
      <c r="J33" s="414" t="b">
        <f>IF(Paramétrage!$U$45="",FALSE,Paramétrage!$U$45)</f>
        <v>0</v>
      </c>
      <c r="K33" s="263"/>
      <c r="L33" s="418" t="b">
        <f>IF(Paramétrage!$W$45="",FALSE,Paramétrage!$W$45)</f>
        <v>0</v>
      </c>
      <c r="M33" s="263"/>
      <c r="N33" s="956">
        <f>IF(OR(B33="aa",B33="cp",B33="f",B33="jc",B33="m",B33="css"),0,(L33-J33)+(H33-F33)+(D33-B33))</f>
        <v>0</v>
      </c>
      <c r="O33" s="956">
        <f>SUM(AM33:AP33)+IF(OR(C33="m",C33="aa"),N33,IF(C33="css",0,IF(C33="cp",0,IF(C33="jc",0,IF(C33="f",0,E33-C33+I33-G33+M33-K33)))))</f>
        <v>0</v>
      </c>
      <c r="P33" s="956">
        <f t="shared" si="46"/>
        <v>0</v>
      </c>
      <c r="Q33" s="956">
        <f t="shared" si="47"/>
        <v>0</v>
      </c>
      <c r="R33" s="957">
        <f>IF(OR(C33="aa",C33="cp",C33="f",C33="jc",C33="m",C33="css"),0,IF(C33=0,MAX(B33,D33,F33,H33,J33,L33)-MIN(B33,D33,F33,H33,J33,L33),IF(C33&lt;&gt;0,MAX(C33,E33,G33,I33,K33,M33)-MIN(C33,E33,G33,I33,K33,M33))))</f>
        <v>0</v>
      </c>
      <c r="S33" s="262"/>
      <c r="T33" s="958" t="str">
        <f t="shared" ref="T33:T36" si="63">IF(AND(B33=FALSE,C33=""),"",IF(AND(B33=0,C33=0),"",(IF(OR(C33="cp",C33="f",C33="jc",C33="css"),"",IF(OR(C33="",C33="aa",C33="m"),(IF(OR(B33="cp",B33="f",B33="jc",B33="css"),"",B33*24+24-MAX(D32,H32,L32)*24)),C33*24+24-MAX(M32,I32,E32)*24)))))</f>
        <v/>
      </c>
      <c r="U33" s="959" t="str">
        <f>IF(P33=0,"",IF(P33&lt;Paramétrage!$S$12,"PB",IF(AND(Q33&lt;Paramétrage!$S$12,Q33&lt;&gt;0),"PB","")))</f>
        <v/>
      </c>
      <c r="V33" s="959" t="str">
        <f t="shared" si="50"/>
        <v/>
      </c>
      <c r="W33" s="959" t="str">
        <f t="shared" si="51"/>
        <v/>
      </c>
      <c r="X33" s="960" t="str">
        <f>IF(AND(N33=0,O33=0),"",(IF(OR(C33="aa",C33="cp",C33="f",C33="jc",C33="m",C33="css"),"",IF(C33="",IF(OR(D33-B33&gt;6/24,H33-F33&gt;6/24,L33-J33&gt;6/24),"PB",""),IF(OR(E33-C33&gt;6/24,I33-G33&gt;6/24,M33-K33&gt;6/24),"PB","")))))</f>
        <v/>
      </c>
      <c r="Y33" s="959" t="str">
        <f t="shared" si="53"/>
        <v/>
      </c>
      <c r="Z33" s="836"/>
      <c r="AA33" s="837"/>
      <c r="AB33" s="967"/>
      <c r="AC33" s="934">
        <f t="shared" si="55"/>
        <v>42720</v>
      </c>
      <c r="AD33" s="961">
        <f>IF(AND(N(AC33)&gt;=Paramétrage!$AU$11,N(AC33)&lt;=Paramétrage!$AU$12),IF(C33="cp",1,0),0)</f>
        <v>0</v>
      </c>
      <c r="AE33" s="962">
        <f t="shared" si="54"/>
        <v>0</v>
      </c>
      <c r="AF33" s="961">
        <f>IF(AND(N(AC33)&gt;=Paramétrage!$AX$11,N(AC33)&lt;=Paramétrage!$AX$12),IF(C33="cp",1,0),0)</f>
        <v>0</v>
      </c>
      <c r="AG33" s="962">
        <f t="shared" si="56"/>
        <v>0</v>
      </c>
      <c r="AI33" s="962">
        <f t="shared" si="57"/>
        <v>0</v>
      </c>
      <c r="AJ33" s="962">
        <f t="shared" si="58"/>
        <v>0</v>
      </c>
      <c r="AM33" s="962">
        <f t="shared" si="59"/>
        <v>0</v>
      </c>
      <c r="AN33" s="962">
        <f t="shared" si="60"/>
        <v>0</v>
      </c>
      <c r="AO33" s="962">
        <f t="shared" si="61"/>
        <v>0</v>
      </c>
      <c r="AP33" s="962">
        <f t="shared" si="62"/>
        <v>0</v>
      </c>
      <c r="AR33" s="917">
        <f>IF(AND(AC33&lt;=$AR$3,B33="CP"),1,0)</f>
        <v>0</v>
      </c>
      <c r="AS33" s="917">
        <f>IF(AND(AC33&lt;=$AR$3,C33="CP"),1,0)</f>
        <v>0</v>
      </c>
    </row>
    <row r="34" spans="1:45" ht="14.45" customHeight="1" x14ac:dyDescent="0.3">
      <c r="A34" s="964" t="s">
        <v>16</v>
      </c>
      <c r="B34" s="414" t="b">
        <f>IF(Paramétrage!$O$46="",FALSE,Paramétrage!$O$46)</f>
        <v>0</v>
      </c>
      <c r="C34" s="263"/>
      <c r="D34" s="415" t="b">
        <f>IF(Paramétrage!$Q$46="",FALSE,Paramétrage!$Q$46)</f>
        <v>0</v>
      </c>
      <c r="E34" s="264"/>
      <c r="F34" s="414" t="b">
        <f>IF(Paramétrage!$R$46="",FALSE,Paramétrage!$R$46)</f>
        <v>0</v>
      </c>
      <c r="G34" s="264"/>
      <c r="H34" s="414" t="b">
        <f>IF(Paramétrage!$T$46="",FALSE,Paramétrage!$T$46)</f>
        <v>0</v>
      </c>
      <c r="I34" s="263"/>
      <c r="J34" s="414" t="b">
        <f>IF(Paramétrage!$U$46="",FALSE,Paramétrage!$U$46)</f>
        <v>0</v>
      </c>
      <c r="K34" s="263"/>
      <c r="L34" s="418" t="b">
        <f>IF(Paramétrage!$W$46="",FALSE,Paramétrage!$W$46)</f>
        <v>0</v>
      </c>
      <c r="M34" s="263"/>
      <c r="N34" s="956">
        <f>IF(OR(B34="aa",B34="cp",B34="f",B34="jc",B34="m",B34="css"),0,(L34-J34)+(H34-F34)+(D34-B34))</f>
        <v>0</v>
      </c>
      <c r="O34" s="956">
        <f>SUM(AM34:AP34)+IF(OR(C34="m",C34="aa"),N34,IF(C34="css",0,IF(C34="cp",0,IF(C34="jc",0,IF(C34="f",0,E34-C34+I34-G34+M34-K34)))))</f>
        <v>0</v>
      </c>
      <c r="P34" s="956">
        <f t="shared" si="46"/>
        <v>0</v>
      </c>
      <c r="Q34" s="956">
        <f t="shared" si="47"/>
        <v>0</v>
      </c>
      <c r="R34" s="957">
        <f>IF(OR(C34="aa",C34="cp",C34="f",C34="jc",C34="m",C34="css"),0,IF(C34=0,MAX(B34,D34,F34,H34,J34,L34)-MIN(B34,D34,F34,H34,J34,L34),IF(C34&lt;&gt;0,MAX(C34,E34,G34,I34,K34,M34)-MIN(C34,E34,G34,I34,K34,M34))))</f>
        <v>0</v>
      </c>
      <c r="S34" s="262"/>
      <c r="T34" s="958" t="str">
        <f t="shared" si="63"/>
        <v/>
      </c>
      <c r="U34" s="959" t="str">
        <f>IF(P34=0,"",IF(P34&lt;Paramétrage!$S$12,"PB",IF(AND(Q34&lt;Paramétrage!$S$12,Q34&lt;&gt;0),"PB","")))</f>
        <v/>
      </c>
      <c r="V34" s="959" t="str">
        <f t="shared" si="50"/>
        <v/>
      </c>
      <c r="W34" s="959" t="str">
        <f t="shared" si="51"/>
        <v/>
      </c>
      <c r="X34" s="960" t="str">
        <f>IF(AND(N34=0,O34=0),"",(IF(OR(C34="aa",C34="cp",C34="f",C34="jc",C34="m",C34="css"),"",IF(C34="",IF(OR(D34-B34&gt;6/24,H34-F34&gt;6/24,L34-J34&gt;6/24),"PB",""),IF(OR(E34-C34&gt;6/24,I34-G34&gt;6/24,M34-K34&gt;6/24),"PB","")))))</f>
        <v/>
      </c>
      <c r="Y34" s="959" t="str">
        <f t="shared" si="53"/>
        <v/>
      </c>
      <c r="Z34" s="836"/>
      <c r="AA34" s="837"/>
      <c r="AB34" s="967"/>
      <c r="AC34" s="934">
        <f t="shared" si="55"/>
        <v>42721</v>
      </c>
      <c r="AD34" s="961">
        <f>IF(AND(N(AC34)&gt;=Paramétrage!$AU$11,N(AC34)&lt;=Paramétrage!$AU$12),IF(C34="cp",1,0),0)</f>
        <v>0</v>
      </c>
      <c r="AE34" s="962">
        <f t="shared" si="54"/>
        <v>0</v>
      </c>
      <c r="AF34" s="961">
        <f>IF(AND(N(AC34)&gt;=Paramétrage!$AX$11,N(AC34)&lt;=Paramétrage!$AX$12),IF(C34="cp",1,0),0)</f>
        <v>0</v>
      </c>
      <c r="AG34" s="962">
        <f t="shared" si="56"/>
        <v>0</v>
      </c>
      <c r="AI34" s="962">
        <f t="shared" si="57"/>
        <v>0</v>
      </c>
      <c r="AJ34" s="962">
        <f t="shared" si="58"/>
        <v>0</v>
      </c>
      <c r="AM34" s="962">
        <f t="shared" si="59"/>
        <v>0</v>
      </c>
      <c r="AN34" s="962">
        <f t="shared" si="60"/>
        <v>0</v>
      </c>
      <c r="AO34" s="962">
        <f t="shared" si="61"/>
        <v>0</v>
      </c>
      <c r="AP34" s="962">
        <f t="shared" si="62"/>
        <v>0</v>
      </c>
      <c r="AR34" s="917">
        <f>IF(AND(AC34&lt;=$AR$3,B34="CP"),1,0)</f>
        <v>0</v>
      </c>
      <c r="AS34" s="917">
        <f>IF(AND(AC34&lt;=$AR$3,C34="CP"),1,0)</f>
        <v>0</v>
      </c>
    </row>
    <row r="35" spans="1:45" ht="14.45" customHeight="1" x14ac:dyDescent="0.3">
      <c r="A35" s="964" t="s">
        <v>19</v>
      </c>
      <c r="B35" s="414" t="b">
        <f>IF(Paramétrage!$O$47="",FALSE,Paramétrage!$O$47)</f>
        <v>0</v>
      </c>
      <c r="C35" s="263"/>
      <c r="D35" s="415" t="b">
        <f>IF(Paramétrage!$Q$47="",FALSE,Paramétrage!$Q$47)</f>
        <v>0</v>
      </c>
      <c r="E35" s="264"/>
      <c r="F35" s="414" t="b">
        <f>IF(Paramétrage!$R$47="",FALSE,Paramétrage!$R$47)</f>
        <v>0</v>
      </c>
      <c r="G35" s="264"/>
      <c r="H35" s="414" t="b">
        <f>IF(Paramétrage!$T$47="",FALSE,Paramétrage!$T$47)</f>
        <v>0</v>
      </c>
      <c r="I35" s="263"/>
      <c r="J35" s="414" t="b">
        <f>IF(Paramétrage!$U$47="",FALSE,Paramétrage!$U$47)</f>
        <v>0</v>
      </c>
      <c r="K35" s="263"/>
      <c r="L35" s="418" t="b">
        <f>IF(Paramétrage!$W$47="",FALSE,Paramétrage!$W$47)</f>
        <v>0</v>
      </c>
      <c r="M35" s="263"/>
      <c r="N35" s="956">
        <f>IF(OR(B35="aa",B35="cp",B35="f",B35="jc",B35="m",B35="css"),0,(L35-J35)+(H35-F35)+(D35-B35))</f>
        <v>0</v>
      </c>
      <c r="O35" s="956">
        <f>IF(OR(C35="m",C35="aa"),N35,IF(C35="cp",0,IF(OR(C35="css",C35="jc"),0,IF(C35="f",0,E35-C35+I35-G35+M35-K35))))</f>
        <v>0</v>
      </c>
      <c r="P35" s="956">
        <f t="shared" si="46"/>
        <v>0</v>
      </c>
      <c r="Q35" s="956">
        <f t="shared" si="47"/>
        <v>0</v>
      </c>
      <c r="R35" s="957">
        <f>IF(OR(C35="aa",C35="cp",C35="f",C35="jc",C35="m",C35="css"),0,IF(C35=0,MAX(B35,D35,F35,H35,J35,L35)-MIN(B35,D35,F35,H35,J35,L35),IF(C35&lt;&gt;0,MAX(C35,E35,G35,I35,K35,M35)-MIN(C35,E35,G35,I35,K35,M35))))</f>
        <v>0</v>
      </c>
      <c r="S35" s="262"/>
      <c r="T35" s="958" t="str">
        <f t="shared" si="63"/>
        <v/>
      </c>
      <c r="U35" s="959" t="str">
        <f>IF(P35=0,"",IF(P35&lt;Paramétrage!$S$12,"PB",IF(AND(Q35&lt;Paramétrage!$S$12,Q35&lt;&gt;0),"PB","")))</f>
        <v/>
      </c>
      <c r="V35" s="959" t="str">
        <f t="shared" si="50"/>
        <v/>
      </c>
      <c r="W35" s="959" t="str">
        <f t="shared" si="51"/>
        <v/>
      </c>
      <c r="X35" s="960" t="str">
        <f>IF(AND(N35=0,O35=0),"",(IF(OR(C35="aa",C35="cp",C35="f",C35="jc",C35="m",C35="css"),"",IF(C35="",IF(OR(D35-B35&gt;6/24,H35-F35&gt;6/24,L35-J35&gt;6/24),"PB",""),IF(OR(E35-C35&gt;6/24,I35-G35&gt;6/24,M35-K35&gt;6/24),"PB","")))))</f>
        <v/>
      </c>
      <c r="Y35" s="959" t="str">
        <f t="shared" si="53"/>
        <v/>
      </c>
      <c r="Z35" s="836"/>
      <c r="AA35" s="837"/>
      <c r="AC35" s="934">
        <f t="shared" si="55"/>
        <v>42722</v>
      </c>
      <c r="AD35" s="961">
        <f>IF(AND(N(AC35)&gt;=Paramétrage!$AU$11,N(AC35)&lt;=Paramétrage!$AU$12),IF(C35="cp",1,0),0)</f>
        <v>0</v>
      </c>
      <c r="AE35" s="962">
        <f t="shared" si="54"/>
        <v>0</v>
      </c>
      <c r="AF35" s="961">
        <f>IF(AND(N(AC35)&gt;=Paramétrage!$AX$11,N(AC35)&lt;=Paramétrage!$AX$12),IF(C35="cp",1,0),0)</f>
        <v>0</v>
      </c>
      <c r="AG35" s="962">
        <f t="shared" si="56"/>
        <v>0</v>
      </c>
      <c r="AI35" s="962">
        <f t="shared" si="57"/>
        <v>0</v>
      </c>
      <c r="AJ35" s="962">
        <f t="shared" si="58"/>
        <v>0</v>
      </c>
      <c r="AM35" s="962"/>
      <c r="AN35" s="962"/>
      <c r="AO35" s="962"/>
      <c r="AP35" s="962"/>
    </row>
    <row r="36" spans="1:45" ht="14.45" customHeight="1" thickBot="1" x14ac:dyDescent="0.35">
      <c r="A36" s="966" t="s">
        <v>20</v>
      </c>
      <c r="B36" s="414" t="b">
        <f>IF(Paramétrage!$O$48="",FALSE,Paramétrage!$O$48)</f>
        <v>0</v>
      </c>
      <c r="C36" s="263"/>
      <c r="D36" s="415" t="b">
        <f>IF(Paramétrage!$Q$48="",FALSE,Paramétrage!$Q$48)</f>
        <v>0</v>
      </c>
      <c r="E36" s="264"/>
      <c r="F36" s="414" t="b">
        <f>IF(Paramétrage!$R$48="",FALSE,Paramétrage!$R$48)</f>
        <v>0</v>
      </c>
      <c r="G36" s="264"/>
      <c r="H36" s="414" t="b">
        <f>IF(Paramétrage!$T$48="",FALSE,Paramétrage!$T$48)</f>
        <v>0</v>
      </c>
      <c r="I36" s="263"/>
      <c r="J36" s="414" t="b">
        <f>IF(Paramétrage!$U$48="",FALSE,Paramétrage!$U$48)</f>
        <v>0</v>
      </c>
      <c r="K36" s="263"/>
      <c r="L36" s="418" t="b">
        <f>IF(Paramétrage!$W$48="",FALSE,Paramétrage!$W$48)</f>
        <v>0</v>
      </c>
      <c r="M36" s="263"/>
      <c r="N36" s="956">
        <f>IF(OR(B36="aa",B36="m"),M36,IF(B36="cp",0,IF(B36="jc",0,IF(B36="f",0,(D36-B36)*Paramétrage!$S$13+(H36-F36)*Paramétrage!$S$13+(L36-J36)*Paramétrage!$S$13+(D36-B36+H36-F36+L36-J36)))))</f>
        <v>0</v>
      </c>
      <c r="O36" s="956">
        <f>IF(OR(C36="aa",C36="m"),N36,IF(C36="cp",0,IF(C36="jc",0,IF(C36="f",0,(E36-C36)*Paramétrage!$S$13+(I36-G36)*Paramétrage!$S$13+(M36-K36)*Paramétrage!$S$13+(E36-C36+I36-G36+M36-K36)))))</f>
        <v>0</v>
      </c>
      <c r="P36" s="956">
        <f t="shared" si="46"/>
        <v>0</v>
      </c>
      <c r="Q36" s="956">
        <f t="shared" si="47"/>
        <v>0</v>
      </c>
      <c r="R36" s="957">
        <f t="shared" ref="R36" si="64">IF(OR(C36="aa",C36="cp",C36="f",C36="jc",C36="m",C36=0),MAX(B36,D36,F36,H36,J36,L36)-MIN(B36,D36,F36,H36,J36,L36),IF(C36&lt;&gt;0,MAX(C36,E36,G36,I36,K36,M36)-MIN(C36,E36,G36,I36,K36,M36)))</f>
        <v>0</v>
      </c>
      <c r="S36" s="262"/>
      <c r="T36" s="958" t="str">
        <f t="shared" si="63"/>
        <v/>
      </c>
      <c r="U36" s="959" t="str">
        <f>IF(P36=0,"",IF(P36&lt;Paramétrage!$S$12,"PB",IF(AND(Q36&lt;Paramétrage!$S$12,Q36&lt;&gt;0),"PB","")))</f>
        <v/>
      </c>
      <c r="V36" s="959" t="str">
        <f t="shared" si="50"/>
        <v/>
      </c>
      <c r="W36" s="959" t="str">
        <f t="shared" si="51"/>
        <v/>
      </c>
      <c r="X36" s="960" t="str">
        <f t="shared" ref="X36" si="65">IF(AND(N36=0,O36=0),"",(IF(OR(C36="aa",C36="cp",C36="f",C36="jc",C36="m"),"",IF(C36="",IF(OR(D36-B36&gt;6/24,H36-F36&gt;6/24,L36-J36&gt;6/24),"PB",""),IF(OR(E36-C36&gt;6/24,I36-G36&gt;6/24,M36-K36&gt;6/24),"PB","")))))</f>
        <v/>
      </c>
      <c r="Y36" s="959" t="str">
        <f t="shared" si="53"/>
        <v/>
      </c>
      <c r="Z36" s="836"/>
      <c r="AA36" s="837"/>
      <c r="AC36" s="934">
        <f t="shared" si="55"/>
        <v>42723</v>
      </c>
      <c r="AD36" s="961">
        <f>IF(AND(N(AC36)&gt;=Paramétrage!$AU$11,N(AC36)&lt;=Paramétrage!$AU$12),IF(C36="cp",1,0),0)</f>
        <v>0</v>
      </c>
      <c r="AE36" s="962">
        <f t="shared" si="54"/>
        <v>0</v>
      </c>
      <c r="AF36" s="961">
        <f>IF(AND(N(AC36)&gt;=Paramétrage!$AX$11,N(AC36)&lt;=Paramétrage!$AX$12),IF(C36="cp",1,0),0)</f>
        <v>0</v>
      </c>
      <c r="AG36" s="962">
        <f t="shared" si="56"/>
        <v>0</v>
      </c>
      <c r="AI36" s="962">
        <f t="shared" si="57"/>
        <v>0</v>
      </c>
      <c r="AJ36" s="962">
        <f t="shared" si="58"/>
        <v>0</v>
      </c>
      <c r="AM36" s="962"/>
      <c r="AN36" s="962"/>
      <c r="AO36" s="962"/>
      <c r="AP36" s="962"/>
    </row>
    <row r="37" spans="1:45" x14ac:dyDescent="0.25">
      <c r="A37" s="969" t="s">
        <v>78</v>
      </c>
      <c r="B37" s="970"/>
      <c r="C37" s="970"/>
      <c r="D37" s="970"/>
      <c r="E37" s="970"/>
      <c r="F37" s="970"/>
      <c r="G37" s="970"/>
      <c r="H37" s="970"/>
      <c r="I37" s="970"/>
      <c r="J37" s="970"/>
      <c r="K37" s="971"/>
      <c r="L37" s="970"/>
      <c r="M37" s="970"/>
      <c r="N37" s="972">
        <f>SUM(N30:N36)</f>
        <v>0</v>
      </c>
      <c r="O37" s="972">
        <f>SUM(O30:O36)</f>
        <v>0</v>
      </c>
      <c r="P37" s="972">
        <f>SUM(P30:P36)</f>
        <v>0</v>
      </c>
      <c r="Q37" s="972">
        <f>SUM(Q30:Q36)</f>
        <v>0</v>
      </c>
      <c r="R37" s="972"/>
      <c r="S37" s="972"/>
      <c r="T37" s="973"/>
      <c r="U37" s="974"/>
      <c r="V37" s="975" t="str">
        <f>IF((O37*24)&gt;48,"PB","")</f>
        <v/>
      </c>
      <c r="W37" s="974"/>
      <c r="X37" s="974"/>
      <c r="Y37" s="974"/>
      <c r="Z37" s="976" t="s">
        <v>59</v>
      </c>
      <c r="AA37" s="977">
        <f>+O37-N37</f>
        <v>0</v>
      </c>
      <c r="AC37" s="934"/>
    </row>
    <row r="38" spans="1:45" x14ac:dyDescent="0.25">
      <c r="A38" s="969"/>
      <c r="B38" s="970"/>
      <c r="C38" s="970"/>
      <c r="D38" s="970"/>
      <c r="E38" s="970"/>
      <c r="F38" s="970"/>
      <c r="G38" s="970"/>
      <c r="H38" s="970"/>
      <c r="I38" s="970"/>
      <c r="J38" s="970"/>
      <c r="K38" s="971"/>
      <c r="L38" s="970"/>
      <c r="M38" s="970"/>
      <c r="N38" s="973"/>
      <c r="O38" s="973"/>
      <c r="P38" s="973"/>
      <c r="Q38" s="973"/>
      <c r="R38" s="973"/>
      <c r="S38" s="981"/>
      <c r="T38" s="973"/>
      <c r="U38" s="974"/>
      <c r="V38" s="978"/>
      <c r="W38" s="974"/>
      <c r="X38" s="974"/>
      <c r="Y38" s="974"/>
      <c r="Z38" s="976"/>
      <c r="AA38" s="977"/>
      <c r="AC38" s="934"/>
    </row>
    <row r="39" spans="1:45" ht="16.5" x14ac:dyDescent="0.3">
      <c r="A39" s="969"/>
      <c r="B39" s="969"/>
      <c r="C39" s="969"/>
      <c r="D39" s="969"/>
      <c r="E39" s="969"/>
      <c r="F39" s="928">
        <f>+F27+7</f>
        <v>42724</v>
      </c>
      <c r="G39" s="928"/>
      <c r="H39" s="929" t="s">
        <v>58</v>
      </c>
      <c r="I39" s="928">
        <f>+F39+6</f>
        <v>42730</v>
      </c>
      <c r="J39" s="930"/>
      <c r="K39" s="969"/>
      <c r="L39" s="969"/>
      <c r="M39" s="969"/>
      <c r="N39" s="973"/>
      <c r="O39" s="969"/>
      <c r="P39" s="980"/>
      <c r="Q39" s="980"/>
      <c r="R39" s="980"/>
      <c r="S39" s="981"/>
      <c r="T39" s="980"/>
      <c r="U39" s="980"/>
      <c r="V39" s="980"/>
      <c r="W39" s="980"/>
      <c r="X39" s="980"/>
      <c r="Y39" s="980"/>
      <c r="Z39" s="976"/>
      <c r="AA39" s="995"/>
      <c r="AC39" s="934"/>
    </row>
    <row r="40" spans="1:45" ht="14.45" customHeight="1" x14ac:dyDescent="0.25">
      <c r="A40" s="994"/>
      <c r="B40" s="938" t="s">
        <v>17</v>
      </c>
      <c r="C40" s="938"/>
      <c r="D40" s="938" t="s">
        <v>18</v>
      </c>
      <c r="E40" s="938"/>
      <c r="F40" s="938" t="s">
        <v>17</v>
      </c>
      <c r="G40" s="938"/>
      <c r="H40" s="938" t="s">
        <v>18</v>
      </c>
      <c r="I40" s="938"/>
      <c r="J40" s="938" t="s">
        <v>17</v>
      </c>
      <c r="K40" s="938"/>
      <c r="L40" s="938" t="s">
        <v>18</v>
      </c>
      <c r="M40" s="938"/>
      <c r="N40" s="939" t="s">
        <v>61</v>
      </c>
      <c r="O40" s="939" t="s">
        <v>62</v>
      </c>
      <c r="P40" s="939" t="s">
        <v>60</v>
      </c>
      <c r="Q40" s="939" t="s">
        <v>63</v>
      </c>
      <c r="R40" s="939" t="s">
        <v>64</v>
      </c>
      <c r="S40" s="940" t="s">
        <v>223</v>
      </c>
      <c r="T40" s="939" t="s">
        <v>70</v>
      </c>
      <c r="U40" s="941" t="s">
        <v>65</v>
      </c>
      <c r="V40" s="942"/>
      <c r="W40" s="942"/>
      <c r="X40" s="942"/>
      <c r="Y40" s="943"/>
      <c r="Z40" s="944" t="s">
        <v>22</v>
      </c>
      <c r="AA40" s="944"/>
      <c r="AC40" s="934"/>
    </row>
    <row r="41" spans="1:45" ht="26.25" thickBot="1" x14ac:dyDescent="0.4">
      <c r="A41" s="937" t="str">
        <f>"S"&amp;WEEKNUM(F39,21)</f>
        <v>S52</v>
      </c>
      <c r="B41" s="949" t="s">
        <v>0</v>
      </c>
      <c r="C41" s="950" t="s">
        <v>1</v>
      </c>
      <c r="D41" s="949" t="s">
        <v>0</v>
      </c>
      <c r="E41" s="950" t="s">
        <v>1</v>
      </c>
      <c r="F41" s="949" t="s">
        <v>0</v>
      </c>
      <c r="G41" s="950" t="s">
        <v>1</v>
      </c>
      <c r="H41" s="949" t="s">
        <v>0</v>
      </c>
      <c r="I41" s="950" t="s">
        <v>1</v>
      </c>
      <c r="J41" s="949" t="s">
        <v>0</v>
      </c>
      <c r="K41" s="950" t="s">
        <v>1</v>
      </c>
      <c r="L41" s="949" t="s">
        <v>0</v>
      </c>
      <c r="M41" s="950" t="s">
        <v>1</v>
      </c>
      <c r="N41" s="951"/>
      <c r="O41" s="951"/>
      <c r="P41" s="951"/>
      <c r="Q41" s="951"/>
      <c r="R41" s="951"/>
      <c r="S41" s="951"/>
      <c r="T41" s="939"/>
      <c r="U41" s="952" t="s">
        <v>66</v>
      </c>
      <c r="V41" s="952" t="s">
        <v>67</v>
      </c>
      <c r="W41" s="952" t="s">
        <v>68</v>
      </c>
      <c r="X41" s="952" t="s">
        <v>137</v>
      </c>
      <c r="Y41" s="952" t="s">
        <v>69</v>
      </c>
      <c r="Z41" s="944"/>
      <c r="AA41" s="944"/>
      <c r="AC41" s="934"/>
      <c r="AM41" s="917" t="s">
        <v>274</v>
      </c>
    </row>
    <row r="42" spans="1:45" ht="14.45" customHeight="1" x14ac:dyDescent="0.3">
      <c r="A42" s="955" t="s">
        <v>12</v>
      </c>
      <c r="B42" s="414" t="b">
        <f>IF(Paramétrage!$O$42="",FALSE,Paramétrage!$O$42)</f>
        <v>0</v>
      </c>
      <c r="C42" s="263"/>
      <c r="D42" s="415" t="b">
        <f>IF(Paramétrage!$Q$42="",FALSE,Paramétrage!$Q$42)</f>
        <v>0</v>
      </c>
      <c r="E42" s="264"/>
      <c r="F42" s="414" t="b">
        <f>IF(Paramétrage!$R$42="",FALSE,Paramétrage!$R$42)</f>
        <v>0</v>
      </c>
      <c r="G42" s="264"/>
      <c r="H42" s="416" t="b">
        <f>IF(Paramétrage!$T$42="",FALSE,Paramétrage!$T$42)</f>
        <v>0</v>
      </c>
      <c r="I42" s="263"/>
      <c r="J42" s="417" t="b">
        <f>IF(Paramétrage!$U$42="",FALSE,Paramétrage!$U$42)</f>
        <v>0</v>
      </c>
      <c r="K42" s="263"/>
      <c r="L42" s="418" t="b">
        <f>IF(Paramétrage!$W$42="",FALSE,Paramétrage!$W$42)</f>
        <v>0</v>
      </c>
      <c r="M42" s="263"/>
      <c r="N42" s="956">
        <f t="shared" ref="N42:N44" si="66">IF(OR(B42="aa",B42="cp",B42="f",B42="jc",B42="m",B42="css"),0,(L42-J42)+(H42-F42)+(D42-B42))</f>
        <v>0</v>
      </c>
      <c r="O42" s="956">
        <f t="shared" ref="O42:O44" si="67">SUM(AM42:AP42)+IF(OR(C42="m",C42="aa"),N42,IF(C42="css",0,IF(C42="cp",0,IF(C42="jc",0,IF(C42="f",0,E42-C42+I42-G42+M42-K42)))))</f>
        <v>0</v>
      </c>
      <c r="P42" s="956">
        <f t="shared" ref="P42:P48" si="68">IF(OR(C42="aa",C42="cp",C42="f",C42="jc",C42="m",C42="css"),0,IF(C42="",IF(OR(F42="",F42=FALSE),0,F42-D42),IF(G42="",0,G42-E42)))</f>
        <v>0</v>
      </c>
      <c r="Q42" s="956">
        <f t="shared" ref="Q42:Q48" si="69">IF(P42=0,0,IF(G42="",IF(OR(J42="",J42=FALSE),0,J42-H42),IF(K42="",0,K42-I42)))</f>
        <v>0</v>
      </c>
      <c r="R42" s="957">
        <f t="shared" ref="R42:R44" si="70">IF(OR(C42="aa",C42="cp",C42="f",C42="jc",C42="m",C42="css"),0,IF(C42=0,MAX(B42,D42,F42,H42,J42,L42)-MIN(B42,D42,F42,H42,J42,L42),IF(C42&lt;&gt;0,MAX(C42,E42,G42,I42,K42,M42)-MIN(C42,E42,G42,I42,K42,M42))))</f>
        <v>0</v>
      </c>
      <c r="S42" s="262"/>
      <c r="T42" s="958" t="str">
        <f t="shared" ref="T42:T43" si="71">IF(AND(B42=FALSE,C42=""),"",IF(AND(B42=0,C42=0),"",(IF(OR(C42="cp",C42="f",C42="jc",C42="css"),"",IF(OR(C42="",C42="aa",C42="m"),(IF(OR(B42="cp",B42="f",B42="jc",B42="css"),"",B42*24+24-MAX(D41,H41,L41)*24)),C42*24+24-MAX(M41,I41,E41)*24)))))</f>
        <v/>
      </c>
      <c r="U42" s="959" t="str">
        <f>IF(P42=0,"",IF(P42&lt;Paramétrage!$S$12,"PB",IF(AND(Q42&lt;Paramétrage!$S$12,Q42&lt;&gt;0),"PB","")))</f>
        <v/>
      </c>
      <c r="V42" s="959" t="str">
        <f t="shared" ref="V42:V48" si="72">IF(C42="",IF((N42*24)&gt;10,"PB",""),IF((O42*24)&gt;10,"PB",""))</f>
        <v/>
      </c>
      <c r="W42" s="959" t="str">
        <f t="shared" ref="W42:W48" si="73">IF((R42*24)&gt;12,"PB","")</f>
        <v/>
      </c>
      <c r="X42" s="960" t="str">
        <f t="shared" ref="X42:X44" si="74">IF(AND(N42=0,O42=0),"",(IF(OR(C42="aa",C42="cp",C42="f",C42="jc",C42="m",C42="css"),"",IF(C42="",IF(OR(D42-B42&gt;6/24,H42-F42&gt;6/24,L42-J42&gt;6/24),"PB",""),IF(OR(E42-C42&gt;6/24,I42-G42&gt;6/24,M42-K42&gt;6/24),"PB","")))))</f>
        <v/>
      </c>
      <c r="Y42" s="959" t="str">
        <f t="shared" ref="Y42:Y48" si="75">IF(T42="","",IF(T42&lt;11,"PB",""))</f>
        <v/>
      </c>
      <c r="Z42" s="836"/>
      <c r="AA42" s="837"/>
      <c r="AC42" s="934">
        <f>AC36+1</f>
        <v>42724</v>
      </c>
      <c r="AD42" s="961">
        <f>IF(AND(N(AC42)&gt;=Paramétrage!$AU$11,N(AC42)&lt;=Paramétrage!$AU$12),IF(C42="cp",1,0),0)</f>
        <v>0</v>
      </c>
      <c r="AE42" s="962">
        <f t="shared" ref="AE42:AE48" si="76">IF(O42&lt;&gt;"erreur",N42,O42)</f>
        <v>0</v>
      </c>
      <c r="AF42" s="961">
        <f>IF(AND(N(AC42)&gt;=Paramétrage!$AX$11,N(AC42)&lt;=Paramétrage!$AX$12),IF(C42="cp",1,0),0)</f>
        <v>0</v>
      </c>
      <c r="AG42" s="962">
        <f t="shared" ref="AG42:AG48" si="77">O42</f>
        <v>0</v>
      </c>
      <c r="AI42" s="962">
        <f>AE42+AI36</f>
        <v>0</v>
      </c>
      <c r="AJ42" s="962">
        <f>AG42+AJ36</f>
        <v>0</v>
      </c>
      <c r="AM42" s="962">
        <f>IF(AND($B42="cp",$C42="m"),$Z42,0)</f>
        <v>0</v>
      </c>
      <c r="AN42" s="962">
        <f>IF(AND($B42="jc",$C42="m"),$Z42,0)</f>
        <v>0</v>
      </c>
      <c r="AO42" s="962">
        <f>IF(AND($B42="cp",$C42="aa"),$Z42,0)</f>
        <v>0</v>
      </c>
      <c r="AP42" s="962">
        <f>IF(AND($B42="jc",$C42="aa"),$Z42,0)</f>
        <v>0</v>
      </c>
      <c r="AR42" s="917">
        <f>IF(AND(AC42&lt;=$AR$3,B42="CP"),1,0)</f>
        <v>0</v>
      </c>
      <c r="AS42" s="917">
        <f>IF(AND(AC42&lt;=$AR$3,C42="CP"),1,0)</f>
        <v>0</v>
      </c>
    </row>
    <row r="43" spans="1:45" ht="14.45" customHeight="1" x14ac:dyDescent="0.3">
      <c r="A43" s="964" t="s">
        <v>13</v>
      </c>
      <c r="B43" s="414" t="b">
        <f>IF(Paramétrage!$O$43="",FALSE,Paramétrage!$O$43)</f>
        <v>0</v>
      </c>
      <c r="C43" s="263"/>
      <c r="D43" s="415" t="b">
        <f>IF(Paramétrage!$Q$43="",FALSE,Paramétrage!$Q$43)</f>
        <v>0</v>
      </c>
      <c r="E43" s="264"/>
      <c r="F43" s="414" t="b">
        <f>IF(Paramétrage!$R$43="",FALSE,Paramétrage!$R$43)</f>
        <v>0</v>
      </c>
      <c r="G43" s="264"/>
      <c r="H43" s="416" t="b">
        <f>IF(Paramétrage!$T$43="",FALSE,Paramétrage!$T$43)</f>
        <v>0</v>
      </c>
      <c r="I43" s="263"/>
      <c r="J43" s="417" t="b">
        <f>IF(Paramétrage!$U$43="",FALSE,Paramétrage!$U$43)</f>
        <v>0</v>
      </c>
      <c r="K43" s="263"/>
      <c r="L43" s="418" t="b">
        <f>IF(Paramétrage!$W$43="",FALSE,Paramétrage!$W$43)</f>
        <v>0</v>
      </c>
      <c r="M43" s="263"/>
      <c r="N43" s="956">
        <f t="shared" si="66"/>
        <v>0</v>
      </c>
      <c r="O43" s="956">
        <f t="shared" si="67"/>
        <v>0</v>
      </c>
      <c r="P43" s="956">
        <f t="shared" si="68"/>
        <v>0</v>
      </c>
      <c r="Q43" s="956">
        <f t="shared" si="69"/>
        <v>0</v>
      </c>
      <c r="R43" s="957">
        <f t="shared" si="70"/>
        <v>0</v>
      </c>
      <c r="S43" s="262"/>
      <c r="T43" s="958" t="str">
        <f t="shared" si="71"/>
        <v/>
      </c>
      <c r="U43" s="959" t="str">
        <f>IF(P43=0,"",IF(P43&lt;Paramétrage!$S$12,"PB",IF(AND(Q43&lt;Paramétrage!$S$12,Q43&lt;&gt;0),"PB","")))</f>
        <v/>
      </c>
      <c r="V43" s="959" t="str">
        <f t="shared" si="72"/>
        <v/>
      </c>
      <c r="W43" s="959" t="str">
        <f t="shared" si="73"/>
        <v/>
      </c>
      <c r="X43" s="960" t="str">
        <f t="shared" si="74"/>
        <v/>
      </c>
      <c r="Y43" s="959" t="str">
        <f t="shared" si="75"/>
        <v/>
      </c>
      <c r="Z43" s="836"/>
      <c r="AA43" s="837"/>
      <c r="AC43" s="934">
        <f t="shared" ref="AC43:AC48" si="78">AC42+1</f>
        <v>42725</v>
      </c>
      <c r="AD43" s="961">
        <f>IF(AND(N(AC43)&gt;=Paramétrage!$AU$11,N(AC43)&lt;=Paramétrage!$AU$12),IF(C43="cp",1,0),0)</f>
        <v>0</v>
      </c>
      <c r="AE43" s="962">
        <f t="shared" si="76"/>
        <v>0</v>
      </c>
      <c r="AF43" s="961">
        <f>IF(AND(N(AC43)&gt;=Paramétrage!$AX$11,N(AC43)&lt;=Paramétrage!$AX$12),IF(C43="cp",1,0),0)</f>
        <v>0</v>
      </c>
      <c r="AG43" s="962">
        <f t="shared" si="77"/>
        <v>0</v>
      </c>
      <c r="AI43" s="962">
        <f t="shared" ref="AI43:AI48" si="79">AE43+AI42</f>
        <v>0</v>
      </c>
      <c r="AJ43" s="962">
        <f t="shared" ref="AJ43:AJ48" si="80">AG43+AJ42</f>
        <v>0</v>
      </c>
      <c r="AM43" s="962">
        <f t="shared" ref="AM43:AM46" si="81">IF(AND($B43="cp",$C43="m"),$Z43,0)</f>
        <v>0</v>
      </c>
      <c r="AN43" s="962">
        <f t="shared" ref="AN43:AN46" si="82">IF(AND($B43="jc",$C43="m"),$Z43,0)</f>
        <v>0</v>
      </c>
      <c r="AO43" s="962">
        <f t="shared" ref="AO43:AO46" si="83">IF(AND($B43="cp",$C43="aa"),$Z43,0)</f>
        <v>0</v>
      </c>
      <c r="AP43" s="962">
        <f t="shared" ref="AP43:AP46" si="84">IF(AND($B43="jc",$C43="aa"),$Z43,0)</f>
        <v>0</v>
      </c>
      <c r="AR43" s="917">
        <f>IF(AND(AC43&lt;=$AR$3,B43="CP"),1,0)</f>
        <v>0</v>
      </c>
      <c r="AS43" s="917">
        <f>IF(AND(AC43&lt;=$AR$3,C43="CP"),1,0)</f>
        <v>0</v>
      </c>
    </row>
    <row r="44" spans="1:45" ht="14.45" customHeight="1" x14ac:dyDescent="0.3">
      <c r="A44" s="964" t="s">
        <v>14</v>
      </c>
      <c r="B44" s="414" t="b">
        <f>IF(Paramétrage!$O$44="",FALSE,Paramétrage!$O$44)</f>
        <v>0</v>
      </c>
      <c r="C44" s="263"/>
      <c r="D44" s="415" t="b">
        <f>IF(Paramétrage!$Q$44="",FALSE,Paramétrage!$Q$44)</f>
        <v>0</v>
      </c>
      <c r="E44" s="264"/>
      <c r="F44" s="414" t="b">
        <f>IF(Paramétrage!$R$44="",FALSE,Paramétrage!$R$44)</f>
        <v>0</v>
      </c>
      <c r="G44" s="264"/>
      <c r="H44" s="416" t="b">
        <f>IF(Paramétrage!$T$44="",FALSE,Paramétrage!$T$44)</f>
        <v>0</v>
      </c>
      <c r="I44" s="263"/>
      <c r="J44" s="417" t="b">
        <f>IF(Paramétrage!$U$44="",FALSE,Paramétrage!$U$44)</f>
        <v>0</v>
      </c>
      <c r="K44" s="263"/>
      <c r="L44" s="418" t="b">
        <f>IF(Paramétrage!$W$44="",FALSE,Paramétrage!$W$44)</f>
        <v>0</v>
      </c>
      <c r="M44" s="263"/>
      <c r="N44" s="956">
        <f t="shared" si="66"/>
        <v>0</v>
      </c>
      <c r="O44" s="956">
        <f t="shared" si="67"/>
        <v>0</v>
      </c>
      <c r="P44" s="956">
        <f t="shared" si="68"/>
        <v>0</v>
      </c>
      <c r="Q44" s="956">
        <f t="shared" si="69"/>
        <v>0</v>
      </c>
      <c r="R44" s="957">
        <f t="shared" si="70"/>
        <v>0</v>
      </c>
      <c r="S44" s="262"/>
      <c r="T44" s="958" t="str">
        <f>IF(AND(B44=FALSE,C44=""),"",IF(AND(B44=0,C44=0),"",(IF(OR(C44="cp",C44="f",C44="jc",C44="css"),"",IF(OR(C44="",C44="aa",C44="m"),(IF(OR(B44="cp",B44="f",B44="jc",B44="css"),"",B44*24+24-MAX(D43,H43,L43)*24)),C44*24+24-MAX(M43,I43,E43)*24)))))</f>
        <v/>
      </c>
      <c r="U44" s="959" t="str">
        <f>IF(P44=0,"",IF(P44&lt;Paramétrage!$S$12,"PB",IF(AND(Q44&lt;Paramétrage!$S$12,Q44&lt;&gt;0),"PB","")))</f>
        <v/>
      </c>
      <c r="V44" s="959" t="str">
        <f t="shared" si="72"/>
        <v/>
      </c>
      <c r="W44" s="959" t="str">
        <f t="shared" si="73"/>
        <v/>
      </c>
      <c r="X44" s="960" t="str">
        <f t="shared" si="74"/>
        <v/>
      </c>
      <c r="Y44" s="959" t="str">
        <f t="shared" si="75"/>
        <v/>
      </c>
      <c r="Z44" s="836"/>
      <c r="AA44" s="837"/>
      <c r="AC44" s="934">
        <f t="shared" si="78"/>
        <v>42726</v>
      </c>
      <c r="AD44" s="961">
        <f>IF(AND(N(AC44)&gt;=Paramétrage!$AU$11,N(AC44)&lt;=Paramétrage!$AU$12),IF(C44="cp",1,0),0)</f>
        <v>0</v>
      </c>
      <c r="AE44" s="962">
        <f t="shared" si="76"/>
        <v>0</v>
      </c>
      <c r="AF44" s="961">
        <f>IF(AND(N(AC44)&gt;=Paramétrage!$AX$11,N(AC44)&lt;=Paramétrage!$AX$12),IF(C44="cp",1,0),0)</f>
        <v>0</v>
      </c>
      <c r="AG44" s="962">
        <f t="shared" si="77"/>
        <v>0</v>
      </c>
      <c r="AI44" s="962">
        <f t="shared" si="79"/>
        <v>0</v>
      </c>
      <c r="AJ44" s="962">
        <f t="shared" si="80"/>
        <v>0</v>
      </c>
      <c r="AM44" s="962">
        <f t="shared" si="81"/>
        <v>0</v>
      </c>
      <c r="AN44" s="962">
        <f t="shared" si="82"/>
        <v>0</v>
      </c>
      <c r="AO44" s="962">
        <f t="shared" si="83"/>
        <v>0</v>
      </c>
      <c r="AP44" s="962">
        <f t="shared" si="84"/>
        <v>0</v>
      </c>
      <c r="AR44" s="917">
        <f>IF(AND(AC44&lt;=$AR$3,B44="CP"),1,0)</f>
        <v>0</v>
      </c>
      <c r="AS44" s="917">
        <f>IF(AND(AC44&lt;=$AR$3,C44="CP"),1,0)</f>
        <v>0</v>
      </c>
    </row>
    <row r="45" spans="1:45" ht="14.45" customHeight="1" x14ac:dyDescent="0.3">
      <c r="A45" s="964" t="s">
        <v>15</v>
      </c>
      <c r="B45" s="414" t="b">
        <f>IF(Paramétrage!$O$45="",FALSE,Paramétrage!$O$45)</f>
        <v>0</v>
      </c>
      <c r="C45" s="263"/>
      <c r="D45" s="415" t="b">
        <f>IF(Paramétrage!$Q$45="",FALSE,Paramétrage!$Q$45)</f>
        <v>0</v>
      </c>
      <c r="E45" s="264"/>
      <c r="F45" s="414" t="b">
        <f>IF(Paramétrage!$R$45="",FALSE,Paramétrage!$R$45)</f>
        <v>0</v>
      </c>
      <c r="G45" s="264"/>
      <c r="H45" s="416" t="b">
        <f>IF(Paramétrage!$T$45="",FALSE,Paramétrage!$T$45)</f>
        <v>0</v>
      </c>
      <c r="I45" s="263"/>
      <c r="J45" s="417" t="b">
        <f>IF(Paramétrage!$U$45="",FALSE,Paramétrage!$U$45)</f>
        <v>0</v>
      </c>
      <c r="K45" s="263"/>
      <c r="L45" s="418" t="b">
        <f>IF(Paramétrage!$W$45="",FALSE,Paramétrage!$W$45)</f>
        <v>0</v>
      </c>
      <c r="M45" s="263"/>
      <c r="N45" s="956">
        <f>IF(OR(B45="aa",B45="cp",B45="f",B45="jc",B45="m",B45="css"),0,(L45-J45)+(H45-F45)+(D45-B45))</f>
        <v>0</v>
      </c>
      <c r="O45" s="956">
        <f>SUM(AM45:AP45)+IF(OR(C45="m",C45="aa"),N45,IF(C45="css",0,IF(C45="cp",0,IF(C45="jc",0,IF(C45="f",0,E45-C45+I45-G45+M45-K45)))))</f>
        <v>0</v>
      </c>
      <c r="P45" s="956">
        <f t="shared" si="68"/>
        <v>0</v>
      </c>
      <c r="Q45" s="956">
        <f t="shared" si="69"/>
        <v>0</v>
      </c>
      <c r="R45" s="957">
        <f>IF(OR(C45="aa",C45="cp",C45="f",C45="jc",C45="m",C45="css"),0,IF(C45=0,MAX(B45,D45,F45,H45,J45,L45)-MIN(B45,D45,F45,H45,J45,L45),IF(C45&lt;&gt;0,MAX(C45,E45,G45,I45,K45,M45)-MIN(C45,E45,G45,I45,K45,M45))))</f>
        <v>0</v>
      </c>
      <c r="S45" s="262"/>
      <c r="T45" s="958" t="str">
        <f t="shared" ref="T45:T48" si="85">IF(AND(B45=FALSE,C45=""),"",IF(AND(B45=0,C45=0),"",(IF(OR(C45="cp",C45="f",C45="jc",C45="css"),"",IF(OR(C45="",C45="aa",C45="m"),(IF(OR(B45="cp",B45="f",B45="jc",B45="css"),"",B45*24+24-MAX(D44,H44,L44)*24)),C45*24+24-MAX(M44,I44,E44)*24)))))</f>
        <v/>
      </c>
      <c r="U45" s="959" t="str">
        <f>IF(P45=0,"",IF(P45&lt;Paramétrage!$S$12,"PB",IF(AND(Q45&lt;Paramétrage!$S$12,Q45&lt;&gt;0),"PB","")))</f>
        <v/>
      </c>
      <c r="V45" s="959" t="str">
        <f t="shared" si="72"/>
        <v/>
      </c>
      <c r="W45" s="959" t="str">
        <f t="shared" si="73"/>
        <v/>
      </c>
      <c r="X45" s="960" t="str">
        <f>IF(AND(N45=0,O45=0),"",(IF(OR(C45="aa",C45="cp",C45="f",C45="jc",C45="m",C45="css"),"",IF(C45="",IF(OR(D45-B45&gt;6/24,H45-F45&gt;6/24,L45-J45&gt;6/24),"PB",""),IF(OR(E45-C45&gt;6/24,I45-G45&gt;6/24,M45-K45&gt;6/24),"PB","")))))</f>
        <v/>
      </c>
      <c r="Y45" s="959" t="str">
        <f t="shared" si="75"/>
        <v/>
      </c>
      <c r="Z45" s="836"/>
      <c r="AA45" s="837"/>
      <c r="AB45" s="967"/>
      <c r="AC45" s="934">
        <f t="shared" si="78"/>
        <v>42727</v>
      </c>
      <c r="AD45" s="961">
        <f>IF(AND(N(AC45)&gt;=Paramétrage!$AU$11,N(AC45)&lt;=Paramétrage!$AU$12),IF(C45="cp",1,0),0)</f>
        <v>0</v>
      </c>
      <c r="AE45" s="962">
        <f t="shared" si="76"/>
        <v>0</v>
      </c>
      <c r="AF45" s="961">
        <f>IF(AND(N(AC45)&gt;=Paramétrage!$AX$11,N(AC45)&lt;=Paramétrage!$AX$12),IF(C45="cp",1,0),0)</f>
        <v>0</v>
      </c>
      <c r="AG45" s="962">
        <f t="shared" si="77"/>
        <v>0</v>
      </c>
      <c r="AI45" s="962">
        <f t="shared" si="79"/>
        <v>0</v>
      </c>
      <c r="AJ45" s="962">
        <f t="shared" si="80"/>
        <v>0</v>
      </c>
      <c r="AM45" s="962">
        <f t="shared" si="81"/>
        <v>0</v>
      </c>
      <c r="AN45" s="962">
        <f t="shared" si="82"/>
        <v>0</v>
      </c>
      <c r="AO45" s="962">
        <f t="shared" si="83"/>
        <v>0</v>
      </c>
      <c r="AP45" s="962">
        <f t="shared" si="84"/>
        <v>0</v>
      </c>
      <c r="AR45" s="917">
        <f>IF(AND(AC45&lt;=$AR$3,B45="CP"),1,0)</f>
        <v>0</v>
      </c>
      <c r="AS45" s="917">
        <f>IF(AND(AC45&lt;=$AR$3,C45="CP"),1,0)</f>
        <v>0</v>
      </c>
    </row>
    <row r="46" spans="1:45" ht="14.45" customHeight="1" x14ac:dyDescent="0.3">
      <c r="A46" s="964" t="s">
        <v>16</v>
      </c>
      <c r="B46" s="414" t="b">
        <f>IF(Paramétrage!$O$46="",FALSE,Paramétrage!$O$46)</f>
        <v>0</v>
      </c>
      <c r="C46" s="263"/>
      <c r="D46" s="415" t="b">
        <f>IF(Paramétrage!$Q$46="",FALSE,Paramétrage!$Q$46)</f>
        <v>0</v>
      </c>
      <c r="E46" s="264"/>
      <c r="F46" s="414" t="b">
        <f>IF(Paramétrage!$R$46="",FALSE,Paramétrage!$R$46)</f>
        <v>0</v>
      </c>
      <c r="G46" s="264"/>
      <c r="H46" s="416" t="b">
        <f>IF(Paramétrage!$T$46="",FALSE,Paramétrage!$T$46)</f>
        <v>0</v>
      </c>
      <c r="I46" s="263"/>
      <c r="J46" s="417" t="b">
        <f>IF(Paramétrage!$U$46="",FALSE,Paramétrage!$U$46)</f>
        <v>0</v>
      </c>
      <c r="K46" s="263"/>
      <c r="L46" s="418" t="b">
        <f>IF(Paramétrage!$W$46="",FALSE,Paramétrage!$W$46)</f>
        <v>0</v>
      </c>
      <c r="M46" s="263"/>
      <c r="N46" s="956">
        <f>IF(OR(B46="aa",B46="cp",B46="f",B46="jc",B46="m",B46="css"),0,(L46-J46)+(H46-F46)+(D46-B46))</f>
        <v>0</v>
      </c>
      <c r="O46" s="956">
        <f>SUM(AM46:AP46)+IF(OR(C46="m",C46="aa"),N46,IF(C46="css",0,IF(C46="cp",0,IF(C46="jc",0,IF(C46="f",0,E46-C46+I46-G46+M46-K46)))))</f>
        <v>0</v>
      </c>
      <c r="P46" s="956">
        <f t="shared" si="68"/>
        <v>0</v>
      </c>
      <c r="Q46" s="956">
        <f t="shared" si="69"/>
        <v>0</v>
      </c>
      <c r="R46" s="957">
        <f>IF(OR(C46="aa",C46="cp",C46="f",C46="jc",C46="m",C46="css"),0,IF(C46=0,MAX(B46,D46,F46,H46,J46,L46)-MIN(B46,D46,F46,H46,J46,L46),IF(C46&lt;&gt;0,MAX(C46,E46,G46,I46,K46,M46)-MIN(C46,E46,G46,I46,K46,M46))))</f>
        <v>0</v>
      </c>
      <c r="S46" s="262"/>
      <c r="T46" s="958" t="str">
        <f t="shared" si="85"/>
        <v/>
      </c>
      <c r="U46" s="959" t="str">
        <f>IF(P46=0,"",IF(P46&lt;Paramétrage!$S$12,"PB",IF(AND(Q46&lt;Paramétrage!$S$12,Q46&lt;&gt;0),"PB","")))</f>
        <v/>
      </c>
      <c r="V46" s="959" t="str">
        <f t="shared" si="72"/>
        <v/>
      </c>
      <c r="W46" s="959" t="str">
        <f t="shared" si="73"/>
        <v/>
      </c>
      <c r="X46" s="960" t="str">
        <f>IF(AND(N46=0,O46=0),"",(IF(OR(C46="aa",C46="cp",C46="f",C46="jc",C46="m",C46="css"),"",IF(C46="",IF(OR(D46-B46&gt;6/24,H46-F46&gt;6/24,L46-J46&gt;6/24),"PB",""),IF(OR(E46-C46&gt;6/24,I46-G46&gt;6/24,M46-K46&gt;6/24),"PB","")))))</f>
        <v/>
      </c>
      <c r="Y46" s="959" t="str">
        <f t="shared" si="75"/>
        <v/>
      </c>
      <c r="Z46" s="836"/>
      <c r="AA46" s="837"/>
      <c r="AB46" s="967"/>
      <c r="AC46" s="934">
        <f t="shared" si="78"/>
        <v>42728</v>
      </c>
      <c r="AD46" s="961">
        <f>IF(AND(N(AC46)&gt;=Paramétrage!$AU$11,N(AC46)&lt;=Paramétrage!$AU$12),IF(C46="cp",1,0),0)</f>
        <v>0</v>
      </c>
      <c r="AE46" s="962">
        <f t="shared" si="76"/>
        <v>0</v>
      </c>
      <c r="AF46" s="961">
        <f>IF(AND(N(AC46)&gt;=Paramétrage!$AX$11,N(AC46)&lt;=Paramétrage!$AX$12),IF(C46="cp",1,0),0)</f>
        <v>0</v>
      </c>
      <c r="AG46" s="962">
        <f t="shared" si="77"/>
        <v>0</v>
      </c>
      <c r="AI46" s="962">
        <f t="shared" si="79"/>
        <v>0</v>
      </c>
      <c r="AJ46" s="962">
        <f t="shared" si="80"/>
        <v>0</v>
      </c>
      <c r="AM46" s="962">
        <f t="shared" si="81"/>
        <v>0</v>
      </c>
      <c r="AN46" s="962">
        <f t="shared" si="82"/>
        <v>0</v>
      </c>
      <c r="AO46" s="962">
        <f t="shared" si="83"/>
        <v>0</v>
      </c>
      <c r="AP46" s="962">
        <f t="shared" si="84"/>
        <v>0</v>
      </c>
      <c r="AR46" s="917">
        <f>IF(AND(AC46&lt;=$AR$3,B46="CP"),1,0)</f>
        <v>0</v>
      </c>
      <c r="AS46" s="917">
        <f>IF(AND(AC46&lt;=$AR$3,C46="CP"),1,0)</f>
        <v>0</v>
      </c>
    </row>
    <row r="47" spans="1:45" ht="14.45" customHeight="1" x14ac:dyDescent="0.3">
      <c r="A47" s="964" t="s">
        <v>19</v>
      </c>
      <c r="B47" s="414" t="b">
        <f>IF(Paramétrage!$O$47="",FALSE,Paramétrage!$O$47)</f>
        <v>0</v>
      </c>
      <c r="C47" s="263"/>
      <c r="D47" s="415" t="b">
        <f>IF(Paramétrage!$Q$47="",FALSE,Paramétrage!$Q$47)</f>
        <v>0</v>
      </c>
      <c r="E47" s="264"/>
      <c r="F47" s="414" t="b">
        <f>IF(Paramétrage!$R$47="",FALSE,Paramétrage!$R$47)</f>
        <v>0</v>
      </c>
      <c r="G47" s="264"/>
      <c r="H47" s="416" t="b">
        <f>IF(Paramétrage!$T$47="",FALSE,Paramétrage!$T$47)</f>
        <v>0</v>
      </c>
      <c r="I47" s="263"/>
      <c r="J47" s="417" t="b">
        <f>IF(Paramétrage!$U$47="",FALSE,Paramétrage!$U$47)</f>
        <v>0</v>
      </c>
      <c r="K47" s="263"/>
      <c r="L47" s="418" t="b">
        <f>IF(Paramétrage!$W$47="",FALSE,Paramétrage!$W$47)</f>
        <v>0</v>
      </c>
      <c r="M47" s="263"/>
      <c r="N47" s="956">
        <f>IF(OR(B47="aa",B47="cp",B47="f",B47="jc",B47="m",B47="css"),0,(L47-J47)+(H47-F47)+(D47-B47))</f>
        <v>0</v>
      </c>
      <c r="O47" s="956">
        <f>IF(OR(C47="m",C47="aa"),N47,IF(C47="cp",0,IF(OR(C47="css",C47="jc"),0,IF(C47="f",0,E47-C47+I47-G47+M47-K47))))</f>
        <v>0</v>
      </c>
      <c r="P47" s="956">
        <f t="shared" si="68"/>
        <v>0</v>
      </c>
      <c r="Q47" s="956">
        <f t="shared" si="69"/>
        <v>0</v>
      </c>
      <c r="R47" s="957">
        <f>IF(OR(C47="aa",C47="cp",C47="f",C47="jc",C47="m",C47="css"),0,IF(C47=0,MAX(B47,D47,F47,H47,J47,L47)-MIN(B47,D47,F47,H47,J47,L47),IF(C47&lt;&gt;0,MAX(C47,E47,G47,I47,K47,M47)-MIN(C47,E47,G47,I47,K47,M47))))</f>
        <v>0</v>
      </c>
      <c r="S47" s="262"/>
      <c r="T47" s="958" t="str">
        <f t="shared" si="85"/>
        <v/>
      </c>
      <c r="U47" s="959" t="str">
        <f>IF(P47=0,"",IF(P47&lt;Paramétrage!$S$12,"PB",IF(AND(Q47&lt;Paramétrage!$S$12,Q47&lt;&gt;0),"PB","")))</f>
        <v/>
      </c>
      <c r="V47" s="959" t="str">
        <f t="shared" si="72"/>
        <v/>
      </c>
      <c r="W47" s="959" t="str">
        <f t="shared" si="73"/>
        <v/>
      </c>
      <c r="X47" s="960" t="str">
        <f>IF(AND(N47=0,O47=0),"",(IF(OR(C47="aa",C47="cp",C47="f",C47="jc",C47="m",C47="css"),"",IF(C47="",IF(OR(D47-B47&gt;6/24,H47-F47&gt;6/24,L47-J47&gt;6/24),"PB",""),IF(OR(E47-C47&gt;6/24,I47-G47&gt;6/24,M47-K47&gt;6/24),"PB","")))))</f>
        <v/>
      </c>
      <c r="Y47" s="959" t="str">
        <f t="shared" si="75"/>
        <v/>
      </c>
      <c r="Z47" s="836"/>
      <c r="AA47" s="837"/>
      <c r="AC47" s="934">
        <f t="shared" si="78"/>
        <v>42729</v>
      </c>
      <c r="AD47" s="961">
        <f>IF(AND(N(AC47)&gt;=Paramétrage!$AU$11,N(AC47)&lt;=Paramétrage!$AU$12),IF(C47="cp",1,0),0)</f>
        <v>0</v>
      </c>
      <c r="AE47" s="962">
        <f t="shared" si="76"/>
        <v>0</v>
      </c>
      <c r="AF47" s="961">
        <f>IF(AND(N(AC47)&gt;=Paramétrage!$AX$11,N(AC47)&lt;=Paramétrage!$AX$12),IF(C47="cp",1,0),0)</f>
        <v>0</v>
      </c>
      <c r="AG47" s="962">
        <f t="shared" si="77"/>
        <v>0</v>
      </c>
      <c r="AI47" s="962">
        <f t="shared" si="79"/>
        <v>0</v>
      </c>
      <c r="AJ47" s="962">
        <f t="shared" si="80"/>
        <v>0</v>
      </c>
      <c r="AM47" s="962"/>
      <c r="AN47" s="962"/>
      <c r="AO47" s="962"/>
      <c r="AP47" s="962"/>
    </row>
    <row r="48" spans="1:45" ht="14.45" customHeight="1" thickBot="1" x14ac:dyDescent="0.35">
      <c r="A48" s="966" t="s">
        <v>20</v>
      </c>
      <c r="B48" s="414" t="b">
        <f>IF(Paramétrage!$O$48="",FALSE,Paramétrage!$O$48)</f>
        <v>0</v>
      </c>
      <c r="C48" s="263"/>
      <c r="D48" s="415" t="b">
        <f>IF(Paramétrage!$Q$48="",FALSE,Paramétrage!$Q$48)</f>
        <v>0</v>
      </c>
      <c r="E48" s="264"/>
      <c r="F48" s="414" t="b">
        <f>IF(Paramétrage!$R$48="",FALSE,Paramétrage!$R$48)</f>
        <v>0</v>
      </c>
      <c r="G48" s="264"/>
      <c r="H48" s="416" t="b">
        <f>IF(Paramétrage!$T$48="",FALSE,Paramétrage!$T$48)</f>
        <v>0</v>
      </c>
      <c r="I48" s="263"/>
      <c r="J48" s="417" t="b">
        <f>IF(Paramétrage!$U$48="",FALSE,Paramétrage!$U$48)</f>
        <v>0</v>
      </c>
      <c r="K48" s="263"/>
      <c r="L48" s="418" t="b">
        <f>IF(Paramétrage!$W$48="",FALSE,Paramétrage!$W$48)</f>
        <v>0</v>
      </c>
      <c r="M48" s="263"/>
      <c r="N48" s="956">
        <f>IF(OR(B48="aa",B48="m"),M48,IF(B48="cp",0,IF(B48="jc",0,IF(B48="f",0,(D48-B48)*Paramétrage!$S$13+(H48-F48)*Paramétrage!$S$13+(L48-J48)*Paramétrage!$S$13+(D48-B48+H48-F48+L48-J48)))))</f>
        <v>0</v>
      </c>
      <c r="O48" s="956">
        <f>IF(OR(C48="aa",C48="m"),N48,IF(C48="cp",0,IF(C48="jc",0,IF(C48="f",0,(E48-C48)*Paramétrage!$S$13+(I48-G48)*Paramétrage!$S$13+(M48-K48)*Paramétrage!$S$13+(E48-C48+I48-G48+M48-K48)))))</f>
        <v>0</v>
      </c>
      <c r="P48" s="956">
        <f t="shared" si="68"/>
        <v>0</v>
      </c>
      <c r="Q48" s="956">
        <f t="shared" si="69"/>
        <v>0</v>
      </c>
      <c r="R48" s="957">
        <f t="shared" ref="R48" si="86">IF(OR(C48="aa",C48="cp",C48="f",C48="jc",C48="m",C48=0),MAX(B48,D48,F48,H48,J48,L48)-MIN(B48,D48,F48,H48,J48,L48),IF(C48&lt;&gt;0,MAX(C48,E48,G48,I48,K48,M48)-MIN(C48,E48,G48,I48,K48,M48)))</f>
        <v>0</v>
      </c>
      <c r="S48" s="262"/>
      <c r="T48" s="958" t="str">
        <f t="shared" si="85"/>
        <v/>
      </c>
      <c r="U48" s="959" t="str">
        <f>IF(P48=0,"",IF(P48&lt;Paramétrage!$S$12,"PB",IF(AND(Q48&lt;Paramétrage!$S$12,Q48&lt;&gt;0),"PB","")))</f>
        <v/>
      </c>
      <c r="V48" s="959" t="str">
        <f t="shared" si="72"/>
        <v/>
      </c>
      <c r="W48" s="959" t="str">
        <f t="shared" si="73"/>
        <v/>
      </c>
      <c r="X48" s="960" t="str">
        <f t="shared" ref="X48" si="87">IF(AND(N48=0,O48=0),"",(IF(OR(C48="aa",C48="cp",C48="f",C48="jc",C48="m"),"",IF(C48="",IF(OR(D48-B48&gt;6/24,H48-F48&gt;6/24,L48-J48&gt;6/24),"PB",""),IF(OR(E48-C48&gt;6/24,I48-G48&gt;6/24,M48-K48&gt;6/24),"PB","")))))</f>
        <v/>
      </c>
      <c r="Y48" s="959" t="str">
        <f t="shared" si="75"/>
        <v/>
      </c>
      <c r="Z48" s="836"/>
      <c r="AA48" s="837"/>
      <c r="AC48" s="934">
        <f t="shared" si="78"/>
        <v>42730</v>
      </c>
      <c r="AD48" s="961">
        <f>IF(AND(N(AC48)&gt;=Paramétrage!$AU$11,N(AC48)&lt;=Paramétrage!$AU$12),IF(C48="cp",1,0),0)</f>
        <v>0</v>
      </c>
      <c r="AE48" s="962">
        <f t="shared" si="76"/>
        <v>0</v>
      </c>
      <c r="AF48" s="961">
        <f>IF(AND(N(AC48)&gt;=Paramétrage!$AX$11,N(AC48)&lt;=Paramétrage!$AX$12),IF(C48="cp",1,0),0)</f>
        <v>0</v>
      </c>
      <c r="AG48" s="962">
        <f t="shared" si="77"/>
        <v>0</v>
      </c>
      <c r="AI48" s="962">
        <f t="shared" si="79"/>
        <v>0</v>
      </c>
      <c r="AJ48" s="962">
        <f t="shared" si="80"/>
        <v>0</v>
      </c>
      <c r="AM48" s="962"/>
      <c r="AN48" s="962"/>
      <c r="AO48" s="962"/>
      <c r="AP48" s="962"/>
    </row>
    <row r="49" spans="1:45" x14ac:dyDescent="0.25">
      <c r="A49" s="969" t="s">
        <v>78</v>
      </c>
      <c r="B49" s="970"/>
      <c r="C49" s="970"/>
      <c r="D49" s="970"/>
      <c r="E49" s="970"/>
      <c r="F49" s="970"/>
      <c r="G49" s="970"/>
      <c r="H49" s="970"/>
      <c r="I49" s="970"/>
      <c r="J49" s="970"/>
      <c r="K49" s="971"/>
      <c r="L49" s="970"/>
      <c r="M49" s="970"/>
      <c r="N49" s="972">
        <f>SUM(N42:N48)</f>
        <v>0</v>
      </c>
      <c r="O49" s="972">
        <f>SUM(O42:O48)</f>
        <v>0</v>
      </c>
      <c r="P49" s="972">
        <f>SUM(P42:P48)</f>
        <v>0</v>
      </c>
      <c r="Q49" s="972">
        <f>SUM(Q42:Q48)</f>
        <v>0</v>
      </c>
      <c r="R49" s="972"/>
      <c r="S49" s="972"/>
      <c r="T49" s="973"/>
      <c r="U49" s="974"/>
      <c r="V49" s="975" t="str">
        <f>IF((O49*24)&gt;48,"PB","")</f>
        <v/>
      </c>
      <c r="W49" s="974"/>
      <c r="X49" s="974"/>
      <c r="Y49" s="974"/>
      <c r="Z49" s="976" t="s">
        <v>59</v>
      </c>
      <c r="AA49" s="977">
        <f>+O49-N49</f>
        <v>0</v>
      </c>
      <c r="AC49" s="934"/>
    </row>
    <row r="50" spans="1:45" x14ac:dyDescent="0.25">
      <c r="A50" s="969"/>
      <c r="B50" s="970"/>
      <c r="C50" s="970"/>
      <c r="D50" s="970"/>
      <c r="E50" s="970"/>
      <c r="F50" s="970"/>
      <c r="G50" s="970"/>
      <c r="H50" s="970"/>
      <c r="I50" s="970"/>
      <c r="J50" s="970"/>
      <c r="K50" s="971"/>
      <c r="L50" s="970"/>
      <c r="M50" s="970"/>
      <c r="N50" s="973"/>
      <c r="O50" s="973"/>
      <c r="P50" s="973"/>
      <c r="Q50" s="973"/>
      <c r="R50" s="973"/>
      <c r="S50" s="981"/>
      <c r="T50" s="973"/>
      <c r="U50" s="974"/>
      <c r="V50" s="978"/>
      <c r="W50" s="974"/>
      <c r="X50" s="974"/>
      <c r="Y50" s="974"/>
      <c r="Z50" s="976"/>
      <c r="AA50" s="977"/>
      <c r="AC50" s="934"/>
    </row>
    <row r="51" spans="1:45" ht="16.5" x14ac:dyDescent="0.3">
      <c r="A51" s="969"/>
      <c r="B51" s="969"/>
      <c r="C51" s="969"/>
      <c r="D51" s="969"/>
      <c r="E51" s="969"/>
      <c r="F51" s="928">
        <f>+F39+7</f>
        <v>42731</v>
      </c>
      <c r="G51" s="928"/>
      <c r="H51" s="929" t="s">
        <v>58</v>
      </c>
      <c r="I51" s="928">
        <f>+F51+6</f>
        <v>42737</v>
      </c>
      <c r="J51" s="930"/>
      <c r="K51" s="969"/>
      <c r="L51" s="969"/>
      <c r="M51" s="969"/>
      <c r="N51" s="973"/>
      <c r="O51" s="969"/>
      <c r="P51" s="980"/>
      <c r="Q51" s="980"/>
      <c r="R51" s="980"/>
      <c r="S51" s="981"/>
      <c r="T51" s="980"/>
      <c r="U51" s="980"/>
      <c r="V51" s="980"/>
      <c r="W51" s="980"/>
      <c r="X51" s="980"/>
      <c r="Y51" s="980"/>
      <c r="Z51" s="976"/>
      <c r="AA51" s="995"/>
      <c r="AC51" s="934"/>
    </row>
    <row r="52" spans="1:45" ht="14.45" customHeight="1" x14ac:dyDescent="0.25">
      <c r="A52" s="994"/>
      <c r="B52" s="938" t="s">
        <v>17</v>
      </c>
      <c r="C52" s="938"/>
      <c r="D52" s="938" t="s">
        <v>18</v>
      </c>
      <c r="E52" s="938"/>
      <c r="F52" s="938" t="s">
        <v>17</v>
      </c>
      <c r="G52" s="938"/>
      <c r="H52" s="938" t="s">
        <v>18</v>
      </c>
      <c r="I52" s="938"/>
      <c r="J52" s="938" t="s">
        <v>17</v>
      </c>
      <c r="K52" s="938"/>
      <c r="L52" s="938" t="s">
        <v>18</v>
      </c>
      <c r="M52" s="938"/>
      <c r="N52" s="939" t="s">
        <v>61</v>
      </c>
      <c r="O52" s="939" t="s">
        <v>62</v>
      </c>
      <c r="P52" s="939" t="s">
        <v>60</v>
      </c>
      <c r="Q52" s="939" t="s">
        <v>63</v>
      </c>
      <c r="R52" s="939" t="s">
        <v>64</v>
      </c>
      <c r="S52" s="940" t="s">
        <v>223</v>
      </c>
      <c r="T52" s="939" t="s">
        <v>70</v>
      </c>
      <c r="U52" s="941" t="s">
        <v>65</v>
      </c>
      <c r="V52" s="942"/>
      <c r="W52" s="942"/>
      <c r="X52" s="942"/>
      <c r="Y52" s="943"/>
      <c r="Z52" s="944" t="s">
        <v>22</v>
      </c>
      <c r="AA52" s="944"/>
      <c r="AC52" s="934"/>
    </row>
    <row r="53" spans="1:45" ht="26.25" thickBot="1" x14ac:dyDescent="0.4">
      <c r="A53" s="937" t="str">
        <f>"S"&amp;WEEKNUM(F51,21)</f>
        <v>S53</v>
      </c>
      <c r="B53" s="949" t="s">
        <v>0</v>
      </c>
      <c r="C53" s="950" t="s">
        <v>1</v>
      </c>
      <c r="D53" s="949" t="s">
        <v>0</v>
      </c>
      <c r="E53" s="950" t="s">
        <v>1</v>
      </c>
      <c r="F53" s="949" t="s">
        <v>0</v>
      </c>
      <c r="G53" s="950" t="s">
        <v>1</v>
      </c>
      <c r="H53" s="949" t="s">
        <v>0</v>
      </c>
      <c r="I53" s="950" t="s">
        <v>1</v>
      </c>
      <c r="J53" s="949" t="s">
        <v>0</v>
      </c>
      <c r="K53" s="950" t="s">
        <v>1</v>
      </c>
      <c r="L53" s="949" t="s">
        <v>0</v>
      </c>
      <c r="M53" s="950" t="s">
        <v>1</v>
      </c>
      <c r="N53" s="951"/>
      <c r="O53" s="951"/>
      <c r="P53" s="951"/>
      <c r="Q53" s="951"/>
      <c r="R53" s="951"/>
      <c r="S53" s="951"/>
      <c r="T53" s="939"/>
      <c r="U53" s="952" t="s">
        <v>66</v>
      </c>
      <c r="V53" s="952" t="s">
        <v>67</v>
      </c>
      <c r="W53" s="952" t="s">
        <v>68</v>
      </c>
      <c r="X53" s="952" t="s">
        <v>137</v>
      </c>
      <c r="Y53" s="952" t="s">
        <v>69</v>
      </c>
      <c r="Z53" s="944"/>
      <c r="AA53" s="944"/>
      <c r="AC53" s="934"/>
      <c r="AM53" s="917" t="s">
        <v>274</v>
      </c>
    </row>
    <row r="54" spans="1:45" ht="14.45" customHeight="1" x14ac:dyDescent="0.3">
      <c r="A54" s="955" t="s">
        <v>12</v>
      </c>
      <c r="B54" s="414" t="b">
        <f>IF(Paramétrage!$O$42="",FALSE,Paramétrage!$O$42)</f>
        <v>0</v>
      </c>
      <c r="C54" s="263"/>
      <c r="D54" s="415" t="b">
        <f>IF(Paramétrage!$Q$42="",FALSE,Paramétrage!$Q$42)</f>
        <v>0</v>
      </c>
      <c r="E54" s="264"/>
      <c r="F54" s="414" t="b">
        <f>IF(Paramétrage!$R$42="",FALSE,Paramétrage!$R$42)</f>
        <v>0</v>
      </c>
      <c r="G54" s="264"/>
      <c r="H54" s="416" t="b">
        <f>IF(Paramétrage!$T$42="",FALSE,Paramétrage!$T$42)</f>
        <v>0</v>
      </c>
      <c r="I54" s="263"/>
      <c r="J54" s="417" t="b">
        <f>IF(Paramétrage!$U$42="",FALSE,Paramétrage!$U$42)</f>
        <v>0</v>
      </c>
      <c r="K54" s="263"/>
      <c r="L54" s="418" t="b">
        <f>IF(Paramétrage!$W$42="",FALSE,Paramétrage!$W$42)</f>
        <v>0</v>
      </c>
      <c r="M54" s="263"/>
      <c r="N54" s="956">
        <f t="shared" ref="N54:N56" si="88">IF(OR(B54="aa",B54="cp",B54="f",B54="jc",B54="m",B54="css"),0,(L54-J54)+(H54-F54)+(D54-B54))</f>
        <v>0</v>
      </c>
      <c r="O54" s="956">
        <f t="shared" ref="O54:O56" si="89">SUM(AM54:AP54)+IF(OR(C54="m",C54="aa"),N54,IF(C54="css",0,IF(C54="cp",0,IF(C54="jc",0,IF(C54="f",0,E54-C54+I54-G54+M54-K54)))))</f>
        <v>0</v>
      </c>
      <c r="P54" s="956">
        <f t="shared" ref="P54:P60" si="90">IF(OR(C54="aa",C54="cp",C54="f",C54="jc",C54="m",C54="css"),0,IF(C54="",IF(OR(F54="",F54=FALSE),0,F54-D54),IF(G54="",0,G54-E54)))</f>
        <v>0</v>
      </c>
      <c r="Q54" s="956">
        <f t="shared" ref="Q54:Q60" si="91">IF(P54=0,0,IF(G54="",IF(OR(J54="",J54=FALSE),0,J54-H54),IF(K54="",0,K54-I54)))</f>
        <v>0</v>
      </c>
      <c r="R54" s="957">
        <f t="shared" ref="R54:R56" si="92">IF(OR(C54="aa",C54="cp",C54="f",C54="jc",C54="m",C54="css"),0,IF(C54=0,MAX(B54,D54,F54,H54,J54,L54)-MIN(B54,D54,F54,H54,J54,L54),IF(C54&lt;&gt;0,MAX(C54,E54,G54,I54,K54,M54)-MIN(C54,E54,G54,I54,K54,M54))))</f>
        <v>0</v>
      </c>
      <c r="S54" s="262"/>
      <c r="T54" s="958" t="str">
        <f t="shared" ref="T54:T55" si="93">IF(AND(B54=FALSE,C54=""),"",IF(AND(B54=0,C54=0),"",(IF(OR(C54="cp",C54="f",C54="jc",C54="css"),"",IF(OR(C54="",C54="aa",C54="m"),(IF(OR(B54="cp",B54="f",B54="jc",B54="css"),"",B54*24+24-MAX(D53,H53,L53)*24)),C54*24+24-MAX(M53,I53,E53)*24)))))</f>
        <v/>
      </c>
      <c r="U54" s="959" t="str">
        <f>IF(P54=0,"",IF(P54&lt;Paramétrage!$S$12,"PB",IF(AND(Q54&lt;Paramétrage!$S$12,Q54&lt;&gt;0),"PB","")))</f>
        <v/>
      </c>
      <c r="V54" s="959" t="str">
        <f t="shared" ref="V54:V60" si="94">IF(C54="",IF((N54*24)&gt;10,"PB",""),IF((O54*24)&gt;10,"PB",""))</f>
        <v/>
      </c>
      <c r="W54" s="959" t="str">
        <f t="shared" ref="W54:W60" si="95">IF((R54*24)&gt;12,"PB","")</f>
        <v/>
      </c>
      <c r="X54" s="960" t="str">
        <f t="shared" ref="X54:X56" si="96">IF(AND(N54=0,O54=0),"",(IF(OR(C54="aa",C54="cp",C54="f",C54="jc",C54="m",C54="css"),"",IF(C54="",IF(OR(D54-B54&gt;6/24,H54-F54&gt;6/24,L54-J54&gt;6/24),"PB",""),IF(OR(E54-C54&gt;6/24,I54-G54&gt;6/24,M54-K54&gt;6/24),"PB","")))))</f>
        <v/>
      </c>
      <c r="Y54" s="959" t="str">
        <f t="shared" ref="Y54:Y60" si="97">IF(T54="","",IF(T54&lt;11,"PB",""))</f>
        <v/>
      </c>
      <c r="Z54" s="836"/>
      <c r="AA54" s="837"/>
      <c r="AC54" s="934">
        <f>AC48+1</f>
        <v>42731</v>
      </c>
      <c r="AD54" s="961">
        <f>IF(AND(N(AC54)&gt;=Paramétrage!$AU$11,N(AC54)&lt;=Paramétrage!$AU$12),IF(C54="cp",1,0),0)</f>
        <v>0</v>
      </c>
      <c r="AE54" s="962">
        <f t="shared" ref="AE54:AE60" si="98">IF(O54&lt;&gt;"erreur",N54,O54)</f>
        <v>0</v>
      </c>
      <c r="AF54" s="961">
        <f>IF(AND(N(AC54)&gt;=Paramétrage!$AX$11,N(AC54)&lt;=Paramétrage!$AX$12),IF(C54="cp",1,0),0)</f>
        <v>0</v>
      </c>
      <c r="AG54" s="962">
        <f>O54</f>
        <v>0</v>
      </c>
      <c r="AI54" s="962">
        <f>AE54+AI48</f>
        <v>0</v>
      </c>
      <c r="AJ54" s="962">
        <f>AG54+AJ48</f>
        <v>0</v>
      </c>
      <c r="AM54" s="962">
        <f>IF(AND($B54="cp",$C54="m"),$Z54,0)</f>
        <v>0</v>
      </c>
      <c r="AN54" s="962">
        <f>IF(AND($B54="jc",$C54="m"),$Z54,0)</f>
        <v>0</v>
      </c>
      <c r="AO54" s="962">
        <f>IF(AND($B54="cp",$C54="aa"),$Z54,0)</f>
        <v>0</v>
      </c>
      <c r="AP54" s="962">
        <f>IF(AND($B54="jc",$C54="aa"),$Z54,0)</f>
        <v>0</v>
      </c>
      <c r="AR54" s="917">
        <f>IF(AND(AC54&lt;=$AR$3,B54="CP"),1,0)</f>
        <v>0</v>
      </c>
      <c r="AS54" s="917">
        <f>IF(AND(AC54&lt;=$AR$3,C54="CP"),1,0)</f>
        <v>0</v>
      </c>
    </row>
    <row r="55" spans="1:45" ht="14.45" customHeight="1" x14ac:dyDescent="0.3">
      <c r="A55" s="964" t="s">
        <v>13</v>
      </c>
      <c r="B55" s="414" t="b">
        <f>IF(Paramétrage!$O$43="",FALSE,Paramétrage!$O$43)</f>
        <v>0</v>
      </c>
      <c r="C55" s="263"/>
      <c r="D55" s="415" t="b">
        <f>IF(Paramétrage!$Q$43="",FALSE,Paramétrage!$Q$43)</f>
        <v>0</v>
      </c>
      <c r="E55" s="264"/>
      <c r="F55" s="414" t="b">
        <f>IF(Paramétrage!$R$43="",FALSE,Paramétrage!$R$43)</f>
        <v>0</v>
      </c>
      <c r="G55" s="264"/>
      <c r="H55" s="416" t="b">
        <f>IF(Paramétrage!$T$43="",FALSE,Paramétrage!$T$43)</f>
        <v>0</v>
      </c>
      <c r="I55" s="263"/>
      <c r="J55" s="417" t="b">
        <f>IF(Paramétrage!$U$43="",FALSE,Paramétrage!$U$43)</f>
        <v>0</v>
      </c>
      <c r="K55" s="263"/>
      <c r="L55" s="418" t="b">
        <f>IF(Paramétrage!$W$43="",FALSE,Paramétrage!$W$43)</f>
        <v>0</v>
      </c>
      <c r="M55" s="263"/>
      <c r="N55" s="956">
        <f t="shared" si="88"/>
        <v>0</v>
      </c>
      <c r="O55" s="956">
        <f t="shared" si="89"/>
        <v>0</v>
      </c>
      <c r="P55" s="956">
        <f t="shared" si="90"/>
        <v>0</v>
      </c>
      <c r="Q55" s="956">
        <f t="shared" si="91"/>
        <v>0</v>
      </c>
      <c r="R55" s="957">
        <f t="shared" si="92"/>
        <v>0</v>
      </c>
      <c r="S55" s="262"/>
      <c r="T55" s="958" t="str">
        <f t="shared" si="93"/>
        <v/>
      </c>
      <c r="U55" s="959" t="str">
        <f>IF(P55=0,"",IF(P55&lt;Paramétrage!$S$12,"PB",IF(AND(Q55&lt;Paramétrage!$S$12,Q55&lt;&gt;0),"PB","")))</f>
        <v/>
      </c>
      <c r="V55" s="959" t="str">
        <f t="shared" si="94"/>
        <v/>
      </c>
      <c r="W55" s="959" t="str">
        <f t="shared" si="95"/>
        <v/>
      </c>
      <c r="X55" s="960" t="str">
        <f t="shared" si="96"/>
        <v/>
      </c>
      <c r="Y55" s="959" t="str">
        <f t="shared" si="97"/>
        <v/>
      </c>
      <c r="Z55" s="836"/>
      <c r="AA55" s="837"/>
      <c r="AC55" s="934">
        <f t="shared" ref="AC55:AC60" si="99">AC54+1</f>
        <v>42732</v>
      </c>
      <c r="AD55" s="961">
        <f>IF(AND(N(AC55)&gt;=Paramétrage!$AU$11,N(AC55)&lt;=Paramétrage!$AU$12),IF(C55="cp",1,0),0)</f>
        <v>0</v>
      </c>
      <c r="AE55" s="962">
        <f t="shared" si="98"/>
        <v>0</v>
      </c>
      <c r="AF55" s="961">
        <f>IF(AND(N(AC55)&gt;=Paramétrage!$AX$11,N(AC55)&lt;=Paramétrage!$AX$12),IF(C55="cp",1,0),0)</f>
        <v>0</v>
      </c>
      <c r="AG55" s="962">
        <f t="shared" ref="AG55:AG60" si="100">O55</f>
        <v>0</v>
      </c>
      <c r="AI55" s="962">
        <f t="shared" ref="AI55:AI60" si="101">AE55+AI54</f>
        <v>0</v>
      </c>
      <c r="AJ55" s="962">
        <f t="shared" ref="AJ55:AJ60" si="102">AG55+AJ54</f>
        <v>0</v>
      </c>
      <c r="AM55" s="962">
        <f t="shared" ref="AM55:AM58" si="103">IF(AND($B55="cp",$C55="m"),$Z55,0)</f>
        <v>0</v>
      </c>
      <c r="AN55" s="962">
        <f t="shared" ref="AN55:AN58" si="104">IF(AND($B55="jc",$C55="m"),$Z55,0)</f>
        <v>0</v>
      </c>
      <c r="AO55" s="962">
        <f t="shared" ref="AO55:AO58" si="105">IF(AND($B55="cp",$C55="aa"),$Z55,0)</f>
        <v>0</v>
      </c>
      <c r="AP55" s="962">
        <f t="shared" ref="AP55:AP58" si="106">IF(AND($B55="jc",$C55="aa"),$Z55,0)</f>
        <v>0</v>
      </c>
      <c r="AR55" s="917">
        <f>IF(AND(AC55&lt;=$AR$3,B55="CP"),1,0)</f>
        <v>0</v>
      </c>
      <c r="AS55" s="917">
        <f>IF(AND(AC55&lt;=$AR$3,C55="CP"),1,0)</f>
        <v>0</v>
      </c>
    </row>
    <row r="56" spans="1:45" ht="14.45" customHeight="1" x14ac:dyDescent="0.3">
      <c r="A56" s="964" t="s">
        <v>14</v>
      </c>
      <c r="B56" s="414" t="b">
        <f>IF(Paramétrage!$O$44="",FALSE,Paramétrage!$O$44)</f>
        <v>0</v>
      </c>
      <c r="C56" s="263"/>
      <c r="D56" s="415" t="b">
        <f>IF(Paramétrage!$Q$44="",FALSE,Paramétrage!$Q$44)</f>
        <v>0</v>
      </c>
      <c r="E56" s="264"/>
      <c r="F56" s="414" t="b">
        <f>IF(Paramétrage!$R$44="",FALSE,Paramétrage!$R$44)</f>
        <v>0</v>
      </c>
      <c r="G56" s="264"/>
      <c r="H56" s="416" t="b">
        <f>IF(Paramétrage!$T$44="",FALSE,Paramétrage!$T$44)</f>
        <v>0</v>
      </c>
      <c r="I56" s="263"/>
      <c r="J56" s="417" t="b">
        <f>IF(Paramétrage!$U$44="",FALSE,Paramétrage!$U$44)</f>
        <v>0</v>
      </c>
      <c r="K56" s="263"/>
      <c r="L56" s="418" t="b">
        <f>IF(Paramétrage!$W$44="",FALSE,Paramétrage!$W$44)</f>
        <v>0</v>
      </c>
      <c r="M56" s="263"/>
      <c r="N56" s="956">
        <f t="shared" si="88"/>
        <v>0</v>
      </c>
      <c r="O56" s="956">
        <f t="shared" si="89"/>
        <v>0</v>
      </c>
      <c r="P56" s="956">
        <f t="shared" si="90"/>
        <v>0</v>
      </c>
      <c r="Q56" s="956">
        <f t="shared" si="91"/>
        <v>0</v>
      </c>
      <c r="R56" s="957">
        <f t="shared" si="92"/>
        <v>0</v>
      </c>
      <c r="S56" s="262"/>
      <c r="T56" s="958" t="str">
        <f>IF(AND(B56=FALSE,C56=""),"",IF(AND(B56=0,C56=0),"",(IF(OR(C56="cp",C56="f",C56="jc",C56="css"),"",IF(OR(C56="",C56="aa",C56="m"),(IF(OR(B56="cp",B56="f",B56="jc",B56="css"),"",B56*24+24-MAX(D55,H55,L55)*24)),C56*24+24-MAX(M55,I55,E55)*24)))))</f>
        <v/>
      </c>
      <c r="U56" s="959" t="str">
        <f>IF(P56=0,"",IF(P56&lt;Paramétrage!$S$12,"PB",IF(AND(Q56&lt;Paramétrage!$S$12,Q56&lt;&gt;0),"PB","")))</f>
        <v/>
      </c>
      <c r="V56" s="959" t="str">
        <f t="shared" si="94"/>
        <v/>
      </c>
      <c r="W56" s="959" t="str">
        <f t="shared" si="95"/>
        <v/>
      </c>
      <c r="X56" s="960" t="str">
        <f t="shared" si="96"/>
        <v/>
      </c>
      <c r="Y56" s="959" t="str">
        <f t="shared" si="97"/>
        <v/>
      </c>
      <c r="Z56" s="836"/>
      <c r="AA56" s="837"/>
      <c r="AC56" s="934">
        <f t="shared" si="99"/>
        <v>42733</v>
      </c>
      <c r="AD56" s="961">
        <f>IF(AND(N(AC56)&gt;=Paramétrage!$AU$11,N(AC56)&lt;=Paramétrage!$AU$12),IF(C56="cp",1,0),0)</f>
        <v>0</v>
      </c>
      <c r="AE56" s="962">
        <f t="shared" si="98"/>
        <v>0</v>
      </c>
      <c r="AF56" s="961">
        <f>IF(AND(N(AC56)&gt;=Paramétrage!$AX$11,N(AC56)&lt;=Paramétrage!$AX$12),IF(C56="cp",1,0),0)</f>
        <v>0</v>
      </c>
      <c r="AG56" s="962">
        <f t="shared" si="100"/>
        <v>0</v>
      </c>
      <c r="AI56" s="962">
        <f t="shared" si="101"/>
        <v>0</v>
      </c>
      <c r="AJ56" s="962">
        <f t="shared" si="102"/>
        <v>0</v>
      </c>
      <c r="AM56" s="962">
        <f t="shared" si="103"/>
        <v>0</v>
      </c>
      <c r="AN56" s="962">
        <f t="shared" si="104"/>
        <v>0</v>
      </c>
      <c r="AO56" s="962">
        <f t="shared" si="105"/>
        <v>0</v>
      </c>
      <c r="AP56" s="962">
        <f t="shared" si="106"/>
        <v>0</v>
      </c>
      <c r="AR56" s="917">
        <f>IF(AND(AC56&lt;=$AR$3,B56="CP"),1,0)</f>
        <v>0</v>
      </c>
      <c r="AS56" s="917">
        <f>IF(AND(AC56&lt;=$AR$3,C56="CP"),1,0)</f>
        <v>0</v>
      </c>
    </row>
    <row r="57" spans="1:45" ht="14.45" customHeight="1" x14ac:dyDescent="0.3">
      <c r="A57" s="964" t="s">
        <v>15</v>
      </c>
      <c r="B57" s="414" t="b">
        <f>IF(Paramétrage!$O$45="",FALSE,Paramétrage!$O$45)</f>
        <v>0</v>
      </c>
      <c r="C57" s="263"/>
      <c r="D57" s="415" t="b">
        <f>IF(Paramétrage!$Q$45="",FALSE,Paramétrage!$Q$45)</f>
        <v>0</v>
      </c>
      <c r="E57" s="264"/>
      <c r="F57" s="414" t="b">
        <f>IF(Paramétrage!$R$45="",FALSE,Paramétrage!$R$45)</f>
        <v>0</v>
      </c>
      <c r="G57" s="264"/>
      <c r="H57" s="416" t="b">
        <f>IF(Paramétrage!$T$45="",FALSE,Paramétrage!$T$45)</f>
        <v>0</v>
      </c>
      <c r="I57" s="263"/>
      <c r="J57" s="417" t="b">
        <f>IF(Paramétrage!$U$45="",FALSE,Paramétrage!$U$45)</f>
        <v>0</v>
      </c>
      <c r="K57" s="263"/>
      <c r="L57" s="418" t="b">
        <f>IF(Paramétrage!$W$45="",FALSE,Paramétrage!$W$45)</f>
        <v>0</v>
      </c>
      <c r="M57" s="263"/>
      <c r="N57" s="956">
        <f>IF(OR(B57="aa",B57="cp",B57="f",B57="jc",B57="m",B57="css"),0,(L57-J57)+(H57-F57)+(D57-B57))</f>
        <v>0</v>
      </c>
      <c r="O57" s="956">
        <f>SUM(AM57:AP57)+IF(OR(C57="m",C57="aa"),N57,IF(C57="css",0,IF(C57="cp",0,IF(C57="jc",0,IF(C57="f",0,E57-C57+I57-G57+M57-K57)))))</f>
        <v>0</v>
      </c>
      <c r="P57" s="956">
        <f t="shared" si="90"/>
        <v>0</v>
      </c>
      <c r="Q57" s="956">
        <f t="shared" si="91"/>
        <v>0</v>
      </c>
      <c r="R57" s="957">
        <f>IF(OR(C57="aa",C57="cp",C57="f",C57="jc",C57="m",C57="css"),0,IF(C57=0,MAX(B57,D57,F57,H57,J57,L57)-MIN(B57,D57,F57,H57,J57,L57),IF(C57&lt;&gt;0,MAX(C57,E57,G57,I57,K57,M57)-MIN(C57,E57,G57,I57,K57,M57))))</f>
        <v>0</v>
      </c>
      <c r="S57" s="262"/>
      <c r="T57" s="958" t="str">
        <f t="shared" ref="T57:T60" si="107">IF(AND(B57=FALSE,C57=""),"",IF(AND(B57=0,C57=0),"",(IF(OR(C57="cp",C57="f",C57="jc",C57="css"),"",IF(OR(C57="",C57="aa",C57="m"),(IF(OR(B57="cp",B57="f",B57="jc",B57="css"),"",B57*24+24-MAX(D56,H56,L56)*24)),C57*24+24-MAX(M56,I56,E56)*24)))))</f>
        <v/>
      </c>
      <c r="U57" s="959" t="str">
        <f>IF(P57=0,"",IF(P57&lt;Paramétrage!$S$12,"PB",IF(AND(Q57&lt;Paramétrage!$S$12,Q57&lt;&gt;0),"PB","")))</f>
        <v/>
      </c>
      <c r="V57" s="959" t="str">
        <f t="shared" si="94"/>
        <v/>
      </c>
      <c r="W57" s="959" t="str">
        <f t="shared" si="95"/>
        <v/>
      </c>
      <c r="X57" s="960" t="str">
        <f>IF(AND(N57=0,O57=0),"",(IF(OR(C57="aa",C57="cp",C57="f",C57="jc",C57="m",C57="css"),"",IF(C57="",IF(OR(D57-B57&gt;6/24,H57-F57&gt;6/24,L57-J57&gt;6/24),"PB",""),IF(OR(E57-C57&gt;6/24,I57-G57&gt;6/24,M57-K57&gt;6/24),"PB","")))))</f>
        <v/>
      </c>
      <c r="Y57" s="959" t="str">
        <f t="shared" si="97"/>
        <v/>
      </c>
      <c r="Z57" s="836"/>
      <c r="AA57" s="837"/>
      <c r="AB57" s="967"/>
      <c r="AC57" s="934">
        <f t="shared" si="99"/>
        <v>42734</v>
      </c>
      <c r="AD57" s="961">
        <f>IF(AND(N(AC57)&gt;=Paramétrage!$AU$11,N(AC57)&lt;=Paramétrage!$AU$12),IF(C57="cp",1,0),0)</f>
        <v>0</v>
      </c>
      <c r="AE57" s="962">
        <f t="shared" si="98"/>
        <v>0</v>
      </c>
      <c r="AF57" s="961">
        <f>IF(AND(N(AC57)&gt;=Paramétrage!$AX$11,N(AC57)&lt;=Paramétrage!$AX$12),IF(C57="cp",1,0),0)</f>
        <v>0</v>
      </c>
      <c r="AG57" s="962">
        <f t="shared" si="100"/>
        <v>0</v>
      </c>
      <c r="AI57" s="962">
        <f t="shared" si="101"/>
        <v>0</v>
      </c>
      <c r="AJ57" s="962">
        <f t="shared" si="102"/>
        <v>0</v>
      </c>
      <c r="AM57" s="962">
        <f t="shared" si="103"/>
        <v>0</v>
      </c>
      <c r="AN57" s="962">
        <f t="shared" si="104"/>
        <v>0</v>
      </c>
      <c r="AO57" s="962">
        <f t="shared" si="105"/>
        <v>0</v>
      </c>
      <c r="AP57" s="962">
        <f t="shared" si="106"/>
        <v>0</v>
      </c>
      <c r="AR57" s="917">
        <f>IF(AND(AC57&lt;=$AR$3,B57="CP"),1,0)</f>
        <v>0</v>
      </c>
      <c r="AS57" s="917">
        <f>IF(AND(AC57&lt;=$AR$3,C57="CP"),1,0)</f>
        <v>0</v>
      </c>
    </row>
    <row r="58" spans="1:45" ht="14.45" customHeight="1" x14ac:dyDescent="0.3">
      <c r="A58" s="964" t="s">
        <v>16</v>
      </c>
      <c r="B58" s="414" t="b">
        <f>IF(Paramétrage!$O$46="",FALSE,Paramétrage!$O$46)</f>
        <v>0</v>
      </c>
      <c r="C58" s="263"/>
      <c r="D58" s="415" t="b">
        <f>IF(Paramétrage!$Q$46="",FALSE,Paramétrage!$Q$46)</f>
        <v>0</v>
      </c>
      <c r="E58" s="264"/>
      <c r="F58" s="414" t="b">
        <f>IF(Paramétrage!$R$46="",FALSE,Paramétrage!$R$46)</f>
        <v>0</v>
      </c>
      <c r="G58" s="264"/>
      <c r="H58" s="416" t="b">
        <f>IF(Paramétrage!$T$46="",FALSE,Paramétrage!$T$46)</f>
        <v>0</v>
      </c>
      <c r="I58" s="263"/>
      <c r="J58" s="417" t="b">
        <f>IF(Paramétrage!$U$46="",FALSE,Paramétrage!$U$46)</f>
        <v>0</v>
      </c>
      <c r="K58" s="263"/>
      <c r="L58" s="418" t="b">
        <f>IF(Paramétrage!$W$46="",FALSE,Paramétrage!$W$46)</f>
        <v>0</v>
      </c>
      <c r="M58" s="263"/>
      <c r="N58" s="956">
        <f>IF(OR(B58="aa",B58="cp",B58="f",B58="jc",B58="m",B58="css"),0,(L58-J58)+(H58-F58)+(D58-B58))</f>
        <v>0</v>
      </c>
      <c r="O58" s="956">
        <f>SUM(AM58:AP58)+IF(OR(C58="m",C58="aa"),N58,IF(C58="css",0,IF(C58="cp",0,IF(C58="jc",0,IF(C58="f",0,E58-C58+I58-G58+M58-K58)))))</f>
        <v>0</v>
      </c>
      <c r="P58" s="956">
        <f t="shared" si="90"/>
        <v>0</v>
      </c>
      <c r="Q58" s="956">
        <f t="shared" si="91"/>
        <v>0</v>
      </c>
      <c r="R58" s="957">
        <f>IF(OR(C58="aa",C58="cp",C58="f",C58="jc",C58="m",C58="css"),0,IF(C58=0,MAX(B58,D58,F58,H58,J58,L58)-MIN(B58,D58,F58,H58,J58,L58),IF(C58&lt;&gt;0,MAX(C58,E58,G58,I58,K58,M58)-MIN(C58,E58,G58,I58,K58,M58))))</f>
        <v>0</v>
      </c>
      <c r="S58" s="262"/>
      <c r="T58" s="958" t="str">
        <f t="shared" si="107"/>
        <v/>
      </c>
      <c r="U58" s="959" t="str">
        <f>IF(P58=0,"",IF(P58&lt;Paramétrage!$S$12,"PB",IF(AND(Q58&lt;Paramétrage!$S$12,Q58&lt;&gt;0),"PB","")))</f>
        <v/>
      </c>
      <c r="V58" s="959" t="str">
        <f t="shared" si="94"/>
        <v/>
      </c>
      <c r="W58" s="959" t="str">
        <f t="shared" si="95"/>
        <v/>
      </c>
      <c r="X58" s="960" t="str">
        <f>IF(AND(N58=0,O58=0),"",(IF(OR(C58="aa",C58="cp",C58="f",C58="jc",C58="m",C58="css"),"",IF(C58="",IF(OR(D58-B58&gt;6/24,H58-F58&gt;6/24,L58-J58&gt;6/24),"PB",""),IF(OR(E58-C58&gt;6/24,I58-G58&gt;6/24,M58-K58&gt;6/24),"PB","")))))</f>
        <v/>
      </c>
      <c r="Y58" s="959" t="str">
        <f t="shared" si="97"/>
        <v/>
      </c>
      <c r="Z58" s="836"/>
      <c r="AA58" s="837"/>
      <c r="AB58" s="967"/>
      <c r="AC58" s="934">
        <f t="shared" si="99"/>
        <v>42735</v>
      </c>
      <c r="AD58" s="961">
        <f>IF(AND(N(AC58)&gt;=Paramétrage!$AU$11,N(AC58)&lt;=Paramétrage!$AU$12),IF(C58="cp",1,0),0)</f>
        <v>0</v>
      </c>
      <c r="AE58" s="962">
        <f t="shared" si="98"/>
        <v>0</v>
      </c>
      <c r="AF58" s="961">
        <f>IF(AND(N(AC58)&gt;=Paramétrage!$AX$11,N(AC58)&lt;=Paramétrage!$AX$12),IF(C58="cp",1,0),0)</f>
        <v>0</v>
      </c>
      <c r="AG58" s="962">
        <f t="shared" si="100"/>
        <v>0</v>
      </c>
      <c r="AI58" s="962">
        <f t="shared" si="101"/>
        <v>0</v>
      </c>
      <c r="AJ58" s="962">
        <f t="shared" si="102"/>
        <v>0</v>
      </c>
      <c r="AM58" s="962">
        <f t="shared" si="103"/>
        <v>0</v>
      </c>
      <c r="AN58" s="962">
        <f t="shared" si="104"/>
        <v>0</v>
      </c>
      <c r="AO58" s="962">
        <f t="shared" si="105"/>
        <v>0</v>
      </c>
      <c r="AP58" s="962">
        <f t="shared" si="106"/>
        <v>0</v>
      </c>
      <c r="AR58" s="917">
        <f>IF(AND(AC58&lt;=$AR$3,B58="CP"),1,0)</f>
        <v>0</v>
      </c>
      <c r="AS58" s="917">
        <f>IF(AND(AC58&lt;=$AR$3,C58="CP"),1,0)</f>
        <v>0</v>
      </c>
    </row>
    <row r="59" spans="1:45" ht="14.45" customHeight="1" x14ac:dyDescent="0.3">
      <c r="A59" s="964" t="str">
        <f>IF(WEEKDAY('T1'!$F$3)&gt;7,"","SAMEDI")</f>
        <v>SAMEDI</v>
      </c>
      <c r="B59" s="414" t="b">
        <f>IF(Paramétrage!$O$47="",FALSE,Paramétrage!$O$47)</f>
        <v>0</v>
      </c>
      <c r="C59" s="263"/>
      <c r="D59" s="415" t="b">
        <f>IF(Paramétrage!$Q$47="",FALSE,Paramétrage!$Q$47)</f>
        <v>0</v>
      </c>
      <c r="E59" s="264"/>
      <c r="F59" s="414" t="b">
        <f>IF(Paramétrage!$R$47="",FALSE,Paramétrage!$R$47)</f>
        <v>0</v>
      </c>
      <c r="G59" s="264"/>
      <c r="H59" s="416" t="b">
        <f>IF(Paramétrage!$T$47="",FALSE,Paramétrage!$T$47)</f>
        <v>0</v>
      </c>
      <c r="I59" s="263"/>
      <c r="J59" s="417" t="b">
        <f>IF(Paramétrage!$U$47="",FALSE,Paramétrage!$U$47)</f>
        <v>0</v>
      </c>
      <c r="K59" s="263"/>
      <c r="L59" s="418" t="b">
        <f>IF(Paramétrage!$W$47="",FALSE,Paramétrage!$W$47)</f>
        <v>0</v>
      </c>
      <c r="M59" s="263"/>
      <c r="N59" s="956">
        <f>IF(OR(B59="aa",B59="cp",B59="f",B59="jc",B59="m",B59="css"),0,(L59-J59)+(H59-F59)+(D59-B59))</f>
        <v>0</v>
      </c>
      <c r="O59" s="956">
        <f>IF(OR(C59="m",C59="aa"),N59,IF(C59="cp",0,IF(OR(C59="css",C59="jc"),0,IF(C59="f",0,E59-C59+I59-G59+M59-K59))))</f>
        <v>0</v>
      </c>
      <c r="P59" s="956">
        <f t="shared" si="90"/>
        <v>0</v>
      </c>
      <c r="Q59" s="956">
        <f t="shared" si="91"/>
        <v>0</v>
      </c>
      <c r="R59" s="957">
        <f>IF(OR(C59="aa",C59="cp",C59="f",C59="jc",C59="m",C59="css"),0,IF(C59=0,MAX(B59,D59,F59,H59,J59,L59)-MIN(B59,D59,F59,H59,J59,L59),IF(C59&lt;&gt;0,MAX(C59,E59,G59,I59,K59,M59)-MIN(C59,E59,G59,I59,K59,M59))))</f>
        <v>0</v>
      </c>
      <c r="S59" s="262"/>
      <c r="T59" s="958" t="str">
        <f t="shared" si="107"/>
        <v/>
      </c>
      <c r="U59" s="959" t="str">
        <f>IF(P59=0,"",IF(P59&lt;Paramétrage!$S$12,"PB",IF(AND(Q59&lt;Paramétrage!$S$12,Q59&lt;&gt;0),"PB","")))</f>
        <v/>
      </c>
      <c r="V59" s="959" t="str">
        <f t="shared" si="94"/>
        <v/>
      </c>
      <c r="W59" s="959" t="str">
        <f t="shared" si="95"/>
        <v/>
      </c>
      <c r="X59" s="960" t="str">
        <f>IF(AND(N59=0,O59=0),"",(IF(OR(C59="aa",C59="cp",C59="f",C59="jc",C59="m",C59="css"),"",IF(C59="",IF(OR(D59-B59&gt;6/24,H59-F59&gt;6/24,L59-J59&gt;6/24),"PB",""),IF(OR(E59-C59&gt;6/24,I59-G59&gt;6/24,M59-K59&gt;6/24),"PB","")))))</f>
        <v/>
      </c>
      <c r="Y59" s="959" t="str">
        <f t="shared" si="97"/>
        <v/>
      </c>
      <c r="Z59" s="836"/>
      <c r="AA59" s="837"/>
      <c r="AC59" s="934">
        <f t="shared" si="99"/>
        <v>42736</v>
      </c>
      <c r="AD59" s="961">
        <f>IF(AND(N(AC59)&gt;=Paramétrage!$AU$11,N(AC59)&lt;=Paramétrage!$AU$12),IF(C59="cp",1,0),0)</f>
        <v>0</v>
      </c>
      <c r="AE59" s="962">
        <f t="shared" si="98"/>
        <v>0</v>
      </c>
      <c r="AF59" s="961">
        <f>IF(AND(N(AC59)&gt;=Paramétrage!$AX$11,N(AC59)&lt;=Paramétrage!$AX$12),IF(C59="cp",1,0),0)</f>
        <v>0</v>
      </c>
      <c r="AG59" s="962">
        <f t="shared" si="100"/>
        <v>0</v>
      </c>
      <c r="AI59" s="962">
        <f t="shared" si="101"/>
        <v>0</v>
      </c>
      <c r="AJ59" s="962">
        <f t="shared" si="102"/>
        <v>0</v>
      </c>
      <c r="AM59" s="962"/>
      <c r="AN59" s="962"/>
      <c r="AO59" s="962"/>
      <c r="AP59" s="962"/>
    </row>
    <row r="60" spans="1:45" ht="14.45" customHeight="1" thickBot="1" x14ac:dyDescent="0.35">
      <c r="A60" s="966" t="s">
        <v>20</v>
      </c>
      <c r="B60" s="414" t="b">
        <f>IF(Paramétrage!$O$48="",FALSE,Paramétrage!$O$48)</f>
        <v>0</v>
      </c>
      <c r="C60" s="263"/>
      <c r="D60" s="415" t="b">
        <f>IF(Paramétrage!$Q$48="",FALSE,Paramétrage!$Q$48)</f>
        <v>0</v>
      </c>
      <c r="E60" s="264"/>
      <c r="F60" s="414" t="b">
        <f>IF(Paramétrage!$R$48="",FALSE,Paramétrage!$R$48)</f>
        <v>0</v>
      </c>
      <c r="G60" s="264"/>
      <c r="H60" s="416" t="b">
        <f>IF(Paramétrage!$T$48="",FALSE,Paramétrage!$T$48)</f>
        <v>0</v>
      </c>
      <c r="I60" s="263"/>
      <c r="J60" s="417" t="b">
        <f>IF(Paramétrage!$U$48="",FALSE,Paramétrage!$U$48)</f>
        <v>0</v>
      </c>
      <c r="K60" s="263"/>
      <c r="L60" s="418" t="b">
        <f>IF(Paramétrage!$W$48="",FALSE,Paramétrage!$W$48)</f>
        <v>0</v>
      </c>
      <c r="M60" s="263"/>
      <c r="N60" s="956">
        <f>IF(OR(B60="aa",B60="m"),M60,IF(B60="cp",0,IF(B60="jc",0,IF(B60="f",0,(D60-B60)*Paramétrage!$S$13+(H60-F60)*Paramétrage!$S$13+(L60-J60)*Paramétrage!$S$13+(D60-B60+H60-F60+L60-J60)))))</f>
        <v>0</v>
      </c>
      <c r="O60" s="956">
        <f>IF(OR(C60="aa",C60="m"),N60,IF(C60="cp",0,IF(C60="jc",0,IF(C60="f",0,(E60-C60)*Paramétrage!$S$13+(I60-G60)*Paramétrage!$S$13+(M60-K60)*Paramétrage!$S$13+(E60-C60+I60-G60+M60-K60)))))</f>
        <v>0</v>
      </c>
      <c r="P60" s="956">
        <f t="shared" si="90"/>
        <v>0</v>
      </c>
      <c r="Q60" s="956">
        <f t="shared" si="91"/>
        <v>0</v>
      </c>
      <c r="R60" s="957">
        <f t="shared" ref="R60" si="108">IF(OR(C60="aa",C60="cp",C60="f",C60="jc",C60="m",C60=0),MAX(B60,D60,F60,H60,J60,L60)-MIN(B60,D60,F60,H60,J60,L60),IF(C60&lt;&gt;0,MAX(C60,E60,G60,I60,K60,M60)-MIN(C60,E60,G60,I60,K60,M60)))</f>
        <v>0</v>
      </c>
      <c r="S60" s="262"/>
      <c r="T60" s="958" t="str">
        <f t="shared" si="107"/>
        <v/>
      </c>
      <c r="U60" s="959" t="str">
        <f>IF(P60=0,"",IF(P60&lt;Paramétrage!$S$12,"PB",IF(AND(Q60&lt;Paramétrage!$S$12,Q60&lt;&gt;0),"PB","")))</f>
        <v/>
      </c>
      <c r="V60" s="959" t="str">
        <f t="shared" si="94"/>
        <v/>
      </c>
      <c r="W60" s="959" t="str">
        <f t="shared" si="95"/>
        <v/>
      </c>
      <c r="X60" s="960" t="str">
        <f t="shared" ref="X60" si="109">IF(AND(N60=0,O60=0),"",(IF(OR(C60="aa",C60="cp",C60="f",C60="jc",C60="m"),"",IF(C60="",IF(OR(D60-B60&gt;6/24,H60-F60&gt;6/24,L60-J60&gt;6/24),"PB",""),IF(OR(E60-C60&gt;6/24,I60-G60&gt;6/24,M60-K60&gt;6/24),"PB","")))))</f>
        <v/>
      </c>
      <c r="Y60" s="959" t="str">
        <f t="shared" si="97"/>
        <v/>
      </c>
      <c r="Z60" s="836"/>
      <c r="AA60" s="837"/>
      <c r="AC60" s="934">
        <f t="shared" si="99"/>
        <v>42737</v>
      </c>
      <c r="AD60" s="961">
        <f>IF(AND(N(AC60)&gt;=Paramétrage!$AU$11,N(AC60)&lt;=Paramétrage!$AU$12),IF(C60="cp",1,0),0)</f>
        <v>0</v>
      </c>
      <c r="AE60" s="962">
        <f t="shared" si="98"/>
        <v>0</v>
      </c>
      <c r="AF60" s="961">
        <f>IF(AND(N(AC60)&gt;=Paramétrage!$AX$11,N(AC60)&lt;=Paramétrage!$AX$12),IF(C60="cp",1,0),0)</f>
        <v>0</v>
      </c>
      <c r="AG60" s="962">
        <f t="shared" si="100"/>
        <v>0</v>
      </c>
      <c r="AI60" s="962">
        <f t="shared" si="101"/>
        <v>0</v>
      </c>
      <c r="AJ60" s="962">
        <f t="shared" si="102"/>
        <v>0</v>
      </c>
      <c r="AM60" s="962"/>
      <c r="AN60" s="962"/>
      <c r="AO60" s="962"/>
      <c r="AP60" s="962"/>
    </row>
    <row r="61" spans="1:45" x14ac:dyDescent="0.25">
      <c r="A61" s="969" t="s">
        <v>78</v>
      </c>
      <c r="B61" s="970"/>
      <c r="C61" s="970"/>
      <c r="D61" s="970"/>
      <c r="E61" s="970"/>
      <c r="F61" s="970"/>
      <c r="G61" s="970"/>
      <c r="H61" s="970"/>
      <c r="I61" s="970"/>
      <c r="J61" s="970"/>
      <c r="K61" s="971"/>
      <c r="L61" s="970"/>
      <c r="M61" s="970"/>
      <c r="N61" s="972">
        <f>SUM(N54:N60)</f>
        <v>0</v>
      </c>
      <c r="O61" s="972">
        <f>SUM(O54:O60)</f>
        <v>0</v>
      </c>
      <c r="P61" s="972">
        <f>SUM(P54:P60)</f>
        <v>0</v>
      </c>
      <c r="Q61" s="972">
        <f>SUM(Q54:Q60)</f>
        <v>0</v>
      </c>
      <c r="R61" s="972"/>
      <c r="S61" s="972"/>
      <c r="T61" s="973"/>
      <c r="U61" s="974"/>
      <c r="V61" s="975" t="str">
        <f>IF((O61*24)&gt;48,"PB","")</f>
        <v/>
      </c>
      <c r="W61" s="974"/>
      <c r="X61" s="974"/>
      <c r="Y61" s="974"/>
      <c r="Z61" s="976" t="s">
        <v>59</v>
      </c>
      <c r="AA61" s="977">
        <f>+O61-N61</f>
        <v>0</v>
      </c>
      <c r="AC61" s="934"/>
    </row>
    <row r="62" spans="1:45" x14ac:dyDescent="0.25">
      <c r="A62" s="969"/>
      <c r="B62" s="970"/>
      <c r="C62" s="970"/>
      <c r="D62" s="970"/>
      <c r="E62" s="970"/>
      <c r="F62" s="970"/>
      <c r="G62" s="970"/>
      <c r="H62" s="970"/>
      <c r="I62" s="970"/>
      <c r="J62" s="970"/>
      <c r="K62" s="971"/>
      <c r="L62" s="970"/>
      <c r="M62" s="970"/>
      <c r="N62" s="972"/>
      <c r="O62" s="972"/>
      <c r="P62" s="972"/>
      <c r="Q62" s="972"/>
      <c r="R62" s="972"/>
      <c r="S62" s="981"/>
      <c r="T62" s="973"/>
      <c r="U62" s="974"/>
      <c r="V62" s="978"/>
      <c r="W62" s="974"/>
      <c r="X62" s="974"/>
      <c r="Y62" s="974"/>
      <c r="Z62" s="976"/>
      <c r="AA62" s="977"/>
      <c r="AC62" s="934"/>
    </row>
    <row r="63" spans="1:45" s="935" customFormat="1" ht="16.5" x14ac:dyDescent="0.3">
      <c r="A63" s="969"/>
      <c r="B63" s="969"/>
      <c r="C63" s="969"/>
      <c r="D63" s="969"/>
      <c r="E63" s="969"/>
      <c r="F63" s="928">
        <f>+F51+7</f>
        <v>42738</v>
      </c>
      <c r="G63" s="928"/>
      <c r="H63" s="929" t="s">
        <v>58</v>
      </c>
      <c r="I63" s="928">
        <f>+F63+6</f>
        <v>42744</v>
      </c>
      <c r="J63" s="930"/>
      <c r="K63" s="969"/>
      <c r="L63" s="969"/>
      <c r="M63" s="969"/>
      <c r="N63" s="973"/>
      <c r="O63" s="969"/>
      <c r="P63" s="980"/>
      <c r="Q63" s="980"/>
      <c r="R63" s="980"/>
      <c r="S63" s="981"/>
      <c r="T63" s="980"/>
      <c r="U63" s="1052"/>
      <c r="V63" s="1052"/>
      <c r="W63" s="1052"/>
      <c r="X63" s="1052"/>
      <c r="Y63" s="1052"/>
      <c r="Z63" s="1053"/>
      <c r="AA63" s="1054"/>
      <c r="AB63" s="917"/>
      <c r="AC63" s="934"/>
      <c r="AD63" s="917"/>
      <c r="AE63" s="917"/>
      <c r="AF63" s="917"/>
      <c r="AG63" s="917"/>
      <c r="AH63" s="917"/>
      <c r="AI63" s="917"/>
      <c r="AJ63" s="917"/>
      <c r="AK63" s="917"/>
      <c r="AL63" s="917"/>
      <c r="AM63" s="917"/>
      <c r="AN63" s="917"/>
      <c r="AO63" s="917"/>
      <c r="AP63" s="917"/>
      <c r="AR63" s="917"/>
      <c r="AS63" s="917"/>
    </row>
    <row r="64" spans="1:45" ht="14.45" customHeight="1" x14ac:dyDescent="0.25">
      <c r="A64" s="994"/>
      <c r="B64" s="938" t="s">
        <v>17</v>
      </c>
      <c r="C64" s="938"/>
      <c r="D64" s="938" t="s">
        <v>18</v>
      </c>
      <c r="E64" s="938"/>
      <c r="F64" s="938" t="s">
        <v>17</v>
      </c>
      <c r="G64" s="938"/>
      <c r="H64" s="938" t="s">
        <v>18</v>
      </c>
      <c r="I64" s="938"/>
      <c r="J64" s="938" t="s">
        <v>17</v>
      </c>
      <c r="K64" s="938"/>
      <c r="L64" s="938" t="s">
        <v>18</v>
      </c>
      <c r="M64" s="938"/>
      <c r="N64" s="939" t="s">
        <v>61</v>
      </c>
      <c r="O64" s="939" t="s">
        <v>62</v>
      </c>
      <c r="P64" s="939" t="s">
        <v>60</v>
      </c>
      <c r="Q64" s="939" t="s">
        <v>63</v>
      </c>
      <c r="R64" s="939" t="s">
        <v>64</v>
      </c>
      <c r="S64" s="940" t="s">
        <v>223</v>
      </c>
      <c r="T64" s="939" t="s">
        <v>70</v>
      </c>
      <c r="U64" s="941" t="s">
        <v>65</v>
      </c>
      <c r="V64" s="942"/>
      <c r="W64" s="942"/>
      <c r="X64" s="942"/>
      <c r="Y64" s="943"/>
      <c r="Z64" s="944" t="s">
        <v>22</v>
      </c>
      <c r="AA64" s="944"/>
      <c r="AC64" s="934"/>
    </row>
    <row r="65" spans="1:45" ht="26.25" thickBot="1" x14ac:dyDescent="0.4">
      <c r="A65" s="937" t="str">
        <f>"S"&amp;WEEKNUM(F63,21)</f>
        <v>S1</v>
      </c>
      <c r="B65" s="949" t="s">
        <v>0</v>
      </c>
      <c r="C65" s="950" t="s">
        <v>1</v>
      </c>
      <c r="D65" s="949" t="s">
        <v>0</v>
      </c>
      <c r="E65" s="950" t="s">
        <v>1</v>
      </c>
      <c r="F65" s="949" t="s">
        <v>0</v>
      </c>
      <c r="G65" s="950" t="s">
        <v>1</v>
      </c>
      <c r="H65" s="949" t="s">
        <v>0</v>
      </c>
      <c r="I65" s="950" t="s">
        <v>1</v>
      </c>
      <c r="J65" s="949" t="s">
        <v>0</v>
      </c>
      <c r="K65" s="950" t="s">
        <v>1</v>
      </c>
      <c r="L65" s="949" t="s">
        <v>0</v>
      </c>
      <c r="M65" s="950" t="s">
        <v>1</v>
      </c>
      <c r="N65" s="951"/>
      <c r="O65" s="951"/>
      <c r="P65" s="951"/>
      <c r="Q65" s="951"/>
      <c r="R65" s="951"/>
      <c r="S65" s="951"/>
      <c r="T65" s="939"/>
      <c r="U65" s="952" t="s">
        <v>66</v>
      </c>
      <c r="V65" s="952" t="s">
        <v>67</v>
      </c>
      <c r="W65" s="952" t="s">
        <v>68</v>
      </c>
      <c r="X65" s="952" t="s">
        <v>137</v>
      </c>
      <c r="Y65" s="952" t="s">
        <v>69</v>
      </c>
      <c r="Z65" s="944"/>
      <c r="AA65" s="944"/>
      <c r="AC65" s="934"/>
      <c r="AM65" s="917" t="s">
        <v>274</v>
      </c>
    </row>
    <row r="66" spans="1:45" ht="14.25" customHeight="1" x14ac:dyDescent="0.3">
      <c r="A66" s="955" t="s">
        <v>12</v>
      </c>
      <c r="B66" s="414" t="b">
        <f>IF(Paramétrage!$O$42="",FALSE,Paramétrage!$O$42)</f>
        <v>0</v>
      </c>
      <c r="C66" s="263"/>
      <c r="D66" s="415" t="b">
        <f>IF(Paramétrage!$Q$42="",FALSE,Paramétrage!$Q$42)</f>
        <v>0</v>
      </c>
      <c r="E66" s="264"/>
      <c r="F66" s="414" t="b">
        <f>IF(Paramétrage!$R$42="",FALSE,Paramétrage!$R$42)</f>
        <v>0</v>
      </c>
      <c r="G66" s="264"/>
      <c r="H66" s="416" t="b">
        <f>IF(Paramétrage!$T$42="",FALSE,Paramétrage!$T$42)</f>
        <v>0</v>
      </c>
      <c r="I66" s="263"/>
      <c r="J66" s="417" t="b">
        <f>IF(Paramétrage!$U$42="",FALSE,Paramétrage!$U$42)</f>
        <v>0</v>
      </c>
      <c r="K66" s="263"/>
      <c r="L66" s="418" t="b">
        <f>IF(Paramétrage!$W$42="",FALSE,Paramétrage!$W$42)</f>
        <v>0</v>
      </c>
      <c r="M66" s="263"/>
      <c r="N66" s="956">
        <f t="shared" ref="N66:N68" si="110">IF(OR(B66="aa",B66="cp",B66="f",B66="jc",B66="m",B66="css"),0,(L66-J66)+(H66-F66)+(D66-B66))</f>
        <v>0</v>
      </c>
      <c r="O66" s="956">
        <f t="shared" ref="O66:O68" si="111">SUM(AM66:AP66)+IF(OR(C66="m",C66="aa"),N66,IF(C66="css",0,IF(C66="cp",0,IF(C66="jc",0,IF(C66="f",0,E66-C66+I66-G66+M66-K66)))))</f>
        <v>0</v>
      </c>
      <c r="P66" s="956">
        <f t="shared" ref="P66:P72" si="112">IF(OR(C66="aa",C66="cp",C66="f",C66="jc",C66="m",C66="css"),0,IF(C66="",IF(OR(F66="",F66=FALSE),0,F66-D66),IF(G66="",0,G66-E66)))</f>
        <v>0</v>
      </c>
      <c r="Q66" s="956">
        <f t="shared" ref="Q66:Q72" si="113">IF(P66=0,0,IF(G66="",IF(OR(J66="",J66=FALSE),0,J66-H66),IF(K66="",0,K66-I66)))</f>
        <v>0</v>
      </c>
      <c r="R66" s="957">
        <f t="shared" ref="R66:R68" si="114">IF(OR(C66="aa",C66="cp",C66="f",C66="jc",C66="m",C66="css"),0,IF(C66=0,MAX(B66,D66,F66,H66,J66,L66)-MIN(B66,D66,F66,H66,J66,L66),IF(C66&lt;&gt;0,MAX(C66,E66,G66,I66,K66,M66)-MIN(C66,E66,G66,I66,K66,M66))))</f>
        <v>0</v>
      </c>
      <c r="S66" s="262"/>
      <c r="T66" s="958" t="str">
        <f t="shared" ref="T66:T67" si="115">IF(AND(B66=FALSE,C66=""),"",IF(AND(B66=0,C66=0),"",(IF(OR(C66="cp",C66="f",C66="jc",C66="css"),"",IF(OR(C66="",C66="aa",C66="m"),(IF(OR(B66="cp",B66="f",B66="jc",B66="css"),"",B66*24+24-MAX(D65,H65,L65)*24)),C66*24+24-MAX(M65,I65,E65)*24)))))</f>
        <v/>
      </c>
      <c r="U66" s="959" t="str">
        <f>IF(P66=0,"",IF(P66&lt;Paramétrage!$S$12,"PB",IF(AND(Q66&lt;Paramétrage!$S$12,Q66&lt;&gt;0),"PB","")))</f>
        <v/>
      </c>
      <c r="V66" s="959" t="str">
        <f t="shared" ref="V66:V72" si="116">IF(C66="",IF((N66*24)&gt;10,"PB",""),IF((O66*24)&gt;10,"PB",""))</f>
        <v/>
      </c>
      <c r="W66" s="959" t="str">
        <f t="shared" ref="W66:W72" si="117">IF((R66*24)&gt;12,"PB","")</f>
        <v/>
      </c>
      <c r="X66" s="960" t="str">
        <f t="shared" ref="X66:X68" si="118">IF(AND(N66=0,O66=0),"",(IF(OR(C66="aa",C66="cp",C66="f",C66="jc",C66="m",C66="css"),"",IF(C66="",IF(OR(D66-B66&gt;6/24,H66-F66&gt;6/24,L66-J66&gt;6/24),"PB",""),IF(OR(E66-C66&gt;6/24,I66-G66&gt;6/24,M66-K66&gt;6/24),"PB","")))))</f>
        <v/>
      </c>
      <c r="Y66" s="959" t="str">
        <f t="shared" ref="Y66:Y72" si="119">IF(T66="","",IF(T66&lt;11,"PB",""))</f>
        <v/>
      </c>
      <c r="Z66" s="836"/>
      <c r="AA66" s="837"/>
      <c r="AC66" s="934">
        <f>AC60+1</f>
        <v>42738</v>
      </c>
      <c r="AD66" s="961">
        <f>IF(AND(N(AC66)&gt;=Paramétrage!$AU$11,N(AC66)&lt;=Paramétrage!$AU$12),IF(C66="cp",1,0),0)</f>
        <v>0</v>
      </c>
      <c r="AE66" s="962">
        <f t="shared" ref="AE66:AE72" si="120">IF(O66&lt;&gt;"erreur",N66,O66)</f>
        <v>0</v>
      </c>
      <c r="AF66" s="961">
        <f>IF(AND(N(AC66)&gt;=Paramétrage!$AX$11,N(AC66)&lt;=Paramétrage!$AX$12),IF(C66="cp",1,0),0)</f>
        <v>0</v>
      </c>
      <c r="AG66" s="962">
        <f t="shared" ref="AG66:AG72" si="121">O66</f>
        <v>0</v>
      </c>
      <c r="AI66" s="962">
        <f>AE66+AI60</f>
        <v>0</v>
      </c>
      <c r="AJ66" s="962">
        <f>AG66+AJ60</f>
        <v>0</v>
      </c>
      <c r="AM66" s="962">
        <f>IF(AND($B66="cp",$C66="m"),$Z66,0)</f>
        <v>0</v>
      </c>
      <c r="AN66" s="962">
        <f>IF(AND($B66="jc",$C66="m"),$Z66,0)</f>
        <v>0</v>
      </c>
      <c r="AO66" s="962">
        <f>IF(AND($B66="cp",$C66="aa"),$Z66,0)</f>
        <v>0</v>
      </c>
      <c r="AP66" s="962">
        <f>IF(AND($B66="jc",$C66="aa"),$Z66,0)</f>
        <v>0</v>
      </c>
      <c r="AR66" s="917">
        <f>IF(AND(AC66&lt;=$AR$3,B66="CP"),1,0)</f>
        <v>0</v>
      </c>
      <c r="AS66" s="917">
        <f>IF(AND(AC66&lt;=$AR$3,C66="CP"),1,0)</f>
        <v>0</v>
      </c>
    </row>
    <row r="67" spans="1:45" ht="14.25" customHeight="1" x14ac:dyDescent="0.3">
      <c r="A67" s="964" t="s">
        <v>13</v>
      </c>
      <c r="B67" s="414" t="b">
        <f>IF(Paramétrage!$O$43="",FALSE,Paramétrage!$O$43)</f>
        <v>0</v>
      </c>
      <c r="C67" s="263"/>
      <c r="D67" s="415" t="b">
        <f>IF(Paramétrage!$Q$43="",FALSE,Paramétrage!$Q$43)</f>
        <v>0</v>
      </c>
      <c r="E67" s="264"/>
      <c r="F67" s="414" t="b">
        <f>IF(Paramétrage!$R$43="",FALSE,Paramétrage!$R$43)</f>
        <v>0</v>
      </c>
      <c r="G67" s="264"/>
      <c r="H67" s="416" t="b">
        <f>IF(Paramétrage!$T$43="",FALSE,Paramétrage!$T$43)</f>
        <v>0</v>
      </c>
      <c r="I67" s="263"/>
      <c r="J67" s="417" t="b">
        <f>IF(Paramétrage!$U$43="",FALSE,Paramétrage!$U$43)</f>
        <v>0</v>
      </c>
      <c r="K67" s="263"/>
      <c r="L67" s="418" t="b">
        <f>IF(Paramétrage!$W$43="",FALSE,Paramétrage!$W$43)</f>
        <v>0</v>
      </c>
      <c r="M67" s="263"/>
      <c r="N67" s="956">
        <f t="shared" si="110"/>
        <v>0</v>
      </c>
      <c r="O67" s="956">
        <f t="shared" si="111"/>
        <v>0</v>
      </c>
      <c r="P67" s="956">
        <f t="shared" si="112"/>
        <v>0</v>
      </c>
      <c r="Q67" s="956">
        <f t="shared" si="113"/>
        <v>0</v>
      </c>
      <c r="R67" s="957">
        <f t="shared" si="114"/>
        <v>0</v>
      </c>
      <c r="S67" s="262"/>
      <c r="T67" s="958" t="str">
        <f t="shared" si="115"/>
        <v/>
      </c>
      <c r="U67" s="959" t="str">
        <f>IF(P67=0,"",IF(P67&lt;Paramétrage!$S$12,"PB",IF(AND(Q67&lt;Paramétrage!$S$12,Q67&lt;&gt;0),"PB","")))</f>
        <v/>
      </c>
      <c r="V67" s="959" t="str">
        <f t="shared" si="116"/>
        <v/>
      </c>
      <c r="W67" s="959" t="str">
        <f t="shared" si="117"/>
        <v/>
      </c>
      <c r="X67" s="960" t="str">
        <f t="shared" si="118"/>
        <v/>
      </c>
      <c r="Y67" s="959" t="str">
        <f t="shared" si="119"/>
        <v/>
      </c>
      <c r="Z67" s="836"/>
      <c r="AA67" s="837"/>
      <c r="AC67" s="934">
        <f t="shared" ref="AC67:AC72" si="122">AC66+1</f>
        <v>42739</v>
      </c>
      <c r="AD67" s="961">
        <f>IF(AND(N(AC67)&gt;=Paramétrage!$AU$11,N(AC67)&lt;=Paramétrage!$AU$12),IF(C67="cp",1,0),0)</f>
        <v>0</v>
      </c>
      <c r="AE67" s="962">
        <f t="shared" si="120"/>
        <v>0</v>
      </c>
      <c r="AF67" s="961">
        <f>IF(AND(N(AC67)&gt;=Paramétrage!$AX$11,N(AC67)&lt;=Paramétrage!$AX$12),IF(C67="cp",1,0),0)</f>
        <v>0</v>
      </c>
      <c r="AG67" s="962">
        <f t="shared" si="121"/>
        <v>0</v>
      </c>
      <c r="AI67" s="962">
        <f t="shared" ref="AI67:AI72" si="123">AE67+AI66</f>
        <v>0</v>
      </c>
      <c r="AJ67" s="962">
        <f t="shared" ref="AJ67:AJ72" si="124">AG67+AJ66</f>
        <v>0</v>
      </c>
      <c r="AM67" s="962">
        <f t="shared" ref="AM67:AM70" si="125">IF(AND($B67="cp",$C67="m"),$Z67,0)</f>
        <v>0</v>
      </c>
      <c r="AN67" s="962">
        <f t="shared" ref="AN67:AN70" si="126">IF(AND($B67="jc",$C67="m"),$Z67,0)</f>
        <v>0</v>
      </c>
      <c r="AO67" s="962">
        <f t="shared" ref="AO67:AO70" si="127">IF(AND($B67="cp",$C67="aa"),$Z67,0)</f>
        <v>0</v>
      </c>
      <c r="AP67" s="962">
        <f t="shared" ref="AP67:AP70" si="128">IF(AND($B67="jc",$C67="aa"),$Z67,0)</f>
        <v>0</v>
      </c>
      <c r="AR67" s="917">
        <f>IF(AND(AC67&lt;=$AR$3,B67="CP"),1,0)</f>
        <v>0</v>
      </c>
      <c r="AS67" s="917">
        <f>IF(AND(AC67&lt;=$AR$3,C67="CP"),1,0)</f>
        <v>0</v>
      </c>
    </row>
    <row r="68" spans="1:45" ht="14.25" customHeight="1" x14ac:dyDescent="0.3">
      <c r="A68" s="964" t="s">
        <v>14</v>
      </c>
      <c r="B68" s="414" t="b">
        <f>IF(Paramétrage!$O$44="",FALSE,Paramétrage!$O$44)</f>
        <v>0</v>
      </c>
      <c r="C68" s="263"/>
      <c r="D68" s="415" t="b">
        <f>IF(Paramétrage!$Q$44="",FALSE,Paramétrage!$Q$44)</f>
        <v>0</v>
      </c>
      <c r="E68" s="264"/>
      <c r="F68" s="414" t="b">
        <f>IF(Paramétrage!$R$44="",FALSE,Paramétrage!$R$44)</f>
        <v>0</v>
      </c>
      <c r="G68" s="264"/>
      <c r="H68" s="416" t="b">
        <f>IF(Paramétrage!$T$44="",FALSE,Paramétrage!$T$44)</f>
        <v>0</v>
      </c>
      <c r="I68" s="263"/>
      <c r="J68" s="417" t="b">
        <f>IF(Paramétrage!$U$44="",FALSE,Paramétrage!$U$44)</f>
        <v>0</v>
      </c>
      <c r="K68" s="263"/>
      <c r="L68" s="418" t="b">
        <f>IF(Paramétrage!$W$44="",FALSE,Paramétrage!$W$44)</f>
        <v>0</v>
      </c>
      <c r="M68" s="263"/>
      <c r="N68" s="956">
        <f t="shared" si="110"/>
        <v>0</v>
      </c>
      <c r="O68" s="956">
        <f t="shared" si="111"/>
        <v>0</v>
      </c>
      <c r="P68" s="956">
        <f t="shared" si="112"/>
        <v>0</v>
      </c>
      <c r="Q68" s="956">
        <f t="shared" si="113"/>
        <v>0</v>
      </c>
      <c r="R68" s="957">
        <f t="shared" si="114"/>
        <v>0</v>
      </c>
      <c r="S68" s="262"/>
      <c r="T68" s="958" t="str">
        <f>IF(AND(B68=FALSE,C68=""),"",IF(AND(B68=0,C68=0),"",(IF(OR(C68="cp",C68="f",C68="jc",C68="css"),"",IF(OR(C68="",C68="aa",C68="m"),(IF(OR(B68="cp",B68="f",B68="jc",B68="css"),"",B68*24+24-MAX(D67,H67,L67)*24)),C68*24+24-MAX(M67,I67,E67)*24)))))</f>
        <v/>
      </c>
      <c r="U68" s="959" t="str">
        <f>IF(P68=0,"",IF(P68&lt;Paramétrage!$S$12,"PB",IF(AND(Q68&lt;Paramétrage!$S$12,Q68&lt;&gt;0),"PB","")))</f>
        <v/>
      </c>
      <c r="V68" s="959" t="str">
        <f t="shared" si="116"/>
        <v/>
      </c>
      <c r="W68" s="959" t="str">
        <f t="shared" si="117"/>
        <v/>
      </c>
      <c r="X68" s="960" t="str">
        <f t="shared" si="118"/>
        <v/>
      </c>
      <c r="Y68" s="959" t="str">
        <f t="shared" si="119"/>
        <v/>
      </c>
      <c r="Z68" s="836"/>
      <c r="AA68" s="837"/>
      <c r="AC68" s="934">
        <f t="shared" si="122"/>
        <v>42740</v>
      </c>
      <c r="AD68" s="961">
        <f>IF(AND(N(AC68)&gt;=Paramétrage!$AU$11,N(AC68)&lt;=Paramétrage!$AU$12),IF(C68="cp",1,0),0)</f>
        <v>0</v>
      </c>
      <c r="AE68" s="962">
        <f t="shared" si="120"/>
        <v>0</v>
      </c>
      <c r="AF68" s="961">
        <f>IF(AND(N(AC68)&gt;=Paramétrage!$AX$11,N(AC68)&lt;=Paramétrage!$AX$12),IF(C68="cp",1,0),0)</f>
        <v>0</v>
      </c>
      <c r="AG68" s="962">
        <f t="shared" si="121"/>
        <v>0</v>
      </c>
      <c r="AI68" s="962">
        <f t="shared" si="123"/>
        <v>0</v>
      </c>
      <c r="AJ68" s="962">
        <f t="shared" si="124"/>
        <v>0</v>
      </c>
      <c r="AM68" s="962">
        <f t="shared" si="125"/>
        <v>0</v>
      </c>
      <c r="AN68" s="962">
        <f t="shared" si="126"/>
        <v>0</v>
      </c>
      <c r="AO68" s="962">
        <f t="shared" si="127"/>
        <v>0</v>
      </c>
      <c r="AP68" s="962">
        <f t="shared" si="128"/>
        <v>0</v>
      </c>
      <c r="AR68" s="917">
        <f>IF(AND(AC68&lt;=$AR$3,B68="CP"),1,0)</f>
        <v>0</v>
      </c>
      <c r="AS68" s="917">
        <f>IF(AND(AC68&lt;=$AR$3,C68="CP"),1,0)</f>
        <v>0</v>
      </c>
    </row>
    <row r="69" spans="1:45" ht="14.25" customHeight="1" x14ac:dyDescent="0.3">
      <c r="A69" s="964" t="s">
        <v>15</v>
      </c>
      <c r="B69" s="414" t="b">
        <f>IF(Paramétrage!$O$45="",FALSE,Paramétrage!$O$45)</f>
        <v>0</v>
      </c>
      <c r="C69" s="263"/>
      <c r="D69" s="415" t="b">
        <f>IF(Paramétrage!$Q$45="",FALSE,Paramétrage!$Q$45)</f>
        <v>0</v>
      </c>
      <c r="E69" s="264"/>
      <c r="F69" s="414" t="b">
        <f>IF(Paramétrage!$R$45="",FALSE,Paramétrage!$R$45)</f>
        <v>0</v>
      </c>
      <c r="G69" s="264"/>
      <c r="H69" s="416" t="b">
        <f>IF(Paramétrage!$T$45="",FALSE,Paramétrage!$T$45)</f>
        <v>0</v>
      </c>
      <c r="I69" s="263"/>
      <c r="J69" s="417" t="b">
        <f>IF(Paramétrage!$U$45="",FALSE,Paramétrage!$U$45)</f>
        <v>0</v>
      </c>
      <c r="K69" s="263"/>
      <c r="L69" s="418" t="b">
        <f>IF(Paramétrage!$W$45="",FALSE,Paramétrage!$W$45)</f>
        <v>0</v>
      </c>
      <c r="M69" s="263"/>
      <c r="N69" s="956">
        <f>IF(OR(B69="aa",B69="cp",B69="f",B69="jc",B69="m",B69="css"),0,(L69-J69)+(H69-F69)+(D69-B69))</f>
        <v>0</v>
      </c>
      <c r="O69" s="956">
        <f>SUM(AM69:AP69)+IF(OR(C69="m",C69="aa"),N69,IF(C69="css",0,IF(C69="cp",0,IF(C69="jc",0,IF(C69="f",0,E69-C69+I69-G69+M69-K69)))))</f>
        <v>0</v>
      </c>
      <c r="P69" s="956">
        <f t="shared" si="112"/>
        <v>0</v>
      </c>
      <c r="Q69" s="956">
        <f t="shared" si="113"/>
        <v>0</v>
      </c>
      <c r="R69" s="957">
        <f>IF(OR(C69="aa",C69="cp",C69="f",C69="jc",C69="m",C69="css"),0,IF(C69=0,MAX(B69,D69,F69,H69,J69,L69)-MIN(B69,D69,F69,H69,J69,L69),IF(C69&lt;&gt;0,MAX(C69,E69,G69,I69,K69,M69)-MIN(C69,E69,G69,I69,K69,M69))))</f>
        <v>0</v>
      </c>
      <c r="S69" s="262"/>
      <c r="T69" s="958" t="str">
        <f t="shared" ref="T69:T72" si="129">IF(AND(B69=FALSE,C69=""),"",IF(AND(B69=0,C69=0),"",(IF(OR(C69="cp",C69="f",C69="jc",C69="css"),"",IF(OR(C69="",C69="aa",C69="m"),(IF(OR(B69="cp",B69="f",B69="jc",B69="css"),"",B69*24+24-MAX(D68,H68,L68)*24)),C69*24+24-MAX(M68,I68,E68)*24)))))</f>
        <v/>
      </c>
      <c r="U69" s="959" t="str">
        <f>IF(P69=0,"",IF(P69&lt;Paramétrage!$S$12,"PB",IF(AND(Q69&lt;Paramétrage!$S$12,Q69&lt;&gt;0),"PB","")))</f>
        <v/>
      </c>
      <c r="V69" s="959" t="str">
        <f t="shared" si="116"/>
        <v/>
      </c>
      <c r="W69" s="959" t="str">
        <f t="shared" si="117"/>
        <v/>
      </c>
      <c r="X69" s="960" t="str">
        <f>IF(AND(N69=0,O69=0),"",(IF(OR(C69="aa",C69="cp",C69="f",C69="jc",C69="m",C69="css"),"",IF(C69="",IF(OR(D69-B69&gt;6/24,H69-F69&gt;6/24,L69-J69&gt;6/24),"PB",""),IF(OR(E69-C69&gt;6/24,I69-G69&gt;6/24,M69-K69&gt;6/24),"PB","")))))</f>
        <v/>
      </c>
      <c r="Y69" s="959" t="str">
        <f t="shared" si="119"/>
        <v/>
      </c>
      <c r="Z69" s="836"/>
      <c r="AA69" s="837"/>
      <c r="AC69" s="934">
        <f t="shared" si="122"/>
        <v>42741</v>
      </c>
      <c r="AD69" s="961">
        <f>IF(AND(N(AC69)&gt;=Paramétrage!$AU$11,N(AC69)&lt;=Paramétrage!$AU$12),IF(C69="cp",1,0),0)</f>
        <v>0</v>
      </c>
      <c r="AE69" s="962">
        <f t="shared" si="120"/>
        <v>0</v>
      </c>
      <c r="AF69" s="961">
        <f>IF(AND(N(AC69)&gt;=Paramétrage!$AX$11,N(AC69)&lt;=Paramétrage!$AX$12),IF(C69="cp",1,0),0)</f>
        <v>0</v>
      </c>
      <c r="AG69" s="962">
        <f t="shared" si="121"/>
        <v>0</v>
      </c>
      <c r="AI69" s="962">
        <f t="shared" si="123"/>
        <v>0</v>
      </c>
      <c r="AJ69" s="962">
        <f t="shared" si="124"/>
        <v>0</v>
      </c>
      <c r="AM69" s="962">
        <f t="shared" si="125"/>
        <v>0</v>
      </c>
      <c r="AN69" s="962">
        <f t="shared" si="126"/>
        <v>0</v>
      </c>
      <c r="AO69" s="962">
        <f t="shared" si="127"/>
        <v>0</v>
      </c>
      <c r="AP69" s="962">
        <f t="shared" si="128"/>
        <v>0</v>
      </c>
      <c r="AR69" s="917">
        <f>IF(AND(AC69&lt;=$AR$3,B69="CP"),1,0)</f>
        <v>0</v>
      </c>
      <c r="AS69" s="917">
        <f>IF(AND(AC69&lt;=$AR$3,C69="CP"),1,0)</f>
        <v>0</v>
      </c>
    </row>
    <row r="70" spans="1:45" ht="14.25" customHeight="1" x14ac:dyDescent="0.3">
      <c r="A70" s="964" t="s">
        <v>16</v>
      </c>
      <c r="B70" s="414" t="b">
        <f>IF(Paramétrage!$O$46="",FALSE,Paramétrage!$O$46)</f>
        <v>0</v>
      </c>
      <c r="C70" s="263"/>
      <c r="D70" s="415" t="b">
        <f>IF(Paramétrage!$Q$46="",FALSE,Paramétrage!$Q$46)</f>
        <v>0</v>
      </c>
      <c r="E70" s="264"/>
      <c r="F70" s="414" t="b">
        <f>IF(Paramétrage!$R$46="",FALSE,Paramétrage!$R$46)</f>
        <v>0</v>
      </c>
      <c r="G70" s="264"/>
      <c r="H70" s="416" t="b">
        <f>IF(Paramétrage!$T$46="",FALSE,Paramétrage!$T$46)</f>
        <v>0</v>
      </c>
      <c r="I70" s="263"/>
      <c r="J70" s="417" t="b">
        <f>IF(Paramétrage!$U$46="",FALSE,Paramétrage!$U$46)</f>
        <v>0</v>
      </c>
      <c r="K70" s="263"/>
      <c r="L70" s="418" t="b">
        <f>IF(Paramétrage!$W$46="",FALSE,Paramétrage!$W$46)</f>
        <v>0</v>
      </c>
      <c r="M70" s="263"/>
      <c r="N70" s="956">
        <f>IF(OR(B70="aa",B70="cp",B70="f",B70="jc",B70="m",B70="css"),0,(L70-J70)+(H70-F70)+(D70-B70))</f>
        <v>0</v>
      </c>
      <c r="O70" s="956">
        <f>SUM(AM70:AP70)+IF(OR(C70="m",C70="aa"),N70,IF(C70="css",0,IF(C70="cp",0,IF(C70="jc",0,IF(C70="f",0,E70-C70+I70-G70+M70-K70)))))</f>
        <v>0</v>
      </c>
      <c r="P70" s="956">
        <f t="shared" si="112"/>
        <v>0</v>
      </c>
      <c r="Q70" s="956">
        <f t="shared" si="113"/>
        <v>0</v>
      </c>
      <c r="R70" s="957">
        <f>IF(OR(C70="aa",C70="cp",C70="f",C70="jc",C70="m",C70="css"),0,IF(C70=0,MAX(B70,D70,F70,H70,J70,L70)-MIN(B70,D70,F70,H70,J70,L70),IF(C70&lt;&gt;0,MAX(C70,E70,G70,I70,K70,M70)-MIN(C70,E70,G70,I70,K70,M70))))</f>
        <v>0</v>
      </c>
      <c r="S70" s="262"/>
      <c r="T70" s="958" t="str">
        <f t="shared" si="129"/>
        <v/>
      </c>
      <c r="U70" s="959" t="str">
        <f>IF(P70=0,"",IF(P70&lt;Paramétrage!$S$12,"PB",IF(AND(Q70&lt;Paramétrage!$S$12,Q70&lt;&gt;0),"PB","")))</f>
        <v/>
      </c>
      <c r="V70" s="959" t="str">
        <f t="shared" si="116"/>
        <v/>
      </c>
      <c r="W70" s="959" t="str">
        <f t="shared" si="117"/>
        <v/>
      </c>
      <c r="X70" s="960" t="str">
        <f>IF(AND(N70=0,O70=0),"",(IF(OR(C70="aa",C70="cp",C70="f",C70="jc",C70="m",C70="css"),"",IF(C70="",IF(OR(D70-B70&gt;6/24,H70-F70&gt;6/24,L70-J70&gt;6/24),"PB",""),IF(OR(E70-C70&gt;6/24,I70-G70&gt;6/24,M70-K70&gt;6/24),"PB","")))))</f>
        <v/>
      </c>
      <c r="Y70" s="959" t="str">
        <f t="shared" si="119"/>
        <v/>
      </c>
      <c r="Z70" s="836"/>
      <c r="AA70" s="837"/>
      <c r="AC70" s="934">
        <f t="shared" si="122"/>
        <v>42742</v>
      </c>
      <c r="AD70" s="961">
        <f>IF(AND(N(AC70)&gt;=Paramétrage!$AU$11,N(AC70)&lt;=Paramétrage!$AU$12),IF(C70="cp",1,0),0)</f>
        <v>0</v>
      </c>
      <c r="AE70" s="962">
        <f t="shared" si="120"/>
        <v>0</v>
      </c>
      <c r="AF70" s="961">
        <f>IF(AND(N(AC70)&gt;=Paramétrage!$AX$11,N(AC70)&lt;=Paramétrage!$AX$12),IF(C70="cp",1,0),0)</f>
        <v>0</v>
      </c>
      <c r="AG70" s="962">
        <f t="shared" si="121"/>
        <v>0</v>
      </c>
      <c r="AI70" s="962">
        <f t="shared" si="123"/>
        <v>0</v>
      </c>
      <c r="AJ70" s="962">
        <f t="shared" si="124"/>
        <v>0</v>
      </c>
      <c r="AM70" s="962">
        <f t="shared" si="125"/>
        <v>0</v>
      </c>
      <c r="AN70" s="962">
        <f t="shared" si="126"/>
        <v>0</v>
      </c>
      <c r="AO70" s="962">
        <f t="shared" si="127"/>
        <v>0</v>
      </c>
      <c r="AP70" s="962">
        <f t="shared" si="128"/>
        <v>0</v>
      </c>
      <c r="AR70" s="917">
        <f>IF(AND(AC70&lt;=$AR$3,B70="CP"),1,0)</f>
        <v>0</v>
      </c>
      <c r="AS70" s="917">
        <f>IF(AND(AC70&lt;=$AR$3,C70="CP"),1,0)</f>
        <v>0</v>
      </c>
    </row>
    <row r="71" spans="1:45" ht="14.25" customHeight="1" x14ac:dyDescent="0.3">
      <c r="A71" s="964" t="s">
        <v>19</v>
      </c>
      <c r="B71" s="414" t="b">
        <f>IF(Paramétrage!$O$47="",FALSE,Paramétrage!$O$47)</f>
        <v>0</v>
      </c>
      <c r="C71" s="263"/>
      <c r="D71" s="415" t="b">
        <f>IF(Paramétrage!$Q$47="",FALSE,Paramétrage!$Q$47)</f>
        <v>0</v>
      </c>
      <c r="E71" s="264"/>
      <c r="F71" s="414" t="b">
        <f>IF(Paramétrage!$R$47="",FALSE,Paramétrage!$R$47)</f>
        <v>0</v>
      </c>
      <c r="G71" s="264"/>
      <c r="H71" s="416" t="b">
        <f>IF(Paramétrage!$T$47="",FALSE,Paramétrage!$T$47)</f>
        <v>0</v>
      </c>
      <c r="I71" s="263"/>
      <c r="J71" s="417" t="b">
        <f>IF(Paramétrage!$U$47="",FALSE,Paramétrage!$U$47)</f>
        <v>0</v>
      </c>
      <c r="K71" s="263"/>
      <c r="L71" s="418" t="b">
        <f>IF(Paramétrage!$W$47="",FALSE,Paramétrage!$W$47)</f>
        <v>0</v>
      </c>
      <c r="M71" s="263"/>
      <c r="N71" s="956">
        <f>IF(OR(B71="aa",B71="cp",B71="f",B71="jc",B71="m",B71="css"),0,(L71-J71)+(H71-F71)+(D71-B71))</f>
        <v>0</v>
      </c>
      <c r="O71" s="956">
        <f>IF(OR(C71="m",C71="aa"),N71,IF(C71="cp",0,IF(OR(C71="css",C71="jc"),0,IF(C71="f",0,E71-C71+I71-G71+M71-K71))))</f>
        <v>0</v>
      </c>
      <c r="P71" s="956">
        <f t="shared" si="112"/>
        <v>0</v>
      </c>
      <c r="Q71" s="956">
        <f t="shared" si="113"/>
        <v>0</v>
      </c>
      <c r="R71" s="957">
        <f>IF(OR(C71="aa",C71="cp",C71="f",C71="jc",C71="m",C71="css"),0,IF(C71=0,MAX(B71,D71,F71,H71,J71,L71)-MIN(B71,D71,F71,H71,J71,L71),IF(C71&lt;&gt;0,MAX(C71,E71,G71,I71,K71,M71)-MIN(C71,E71,G71,I71,K71,M71))))</f>
        <v>0</v>
      </c>
      <c r="S71" s="262"/>
      <c r="T71" s="958" t="str">
        <f t="shared" si="129"/>
        <v/>
      </c>
      <c r="U71" s="959" t="str">
        <f>IF(P71=0,"",IF(P71&lt;Paramétrage!$S$12,"PB",IF(AND(Q71&lt;Paramétrage!$S$12,Q71&lt;&gt;0),"PB","")))</f>
        <v/>
      </c>
      <c r="V71" s="959" t="str">
        <f t="shared" si="116"/>
        <v/>
      </c>
      <c r="W71" s="959" t="str">
        <f t="shared" si="117"/>
        <v/>
      </c>
      <c r="X71" s="960" t="str">
        <f>IF(AND(N71=0,O71=0),"",(IF(OR(C71="aa",C71="cp",C71="f",C71="jc",C71="m",C71="css"),"",IF(C71="",IF(OR(D71-B71&gt;6/24,H71-F71&gt;6/24,L71-J71&gt;6/24),"PB",""),IF(OR(E71-C71&gt;6/24,I71-G71&gt;6/24,M71-K71&gt;6/24),"PB","")))))</f>
        <v/>
      </c>
      <c r="Y71" s="959" t="str">
        <f t="shared" si="119"/>
        <v/>
      </c>
      <c r="Z71" s="836"/>
      <c r="AA71" s="837"/>
      <c r="AC71" s="934">
        <f t="shared" si="122"/>
        <v>42743</v>
      </c>
      <c r="AD71" s="961">
        <f>IF(AND(N(AC71)&gt;=Paramétrage!$AU$11,N(AC71)&lt;=Paramétrage!$AU$12),IF(C71="cp",1,0),0)</f>
        <v>0</v>
      </c>
      <c r="AE71" s="962">
        <f t="shared" si="120"/>
        <v>0</v>
      </c>
      <c r="AF71" s="961">
        <f>IF(AND(N(AC71)&gt;=Paramétrage!$AX$11,N(AC71)&lt;=Paramétrage!$AX$12),IF(C71="cp",1,0),0)</f>
        <v>0</v>
      </c>
      <c r="AG71" s="962">
        <f t="shared" si="121"/>
        <v>0</v>
      </c>
      <c r="AI71" s="962">
        <f t="shared" si="123"/>
        <v>0</v>
      </c>
      <c r="AJ71" s="962">
        <f t="shared" si="124"/>
        <v>0</v>
      </c>
      <c r="AM71" s="962"/>
      <c r="AN71" s="962"/>
      <c r="AO71" s="962"/>
      <c r="AP71" s="962"/>
    </row>
    <row r="72" spans="1:45" ht="14.25" customHeight="1" thickBot="1" x14ac:dyDescent="0.35">
      <c r="A72" s="966" t="s">
        <v>20</v>
      </c>
      <c r="B72" s="414" t="b">
        <f>IF(Paramétrage!$O$48="",FALSE,Paramétrage!$O$48)</f>
        <v>0</v>
      </c>
      <c r="C72" s="263"/>
      <c r="D72" s="415" t="b">
        <f>IF(Paramétrage!$Q$48="",FALSE,Paramétrage!$Q$48)</f>
        <v>0</v>
      </c>
      <c r="E72" s="264"/>
      <c r="F72" s="414" t="b">
        <f>IF(Paramétrage!$R$48="",FALSE,Paramétrage!$R$48)</f>
        <v>0</v>
      </c>
      <c r="G72" s="264"/>
      <c r="H72" s="416" t="b">
        <f>IF(Paramétrage!$T$48="",FALSE,Paramétrage!$T$48)</f>
        <v>0</v>
      </c>
      <c r="I72" s="263"/>
      <c r="J72" s="417" t="b">
        <f>IF(Paramétrage!$U$48="",FALSE,Paramétrage!$U$48)</f>
        <v>0</v>
      </c>
      <c r="K72" s="263"/>
      <c r="L72" s="418" t="b">
        <f>IF(Paramétrage!$W$48="",FALSE,Paramétrage!$W$48)</f>
        <v>0</v>
      </c>
      <c r="M72" s="263"/>
      <c r="N72" s="956">
        <f>IF(OR(B72="aa",B72="m"),M72,IF(B72="cp",0,IF(B72="jc",0,IF(B72="f",0,(D72-B72)*Paramétrage!$S$13+(H72-F72)*Paramétrage!$S$13+(L72-J72)*Paramétrage!$S$13+(D72-B72+H72-F72+L72-J72)))))</f>
        <v>0</v>
      </c>
      <c r="O72" s="956">
        <f>IF(OR(C72="aa",C72="m"),N72,IF(C72="cp",0,IF(C72="jc",0,IF(C72="f",0,(E72-C72)*Paramétrage!$S$13+(I72-G72)*Paramétrage!$S$13+(M72-K72)*Paramétrage!$S$13+(E72-C72+I72-G72+M72-K72)))))</f>
        <v>0</v>
      </c>
      <c r="P72" s="956">
        <f t="shared" si="112"/>
        <v>0</v>
      </c>
      <c r="Q72" s="956">
        <f t="shared" si="113"/>
        <v>0</v>
      </c>
      <c r="R72" s="957">
        <f t="shared" ref="R72" si="130">IF(OR(C72="aa",C72="cp",C72="f",C72="jc",C72="m",C72=0),MAX(B72,D72,F72,H72,J72,L72)-MIN(B72,D72,F72,H72,J72,L72),IF(C72&lt;&gt;0,MAX(C72,E72,G72,I72,K72,M72)-MIN(C72,E72,G72,I72,K72,M72)))</f>
        <v>0</v>
      </c>
      <c r="S72" s="262"/>
      <c r="T72" s="958" t="str">
        <f t="shared" si="129"/>
        <v/>
      </c>
      <c r="U72" s="959" t="str">
        <f>IF(P72=0,"",IF(P72&lt;Paramétrage!$S$12,"PB",IF(AND(Q72&lt;Paramétrage!$S$12,Q72&lt;&gt;0),"PB","")))</f>
        <v/>
      </c>
      <c r="V72" s="959" t="str">
        <f t="shared" si="116"/>
        <v/>
      </c>
      <c r="W72" s="959" t="str">
        <f t="shared" si="117"/>
        <v/>
      </c>
      <c r="X72" s="960" t="str">
        <f t="shared" ref="X72" si="131">IF(AND(N72=0,O72=0),"",(IF(OR(C72="aa",C72="cp",C72="f",C72="jc",C72="m"),"",IF(C72="",IF(OR(D72-B72&gt;6/24,H72-F72&gt;6/24,L72-J72&gt;6/24),"PB",""),IF(OR(E72-C72&gt;6/24,I72-G72&gt;6/24,M72-K72&gt;6/24),"PB","")))))</f>
        <v/>
      </c>
      <c r="Y72" s="959" t="str">
        <f t="shared" si="119"/>
        <v/>
      </c>
      <c r="Z72" s="836"/>
      <c r="AA72" s="837"/>
      <c r="AB72" s="967"/>
      <c r="AC72" s="934">
        <f t="shared" si="122"/>
        <v>42744</v>
      </c>
      <c r="AD72" s="961">
        <f>IF(AND(N(AC72)&gt;=Paramétrage!$AU$11,N(AC72)&lt;=Paramétrage!$AU$12),IF(C72="cp",1,0),0)</f>
        <v>0</v>
      </c>
      <c r="AE72" s="962">
        <f t="shared" si="120"/>
        <v>0</v>
      </c>
      <c r="AF72" s="961">
        <f>IF(AND(N(AC72)&gt;=Paramétrage!$AX$11,N(AC72)&lt;=Paramétrage!$AX$12),IF(C72="cp",1,0),0)</f>
        <v>0</v>
      </c>
      <c r="AG72" s="962">
        <f t="shared" si="121"/>
        <v>0</v>
      </c>
      <c r="AI72" s="962">
        <f t="shared" si="123"/>
        <v>0</v>
      </c>
      <c r="AJ72" s="962">
        <f t="shared" si="124"/>
        <v>0</v>
      </c>
      <c r="AM72" s="962"/>
      <c r="AN72" s="962"/>
      <c r="AO72" s="962"/>
      <c r="AP72" s="962"/>
    </row>
    <row r="73" spans="1:45" s="935" customFormat="1" x14ac:dyDescent="0.25">
      <c r="A73" s="969" t="s">
        <v>24</v>
      </c>
      <c r="B73" s="970"/>
      <c r="C73" s="970"/>
      <c r="D73" s="970"/>
      <c r="E73" s="970"/>
      <c r="F73" s="970"/>
      <c r="G73" s="970"/>
      <c r="H73" s="970"/>
      <c r="I73" s="970"/>
      <c r="J73" s="970"/>
      <c r="K73" s="971"/>
      <c r="L73" s="970"/>
      <c r="M73" s="970"/>
      <c r="N73" s="972">
        <f>SUM(N66:N72)</f>
        <v>0</v>
      </c>
      <c r="O73" s="972">
        <f>SUM(O66:O72)</f>
        <v>0</v>
      </c>
      <c r="P73" s="972">
        <f>SUM(P66:P72)</f>
        <v>0</v>
      </c>
      <c r="Q73" s="972">
        <f>SUM(Q66:Q72)</f>
        <v>0</v>
      </c>
      <c r="R73" s="972"/>
      <c r="S73" s="972"/>
      <c r="T73" s="973"/>
      <c r="U73" s="974"/>
      <c r="V73" s="975" t="str">
        <f>IF((O73*24)&gt;48,"PB","")</f>
        <v/>
      </c>
      <c r="W73" s="974"/>
      <c r="X73" s="974"/>
      <c r="Y73" s="974"/>
      <c r="Z73" s="1053" t="s">
        <v>59</v>
      </c>
      <c r="AA73" s="1055">
        <f>+O73-N73</f>
        <v>0</v>
      </c>
      <c r="AB73" s="917"/>
      <c r="AC73" s="934"/>
      <c r="AE73" s="917"/>
      <c r="AF73" s="917"/>
      <c r="AG73" s="917"/>
      <c r="AH73" s="917"/>
      <c r="AI73" s="917"/>
      <c r="AJ73" s="917"/>
      <c r="AK73" s="917"/>
      <c r="AL73" s="917"/>
      <c r="AM73" s="917"/>
      <c r="AN73" s="917"/>
      <c r="AO73" s="917"/>
      <c r="AP73" s="917"/>
      <c r="AR73" s="917"/>
      <c r="AS73" s="917"/>
    </row>
    <row r="74" spans="1:45" s="935" customFormat="1" x14ac:dyDescent="0.25">
      <c r="A74" s="969"/>
      <c r="B74" s="969"/>
      <c r="C74" s="969"/>
      <c r="D74" s="969"/>
      <c r="E74" s="969"/>
      <c r="F74" s="1052"/>
      <c r="G74" s="1052"/>
      <c r="H74" s="1052"/>
      <c r="I74" s="1052"/>
      <c r="J74" s="1052"/>
      <c r="K74" s="969"/>
      <c r="L74" s="969"/>
      <c r="M74" s="969"/>
      <c r="N74" s="973"/>
      <c r="O74" s="969"/>
      <c r="P74" s="980"/>
      <c r="Q74" s="980"/>
      <c r="R74" s="980"/>
      <c r="S74" s="981"/>
      <c r="T74" s="980"/>
      <c r="U74" s="1052"/>
      <c r="V74" s="1052"/>
      <c r="W74" s="1052"/>
      <c r="X74" s="1052"/>
      <c r="Y74" s="1052"/>
      <c r="Z74" s="1053"/>
      <c r="AA74" s="1055"/>
      <c r="AB74" s="917"/>
      <c r="AC74" s="934"/>
      <c r="AE74" s="917"/>
      <c r="AF74" s="917"/>
      <c r="AG74" s="917"/>
      <c r="AH74" s="917"/>
      <c r="AI74" s="917"/>
      <c r="AJ74" s="917"/>
      <c r="AK74" s="917"/>
      <c r="AL74" s="917"/>
      <c r="AM74" s="917"/>
      <c r="AN74" s="917"/>
      <c r="AO74" s="917"/>
      <c r="AP74" s="917"/>
      <c r="AR74" s="917"/>
      <c r="AS74" s="917"/>
    </row>
    <row r="75" spans="1:45" s="935" customFormat="1" ht="16.5" x14ac:dyDescent="0.3">
      <c r="A75" s="969"/>
      <c r="B75" s="969"/>
      <c r="C75" s="969"/>
      <c r="D75" s="969"/>
      <c r="E75" s="969"/>
      <c r="F75" s="928">
        <f>+F63+7</f>
        <v>42745</v>
      </c>
      <c r="G75" s="928"/>
      <c r="H75" s="929" t="s">
        <v>58</v>
      </c>
      <c r="I75" s="928">
        <f>+F75+6</f>
        <v>42751</v>
      </c>
      <c r="J75" s="930"/>
      <c r="K75" s="969"/>
      <c r="L75" s="969"/>
      <c r="M75" s="969"/>
      <c r="N75" s="973"/>
      <c r="O75" s="969"/>
      <c r="P75" s="980"/>
      <c r="Q75" s="980"/>
      <c r="R75" s="980"/>
      <c r="S75" s="981"/>
      <c r="T75" s="980"/>
      <c r="U75" s="1052"/>
      <c r="V75" s="1052"/>
      <c r="W75" s="1052"/>
      <c r="X75" s="1052"/>
      <c r="Y75" s="1052"/>
      <c r="Z75" s="1053"/>
      <c r="AA75" s="1054"/>
      <c r="AB75" s="917"/>
      <c r="AC75" s="934"/>
      <c r="AE75" s="917"/>
      <c r="AF75" s="917"/>
      <c r="AG75" s="917"/>
      <c r="AH75" s="917"/>
      <c r="AI75" s="917"/>
      <c r="AJ75" s="917"/>
      <c r="AK75" s="917"/>
      <c r="AL75" s="917"/>
      <c r="AM75" s="917"/>
      <c r="AN75" s="917"/>
      <c r="AO75" s="917"/>
      <c r="AP75" s="917"/>
      <c r="AR75" s="917"/>
      <c r="AS75" s="917"/>
    </row>
    <row r="76" spans="1:45" ht="14.45" customHeight="1" x14ac:dyDescent="0.25">
      <c r="A76" s="994"/>
      <c r="B76" s="938" t="s">
        <v>17</v>
      </c>
      <c r="C76" s="938"/>
      <c r="D76" s="938" t="s">
        <v>18</v>
      </c>
      <c r="E76" s="938"/>
      <c r="F76" s="938" t="s">
        <v>17</v>
      </c>
      <c r="G76" s="938"/>
      <c r="H76" s="938" t="s">
        <v>18</v>
      </c>
      <c r="I76" s="938"/>
      <c r="J76" s="938" t="s">
        <v>17</v>
      </c>
      <c r="K76" s="938"/>
      <c r="L76" s="938" t="s">
        <v>18</v>
      </c>
      <c r="M76" s="938"/>
      <c r="N76" s="939" t="s">
        <v>61</v>
      </c>
      <c r="O76" s="939" t="s">
        <v>62</v>
      </c>
      <c r="P76" s="939" t="s">
        <v>60</v>
      </c>
      <c r="Q76" s="939" t="s">
        <v>63</v>
      </c>
      <c r="R76" s="939" t="s">
        <v>64</v>
      </c>
      <c r="S76" s="940" t="s">
        <v>223</v>
      </c>
      <c r="T76" s="939" t="s">
        <v>70</v>
      </c>
      <c r="U76" s="941" t="s">
        <v>65</v>
      </c>
      <c r="V76" s="942"/>
      <c r="W76" s="942"/>
      <c r="X76" s="942"/>
      <c r="Y76" s="943"/>
      <c r="Z76" s="944" t="s">
        <v>22</v>
      </c>
      <c r="AA76" s="944"/>
      <c r="AC76" s="934"/>
    </row>
    <row r="77" spans="1:45" ht="26.25" thickBot="1" x14ac:dyDescent="0.4">
      <c r="A77" s="937" t="str">
        <f>"S"&amp;WEEKNUM(F75,21)</f>
        <v>S2</v>
      </c>
      <c r="B77" s="949" t="s">
        <v>0</v>
      </c>
      <c r="C77" s="950" t="s">
        <v>1</v>
      </c>
      <c r="D77" s="949" t="s">
        <v>0</v>
      </c>
      <c r="E77" s="950" t="s">
        <v>1</v>
      </c>
      <c r="F77" s="949" t="s">
        <v>0</v>
      </c>
      <c r="G77" s="950" t="s">
        <v>1</v>
      </c>
      <c r="H77" s="949" t="s">
        <v>0</v>
      </c>
      <c r="I77" s="950" t="s">
        <v>1</v>
      </c>
      <c r="J77" s="949" t="s">
        <v>0</v>
      </c>
      <c r="K77" s="950" t="s">
        <v>1</v>
      </c>
      <c r="L77" s="949" t="s">
        <v>0</v>
      </c>
      <c r="M77" s="950" t="s">
        <v>1</v>
      </c>
      <c r="N77" s="951"/>
      <c r="O77" s="951"/>
      <c r="P77" s="951"/>
      <c r="Q77" s="951"/>
      <c r="R77" s="951"/>
      <c r="S77" s="951"/>
      <c r="T77" s="939"/>
      <c r="U77" s="952" t="s">
        <v>66</v>
      </c>
      <c r="V77" s="952" t="s">
        <v>67</v>
      </c>
      <c r="W77" s="952" t="s">
        <v>68</v>
      </c>
      <c r="X77" s="952" t="s">
        <v>137</v>
      </c>
      <c r="Y77" s="952" t="s">
        <v>69</v>
      </c>
      <c r="Z77" s="944"/>
      <c r="AA77" s="944"/>
      <c r="AC77" s="934"/>
      <c r="AM77" s="917" t="s">
        <v>274</v>
      </c>
    </row>
    <row r="78" spans="1:45" ht="14.25" customHeight="1" x14ac:dyDescent="0.3">
      <c r="A78" s="955" t="s">
        <v>12</v>
      </c>
      <c r="B78" s="414" t="b">
        <f>IF(Paramétrage!$O$42="",FALSE,Paramétrage!$O$42)</f>
        <v>0</v>
      </c>
      <c r="C78" s="263"/>
      <c r="D78" s="415" t="b">
        <f>IF(Paramétrage!$Q$42="",FALSE,Paramétrage!$Q$42)</f>
        <v>0</v>
      </c>
      <c r="E78" s="264"/>
      <c r="F78" s="414" t="b">
        <f>IF(Paramétrage!$R$42="",FALSE,Paramétrage!$R$42)</f>
        <v>0</v>
      </c>
      <c r="G78" s="264"/>
      <c r="H78" s="416" t="b">
        <f>IF(Paramétrage!$T$42="",FALSE,Paramétrage!$T$42)</f>
        <v>0</v>
      </c>
      <c r="I78" s="263"/>
      <c r="J78" s="417" t="b">
        <f>IF(Paramétrage!$U$42="",FALSE,Paramétrage!$U$42)</f>
        <v>0</v>
      </c>
      <c r="K78" s="263"/>
      <c r="L78" s="418" t="b">
        <f>IF(Paramétrage!$W$42="",FALSE,Paramétrage!$W$42)</f>
        <v>0</v>
      </c>
      <c r="M78" s="263"/>
      <c r="N78" s="956">
        <f t="shared" ref="N78:N80" si="132">IF(OR(B78="aa",B78="cp",B78="f",B78="jc",B78="m",B78="css"),0,(L78-J78)+(H78-F78)+(D78-B78))</f>
        <v>0</v>
      </c>
      <c r="O78" s="956">
        <f t="shared" ref="O78:O80" si="133">SUM(AM78:AP78)+IF(OR(C78="m",C78="aa"),N78,IF(C78="css",0,IF(C78="cp",0,IF(C78="jc",0,IF(C78="f",0,E78-C78+I78-G78+M78-K78)))))</f>
        <v>0</v>
      </c>
      <c r="P78" s="956">
        <f t="shared" ref="P78:P84" si="134">IF(OR(C78="aa",C78="cp",C78="f",C78="jc",C78="m",C78="css"),0,IF(C78="",IF(OR(F78="",F78=FALSE),0,F78-D78),IF(G78="",0,G78-E78)))</f>
        <v>0</v>
      </c>
      <c r="Q78" s="956">
        <f t="shared" ref="Q78:Q84" si="135">IF(P78=0,0,IF(G78="",IF(OR(J78="",J78=FALSE),0,J78-H78),IF(K78="",0,K78-I78)))</f>
        <v>0</v>
      </c>
      <c r="R78" s="957">
        <f t="shared" ref="R78:R80" si="136">IF(OR(C78="aa",C78="cp",C78="f",C78="jc",C78="m",C78="css"),0,IF(C78=0,MAX(B78,D78,F78,H78,J78,L78)-MIN(B78,D78,F78,H78,J78,L78),IF(C78&lt;&gt;0,MAX(C78,E78,G78,I78,K78,M78)-MIN(C78,E78,G78,I78,K78,M78))))</f>
        <v>0</v>
      </c>
      <c r="S78" s="262"/>
      <c r="T78" s="958" t="str">
        <f t="shared" ref="T78:T79" si="137">IF(AND(B78=FALSE,C78=""),"",IF(AND(B78=0,C78=0),"",(IF(OR(C78="cp",C78="f",C78="jc",C78="css"),"",IF(OR(C78="",C78="aa",C78="m"),(IF(OR(B78="cp",B78="f",B78="jc",B78="css"),"",B78*24+24-MAX(D77,H77,L77)*24)),C78*24+24-MAX(M77,I77,E77)*24)))))</f>
        <v/>
      </c>
      <c r="U78" s="959" t="str">
        <f>IF(P78=0,"",IF(P78&lt;Paramétrage!$S$12,"PB",IF(AND(Q78&lt;Paramétrage!$S$12,Q78&lt;&gt;0),"PB","")))</f>
        <v/>
      </c>
      <c r="V78" s="959" t="str">
        <f t="shared" ref="V78:V84" si="138">IF(C78="",IF((N78*24)&gt;10,"PB",""),IF((O78*24)&gt;10,"PB",""))</f>
        <v/>
      </c>
      <c r="W78" s="959" t="str">
        <f t="shared" ref="W78:W84" si="139">IF((R78*24)&gt;12,"PB","")</f>
        <v/>
      </c>
      <c r="X78" s="960" t="str">
        <f t="shared" ref="X78:X80" si="140">IF(AND(N78=0,O78=0),"",(IF(OR(C78="aa",C78="cp",C78="f",C78="jc",C78="m",C78="css"),"",IF(C78="",IF(OR(D78-B78&gt;6/24,H78-F78&gt;6/24,L78-J78&gt;6/24),"PB",""),IF(OR(E78-C78&gt;6/24,I78-G78&gt;6/24,M78-K78&gt;6/24),"PB","")))))</f>
        <v/>
      </c>
      <c r="Y78" s="959" t="str">
        <f t="shared" ref="Y78:Y84" si="141">IF(T78="","",IF(T78&lt;11,"PB",""))</f>
        <v/>
      </c>
      <c r="Z78" s="836"/>
      <c r="AA78" s="837"/>
      <c r="AC78" s="934">
        <f>AC72+1</f>
        <v>42745</v>
      </c>
      <c r="AD78" s="961">
        <f>IF(AND(N(AC78)&gt;=Paramétrage!$AU$11,N(AC78)&lt;=Paramétrage!$AU$12),IF(C78="cp",1,0),0)</f>
        <v>0</v>
      </c>
      <c r="AE78" s="962">
        <f t="shared" ref="AE78:AE84" si="142">IF(O78&lt;&gt;"erreur",N78,O78)</f>
        <v>0</v>
      </c>
      <c r="AF78" s="961">
        <f>IF(AND(N(AC78)&gt;=Paramétrage!$AX$11,N(AC78)&lt;=Paramétrage!$AX$12),IF(C78="cp",1,0),0)</f>
        <v>0</v>
      </c>
      <c r="AG78" s="962">
        <f>O78</f>
        <v>0</v>
      </c>
      <c r="AI78" s="962">
        <f>AE78+AI72</f>
        <v>0</v>
      </c>
      <c r="AJ78" s="962">
        <f>AG78+AJ72</f>
        <v>0</v>
      </c>
      <c r="AM78" s="962">
        <f>IF(AND($B78="cp",$C78="m"),$Z78,0)</f>
        <v>0</v>
      </c>
      <c r="AN78" s="962">
        <f>IF(AND($B78="jc",$C78="m"),$Z78,0)</f>
        <v>0</v>
      </c>
      <c r="AO78" s="962">
        <f>IF(AND($B78="cp",$C78="aa"),$Z78,0)</f>
        <v>0</v>
      </c>
      <c r="AP78" s="962">
        <f>IF(AND($B78="jc",$C78="aa"),$Z78,0)</f>
        <v>0</v>
      </c>
      <c r="AR78" s="917">
        <f>IF(AND(AC78&lt;=$AR$3,B78="CP"),1,0)</f>
        <v>0</v>
      </c>
      <c r="AS78" s="917">
        <f>IF(AND(AC78&lt;=$AR$3,C78="CP"),1,0)</f>
        <v>0</v>
      </c>
    </row>
    <row r="79" spans="1:45" ht="14.25" customHeight="1" x14ac:dyDescent="0.3">
      <c r="A79" s="964" t="s">
        <v>13</v>
      </c>
      <c r="B79" s="414" t="b">
        <f>IF(Paramétrage!$O$43="",FALSE,Paramétrage!$O$43)</f>
        <v>0</v>
      </c>
      <c r="C79" s="263"/>
      <c r="D79" s="415" t="b">
        <f>IF(Paramétrage!$Q$43="",FALSE,Paramétrage!$Q$43)</f>
        <v>0</v>
      </c>
      <c r="E79" s="264"/>
      <c r="F79" s="414" t="b">
        <f>IF(Paramétrage!$R$43="",FALSE,Paramétrage!$R$43)</f>
        <v>0</v>
      </c>
      <c r="G79" s="264"/>
      <c r="H79" s="416" t="b">
        <f>IF(Paramétrage!$T$43="",FALSE,Paramétrage!$T$43)</f>
        <v>0</v>
      </c>
      <c r="I79" s="263"/>
      <c r="J79" s="417" t="b">
        <f>IF(Paramétrage!$U$43="",FALSE,Paramétrage!$U$43)</f>
        <v>0</v>
      </c>
      <c r="K79" s="263"/>
      <c r="L79" s="418" t="b">
        <f>IF(Paramétrage!$W$43="",FALSE,Paramétrage!$W$43)</f>
        <v>0</v>
      </c>
      <c r="M79" s="263"/>
      <c r="N79" s="956">
        <f t="shared" si="132"/>
        <v>0</v>
      </c>
      <c r="O79" s="956">
        <f t="shared" si="133"/>
        <v>0</v>
      </c>
      <c r="P79" s="956">
        <f t="shared" si="134"/>
        <v>0</v>
      </c>
      <c r="Q79" s="956">
        <f t="shared" si="135"/>
        <v>0</v>
      </c>
      <c r="R79" s="957">
        <f t="shared" si="136"/>
        <v>0</v>
      </c>
      <c r="S79" s="262"/>
      <c r="T79" s="958" t="str">
        <f t="shared" si="137"/>
        <v/>
      </c>
      <c r="U79" s="959" t="str">
        <f>IF(P79=0,"",IF(P79&lt;Paramétrage!$S$12,"PB",IF(AND(Q79&lt;Paramétrage!$S$12,Q79&lt;&gt;0),"PB","")))</f>
        <v/>
      </c>
      <c r="V79" s="959" t="str">
        <f t="shared" si="138"/>
        <v/>
      </c>
      <c r="W79" s="959" t="str">
        <f t="shared" si="139"/>
        <v/>
      </c>
      <c r="X79" s="960" t="str">
        <f t="shared" si="140"/>
        <v/>
      </c>
      <c r="Y79" s="959" t="str">
        <f t="shared" si="141"/>
        <v/>
      </c>
      <c r="Z79" s="836"/>
      <c r="AA79" s="837"/>
      <c r="AC79" s="934">
        <f t="shared" ref="AC79:AC84" si="143">AC78+1</f>
        <v>42746</v>
      </c>
      <c r="AD79" s="961">
        <f>IF(AND(N(AC79)&gt;=Paramétrage!$AU$11,N(AC79)&lt;=Paramétrage!$AU$12),IF(C79="cp",1,0),0)</f>
        <v>0</v>
      </c>
      <c r="AE79" s="962">
        <f t="shared" si="142"/>
        <v>0</v>
      </c>
      <c r="AF79" s="961">
        <f>IF(AND(N(AC79)&gt;=Paramétrage!$AX$11,N(AC79)&lt;=Paramétrage!$AX$12),IF(C79="cp",1,0),0)</f>
        <v>0</v>
      </c>
      <c r="AG79" s="962">
        <f t="shared" ref="AG79:AG84" si="144">O79</f>
        <v>0</v>
      </c>
      <c r="AI79" s="962">
        <f t="shared" ref="AI79:AI84" si="145">AE79+AI78</f>
        <v>0</v>
      </c>
      <c r="AJ79" s="962">
        <f t="shared" ref="AJ79:AJ84" si="146">AG79+AJ78</f>
        <v>0</v>
      </c>
      <c r="AM79" s="962">
        <f t="shared" ref="AM79:AM82" si="147">IF(AND($B79="cp",$C79="m"),$Z79,0)</f>
        <v>0</v>
      </c>
      <c r="AN79" s="962">
        <f t="shared" ref="AN79:AN82" si="148">IF(AND($B79="jc",$C79="m"),$Z79,0)</f>
        <v>0</v>
      </c>
      <c r="AO79" s="962">
        <f t="shared" ref="AO79:AO82" si="149">IF(AND($B79="cp",$C79="aa"),$Z79,0)</f>
        <v>0</v>
      </c>
      <c r="AP79" s="962">
        <f t="shared" ref="AP79:AP82" si="150">IF(AND($B79="jc",$C79="aa"),$Z79,0)</f>
        <v>0</v>
      </c>
      <c r="AR79" s="917">
        <f>IF(AND(AC79&lt;=$AR$3,B79="CP"),1,0)</f>
        <v>0</v>
      </c>
      <c r="AS79" s="917">
        <f>IF(AND(AC79&lt;=$AR$3,C79="CP"),1,0)</f>
        <v>0</v>
      </c>
    </row>
    <row r="80" spans="1:45" ht="14.25" customHeight="1" x14ac:dyDescent="0.3">
      <c r="A80" s="964" t="s">
        <v>14</v>
      </c>
      <c r="B80" s="414" t="b">
        <f>IF(Paramétrage!$O$44="",FALSE,Paramétrage!$O$44)</f>
        <v>0</v>
      </c>
      <c r="C80" s="263"/>
      <c r="D80" s="415" t="b">
        <f>IF(Paramétrage!$Q$44="",FALSE,Paramétrage!$Q$44)</f>
        <v>0</v>
      </c>
      <c r="E80" s="264"/>
      <c r="F80" s="414" t="b">
        <f>IF(Paramétrage!$R$44="",FALSE,Paramétrage!$R$44)</f>
        <v>0</v>
      </c>
      <c r="G80" s="264"/>
      <c r="H80" s="416" t="b">
        <f>IF(Paramétrage!$T$44="",FALSE,Paramétrage!$T$44)</f>
        <v>0</v>
      </c>
      <c r="I80" s="263"/>
      <c r="J80" s="417" t="b">
        <f>IF(Paramétrage!$U$44="",FALSE,Paramétrage!$U$44)</f>
        <v>0</v>
      </c>
      <c r="K80" s="263"/>
      <c r="L80" s="418" t="b">
        <f>IF(Paramétrage!$W$44="",FALSE,Paramétrage!$W$44)</f>
        <v>0</v>
      </c>
      <c r="M80" s="263"/>
      <c r="N80" s="956">
        <f t="shared" si="132"/>
        <v>0</v>
      </c>
      <c r="O80" s="956">
        <f t="shared" si="133"/>
        <v>0</v>
      </c>
      <c r="P80" s="956">
        <f t="shared" si="134"/>
        <v>0</v>
      </c>
      <c r="Q80" s="956">
        <f t="shared" si="135"/>
        <v>0</v>
      </c>
      <c r="R80" s="957">
        <f t="shared" si="136"/>
        <v>0</v>
      </c>
      <c r="S80" s="262"/>
      <c r="T80" s="958" t="str">
        <f>IF(AND(B80=FALSE,C80=""),"",IF(AND(B80=0,C80=0),"",(IF(OR(C80="cp",C80="f",C80="jc",C80="css"),"",IF(OR(C80="",C80="aa",C80="m"),(IF(OR(B80="cp",B80="f",B80="jc",B80="css"),"",B80*24+24-MAX(D79,H79,L79)*24)),C80*24+24-MAX(M79,I79,E79)*24)))))</f>
        <v/>
      </c>
      <c r="U80" s="959" t="str">
        <f>IF(P80=0,"",IF(P80&lt;Paramétrage!$S$12,"PB",IF(AND(Q80&lt;Paramétrage!$S$12,Q80&lt;&gt;0),"PB","")))</f>
        <v/>
      </c>
      <c r="V80" s="959" t="str">
        <f t="shared" si="138"/>
        <v/>
      </c>
      <c r="W80" s="959" t="str">
        <f t="shared" si="139"/>
        <v/>
      </c>
      <c r="X80" s="960" t="str">
        <f t="shared" si="140"/>
        <v/>
      </c>
      <c r="Y80" s="959" t="str">
        <f t="shared" si="141"/>
        <v/>
      </c>
      <c r="Z80" s="836"/>
      <c r="AA80" s="837"/>
      <c r="AC80" s="934">
        <f t="shared" si="143"/>
        <v>42747</v>
      </c>
      <c r="AD80" s="961">
        <f>IF(AND(N(AC80)&gt;=Paramétrage!$AU$11,N(AC80)&lt;=Paramétrage!$AU$12),IF(C80="cp",1,0),0)</f>
        <v>0</v>
      </c>
      <c r="AE80" s="962">
        <f t="shared" si="142"/>
        <v>0</v>
      </c>
      <c r="AF80" s="961">
        <f>IF(AND(N(AC80)&gt;=Paramétrage!$AX$11,N(AC80)&lt;=Paramétrage!$AX$12),IF(C80="cp",1,0),0)</f>
        <v>0</v>
      </c>
      <c r="AG80" s="962">
        <f t="shared" si="144"/>
        <v>0</v>
      </c>
      <c r="AI80" s="962">
        <f t="shared" si="145"/>
        <v>0</v>
      </c>
      <c r="AJ80" s="962">
        <f t="shared" si="146"/>
        <v>0</v>
      </c>
      <c r="AM80" s="962">
        <f t="shared" si="147"/>
        <v>0</v>
      </c>
      <c r="AN80" s="962">
        <f t="shared" si="148"/>
        <v>0</v>
      </c>
      <c r="AO80" s="962">
        <f t="shared" si="149"/>
        <v>0</v>
      </c>
      <c r="AP80" s="962">
        <f t="shared" si="150"/>
        <v>0</v>
      </c>
      <c r="AR80" s="917">
        <f>IF(AND(AC80&lt;=$AR$3,B80="CP"),1,0)</f>
        <v>0</v>
      </c>
      <c r="AS80" s="917">
        <f>IF(AND(AC80&lt;=$AR$3,C80="CP"),1,0)</f>
        <v>0</v>
      </c>
    </row>
    <row r="81" spans="1:45" ht="14.25" customHeight="1" x14ac:dyDescent="0.3">
      <c r="A81" s="964" t="s">
        <v>15</v>
      </c>
      <c r="B81" s="414" t="b">
        <f>IF(Paramétrage!$O$45="",FALSE,Paramétrage!$O$45)</f>
        <v>0</v>
      </c>
      <c r="C81" s="263"/>
      <c r="D81" s="415" t="b">
        <f>IF(Paramétrage!$Q$45="",FALSE,Paramétrage!$Q$45)</f>
        <v>0</v>
      </c>
      <c r="E81" s="264"/>
      <c r="F81" s="414" t="b">
        <f>IF(Paramétrage!$R$45="",FALSE,Paramétrage!$R$45)</f>
        <v>0</v>
      </c>
      <c r="G81" s="264"/>
      <c r="H81" s="416" t="b">
        <f>IF(Paramétrage!$T$45="",FALSE,Paramétrage!$T$45)</f>
        <v>0</v>
      </c>
      <c r="I81" s="263"/>
      <c r="J81" s="417" t="b">
        <f>IF(Paramétrage!$U$45="",FALSE,Paramétrage!$U$45)</f>
        <v>0</v>
      </c>
      <c r="K81" s="263"/>
      <c r="L81" s="418" t="b">
        <f>IF(Paramétrage!$W$45="",FALSE,Paramétrage!$W$45)</f>
        <v>0</v>
      </c>
      <c r="M81" s="263"/>
      <c r="N81" s="956">
        <f>IF(OR(B81="aa",B81="cp",B81="f",B81="jc",B81="m",B81="css"),0,(L81-J81)+(H81-F81)+(D81-B81))</f>
        <v>0</v>
      </c>
      <c r="O81" s="956">
        <f>SUM(AM81:AP81)+IF(OR(C81="m",C81="aa"),N81,IF(C81="css",0,IF(C81="cp",0,IF(C81="jc",0,IF(C81="f",0,E81-C81+I81-G81+M81-K81)))))</f>
        <v>0</v>
      </c>
      <c r="P81" s="956">
        <f t="shared" si="134"/>
        <v>0</v>
      </c>
      <c r="Q81" s="956">
        <f t="shared" si="135"/>
        <v>0</v>
      </c>
      <c r="R81" s="957">
        <f>IF(OR(C81="aa",C81="cp",C81="f",C81="jc",C81="m",C81="css"),0,IF(C81=0,MAX(B81,D81,F81,H81,J81,L81)-MIN(B81,D81,F81,H81,J81,L81),IF(C81&lt;&gt;0,MAX(C81,E81,G81,I81,K81,M81)-MIN(C81,E81,G81,I81,K81,M81))))</f>
        <v>0</v>
      </c>
      <c r="S81" s="262"/>
      <c r="T81" s="958" t="str">
        <f t="shared" ref="T81:T84" si="151">IF(AND(B81=FALSE,C81=""),"",IF(AND(B81=0,C81=0),"",(IF(OR(C81="cp",C81="f",C81="jc",C81="css"),"",IF(OR(C81="",C81="aa",C81="m"),(IF(OR(B81="cp",B81="f",B81="jc",B81="css"),"",B81*24+24-MAX(D80,H80,L80)*24)),C81*24+24-MAX(M80,I80,E80)*24)))))</f>
        <v/>
      </c>
      <c r="U81" s="959" t="str">
        <f>IF(P81=0,"",IF(P81&lt;Paramétrage!$S$12,"PB",IF(AND(Q81&lt;Paramétrage!$S$12,Q81&lt;&gt;0),"PB","")))</f>
        <v/>
      </c>
      <c r="V81" s="959" t="str">
        <f t="shared" si="138"/>
        <v/>
      </c>
      <c r="W81" s="959" t="str">
        <f t="shared" si="139"/>
        <v/>
      </c>
      <c r="X81" s="960" t="str">
        <f>IF(AND(N81=0,O81=0),"",(IF(OR(C81="aa",C81="cp",C81="f",C81="jc",C81="m",C81="css"),"",IF(C81="",IF(OR(D81-B81&gt;6/24,H81-F81&gt;6/24,L81-J81&gt;6/24),"PB",""),IF(OR(E81-C81&gt;6/24,I81-G81&gt;6/24,M81-K81&gt;6/24),"PB","")))))</f>
        <v/>
      </c>
      <c r="Y81" s="959" t="str">
        <f t="shared" si="141"/>
        <v/>
      </c>
      <c r="Z81" s="836"/>
      <c r="AA81" s="837"/>
      <c r="AC81" s="934">
        <f t="shared" si="143"/>
        <v>42748</v>
      </c>
      <c r="AD81" s="961">
        <f>IF(AND(N(AC81)&gt;=Paramétrage!$AU$11,N(AC81)&lt;=Paramétrage!$AU$12),IF(C81="cp",1,0),0)</f>
        <v>0</v>
      </c>
      <c r="AE81" s="962">
        <f t="shared" si="142"/>
        <v>0</v>
      </c>
      <c r="AF81" s="961">
        <f>IF(AND(N(AC81)&gt;=Paramétrage!$AX$11,N(AC81)&lt;=Paramétrage!$AX$12),IF(C81="cp",1,0),0)</f>
        <v>0</v>
      </c>
      <c r="AG81" s="962">
        <f t="shared" si="144"/>
        <v>0</v>
      </c>
      <c r="AI81" s="962">
        <f t="shared" si="145"/>
        <v>0</v>
      </c>
      <c r="AJ81" s="962">
        <f t="shared" si="146"/>
        <v>0</v>
      </c>
      <c r="AM81" s="962">
        <f t="shared" si="147"/>
        <v>0</v>
      </c>
      <c r="AN81" s="962">
        <f t="shared" si="148"/>
        <v>0</v>
      </c>
      <c r="AO81" s="962">
        <f t="shared" si="149"/>
        <v>0</v>
      </c>
      <c r="AP81" s="962">
        <f t="shared" si="150"/>
        <v>0</v>
      </c>
      <c r="AR81" s="917">
        <f>IF(AND(AC81&lt;=$AR$3,B81="CP"),1,0)</f>
        <v>0</v>
      </c>
      <c r="AS81" s="917">
        <f>IF(AND(AC81&lt;=$AR$3,C81="CP"),1,0)</f>
        <v>0</v>
      </c>
    </row>
    <row r="82" spans="1:45" ht="14.25" customHeight="1" x14ac:dyDescent="0.3">
      <c r="A82" s="964" t="s">
        <v>16</v>
      </c>
      <c r="B82" s="414" t="b">
        <f>IF(Paramétrage!$O$46="",FALSE,Paramétrage!$O$46)</f>
        <v>0</v>
      </c>
      <c r="C82" s="263"/>
      <c r="D82" s="415" t="b">
        <f>IF(Paramétrage!$Q$46="",FALSE,Paramétrage!$Q$46)</f>
        <v>0</v>
      </c>
      <c r="E82" s="264"/>
      <c r="F82" s="414" t="b">
        <f>IF(Paramétrage!$R$46="",FALSE,Paramétrage!$R$46)</f>
        <v>0</v>
      </c>
      <c r="G82" s="264"/>
      <c r="H82" s="416" t="b">
        <f>IF(Paramétrage!$T$46="",FALSE,Paramétrage!$T$46)</f>
        <v>0</v>
      </c>
      <c r="I82" s="263"/>
      <c r="J82" s="417" t="b">
        <f>IF(Paramétrage!$U$46="",FALSE,Paramétrage!$U$46)</f>
        <v>0</v>
      </c>
      <c r="K82" s="263"/>
      <c r="L82" s="418" t="b">
        <f>IF(Paramétrage!$W$46="",FALSE,Paramétrage!$W$46)</f>
        <v>0</v>
      </c>
      <c r="M82" s="263"/>
      <c r="N82" s="956">
        <f>IF(OR(B82="aa",B82="cp",B82="f",B82="jc",B82="m",B82="css"),0,(L82-J82)+(H82-F82)+(D82-B82))</f>
        <v>0</v>
      </c>
      <c r="O82" s="956">
        <f>SUM(AM82:AP82)+IF(OR(C82="m",C82="aa"),N82,IF(C82="css",0,IF(C82="cp",0,IF(C82="jc",0,IF(C82="f",0,E82-C82+I82-G82+M82-K82)))))</f>
        <v>0</v>
      </c>
      <c r="P82" s="956">
        <f t="shared" si="134"/>
        <v>0</v>
      </c>
      <c r="Q82" s="956">
        <f t="shared" si="135"/>
        <v>0</v>
      </c>
      <c r="R82" s="957">
        <f>IF(OR(C82="aa",C82="cp",C82="f",C82="jc",C82="m",C82="css"),0,IF(C82=0,MAX(B82,D82,F82,H82,J82,L82)-MIN(B82,D82,F82,H82,J82,L82),IF(C82&lt;&gt;0,MAX(C82,E82,G82,I82,K82,M82)-MIN(C82,E82,G82,I82,K82,M82))))</f>
        <v>0</v>
      </c>
      <c r="S82" s="262"/>
      <c r="T82" s="958" t="str">
        <f t="shared" si="151"/>
        <v/>
      </c>
      <c r="U82" s="959" t="str">
        <f>IF(P82=0,"",IF(P82&lt;Paramétrage!$S$12,"PB",IF(AND(Q82&lt;Paramétrage!$S$12,Q82&lt;&gt;0),"PB","")))</f>
        <v/>
      </c>
      <c r="V82" s="959" t="str">
        <f t="shared" si="138"/>
        <v/>
      </c>
      <c r="W82" s="959" t="str">
        <f t="shared" si="139"/>
        <v/>
      </c>
      <c r="X82" s="960" t="str">
        <f>IF(AND(N82=0,O82=0),"",(IF(OR(C82="aa",C82="cp",C82="f",C82="jc",C82="m",C82="css"),"",IF(C82="",IF(OR(D82-B82&gt;6/24,H82-F82&gt;6/24,L82-J82&gt;6/24),"PB",""),IF(OR(E82-C82&gt;6/24,I82-G82&gt;6/24,M82-K82&gt;6/24),"PB","")))))</f>
        <v/>
      </c>
      <c r="Y82" s="959" t="str">
        <f t="shared" si="141"/>
        <v/>
      </c>
      <c r="Z82" s="836"/>
      <c r="AA82" s="837"/>
      <c r="AC82" s="934">
        <f t="shared" si="143"/>
        <v>42749</v>
      </c>
      <c r="AD82" s="961">
        <f>IF(AND(N(AC82)&gt;=Paramétrage!$AU$11,N(AC82)&lt;=Paramétrage!$AU$12),IF(C82="cp",1,0),0)</f>
        <v>0</v>
      </c>
      <c r="AE82" s="962">
        <f t="shared" si="142"/>
        <v>0</v>
      </c>
      <c r="AF82" s="961">
        <f>IF(AND(N(AC82)&gt;=Paramétrage!$AX$11,N(AC82)&lt;=Paramétrage!$AX$12),IF(C82="cp",1,0),0)</f>
        <v>0</v>
      </c>
      <c r="AG82" s="962">
        <f t="shared" si="144"/>
        <v>0</v>
      </c>
      <c r="AI82" s="962">
        <f t="shared" si="145"/>
        <v>0</v>
      </c>
      <c r="AJ82" s="962">
        <f t="shared" si="146"/>
        <v>0</v>
      </c>
      <c r="AM82" s="962">
        <f t="shared" si="147"/>
        <v>0</v>
      </c>
      <c r="AN82" s="962">
        <f t="shared" si="148"/>
        <v>0</v>
      </c>
      <c r="AO82" s="962">
        <f t="shared" si="149"/>
        <v>0</v>
      </c>
      <c r="AP82" s="962">
        <f t="shared" si="150"/>
        <v>0</v>
      </c>
      <c r="AR82" s="917">
        <f>IF(AND(AC82&lt;=$AR$3,B82="CP"),1,0)</f>
        <v>0</v>
      </c>
      <c r="AS82" s="917">
        <f>IF(AND(AC82&lt;=$AR$3,C82="CP"),1,0)</f>
        <v>0</v>
      </c>
    </row>
    <row r="83" spans="1:45" ht="14.25" customHeight="1" x14ac:dyDescent="0.3">
      <c r="A83" s="964" t="s">
        <v>19</v>
      </c>
      <c r="B83" s="414" t="b">
        <f>IF(Paramétrage!$O$47="",FALSE,Paramétrage!$O$47)</f>
        <v>0</v>
      </c>
      <c r="C83" s="263"/>
      <c r="D83" s="415" t="b">
        <f>IF(Paramétrage!$Q$47="",FALSE,Paramétrage!$Q$47)</f>
        <v>0</v>
      </c>
      <c r="E83" s="264"/>
      <c r="F83" s="414" t="b">
        <f>IF(Paramétrage!$R$47="",FALSE,Paramétrage!$R$47)</f>
        <v>0</v>
      </c>
      <c r="G83" s="264"/>
      <c r="H83" s="416" t="b">
        <f>IF(Paramétrage!$T$47="",FALSE,Paramétrage!$T$47)</f>
        <v>0</v>
      </c>
      <c r="I83" s="263"/>
      <c r="J83" s="417" t="b">
        <f>IF(Paramétrage!$U$47="",FALSE,Paramétrage!$U$47)</f>
        <v>0</v>
      </c>
      <c r="K83" s="263"/>
      <c r="L83" s="418" t="b">
        <f>IF(Paramétrage!$W$47="",FALSE,Paramétrage!$W$47)</f>
        <v>0</v>
      </c>
      <c r="M83" s="263"/>
      <c r="N83" s="956">
        <f>IF(OR(B83="aa",B83="cp",B83="f",B83="jc",B83="m",B83="css"),0,(L83-J83)+(H83-F83)+(D83-B83))</f>
        <v>0</v>
      </c>
      <c r="O83" s="956">
        <f>IF(OR(C83="m",C83="aa"),N83,IF(C83="cp",0,IF(OR(C83="css",C83="jc"),0,IF(C83="f",0,E83-C83+I83-G83+M83-K83))))</f>
        <v>0</v>
      </c>
      <c r="P83" s="956">
        <f t="shared" si="134"/>
        <v>0</v>
      </c>
      <c r="Q83" s="956">
        <f t="shared" si="135"/>
        <v>0</v>
      </c>
      <c r="R83" s="957">
        <f>IF(OR(C83="aa",C83="cp",C83="f",C83="jc",C83="m",C83="css"),0,IF(C83=0,MAX(B83,D83,F83,H83,J83,L83)-MIN(B83,D83,F83,H83,J83,L83),IF(C83&lt;&gt;0,MAX(C83,E83,G83,I83,K83,M83)-MIN(C83,E83,G83,I83,K83,M83))))</f>
        <v>0</v>
      </c>
      <c r="S83" s="262"/>
      <c r="T83" s="958" t="str">
        <f t="shared" si="151"/>
        <v/>
      </c>
      <c r="U83" s="959" t="str">
        <f>IF(P83=0,"",IF(P83&lt;Paramétrage!$S$12,"PB",IF(AND(Q83&lt;Paramétrage!$S$12,Q83&lt;&gt;0),"PB","")))</f>
        <v/>
      </c>
      <c r="V83" s="959" t="str">
        <f t="shared" si="138"/>
        <v/>
      </c>
      <c r="W83" s="959" t="str">
        <f t="shared" si="139"/>
        <v/>
      </c>
      <c r="X83" s="960" t="str">
        <f>IF(AND(N83=0,O83=0),"",(IF(OR(C83="aa",C83="cp",C83="f",C83="jc",C83="m",C83="css"),"",IF(C83="",IF(OR(D83-B83&gt;6/24,H83-F83&gt;6/24,L83-J83&gt;6/24),"PB",""),IF(OR(E83-C83&gt;6/24,I83-G83&gt;6/24,M83-K83&gt;6/24),"PB","")))))</f>
        <v/>
      </c>
      <c r="Y83" s="959" t="str">
        <f t="shared" si="141"/>
        <v/>
      </c>
      <c r="Z83" s="836"/>
      <c r="AA83" s="837"/>
      <c r="AC83" s="934">
        <f t="shared" si="143"/>
        <v>42750</v>
      </c>
      <c r="AD83" s="961">
        <f>IF(AND(N(AC83)&gt;=Paramétrage!$AU$11,N(AC83)&lt;=Paramétrage!$AU$12),IF(C83="cp",1,0),0)</f>
        <v>0</v>
      </c>
      <c r="AE83" s="962">
        <f t="shared" si="142"/>
        <v>0</v>
      </c>
      <c r="AF83" s="961">
        <f>IF(AND(N(AC83)&gt;=Paramétrage!$AX$11,N(AC83)&lt;=Paramétrage!$AX$12),IF(C83="cp",1,0),0)</f>
        <v>0</v>
      </c>
      <c r="AG83" s="962">
        <f t="shared" si="144"/>
        <v>0</v>
      </c>
      <c r="AI83" s="962">
        <f t="shared" si="145"/>
        <v>0</v>
      </c>
      <c r="AJ83" s="962">
        <f t="shared" si="146"/>
        <v>0</v>
      </c>
      <c r="AM83" s="962"/>
      <c r="AN83" s="962"/>
      <c r="AO83" s="962"/>
      <c r="AP83" s="962"/>
    </row>
    <row r="84" spans="1:45" ht="14.25" customHeight="1" thickBot="1" x14ac:dyDescent="0.35">
      <c r="A84" s="966" t="s">
        <v>20</v>
      </c>
      <c r="B84" s="414" t="b">
        <f>IF(Paramétrage!$O$48="",FALSE,Paramétrage!$O$48)</f>
        <v>0</v>
      </c>
      <c r="C84" s="263"/>
      <c r="D84" s="415" t="b">
        <f>IF(Paramétrage!$Q$48="",FALSE,Paramétrage!$Q$48)</f>
        <v>0</v>
      </c>
      <c r="E84" s="264"/>
      <c r="F84" s="414" t="b">
        <f>IF(Paramétrage!$R$48="",FALSE,Paramétrage!$R$48)</f>
        <v>0</v>
      </c>
      <c r="G84" s="264"/>
      <c r="H84" s="416" t="b">
        <f>IF(Paramétrage!$T$48="",FALSE,Paramétrage!$T$48)</f>
        <v>0</v>
      </c>
      <c r="I84" s="263"/>
      <c r="J84" s="417" t="b">
        <f>IF(Paramétrage!$U$48="",FALSE,Paramétrage!$U$48)</f>
        <v>0</v>
      </c>
      <c r="K84" s="263"/>
      <c r="L84" s="418" t="b">
        <f>IF(Paramétrage!$W$48="",FALSE,Paramétrage!$W$48)</f>
        <v>0</v>
      </c>
      <c r="M84" s="263"/>
      <c r="N84" s="956">
        <f>IF(OR(B84="aa",B84="m"),M84,IF(B84="cp",0,IF(B84="jc",0,IF(B84="f",0,(D84-B84)*Paramétrage!$S$13+(H84-F84)*Paramétrage!$S$13+(L84-J84)*Paramétrage!$S$13+(D84-B84+H84-F84+L84-J84)))))</f>
        <v>0</v>
      </c>
      <c r="O84" s="956">
        <f>IF(OR(C84="aa",C84="m"),N84,IF(C84="cp",0,IF(C84="jc",0,IF(C84="f",0,(E84-C84)*Paramétrage!$S$13+(I84-G84)*Paramétrage!$S$13+(M84-K84)*Paramétrage!$S$13+(E84-C84+I84-G84+M84-K84)))))</f>
        <v>0</v>
      </c>
      <c r="P84" s="956">
        <f t="shared" si="134"/>
        <v>0</v>
      </c>
      <c r="Q84" s="956">
        <f t="shared" si="135"/>
        <v>0</v>
      </c>
      <c r="R84" s="957">
        <f t="shared" ref="R84" si="152">IF(OR(C84="aa",C84="cp",C84="f",C84="jc",C84="m",C84=0),MAX(B84,D84,F84,H84,J84,L84)-MIN(B84,D84,F84,H84,J84,L84),IF(C84&lt;&gt;0,MAX(C84,E84,G84,I84,K84,M84)-MIN(C84,E84,G84,I84,K84,M84)))</f>
        <v>0</v>
      </c>
      <c r="S84" s="262"/>
      <c r="T84" s="958" t="str">
        <f t="shared" si="151"/>
        <v/>
      </c>
      <c r="U84" s="959" t="str">
        <f>IF(P84=0,"",IF(P84&lt;Paramétrage!$S$12,"PB",IF(AND(Q84&lt;Paramétrage!$S$12,Q84&lt;&gt;0),"PB","")))</f>
        <v/>
      </c>
      <c r="V84" s="959" t="str">
        <f t="shared" si="138"/>
        <v/>
      </c>
      <c r="W84" s="959" t="str">
        <f t="shared" si="139"/>
        <v/>
      </c>
      <c r="X84" s="960" t="str">
        <f t="shared" ref="X84" si="153">IF(AND(N84=0,O84=0),"",(IF(OR(C84="aa",C84="cp",C84="f",C84="jc",C84="m"),"",IF(C84="",IF(OR(D84-B84&gt;6/24,H84-F84&gt;6/24,L84-J84&gt;6/24),"PB",""),IF(OR(E84-C84&gt;6/24,I84-G84&gt;6/24,M84-K84&gt;6/24),"PB","")))))</f>
        <v/>
      </c>
      <c r="Y84" s="959" t="str">
        <f t="shared" si="141"/>
        <v/>
      </c>
      <c r="Z84" s="836"/>
      <c r="AA84" s="837"/>
      <c r="AB84" s="967"/>
      <c r="AC84" s="934">
        <f t="shared" si="143"/>
        <v>42751</v>
      </c>
      <c r="AD84" s="961">
        <f>IF(AND(N(AC84)&gt;=Paramétrage!$AU$11,N(AC84)&lt;=Paramétrage!$AU$12),IF(C84="cp",1,0),0)</f>
        <v>0</v>
      </c>
      <c r="AE84" s="962">
        <f t="shared" si="142"/>
        <v>0</v>
      </c>
      <c r="AF84" s="961">
        <f>IF(AND(N(AC84)&gt;=Paramétrage!$AX$11,N(AC84)&lt;=Paramétrage!$AX$12),IF(C84="cp",1,0),0)</f>
        <v>0</v>
      </c>
      <c r="AG84" s="962">
        <f t="shared" si="144"/>
        <v>0</v>
      </c>
      <c r="AI84" s="962">
        <f t="shared" si="145"/>
        <v>0</v>
      </c>
      <c r="AJ84" s="962">
        <f t="shared" si="146"/>
        <v>0</v>
      </c>
      <c r="AM84" s="962"/>
      <c r="AN84" s="962"/>
      <c r="AO84" s="962"/>
      <c r="AP84" s="962"/>
    </row>
    <row r="85" spans="1:45" s="935" customFormat="1" x14ac:dyDescent="0.25">
      <c r="A85" s="969" t="s">
        <v>25</v>
      </c>
      <c r="B85" s="970"/>
      <c r="C85" s="970"/>
      <c r="D85" s="970"/>
      <c r="E85" s="970"/>
      <c r="F85" s="970"/>
      <c r="G85" s="970"/>
      <c r="H85" s="970"/>
      <c r="I85" s="970"/>
      <c r="J85" s="970"/>
      <c r="K85" s="971"/>
      <c r="L85" s="970"/>
      <c r="M85" s="970"/>
      <c r="N85" s="972">
        <f>SUM(N78:N84)</f>
        <v>0</v>
      </c>
      <c r="O85" s="972">
        <f>SUM(O78:O84)</f>
        <v>0</v>
      </c>
      <c r="P85" s="972">
        <f>SUM(P78:P84)</f>
        <v>0</v>
      </c>
      <c r="Q85" s="972">
        <f>SUM(Q78:Q84)</f>
        <v>0</v>
      </c>
      <c r="R85" s="972"/>
      <c r="S85" s="972"/>
      <c r="T85" s="973"/>
      <c r="U85" s="974"/>
      <c r="V85" s="975" t="str">
        <f>IF((O85*24)&gt;48,"PB","")</f>
        <v/>
      </c>
      <c r="W85" s="974"/>
      <c r="X85" s="974"/>
      <c r="Y85" s="974"/>
      <c r="Z85" s="1053" t="s">
        <v>59</v>
      </c>
      <c r="AA85" s="1055">
        <f>+O85-N85</f>
        <v>0</v>
      </c>
      <c r="AB85" s="917"/>
      <c r="AC85" s="934"/>
      <c r="AE85" s="917"/>
      <c r="AF85" s="917"/>
      <c r="AG85" s="917"/>
      <c r="AH85" s="917"/>
      <c r="AI85" s="917"/>
      <c r="AJ85" s="917"/>
      <c r="AK85" s="917"/>
      <c r="AL85" s="917"/>
      <c r="AM85" s="917"/>
      <c r="AN85" s="917"/>
      <c r="AO85" s="917"/>
      <c r="AP85" s="917"/>
      <c r="AR85" s="917"/>
      <c r="AS85" s="917"/>
    </row>
    <row r="86" spans="1:45" s="935" customFormat="1" x14ac:dyDescent="0.25">
      <c r="A86" s="969"/>
      <c r="B86" s="969"/>
      <c r="C86" s="969"/>
      <c r="D86" s="969"/>
      <c r="E86" s="969"/>
      <c r="F86" s="1052"/>
      <c r="G86" s="1052"/>
      <c r="H86" s="1052"/>
      <c r="I86" s="1052"/>
      <c r="J86" s="1052"/>
      <c r="K86" s="969"/>
      <c r="L86" s="969"/>
      <c r="M86" s="969"/>
      <c r="N86" s="973"/>
      <c r="O86" s="969"/>
      <c r="P86" s="980"/>
      <c r="Q86" s="980"/>
      <c r="R86" s="980"/>
      <c r="S86" s="981"/>
      <c r="T86" s="980"/>
      <c r="U86" s="1052"/>
      <c r="V86" s="1052"/>
      <c r="W86" s="1052"/>
      <c r="X86" s="1052"/>
      <c r="Y86" s="1052"/>
      <c r="Z86" s="1053"/>
      <c r="AA86" s="1055"/>
      <c r="AB86" s="917"/>
      <c r="AC86" s="934"/>
      <c r="AE86" s="917"/>
      <c r="AF86" s="917"/>
      <c r="AG86" s="917"/>
      <c r="AH86" s="917"/>
      <c r="AI86" s="917"/>
      <c r="AJ86" s="917"/>
      <c r="AK86" s="917"/>
      <c r="AL86" s="917"/>
      <c r="AM86" s="917"/>
      <c r="AN86" s="917"/>
      <c r="AO86" s="917"/>
      <c r="AP86" s="917"/>
      <c r="AR86" s="917"/>
      <c r="AS86" s="917"/>
    </row>
    <row r="87" spans="1:45" s="935" customFormat="1" ht="16.5" x14ac:dyDescent="0.3">
      <c r="A87" s="969"/>
      <c r="B87" s="969"/>
      <c r="C87" s="969"/>
      <c r="D87" s="969"/>
      <c r="E87" s="969"/>
      <c r="F87" s="928">
        <f>+F75+7</f>
        <v>42752</v>
      </c>
      <c r="G87" s="928"/>
      <c r="H87" s="929" t="s">
        <v>58</v>
      </c>
      <c r="I87" s="928">
        <f>+F87+6</f>
        <v>42758</v>
      </c>
      <c r="J87" s="930"/>
      <c r="K87" s="969"/>
      <c r="L87" s="969"/>
      <c r="M87" s="969"/>
      <c r="N87" s="973"/>
      <c r="O87" s="969"/>
      <c r="P87" s="980"/>
      <c r="Q87" s="980"/>
      <c r="R87" s="980"/>
      <c r="S87" s="981"/>
      <c r="T87" s="980"/>
      <c r="U87" s="1052"/>
      <c r="V87" s="1052"/>
      <c r="W87" s="1052"/>
      <c r="X87" s="1052"/>
      <c r="Y87" s="1052"/>
      <c r="Z87" s="1053"/>
      <c r="AA87" s="1054"/>
      <c r="AB87" s="917"/>
      <c r="AC87" s="934"/>
      <c r="AE87" s="917"/>
      <c r="AF87" s="917"/>
      <c r="AG87" s="917"/>
      <c r="AH87" s="917"/>
      <c r="AI87" s="917"/>
      <c r="AJ87" s="917"/>
      <c r="AK87" s="917"/>
      <c r="AL87" s="917"/>
      <c r="AM87" s="917"/>
      <c r="AN87" s="917"/>
      <c r="AO87" s="917"/>
      <c r="AP87" s="917"/>
      <c r="AR87" s="917"/>
      <c r="AS87" s="917"/>
    </row>
    <row r="88" spans="1:45" ht="14.45" customHeight="1" x14ac:dyDescent="0.25">
      <c r="A88" s="994"/>
      <c r="B88" s="938" t="s">
        <v>17</v>
      </c>
      <c r="C88" s="938"/>
      <c r="D88" s="938" t="s">
        <v>18</v>
      </c>
      <c r="E88" s="938"/>
      <c r="F88" s="938" t="s">
        <v>17</v>
      </c>
      <c r="G88" s="938"/>
      <c r="H88" s="938" t="s">
        <v>18</v>
      </c>
      <c r="I88" s="938"/>
      <c r="J88" s="938" t="s">
        <v>17</v>
      </c>
      <c r="K88" s="938"/>
      <c r="L88" s="938" t="s">
        <v>18</v>
      </c>
      <c r="M88" s="938"/>
      <c r="N88" s="939" t="s">
        <v>61</v>
      </c>
      <c r="O88" s="939" t="s">
        <v>62</v>
      </c>
      <c r="P88" s="939" t="s">
        <v>60</v>
      </c>
      <c r="Q88" s="939" t="s">
        <v>63</v>
      </c>
      <c r="R88" s="939" t="s">
        <v>64</v>
      </c>
      <c r="S88" s="940" t="s">
        <v>223</v>
      </c>
      <c r="T88" s="939" t="s">
        <v>70</v>
      </c>
      <c r="U88" s="941" t="s">
        <v>65</v>
      </c>
      <c r="V88" s="942"/>
      <c r="W88" s="942"/>
      <c r="X88" s="942"/>
      <c r="Y88" s="943"/>
      <c r="Z88" s="944" t="s">
        <v>22</v>
      </c>
      <c r="AA88" s="944"/>
      <c r="AC88" s="934"/>
    </row>
    <row r="89" spans="1:45" ht="26.25" thickBot="1" x14ac:dyDescent="0.4">
      <c r="A89" s="937" t="str">
        <f>"S"&amp;WEEKNUM(F87,21)</f>
        <v>S3</v>
      </c>
      <c r="B89" s="949" t="s">
        <v>0</v>
      </c>
      <c r="C89" s="950" t="s">
        <v>1</v>
      </c>
      <c r="D89" s="949" t="s">
        <v>0</v>
      </c>
      <c r="E89" s="950" t="s">
        <v>1</v>
      </c>
      <c r="F89" s="949" t="s">
        <v>0</v>
      </c>
      <c r="G89" s="950" t="s">
        <v>1</v>
      </c>
      <c r="H89" s="949" t="s">
        <v>0</v>
      </c>
      <c r="I89" s="950" t="s">
        <v>1</v>
      </c>
      <c r="J89" s="949" t="s">
        <v>0</v>
      </c>
      <c r="K89" s="950" t="s">
        <v>1</v>
      </c>
      <c r="L89" s="949" t="s">
        <v>0</v>
      </c>
      <c r="M89" s="950" t="s">
        <v>1</v>
      </c>
      <c r="N89" s="951"/>
      <c r="O89" s="951"/>
      <c r="P89" s="951"/>
      <c r="Q89" s="951"/>
      <c r="R89" s="951"/>
      <c r="S89" s="951"/>
      <c r="T89" s="939"/>
      <c r="U89" s="952" t="s">
        <v>66</v>
      </c>
      <c r="V89" s="952" t="s">
        <v>67</v>
      </c>
      <c r="W89" s="952" t="s">
        <v>68</v>
      </c>
      <c r="X89" s="952" t="s">
        <v>137</v>
      </c>
      <c r="Y89" s="952" t="s">
        <v>69</v>
      </c>
      <c r="Z89" s="944"/>
      <c r="AA89" s="944"/>
      <c r="AC89" s="934"/>
      <c r="AM89" s="917" t="s">
        <v>274</v>
      </c>
    </row>
    <row r="90" spans="1:45" ht="14.25" customHeight="1" x14ac:dyDescent="0.3">
      <c r="A90" s="955" t="s">
        <v>12</v>
      </c>
      <c r="B90" s="15" t="b">
        <f>IF(Paramétrage!$O$42="",FALSE,Paramétrage!$O$42)</f>
        <v>0</v>
      </c>
      <c r="C90" s="263"/>
      <c r="D90" s="15" t="b">
        <f>IF(Paramétrage!$Q$42="",FALSE,Paramétrage!$Q$42)</f>
        <v>0</v>
      </c>
      <c r="E90" s="264"/>
      <c r="F90" s="15" t="b">
        <f>IF(Paramétrage!$R$42="",FALSE,Paramétrage!$R$42)</f>
        <v>0</v>
      </c>
      <c r="G90" s="264"/>
      <c r="H90" s="17" t="b">
        <f>IF(Paramétrage!$T$42="",FALSE,Paramétrage!$T$42)</f>
        <v>0</v>
      </c>
      <c r="I90" s="263"/>
      <c r="J90" s="127" t="b">
        <f>IF(Paramétrage!$U$42="",FALSE,Paramétrage!$U$42)</f>
        <v>0</v>
      </c>
      <c r="K90" s="263"/>
      <c r="L90" s="28" t="b">
        <f>IF(Paramétrage!$W$42="",FALSE,Paramétrage!$W$42)</f>
        <v>0</v>
      </c>
      <c r="M90" s="263"/>
      <c r="N90" s="956">
        <f t="shared" ref="N90:N92" si="154">IF(OR(B90="aa",B90="cp",B90="f",B90="jc",B90="m",B90="css"),0,(L90-J90)+(H90-F90)+(D90-B90))</f>
        <v>0</v>
      </c>
      <c r="O90" s="956">
        <f t="shared" ref="O90:O92" si="155">SUM(AM90:AP90)+IF(OR(C90="m",C90="aa"),N90,IF(C90="css",0,IF(C90="cp",0,IF(C90="jc",0,IF(C90="f",0,E90-C90+I90-G90+M90-K90)))))</f>
        <v>0</v>
      </c>
      <c r="P90" s="956">
        <f t="shared" ref="P90:P96" si="156">IF(OR(C90="aa",C90="cp",C90="f",C90="jc",C90="m",C90="css"),0,IF(C90="",IF(OR(F90="",F90=FALSE),0,F90-D90),IF(G90="",0,G90-E90)))</f>
        <v>0</v>
      </c>
      <c r="Q90" s="956">
        <f t="shared" ref="Q90:Q96" si="157">IF(P90=0,0,IF(G90="",IF(OR(J90="",J90=FALSE),0,J90-H90),IF(K90="",0,K90-I90)))</f>
        <v>0</v>
      </c>
      <c r="R90" s="957">
        <f t="shared" ref="R90:R92" si="158">IF(OR(C90="aa",C90="cp",C90="f",C90="jc",C90="m",C90="css"),0,IF(C90=0,MAX(B90,D90,F90,H90,J90,L90)-MIN(B90,D90,F90,H90,J90,L90),IF(C90&lt;&gt;0,MAX(C90,E90,G90,I90,K90,M90)-MIN(C90,E90,G90,I90,K90,M90))))</f>
        <v>0</v>
      </c>
      <c r="S90" s="262"/>
      <c r="T90" s="958" t="str">
        <f t="shared" ref="T90:T91" si="159">IF(AND(B90=FALSE,C90=""),"",IF(AND(B90=0,C90=0),"",(IF(OR(C90="cp",C90="f",C90="jc",C90="css"),"",IF(OR(C90="",C90="aa",C90="m"),(IF(OR(B90="cp",B90="f",B90="jc",B90="css"),"",B90*24+24-MAX(D89,H89,L89)*24)),C90*24+24-MAX(M89,I89,E89)*24)))))</f>
        <v/>
      </c>
      <c r="U90" s="959" t="str">
        <f>IF(P90=0,"",IF(P90&lt;Paramétrage!$S$12,"PB",IF(AND(Q90&lt;Paramétrage!$S$12,Q90&lt;&gt;0),"PB","")))</f>
        <v/>
      </c>
      <c r="V90" s="959" t="str">
        <f t="shared" ref="V90:V96" si="160">IF(C90="",IF((N90*24)&gt;10,"PB",""),IF((O90*24)&gt;10,"PB",""))</f>
        <v/>
      </c>
      <c r="W90" s="959" t="str">
        <f t="shared" ref="W90:W96" si="161">IF((R90*24)&gt;12,"PB","")</f>
        <v/>
      </c>
      <c r="X90" s="960" t="str">
        <f t="shared" ref="X90:X92" si="162">IF(AND(N90=0,O90=0),"",(IF(OR(C90="aa",C90="cp",C90="f",C90="jc",C90="m",C90="css"),"",IF(C90="",IF(OR(D90-B90&gt;6/24,H90-F90&gt;6/24,L90-J90&gt;6/24),"PB",""),IF(OR(E90-C90&gt;6/24,I90-G90&gt;6/24,M90-K90&gt;6/24),"PB","")))))</f>
        <v/>
      </c>
      <c r="Y90" s="959" t="str">
        <f t="shared" ref="Y90:Y96" si="163">IF(T90="","",IF(T90&lt;11,"PB",""))</f>
        <v/>
      </c>
      <c r="Z90" s="836"/>
      <c r="AA90" s="837"/>
      <c r="AC90" s="934">
        <f>AC84+1</f>
        <v>42752</v>
      </c>
      <c r="AD90" s="961">
        <f>IF(AND(N(AC90)&gt;=Paramétrage!$AU$11,N(AC90)&lt;=Paramétrage!$AU$12),IF(C90="cp",1,0),0)</f>
        <v>0</v>
      </c>
      <c r="AE90" s="962">
        <f t="shared" ref="AE90:AE96" si="164">IF(O90&lt;&gt;"erreur",N90,O90)</f>
        <v>0</v>
      </c>
      <c r="AF90" s="961">
        <f>IF(AND(N(AC90)&gt;=Paramétrage!$AX$11,N(AC90)&lt;=Paramétrage!$AX$12),IF(C90="cp",1,0),0)</f>
        <v>0</v>
      </c>
      <c r="AG90" s="962">
        <f t="shared" ref="AG90:AG96" si="165">O90</f>
        <v>0</v>
      </c>
      <c r="AI90" s="962">
        <f>AE90+AI84</f>
        <v>0</v>
      </c>
      <c r="AJ90" s="962">
        <f>AG90+AJ84</f>
        <v>0</v>
      </c>
      <c r="AM90" s="962">
        <f>IF(AND($B90="cp",$C90="m"),$Z90,0)</f>
        <v>0</v>
      </c>
      <c r="AN90" s="962">
        <f>IF(AND($B90="jc",$C90="m"),$Z90,0)</f>
        <v>0</v>
      </c>
      <c r="AO90" s="962">
        <f>IF(AND($B90="cp",$C90="aa"),$Z90,0)</f>
        <v>0</v>
      </c>
      <c r="AP90" s="962">
        <f>IF(AND($B90="jc",$C90="aa"),$Z90,0)</f>
        <v>0</v>
      </c>
      <c r="AR90" s="917">
        <f>IF(AND(AC90&lt;=$AR$3,B90="CP"),1,0)</f>
        <v>0</v>
      </c>
      <c r="AS90" s="917">
        <f>IF(AND(AC90&lt;=$AR$3,C90="CP"),1,0)</f>
        <v>0</v>
      </c>
    </row>
    <row r="91" spans="1:45" ht="14.25" customHeight="1" x14ac:dyDescent="0.3">
      <c r="A91" s="964" t="s">
        <v>13</v>
      </c>
      <c r="B91" s="15" t="b">
        <f>IF(Paramétrage!$O$43="",FALSE,Paramétrage!$O$43)</f>
        <v>0</v>
      </c>
      <c r="C91" s="263"/>
      <c r="D91" s="15" t="b">
        <f>IF(Paramétrage!$Q$43="",FALSE,Paramétrage!$Q$43)</f>
        <v>0</v>
      </c>
      <c r="E91" s="264"/>
      <c r="F91" s="15" t="b">
        <f>IF(Paramétrage!$R$43="",FALSE,Paramétrage!$R$43)</f>
        <v>0</v>
      </c>
      <c r="G91" s="264"/>
      <c r="H91" s="17" t="b">
        <f>IF(Paramétrage!$T$43="",FALSE,Paramétrage!$T$43)</f>
        <v>0</v>
      </c>
      <c r="I91" s="263"/>
      <c r="J91" s="127" t="b">
        <f>IF(Paramétrage!$U$43="",FALSE,Paramétrage!$U$43)</f>
        <v>0</v>
      </c>
      <c r="K91" s="263"/>
      <c r="L91" s="28" t="b">
        <f>IF(Paramétrage!$W$43="",FALSE,Paramétrage!$W$43)</f>
        <v>0</v>
      </c>
      <c r="M91" s="263"/>
      <c r="N91" s="956">
        <f t="shared" si="154"/>
        <v>0</v>
      </c>
      <c r="O91" s="956">
        <f t="shared" si="155"/>
        <v>0</v>
      </c>
      <c r="P91" s="956">
        <f t="shared" si="156"/>
        <v>0</v>
      </c>
      <c r="Q91" s="956">
        <f t="shared" si="157"/>
        <v>0</v>
      </c>
      <c r="R91" s="957">
        <f t="shared" si="158"/>
        <v>0</v>
      </c>
      <c r="S91" s="262"/>
      <c r="T91" s="958" t="str">
        <f t="shared" si="159"/>
        <v/>
      </c>
      <c r="U91" s="959" t="str">
        <f>IF(P91=0,"",IF(P91&lt;Paramétrage!$S$12,"PB",IF(AND(Q91&lt;Paramétrage!$S$12,Q91&lt;&gt;0),"PB","")))</f>
        <v/>
      </c>
      <c r="V91" s="959" t="str">
        <f t="shared" si="160"/>
        <v/>
      </c>
      <c r="W91" s="959" t="str">
        <f t="shared" si="161"/>
        <v/>
      </c>
      <c r="X91" s="960" t="str">
        <f t="shared" si="162"/>
        <v/>
      </c>
      <c r="Y91" s="959" t="str">
        <f t="shared" si="163"/>
        <v/>
      </c>
      <c r="Z91" s="836"/>
      <c r="AA91" s="837"/>
      <c r="AC91" s="934">
        <f t="shared" ref="AC91:AC96" si="166">AC90+1</f>
        <v>42753</v>
      </c>
      <c r="AD91" s="961">
        <f>IF(AND(N(AC91)&gt;=Paramétrage!$AU$11,N(AC91)&lt;=Paramétrage!$AU$12),IF(C91="cp",1,0),0)</f>
        <v>0</v>
      </c>
      <c r="AE91" s="962">
        <f t="shared" si="164"/>
        <v>0</v>
      </c>
      <c r="AF91" s="961">
        <f>IF(AND(N(AC91)&gt;=Paramétrage!$AX$11,N(AC91)&lt;=Paramétrage!$AX$12),IF(C91="cp",1,0),0)</f>
        <v>0</v>
      </c>
      <c r="AG91" s="962">
        <f t="shared" si="165"/>
        <v>0</v>
      </c>
      <c r="AI91" s="962">
        <f t="shared" ref="AI91:AI96" si="167">AE91+AI90</f>
        <v>0</v>
      </c>
      <c r="AJ91" s="962">
        <f t="shared" ref="AJ91:AJ96" si="168">AG91+AJ90</f>
        <v>0</v>
      </c>
      <c r="AM91" s="962">
        <f t="shared" ref="AM91:AM94" si="169">IF(AND($B91="cp",$C91="m"),$Z91,0)</f>
        <v>0</v>
      </c>
      <c r="AN91" s="962">
        <f t="shared" ref="AN91:AN94" si="170">IF(AND($B91="jc",$C91="m"),$Z91,0)</f>
        <v>0</v>
      </c>
      <c r="AO91" s="962">
        <f t="shared" ref="AO91:AO94" si="171">IF(AND($B91="cp",$C91="aa"),$Z91,0)</f>
        <v>0</v>
      </c>
      <c r="AP91" s="962">
        <f t="shared" ref="AP91:AP94" si="172">IF(AND($B91="jc",$C91="aa"),$Z91,0)</f>
        <v>0</v>
      </c>
      <c r="AR91" s="917">
        <f>IF(AND(AC91&lt;=$AR$3,B91="CP"),1,0)</f>
        <v>0</v>
      </c>
      <c r="AS91" s="917">
        <f>IF(AND(AC91&lt;=$AR$3,C91="CP"),1,0)</f>
        <v>0</v>
      </c>
    </row>
    <row r="92" spans="1:45" ht="14.25" customHeight="1" x14ac:dyDescent="0.3">
      <c r="A92" s="964" t="s">
        <v>14</v>
      </c>
      <c r="B92" s="15" t="b">
        <f>IF(Paramétrage!$O$44="",FALSE,Paramétrage!$O$44)</f>
        <v>0</v>
      </c>
      <c r="C92" s="263"/>
      <c r="D92" s="15" t="b">
        <f>IF(Paramétrage!$Q$44="",FALSE,Paramétrage!$Q$44)</f>
        <v>0</v>
      </c>
      <c r="E92" s="264"/>
      <c r="F92" s="15" t="b">
        <f>IF(Paramétrage!$R$44="",FALSE,Paramétrage!$R$44)</f>
        <v>0</v>
      </c>
      <c r="G92" s="264"/>
      <c r="H92" s="17" t="b">
        <f>IF(Paramétrage!$T$44="",FALSE,Paramétrage!$T$44)</f>
        <v>0</v>
      </c>
      <c r="I92" s="263"/>
      <c r="J92" s="127" t="b">
        <f>IF(Paramétrage!$U$44="",FALSE,Paramétrage!$U$44)</f>
        <v>0</v>
      </c>
      <c r="K92" s="263"/>
      <c r="L92" s="28" t="b">
        <f>IF(Paramétrage!$W$44="",FALSE,Paramétrage!$W$44)</f>
        <v>0</v>
      </c>
      <c r="M92" s="263"/>
      <c r="N92" s="956">
        <f t="shared" si="154"/>
        <v>0</v>
      </c>
      <c r="O92" s="956">
        <f t="shared" si="155"/>
        <v>0</v>
      </c>
      <c r="P92" s="956">
        <f t="shared" si="156"/>
        <v>0</v>
      </c>
      <c r="Q92" s="956">
        <f t="shared" si="157"/>
        <v>0</v>
      </c>
      <c r="R92" s="957">
        <f t="shared" si="158"/>
        <v>0</v>
      </c>
      <c r="S92" s="262"/>
      <c r="T92" s="958" t="str">
        <f>IF(AND(B92=FALSE,C92=""),"",IF(AND(B92=0,C92=0),"",(IF(OR(C92="cp",C92="f",C92="jc",C92="css"),"",IF(OR(C92="",C92="aa",C92="m"),(IF(OR(B92="cp",B92="f",B92="jc",B92="css"),"",B92*24+24-MAX(D91,H91,L91)*24)),C92*24+24-MAX(M91,I91,E91)*24)))))</f>
        <v/>
      </c>
      <c r="U92" s="959" t="str">
        <f>IF(P92=0,"",IF(P92&lt;Paramétrage!$S$12,"PB",IF(AND(Q92&lt;Paramétrage!$S$12,Q92&lt;&gt;0),"PB","")))</f>
        <v/>
      </c>
      <c r="V92" s="959" t="str">
        <f t="shared" si="160"/>
        <v/>
      </c>
      <c r="W92" s="959" t="str">
        <f t="shared" si="161"/>
        <v/>
      </c>
      <c r="X92" s="960" t="str">
        <f t="shared" si="162"/>
        <v/>
      </c>
      <c r="Y92" s="959" t="str">
        <f t="shared" si="163"/>
        <v/>
      </c>
      <c r="Z92" s="836"/>
      <c r="AA92" s="837"/>
      <c r="AC92" s="934">
        <f t="shared" si="166"/>
        <v>42754</v>
      </c>
      <c r="AD92" s="961">
        <f>IF(AND(N(AC92)&gt;=Paramétrage!$AU$11,N(AC92)&lt;=Paramétrage!$AU$12),IF(C92="cp",1,0),0)</f>
        <v>0</v>
      </c>
      <c r="AE92" s="962">
        <f t="shared" si="164"/>
        <v>0</v>
      </c>
      <c r="AF92" s="961">
        <f>IF(AND(N(AC92)&gt;=Paramétrage!$AX$11,N(AC92)&lt;=Paramétrage!$AX$12),IF(C92="cp",1,0),0)</f>
        <v>0</v>
      </c>
      <c r="AG92" s="962">
        <f t="shared" si="165"/>
        <v>0</v>
      </c>
      <c r="AI92" s="962">
        <f t="shared" si="167"/>
        <v>0</v>
      </c>
      <c r="AJ92" s="962">
        <f t="shared" si="168"/>
        <v>0</v>
      </c>
      <c r="AM92" s="962">
        <f t="shared" si="169"/>
        <v>0</v>
      </c>
      <c r="AN92" s="962">
        <f t="shared" si="170"/>
        <v>0</v>
      </c>
      <c r="AO92" s="962">
        <f t="shared" si="171"/>
        <v>0</v>
      </c>
      <c r="AP92" s="962">
        <f t="shared" si="172"/>
        <v>0</v>
      </c>
      <c r="AR92" s="917">
        <f>IF(AND(AC92&lt;=$AR$3,B92="CP"),1,0)</f>
        <v>0</v>
      </c>
      <c r="AS92" s="917">
        <f>IF(AND(AC92&lt;=$AR$3,C92="CP"),1,0)</f>
        <v>0</v>
      </c>
    </row>
    <row r="93" spans="1:45" ht="14.25" customHeight="1" x14ac:dyDescent="0.3">
      <c r="A93" s="964" t="s">
        <v>15</v>
      </c>
      <c r="B93" s="15" t="b">
        <f>IF(Paramétrage!$O$45="",FALSE,Paramétrage!$O$45)</f>
        <v>0</v>
      </c>
      <c r="C93" s="263"/>
      <c r="D93" s="15" t="b">
        <f>IF(Paramétrage!$Q$45="",FALSE,Paramétrage!$Q$45)</f>
        <v>0</v>
      </c>
      <c r="E93" s="264"/>
      <c r="F93" s="15" t="b">
        <f>IF(Paramétrage!$R$45="",FALSE,Paramétrage!$R$45)</f>
        <v>0</v>
      </c>
      <c r="G93" s="264"/>
      <c r="H93" s="17" t="b">
        <f>IF(Paramétrage!$T$45="",FALSE,Paramétrage!$T$45)</f>
        <v>0</v>
      </c>
      <c r="I93" s="263"/>
      <c r="J93" s="127" t="b">
        <f>IF(Paramétrage!$U$45="",FALSE,Paramétrage!$U$45)</f>
        <v>0</v>
      </c>
      <c r="K93" s="263"/>
      <c r="L93" s="28" t="b">
        <f>IF(Paramétrage!$W$45="",FALSE,Paramétrage!$W$45)</f>
        <v>0</v>
      </c>
      <c r="M93" s="263"/>
      <c r="N93" s="956">
        <f>IF(OR(B93="aa",B93="cp",B93="f",B93="jc",B93="m",B93="css"),0,(L93-J93)+(H93-F93)+(D93-B93))</f>
        <v>0</v>
      </c>
      <c r="O93" s="956">
        <f>SUM(AM93:AP93)+IF(OR(C93="m",C93="aa"),N93,IF(C93="css",0,IF(C93="cp",0,IF(C93="jc",0,IF(C93="f",0,E93-C93+I93-G93+M93-K93)))))</f>
        <v>0</v>
      </c>
      <c r="P93" s="956">
        <f t="shared" si="156"/>
        <v>0</v>
      </c>
      <c r="Q93" s="956">
        <f t="shared" si="157"/>
        <v>0</v>
      </c>
      <c r="R93" s="957">
        <f>IF(OR(C93="aa",C93="cp",C93="f",C93="jc",C93="m",C93="css"),0,IF(C93=0,MAX(B93,D93,F93,H93,J93,L93)-MIN(B93,D93,F93,H93,J93,L93),IF(C93&lt;&gt;0,MAX(C93,E93,G93,I93,K93,M93)-MIN(C93,E93,G93,I93,K93,M93))))</f>
        <v>0</v>
      </c>
      <c r="S93" s="262"/>
      <c r="T93" s="958" t="str">
        <f t="shared" ref="T93:T96" si="173">IF(AND(B93=FALSE,C93=""),"",IF(AND(B93=0,C93=0),"",(IF(OR(C93="cp",C93="f",C93="jc",C93="css"),"",IF(OR(C93="",C93="aa",C93="m"),(IF(OR(B93="cp",B93="f",B93="jc",B93="css"),"",B93*24+24-MAX(D92,H92,L92)*24)),C93*24+24-MAX(M92,I92,E92)*24)))))</f>
        <v/>
      </c>
      <c r="U93" s="959" t="str">
        <f>IF(P93=0,"",IF(P93&lt;Paramétrage!$S$12,"PB",IF(AND(Q93&lt;Paramétrage!$S$12,Q93&lt;&gt;0),"PB","")))</f>
        <v/>
      </c>
      <c r="V93" s="959" t="str">
        <f t="shared" si="160"/>
        <v/>
      </c>
      <c r="W93" s="959" t="str">
        <f t="shared" si="161"/>
        <v/>
      </c>
      <c r="X93" s="960" t="str">
        <f>IF(AND(N93=0,O93=0),"",(IF(OR(C93="aa",C93="cp",C93="f",C93="jc",C93="m",C93="css"),"",IF(C93="",IF(OR(D93-B93&gt;6/24,H93-F93&gt;6/24,L93-J93&gt;6/24),"PB",""),IF(OR(E93-C93&gt;6/24,I93-G93&gt;6/24,M93-K93&gt;6/24),"PB","")))))</f>
        <v/>
      </c>
      <c r="Y93" s="959" t="str">
        <f t="shared" si="163"/>
        <v/>
      </c>
      <c r="Z93" s="836"/>
      <c r="AA93" s="837"/>
      <c r="AC93" s="934">
        <f t="shared" si="166"/>
        <v>42755</v>
      </c>
      <c r="AD93" s="961">
        <f>IF(AND(N(AC93)&gt;=Paramétrage!$AU$11,N(AC93)&lt;=Paramétrage!$AU$12),IF(C93="cp",1,0),0)</f>
        <v>0</v>
      </c>
      <c r="AE93" s="962">
        <f t="shared" si="164"/>
        <v>0</v>
      </c>
      <c r="AF93" s="961">
        <f>IF(AND(N(AC93)&gt;=Paramétrage!$AX$11,N(AC93)&lt;=Paramétrage!$AX$12),IF(C93="cp",1,0),0)</f>
        <v>0</v>
      </c>
      <c r="AG93" s="962">
        <f t="shared" si="165"/>
        <v>0</v>
      </c>
      <c r="AI93" s="962">
        <f t="shared" si="167"/>
        <v>0</v>
      </c>
      <c r="AJ93" s="962">
        <f t="shared" si="168"/>
        <v>0</v>
      </c>
      <c r="AM93" s="962">
        <f t="shared" si="169"/>
        <v>0</v>
      </c>
      <c r="AN93" s="962">
        <f t="shared" si="170"/>
        <v>0</v>
      </c>
      <c r="AO93" s="962">
        <f t="shared" si="171"/>
        <v>0</v>
      </c>
      <c r="AP93" s="962">
        <f t="shared" si="172"/>
        <v>0</v>
      </c>
      <c r="AR93" s="917">
        <f>IF(AND(AC93&lt;=$AR$3,B93="CP"),1,0)</f>
        <v>0</v>
      </c>
      <c r="AS93" s="917">
        <f>IF(AND(AC93&lt;=$AR$3,C93="CP"),1,0)</f>
        <v>0</v>
      </c>
    </row>
    <row r="94" spans="1:45" ht="14.25" customHeight="1" x14ac:dyDescent="0.3">
      <c r="A94" s="964" t="s">
        <v>16</v>
      </c>
      <c r="B94" s="15" t="b">
        <f>IF(Paramétrage!$O$46="",FALSE,Paramétrage!$O$46)</f>
        <v>0</v>
      </c>
      <c r="C94" s="263"/>
      <c r="D94" s="15" t="b">
        <f>IF(Paramétrage!$Q$46="",FALSE,Paramétrage!$Q$46)</f>
        <v>0</v>
      </c>
      <c r="E94" s="264"/>
      <c r="F94" s="15" t="b">
        <f>IF(Paramétrage!$R$46="",FALSE,Paramétrage!$R$46)</f>
        <v>0</v>
      </c>
      <c r="G94" s="264"/>
      <c r="H94" s="17" t="b">
        <f>IF(Paramétrage!$T$46="",FALSE,Paramétrage!$T$46)</f>
        <v>0</v>
      </c>
      <c r="I94" s="263"/>
      <c r="J94" s="127" t="b">
        <f>IF(Paramétrage!$U$46="",FALSE,Paramétrage!$U$46)</f>
        <v>0</v>
      </c>
      <c r="K94" s="263"/>
      <c r="L94" s="28" t="b">
        <f>IF(Paramétrage!$W$46="",FALSE,Paramétrage!$W$46)</f>
        <v>0</v>
      </c>
      <c r="M94" s="263"/>
      <c r="N94" s="956">
        <f>IF(OR(B94="aa",B94="cp",B94="f",B94="jc",B94="m",B94="css"),0,(L94-J94)+(H94-F94)+(D94-B94))</f>
        <v>0</v>
      </c>
      <c r="O94" s="956">
        <f>SUM(AM94:AP94)+IF(OR(C94="m",C94="aa"),N94,IF(C94="css",0,IF(C94="cp",0,IF(C94="jc",0,IF(C94="f",0,E94-C94+I94-G94+M94-K94)))))</f>
        <v>0</v>
      </c>
      <c r="P94" s="956">
        <f t="shared" si="156"/>
        <v>0</v>
      </c>
      <c r="Q94" s="956">
        <f t="shared" si="157"/>
        <v>0</v>
      </c>
      <c r="R94" s="957">
        <f>IF(OR(C94="aa",C94="cp",C94="f",C94="jc",C94="m",C94="css"),0,IF(C94=0,MAX(B94,D94,F94,H94,J94,L94)-MIN(B94,D94,F94,H94,J94,L94),IF(C94&lt;&gt;0,MAX(C94,E94,G94,I94,K94,M94)-MIN(C94,E94,G94,I94,K94,M94))))</f>
        <v>0</v>
      </c>
      <c r="S94" s="262"/>
      <c r="T94" s="958" t="str">
        <f t="shared" si="173"/>
        <v/>
      </c>
      <c r="U94" s="959" t="str">
        <f>IF(P94=0,"",IF(P94&lt;Paramétrage!$S$12,"PB",IF(AND(Q94&lt;Paramétrage!$S$12,Q94&lt;&gt;0),"PB","")))</f>
        <v/>
      </c>
      <c r="V94" s="959" t="str">
        <f t="shared" si="160"/>
        <v/>
      </c>
      <c r="W94" s="959" t="str">
        <f t="shared" si="161"/>
        <v/>
      </c>
      <c r="X94" s="960" t="str">
        <f>IF(AND(N94=0,O94=0),"",(IF(OR(C94="aa",C94="cp",C94="f",C94="jc",C94="m",C94="css"),"",IF(C94="",IF(OR(D94-B94&gt;6/24,H94-F94&gt;6/24,L94-J94&gt;6/24),"PB",""),IF(OR(E94-C94&gt;6/24,I94-G94&gt;6/24,M94-K94&gt;6/24),"PB","")))))</f>
        <v/>
      </c>
      <c r="Y94" s="959" t="str">
        <f t="shared" si="163"/>
        <v/>
      </c>
      <c r="Z94" s="836"/>
      <c r="AA94" s="837"/>
      <c r="AC94" s="934">
        <f t="shared" si="166"/>
        <v>42756</v>
      </c>
      <c r="AD94" s="961">
        <f>IF(AND(N(AC94)&gt;=Paramétrage!$AU$11,N(AC94)&lt;=Paramétrage!$AU$12),IF(C94="cp",1,0),0)</f>
        <v>0</v>
      </c>
      <c r="AE94" s="962">
        <f t="shared" si="164"/>
        <v>0</v>
      </c>
      <c r="AF94" s="961">
        <f>IF(AND(N(AC94)&gt;=Paramétrage!$AX$11,N(AC94)&lt;=Paramétrage!$AX$12),IF(C94="cp",1,0),0)</f>
        <v>0</v>
      </c>
      <c r="AG94" s="962">
        <f t="shared" si="165"/>
        <v>0</v>
      </c>
      <c r="AI94" s="962">
        <f t="shared" si="167"/>
        <v>0</v>
      </c>
      <c r="AJ94" s="962">
        <f t="shared" si="168"/>
        <v>0</v>
      </c>
      <c r="AM94" s="962">
        <f t="shared" si="169"/>
        <v>0</v>
      </c>
      <c r="AN94" s="962">
        <f t="shared" si="170"/>
        <v>0</v>
      </c>
      <c r="AO94" s="962">
        <f t="shared" si="171"/>
        <v>0</v>
      </c>
      <c r="AP94" s="962">
        <f t="shared" si="172"/>
        <v>0</v>
      </c>
      <c r="AR94" s="917">
        <f>IF(AND(AC94&lt;=$AR$3,B94="CP"),1,0)</f>
        <v>0</v>
      </c>
      <c r="AS94" s="917">
        <f>IF(AND(AC94&lt;=$AR$3,C94="CP"),1,0)</f>
        <v>0</v>
      </c>
    </row>
    <row r="95" spans="1:45" ht="14.25" customHeight="1" x14ac:dyDescent="0.3">
      <c r="A95" s="964" t="s">
        <v>19</v>
      </c>
      <c r="B95" s="15" t="b">
        <f>IF(Paramétrage!$O$47="",FALSE,Paramétrage!$O$47)</f>
        <v>0</v>
      </c>
      <c r="C95" s="263"/>
      <c r="D95" s="15" t="b">
        <f>IF(Paramétrage!$Q$47="",FALSE,Paramétrage!$Q$47)</f>
        <v>0</v>
      </c>
      <c r="E95" s="264"/>
      <c r="F95" s="15" t="b">
        <f>IF(Paramétrage!$R$47="",FALSE,Paramétrage!$R$47)</f>
        <v>0</v>
      </c>
      <c r="G95" s="264"/>
      <c r="H95" s="17" t="b">
        <f>IF(Paramétrage!$T$47="",FALSE,Paramétrage!$T$47)</f>
        <v>0</v>
      </c>
      <c r="I95" s="263"/>
      <c r="J95" s="127" t="b">
        <f>IF(Paramétrage!$U$47="",FALSE,Paramétrage!$U$47)</f>
        <v>0</v>
      </c>
      <c r="K95" s="263"/>
      <c r="L95" s="28" t="b">
        <f>IF(Paramétrage!$W$47="",FALSE,Paramétrage!$W$47)</f>
        <v>0</v>
      </c>
      <c r="M95" s="263"/>
      <c r="N95" s="956">
        <f>IF(OR(B95="aa",B95="cp",B95="f",B95="jc",B95="m",B95="css"),0,(L95-J95)+(H95-F95)+(D95-B95))</f>
        <v>0</v>
      </c>
      <c r="O95" s="956">
        <f>IF(OR(C95="m",C95="aa"),N95,IF(C95="cp",0,IF(OR(C95="css",C95="jc"),0,IF(C95="f",0,E95-C95+I95-G95+M95-K95))))</f>
        <v>0</v>
      </c>
      <c r="P95" s="956">
        <f t="shared" si="156"/>
        <v>0</v>
      </c>
      <c r="Q95" s="956">
        <f t="shared" si="157"/>
        <v>0</v>
      </c>
      <c r="R95" s="957">
        <f>IF(OR(C95="aa",C95="cp",C95="f",C95="jc",C95="m",C95="css"),0,IF(C95=0,MAX(B95,D95,F95,H95,J95,L95)-MIN(B95,D95,F95,H95,J95,L95),IF(C95&lt;&gt;0,MAX(C95,E95,G95,I95,K95,M95)-MIN(C95,E95,G95,I95,K95,M95))))</f>
        <v>0</v>
      </c>
      <c r="S95" s="262"/>
      <c r="T95" s="958" t="str">
        <f t="shared" si="173"/>
        <v/>
      </c>
      <c r="U95" s="959" t="str">
        <f>IF(P95=0,"",IF(P95&lt;Paramétrage!$S$12,"PB",IF(AND(Q95&lt;Paramétrage!$S$12,Q95&lt;&gt;0),"PB","")))</f>
        <v/>
      </c>
      <c r="V95" s="959" t="str">
        <f t="shared" si="160"/>
        <v/>
      </c>
      <c r="W95" s="959" t="str">
        <f t="shared" si="161"/>
        <v/>
      </c>
      <c r="X95" s="960" t="str">
        <f>IF(AND(N95=0,O95=0),"",(IF(OR(C95="aa",C95="cp",C95="f",C95="jc",C95="m",C95="css"),"",IF(C95="",IF(OR(D95-B95&gt;6/24,H95-F95&gt;6/24,L95-J95&gt;6/24),"PB",""),IF(OR(E95-C95&gt;6/24,I95-G95&gt;6/24,M95-K95&gt;6/24),"PB","")))))</f>
        <v/>
      </c>
      <c r="Y95" s="959" t="str">
        <f t="shared" si="163"/>
        <v/>
      </c>
      <c r="Z95" s="836"/>
      <c r="AA95" s="837"/>
      <c r="AC95" s="934">
        <f t="shared" si="166"/>
        <v>42757</v>
      </c>
      <c r="AD95" s="961">
        <f>IF(AND(N(AC95)&gt;=Paramétrage!$AU$11,N(AC95)&lt;=Paramétrage!$AU$12),IF(C95="cp",1,0),0)</f>
        <v>0</v>
      </c>
      <c r="AE95" s="962">
        <f t="shared" si="164"/>
        <v>0</v>
      </c>
      <c r="AF95" s="961">
        <f>IF(AND(N(AC95)&gt;=Paramétrage!$AX$11,N(AC95)&lt;=Paramétrage!$AX$12),IF(C95="cp",1,0),0)</f>
        <v>0</v>
      </c>
      <c r="AG95" s="962">
        <f t="shared" si="165"/>
        <v>0</v>
      </c>
      <c r="AI95" s="962">
        <f t="shared" si="167"/>
        <v>0</v>
      </c>
      <c r="AJ95" s="962">
        <f t="shared" si="168"/>
        <v>0</v>
      </c>
      <c r="AM95" s="962"/>
      <c r="AN95" s="962"/>
      <c r="AO95" s="962"/>
      <c r="AP95" s="962"/>
    </row>
    <row r="96" spans="1:45" ht="14.25" customHeight="1" thickBot="1" x14ac:dyDescent="0.35">
      <c r="A96" s="966" t="s">
        <v>20</v>
      </c>
      <c r="B96" s="15" t="b">
        <f>IF(Paramétrage!$O$48="",FALSE,Paramétrage!$O$48)</f>
        <v>0</v>
      </c>
      <c r="C96" s="263"/>
      <c r="D96" s="15" t="b">
        <f>IF(Paramétrage!$Q$48="",FALSE,Paramétrage!$Q$48)</f>
        <v>0</v>
      </c>
      <c r="E96" s="264"/>
      <c r="F96" s="15" t="b">
        <f>IF(Paramétrage!$R$48="",FALSE,Paramétrage!$R$48)</f>
        <v>0</v>
      </c>
      <c r="G96" s="264"/>
      <c r="H96" s="17" t="b">
        <f>IF(Paramétrage!$T$48="",FALSE,Paramétrage!$T$48)</f>
        <v>0</v>
      </c>
      <c r="I96" s="263"/>
      <c r="J96" s="127" t="b">
        <f>IF(Paramétrage!$U$48="",FALSE,Paramétrage!$U$48)</f>
        <v>0</v>
      </c>
      <c r="K96" s="263"/>
      <c r="L96" s="28" t="b">
        <f>IF(Paramétrage!$W$48="",FALSE,Paramétrage!$W$48)</f>
        <v>0</v>
      </c>
      <c r="M96" s="263"/>
      <c r="N96" s="956">
        <f>IF(OR(B96="aa",B96="m"),M96,IF(B96="cp",0,IF(B96="jc",0,IF(B96="f",0,(D96-B96)*Paramétrage!$S$13+(H96-F96)*Paramétrage!$S$13+(L96-J96)*Paramétrage!$S$13+(D96-B96+H96-F96+L96-J96)))))</f>
        <v>0</v>
      </c>
      <c r="O96" s="956">
        <f>IF(OR(C96="aa",C96="m"),N96,IF(C96="cp",0,IF(C96="jc",0,IF(C96="f",0,(E96-C96)*Paramétrage!$S$13+(I96-G96)*Paramétrage!$S$13+(M96-K96)*Paramétrage!$S$13+(E96-C96+I96-G96+M96-K96)))))</f>
        <v>0</v>
      </c>
      <c r="P96" s="956">
        <f t="shared" si="156"/>
        <v>0</v>
      </c>
      <c r="Q96" s="956">
        <f t="shared" si="157"/>
        <v>0</v>
      </c>
      <c r="R96" s="957">
        <f t="shared" ref="R96" si="174">IF(OR(C96="aa",C96="cp",C96="f",C96="jc",C96="m",C96=0),MAX(B96,D96,F96,H96,J96,L96)-MIN(B96,D96,F96,H96,J96,L96),IF(C96&lt;&gt;0,MAX(C96,E96,G96,I96,K96,M96)-MIN(C96,E96,G96,I96,K96,M96)))</f>
        <v>0</v>
      </c>
      <c r="S96" s="262"/>
      <c r="T96" s="958" t="str">
        <f t="shared" si="173"/>
        <v/>
      </c>
      <c r="U96" s="959" t="str">
        <f>IF(P96=0,"",IF(P96&lt;Paramétrage!$S$12,"PB",IF(AND(Q96&lt;Paramétrage!$S$12,Q96&lt;&gt;0),"PB","")))</f>
        <v/>
      </c>
      <c r="V96" s="959" t="str">
        <f t="shared" si="160"/>
        <v/>
      </c>
      <c r="W96" s="959" t="str">
        <f t="shared" si="161"/>
        <v/>
      </c>
      <c r="X96" s="960" t="str">
        <f t="shared" ref="X96" si="175">IF(AND(N96=0,O96=0),"",(IF(OR(C96="aa",C96="cp",C96="f",C96="jc",C96="m"),"",IF(C96="",IF(OR(D96-B96&gt;6/24,H96-F96&gt;6/24,L96-J96&gt;6/24),"PB",""),IF(OR(E96-C96&gt;6/24,I96-G96&gt;6/24,M96-K96&gt;6/24),"PB","")))))</f>
        <v/>
      </c>
      <c r="Y96" s="959" t="str">
        <f t="shared" si="163"/>
        <v/>
      </c>
      <c r="Z96" s="836"/>
      <c r="AA96" s="837"/>
      <c r="AB96" s="967"/>
      <c r="AC96" s="934">
        <f t="shared" si="166"/>
        <v>42758</v>
      </c>
      <c r="AD96" s="961">
        <f>IF(AND(N(AC96)&gt;=Paramétrage!$AU$11,N(AC96)&lt;=Paramétrage!$AU$12),IF(C96="cp",1,0),0)</f>
        <v>0</v>
      </c>
      <c r="AE96" s="962">
        <f t="shared" si="164"/>
        <v>0</v>
      </c>
      <c r="AF96" s="961">
        <f>IF(AND(N(AC96)&gt;=Paramétrage!$AX$11,N(AC96)&lt;=Paramétrage!$AX$12),IF(C96="cp",1,0),0)</f>
        <v>0</v>
      </c>
      <c r="AG96" s="962">
        <f t="shared" si="165"/>
        <v>0</v>
      </c>
      <c r="AI96" s="962">
        <f t="shared" si="167"/>
        <v>0</v>
      </c>
      <c r="AJ96" s="962">
        <f t="shared" si="168"/>
        <v>0</v>
      </c>
      <c r="AM96" s="962"/>
      <c r="AN96" s="962"/>
      <c r="AO96" s="962"/>
      <c r="AP96" s="962"/>
    </row>
    <row r="97" spans="1:45" s="935" customFormat="1" x14ac:dyDescent="0.25">
      <c r="A97" s="969" t="s">
        <v>26</v>
      </c>
      <c r="B97" s="970"/>
      <c r="C97" s="970"/>
      <c r="D97" s="970"/>
      <c r="E97" s="970"/>
      <c r="F97" s="970"/>
      <c r="G97" s="970"/>
      <c r="H97" s="970"/>
      <c r="I97" s="970"/>
      <c r="J97" s="970"/>
      <c r="K97" s="971"/>
      <c r="L97" s="970"/>
      <c r="M97" s="970"/>
      <c r="N97" s="972">
        <f>SUM(N90:N96)</f>
        <v>0</v>
      </c>
      <c r="O97" s="972">
        <f>SUM(O90:O96)</f>
        <v>0</v>
      </c>
      <c r="P97" s="972">
        <f>SUM(P90:P96)</f>
        <v>0</v>
      </c>
      <c r="Q97" s="972">
        <f>SUM(Q90:Q96)</f>
        <v>0</v>
      </c>
      <c r="R97" s="972"/>
      <c r="S97" s="972"/>
      <c r="T97" s="973"/>
      <c r="U97" s="974"/>
      <c r="V97" s="975" t="str">
        <f>IF((O97*24)&gt;48,"PB","")</f>
        <v/>
      </c>
      <c r="W97" s="974"/>
      <c r="X97" s="974"/>
      <c r="Y97" s="974"/>
      <c r="Z97" s="1053" t="s">
        <v>59</v>
      </c>
      <c r="AA97" s="1055">
        <f>+O97-N97</f>
        <v>0</v>
      </c>
      <c r="AB97" s="917"/>
      <c r="AC97" s="934"/>
      <c r="AE97" s="917"/>
      <c r="AF97" s="917"/>
      <c r="AG97" s="917"/>
      <c r="AH97" s="917"/>
      <c r="AI97" s="917"/>
      <c r="AJ97" s="917"/>
      <c r="AK97" s="917"/>
      <c r="AL97" s="917"/>
      <c r="AM97" s="917"/>
      <c r="AN97" s="917"/>
      <c r="AO97" s="917"/>
      <c r="AP97" s="917"/>
      <c r="AR97" s="917"/>
      <c r="AS97" s="917"/>
    </row>
    <row r="98" spans="1:45" s="935" customFormat="1" x14ac:dyDescent="0.25">
      <c r="A98" s="969"/>
      <c r="B98" s="969"/>
      <c r="C98" s="969"/>
      <c r="D98" s="969"/>
      <c r="E98" s="969"/>
      <c r="F98" s="1052"/>
      <c r="G98" s="1052"/>
      <c r="H98" s="1052"/>
      <c r="I98" s="1052"/>
      <c r="J98" s="1052"/>
      <c r="K98" s="969"/>
      <c r="L98" s="969"/>
      <c r="M98" s="969"/>
      <c r="N98" s="973"/>
      <c r="O98" s="969"/>
      <c r="P98" s="980"/>
      <c r="Q98" s="980"/>
      <c r="R98" s="980"/>
      <c r="S98" s="981"/>
      <c r="T98" s="980"/>
      <c r="U98" s="1052"/>
      <c r="V98" s="1052"/>
      <c r="W98" s="1052"/>
      <c r="X98" s="1052"/>
      <c r="Y98" s="1052"/>
      <c r="Z98" s="1053"/>
      <c r="AA98" s="1055"/>
      <c r="AB98" s="917"/>
      <c r="AC98" s="934"/>
      <c r="AE98" s="917"/>
      <c r="AF98" s="917"/>
      <c r="AG98" s="917"/>
      <c r="AH98" s="917"/>
      <c r="AI98" s="917"/>
      <c r="AJ98" s="917"/>
      <c r="AK98" s="917"/>
      <c r="AL98" s="917"/>
      <c r="AM98" s="917"/>
      <c r="AN98" s="917"/>
      <c r="AO98" s="917"/>
      <c r="AP98" s="917"/>
      <c r="AR98" s="917"/>
      <c r="AS98" s="917"/>
    </row>
    <row r="99" spans="1:45" s="935" customFormat="1" ht="16.5" x14ac:dyDescent="0.3">
      <c r="A99" s="969"/>
      <c r="B99" s="969"/>
      <c r="C99" s="969"/>
      <c r="D99" s="969"/>
      <c r="E99" s="969"/>
      <c r="F99" s="928">
        <f>+F87+7</f>
        <v>42759</v>
      </c>
      <c r="G99" s="928"/>
      <c r="H99" s="929" t="s">
        <v>58</v>
      </c>
      <c r="I99" s="928">
        <f>+F99+6</f>
        <v>42765</v>
      </c>
      <c r="J99" s="930"/>
      <c r="K99" s="969"/>
      <c r="L99" s="969"/>
      <c r="M99" s="969"/>
      <c r="N99" s="973"/>
      <c r="O99" s="969"/>
      <c r="P99" s="980"/>
      <c r="Q99" s="980"/>
      <c r="R99" s="980"/>
      <c r="S99" s="981"/>
      <c r="T99" s="980"/>
      <c r="U99" s="1052"/>
      <c r="V99" s="1052"/>
      <c r="W99" s="1052"/>
      <c r="X99" s="1052"/>
      <c r="Y99" s="1052"/>
      <c r="Z99" s="1053"/>
      <c r="AA99" s="1054"/>
      <c r="AB99" s="917"/>
      <c r="AC99" s="934"/>
      <c r="AE99" s="917"/>
      <c r="AF99" s="917"/>
      <c r="AG99" s="917"/>
      <c r="AH99" s="917"/>
      <c r="AI99" s="917"/>
      <c r="AJ99" s="917"/>
      <c r="AK99" s="917"/>
      <c r="AL99" s="917"/>
      <c r="AM99" s="917"/>
      <c r="AN99" s="917"/>
      <c r="AO99" s="917"/>
      <c r="AP99" s="917"/>
      <c r="AR99" s="917"/>
      <c r="AS99" s="917"/>
    </row>
    <row r="100" spans="1:45" ht="14.45" customHeight="1" x14ac:dyDescent="0.25">
      <c r="A100" s="994"/>
      <c r="B100" s="938" t="s">
        <v>17</v>
      </c>
      <c r="C100" s="938"/>
      <c r="D100" s="938" t="s">
        <v>18</v>
      </c>
      <c r="E100" s="938"/>
      <c r="F100" s="938" t="s">
        <v>17</v>
      </c>
      <c r="G100" s="938"/>
      <c r="H100" s="938" t="s">
        <v>18</v>
      </c>
      <c r="I100" s="938"/>
      <c r="J100" s="938" t="s">
        <v>17</v>
      </c>
      <c r="K100" s="938"/>
      <c r="L100" s="938" t="s">
        <v>18</v>
      </c>
      <c r="M100" s="938"/>
      <c r="N100" s="939" t="s">
        <v>61</v>
      </c>
      <c r="O100" s="939" t="s">
        <v>62</v>
      </c>
      <c r="P100" s="939" t="s">
        <v>60</v>
      </c>
      <c r="Q100" s="939" t="s">
        <v>63</v>
      </c>
      <c r="R100" s="939" t="s">
        <v>64</v>
      </c>
      <c r="S100" s="940" t="s">
        <v>223</v>
      </c>
      <c r="T100" s="939" t="s">
        <v>70</v>
      </c>
      <c r="U100" s="941" t="s">
        <v>65</v>
      </c>
      <c r="V100" s="942"/>
      <c r="W100" s="942"/>
      <c r="X100" s="942"/>
      <c r="Y100" s="943"/>
      <c r="Z100" s="944" t="s">
        <v>22</v>
      </c>
      <c r="AA100" s="944"/>
      <c r="AC100" s="934"/>
    </row>
    <row r="101" spans="1:45" ht="26.25" thickBot="1" x14ac:dyDescent="0.4">
      <c r="A101" s="937" t="str">
        <f>"S"&amp;WEEKNUM(F99,21)</f>
        <v>S4</v>
      </c>
      <c r="B101" s="949" t="s">
        <v>0</v>
      </c>
      <c r="C101" s="950" t="s">
        <v>1</v>
      </c>
      <c r="D101" s="949" t="s">
        <v>0</v>
      </c>
      <c r="E101" s="950" t="s">
        <v>1</v>
      </c>
      <c r="F101" s="949" t="s">
        <v>0</v>
      </c>
      <c r="G101" s="950" t="s">
        <v>1</v>
      </c>
      <c r="H101" s="949" t="s">
        <v>0</v>
      </c>
      <c r="I101" s="950" t="s">
        <v>1</v>
      </c>
      <c r="J101" s="949" t="s">
        <v>0</v>
      </c>
      <c r="K101" s="950" t="s">
        <v>1</v>
      </c>
      <c r="L101" s="949" t="s">
        <v>0</v>
      </c>
      <c r="M101" s="950" t="s">
        <v>1</v>
      </c>
      <c r="N101" s="951"/>
      <c r="O101" s="951"/>
      <c r="P101" s="951"/>
      <c r="Q101" s="951"/>
      <c r="R101" s="951"/>
      <c r="S101" s="951"/>
      <c r="T101" s="939"/>
      <c r="U101" s="952" t="s">
        <v>66</v>
      </c>
      <c r="V101" s="952" t="s">
        <v>67</v>
      </c>
      <c r="W101" s="952" t="s">
        <v>68</v>
      </c>
      <c r="X101" s="952" t="s">
        <v>137</v>
      </c>
      <c r="Y101" s="952" t="s">
        <v>69</v>
      </c>
      <c r="Z101" s="944"/>
      <c r="AA101" s="944"/>
      <c r="AC101" s="934"/>
      <c r="AM101" s="917" t="s">
        <v>274</v>
      </c>
    </row>
    <row r="102" spans="1:45" ht="14.25" customHeight="1" x14ac:dyDescent="0.3">
      <c r="A102" s="955" t="s">
        <v>12</v>
      </c>
      <c r="B102" s="15" t="b">
        <f>IF(Paramétrage!$O$42="",FALSE,Paramétrage!$O$42)</f>
        <v>0</v>
      </c>
      <c r="C102" s="263"/>
      <c r="D102" s="16" t="b">
        <f>IF(Paramétrage!$Q$42="",FALSE,Paramétrage!$Q$42)</f>
        <v>0</v>
      </c>
      <c r="E102" s="264"/>
      <c r="F102" s="15" t="b">
        <f>IF(Paramétrage!$R$42="",FALSE,Paramétrage!$R$42)</f>
        <v>0</v>
      </c>
      <c r="G102" s="264"/>
      <c r="H102" s="17" t="b">
        <f>IF(Paramétrage!$T$42="",FALSE,Paramétrage!$T$42)</f>
        <v>0</v>
      </c>
      <c r="I102" s="263"/>
      <c r="J102" s="127" t="b">
        <f>IF(Paramétrage!$U$42="",FALSE,Paramétrage!$U$42)</f>
        <v>0</v>
      </c>
      <c r="K102" s="263"/>
      <c r="L102" s="28" t="b">
        <f>IF(Paramétrage!$W$42="",FALSE,Paramétrage!$W$42)</f>
        <v>0</v>
      </c>
      <c r="M102" s="263"/>
      <c r="N102" s="956">
        <f t="shared" ref="N102:N104" si="176">IF(OR(B102="aa",B102="cp",B102="f",B102="jc",B102="m",B102="css"),0,(L102-J102)+(H102-F102)+(D102-B102))</f>
        <v>0</v>
      </c>
      <c r="O102" s="956">
        <f t="shared" ref="O102:O104" si="177">SUM(AM102:AP102)+IF(OR(C102="m",C102="aa"),N102,IF(C102="css",0,IF(C102="cp",0,IF(C102="jc",0,IF(C102="f",0,E102-C102+I102-G102+M102-K102)))))</f>
        <v>0</v>
      </c>
      <c r="P102" s="956">
        <f t="shared" ref="P102:P108" si="178">IF(OR(C102="aa",C102="cp",C102="f",C102="jc",C102="m",C102="css"),0,IF(C102="",IF(OR(F102="",F102=FALSE),0,F102-D102),IF(G102="",0,G102-E102)))</f>
        <v>0</v>
      </c>
      <c r="Q102" s="956">
        <f t="shared" ref="Q102:Q108" si="179">IF(P102=0,0,IF(G102="",IF(OR(J102="",J102=FALSE),0,J102-H102),IF(K102="",0,K102-I102)))</f>
        <v>0</v>
      </c>
      <c r="R102" s="957">
        <f t="shared" ref="R102:R104" si="180">IF(OR(C102="aa",C102="cp",C102="f",C102="jc",C102="m",C102="css"),0,IF(C102=0,MAX(B102,D102,F102,H102,J102,L102)-MIN(B102,D102,F102,H102,J102,L102),IF(C102&lt;&gt;0,MAX(C102,E102,G102,I102,K102,M102)-MIN(C102,E102,G102,I102,K102,M102))))</f>
        <v>0</v>
      </c>
      <c r="S102" s="262"/>
      <c r="T102" s="958" t="str">
        <f t="shared" ref="T102:T103" si="181">IF(AND(B102=FALSE,C102=""),"",IF(AND(B102=0,C102=0),"",(IF(OR(C102="cp",C102="f",C102="jc",C102="css"),"",IF(OR(C102="",C102="aa",C102="m"),(IF(OR(B102="cp",B102="f",B102="jc",B102="css"),"",B102*24+24-MAX(D101,H101,L101)*24)),C102*24+24-MAX(M101,I101,E101)*24)))))</f>
        <v/>
      </c>
      <c r="U102" s="959" t="str">
        <f>IF(P102=0,"",IF(P102&lt;Paramétrage!$S$12,"PB",IF(AND(Q102&lt;Paramétrage!$S$12,Q102&lt;&gt;0),"PB","")))</f>
        <v/>
      </c>
      <c r="V102" s="959" t="str">
        <f t="shared" ref="V102:V108" si="182">IF(C102="",IF((N102*24)&gt;10,"PB",""),IF((O102*24)&gt;10,"PB",""))</f>
        <v/>
      </c>
      <c r="W102" s="959" t="str">
        <f t="shared" ref="W102:W108" si="183">IF((R102*24)&gt;12,"PB","")</f>
        <v/>
      </c>
      <c r="X102" s="960" t="str">
        <f t="shared" ref="X102:X104" si="184">IF(AND(N102=0,O102=0),"",(IF(OR(C102="aa",C102="cp",C102="f",C102="jc",C102="m",C102="css"),"",IF(C102="",IF(OR(D102-B102&gt;6/24,H102-F102&gt;6/24,L102-J102&gt;6/24),"PB",""),IF(OR(E102-C102&gt;6/24,I102-G102&gt;6/24,M102-K102&gt;6/24),"PB","")))))</f>
        <v/>
      </c>
      <c r="Y102" s="959" t="str">
        <f t="shared" ref="Y102:Y108" si="185">IF(T102="","",IF(T102&lt;11,"PB",""))</f>
        <v/>
      </c>
      <c r="Z102" s="836"/>
      <c r="AA102" s="837"/>
      <c r="AC102" s="934">
        <f>AC96+1</f>
        <v>42759</v>
      </c>
      <c r="AD102" s="961">
        <f>IF(AND(N(AC102)&gt;=Paramétrage!$AU$11,N(AC102)&lt;=Paramétrage!$AU$12),IF(C102="cp",1,0),0)</f>
        <v>0</v>
      </c>
      <c r="AE102" s="962">
        <f t="shared" ref="AE102:AE108" si="186">IF(O102&lt;&gt;"erreur",N102,O102)</f>
        <v>0</v>
      </c>
      <c r="AF102" s="961">
        <f>IF(AND(N(AC102)&gt;=Paramétrage!$AX$11,N(AC102)&lt;=Paramétrage!$AX$12),IF(C102="cp",1,0),0)</f>
        <v>0</v>
      </c>
      <c r="AG102" s="962">
        <f>O102</f>
        <v>0</v>
      </c>
      <c r="AI102" s="962">
        <f>AE102+AI96</f>
        <v>0</v>
      </c>
      <c r="AJ102" s="962">
        <f>AG102+AJ96</f>
        <v>0</v>
      </c>
      <c r="AM102" s="962">
        <f>IF(AND($B102="cp",$C102="m"),$Z102,0)</f>
        <v>0</v>
      </c>
      <c r="AN102" s="962">
        <f>IF(AND($B102="jc",$C102="m"),$Z102,0)</f>
        <v>0</v>
      </c>
      <c r="AO102" s="962">
        <f>IF(AND($B102="cp",$C102="aa"),$Z102,0)</f>
        <v>0</v>
      </c>
      <c r="AP102" s="962">
        <f>IF(AND($B102="jc",$C102="aa"),$Z102,0)</f>
        <v>0</v>
      </c>
      <c r="AR102" s="917">
        <f>IF(AND(AC102&lt;=$AR$3,B102="CP"),1,0)</f>
        <v>0</v>
      </c>
      <c r="AS102" s="917">
        <f>IF(AND(AC102&lt;=$AR$3,C102="CP"),1,0)</f>
        <v>0</v>
      </c>
    </row>
    <row r="103" spans="1:45" ht="14.25" customHeight="1" x14ac:dyDescent="0.3">
      <c r="A103" s="964" t="s">
        <v>13</v>
      </c>
      <c r="B103" s="15" t="b">
        <f>IF(Paramétrage!$O$43="",FALSE,Paramétrage!$O$43)</f>
        <v>0</v>
      </c>
      <c r="C103" s="263"/>
      <c r="D103" s="16" t="b">
        <f>IF(Paramétrage!$Q$43="",FALSE,Paramétrage!$Q$43)</f>
        <v>0</v>
      </c>
      <c r="E103" s="264"/>
      <c r="F103" s="15" t="b">
        <f>IF(Paramétrage!$R$43="",FALSE,Paramétrage!$R$43)</f>
        <v>0</v>
      </c>
      <c r="G103" s="264"/>
      <c r="H103" s="17" t="b">
        <f>IF(Paramétrage!$T$43="",FALSE,Paramétrage!$T$43)</f>
        <v>0</v>
      </c>
      <c r="I103" s="263"/>
      <c r="J103" s="127" t="b">
        <f>IF(Paramétrage!$U$43="",FALSE,Paramétrage!$U$43)</f>
        <v>0</v>
      </c>
      <c r="K103" s="263"/>
      <c r="L103" s="28" t="b">
        <f>IF(Paramétrage!$W$43="",FALSE,Paramétrage!$W$43)</f>
        <v>0</v>
      </c>
      <c r="M103" s="263"/>
      <c r="N103" s="956">
        <f t="shared" si="176"/>
        <v>0</v>
      </c>
      <c r="O103" s="956">
        <f t="shared" si="177"/>
        <v>0</v>
      </c>
      <c r="P103" s="956">
        <f t="shared" si="178"/>
        <v>0</v>
      </c>
      <c r="Q103" s="956">
        <f t="shared" si="179"/>
        <v>0</v>
      </c>
      <c r="R103" s="957">
        <f t="shared" si="180"/>
        <v>0</v>
      </c>
      <c r="S103" s="262"/>
      <c r="T103" s="958" t="str">
        <f t="shared" si="181"/>
        <v/>
      </c>
      <c r="U103" s="959" t="str">
        <f>IF(P103=0,"",IF(P103&lt;Paramétrage!$S$12,"PB",IF(AND(Q103&lt;Paramétrage!$S$12,Q103&lt;&gt;0),"PB","")))</f>
        <v/>
      </c>
      <c r="V103" s="959" t="str">
        <f t="shared" si="182"/>
        <v/>
      </c>
      <c r="W103" s="959" t="str">
        <f t="shared" si="183"/>
        <v/>
      </c>
      <c r="X103" s="960" t="str">
        <f t="shared" si="184"/>
        <v/>
      </c>
      <c r="Y103" s="959" t="str">
        <f t="shared" si="185"/>
        <v/>
      </c>
      <c r="Z103" s="836"/>
      <c r="AA103" s="837"/>
      <c r="AC103" s="934">
        <f t="shared" ref="AC103:AC108" si="187">AC102+1</f>
        <v>42760</v>
      </c>
      <c r="AD103" s="961">
        <f>IF(AND(N(AC103)&gt;=Paramétrage!$AU$11,N(AC103)&lt;=Paramétrage!$AU$12),IF(C103="cp",1,0),0)</f>
        <v>0</v>
      </c>
      <c r="AE103" s="962">
        <f t="shared" si="186"/>
        <v>0</v>
      </c>
      <c r="AF103" s="961">
        <f>IF(AND(N(AC103)&gt;=Paramétrage!$AX$11,N(AC103)&lt;=Paramétrage!$AX$12),IF(C103="cp",1,0),0)</f>
        <v>0</v>
      </c>
      <c r="AG103" s="962">
        <f t="shared" ref="AG103:AG108" si="188">O103</f>
        <v>0</v>
      </c>
      <c r="AI103" s="962">
        <f t="shared" ref="AI103:AI108" si="189">AE103+AI102</f>
        <v>0</v>
      </c>
      <c r="AJ103" s="962">
        <f t="shared" ref="AJ103:AJ108" si="190">AG103+AJ102</f>
        <v>0</v>
      </c>
      <c r="AM103" s="962">
        <f t="shared" ref="AM103:AM106" si="191">IF(AND($B103="cp",$C103="m"),$Z103,0)</f>
        <v>0</v>
      </c>
      <c r="AN103" s="962">
        <f t="shared" ref="AN103:AN106" si="192">IF(AND($B103="jc",$C103="m"),$Z103,0)</f>
        <v>0</v>
      </c>
      <c r="AO103" s="962">
        <f t="shared" ref="AO103:AO106" si="193">IF(AND($B103="cp",$C103="aa"),$Z103,0)</f>
        <v>0</v>
      </c>
      <c r="AP103" s="962">
        <f t="shared" ref="AP103:AP106" si="194">IF(AND($B103="jc",$C103="aa"),$Z103,0)</f>
        <v>0</v>
      </c>
      <c r="AR103" s="917">
        <f>IF(AND(AC103&lt;=$AR$3,B103="CP"),1,0)</f>
        <v>0</v>
      </c>
      <c r="AS103" s="917">
        <f>IF(AND(AC103&lt;=$AR$3,C103="CP"),1,0)</f>
        <v>0</v>
      </c>
    </row>
    <row r="104" spans="1:45" ht="14.25" customHeight="1" x14ac:dyDescent="0.3">
      <c r="A104" s="964" t="s">
        <v>14</v>
      </c>
      <c r="B104" s="15" t="b">
        <f>IF(Paramétrage!$O$44="",FALSE,Paramétrage!$O$44)</f>
        <v>0</v>
      </c>
      <c r="C104" s="263"/>
      <c r="D104" s="16" t="b">
        <f>IF(Paramétrage!$Q$44="",FALSE,Paramétrage!$Q$44)</f>
        <v>0</v>
      </c>
      <c r="E104" s="264"/>
      <c r="F104" s="15" t="b">
        <f>IF(Paramétrage!$R$44="",FALSE,Paramétrage!$R$44)</f>
        <v>0</v>
      </c>
      <c r="G104" s="264"/>
      <c r="H104" s="17" t="b">
        <f>IF(Paramétrage!$T$44="",FALSE,Paramétrage!$T$44)</f>
        <v>0</v>
      </c>
      <c r="I104" s="263"/>
      <c r="J104" s="127" t="b">
        <f>IF(Paramétrage!$U$44="",FALSE,Paramétrage!$U$44)</f>
        <v>0</v>
      </c>
      <c r="K104" s="263"/>
      <c r="L104" s="28" t="b">
        <f>IF(Paramétrage!$W$44="",FALSE,Paramétrage!$W$44)</f>
        <v>0</v>
      </c>
      <c r="M104" s="263"/>
      <c r="N104" s="956">
        <f t="shared" si="176"/>
        <v>0</v>
      </c>
      <c r="O104" s="956">
        <f t="shared" si="177"/>
        <v>0</v>
      </c>
      <c r="P104" s="956">
        <f t="shared" si="178"/>
        <v>0</v>
      </c>
      <c r="Q104" s="956">
        <f t="shared" si="179"/>
        <v>0</v>
      </c>
      <c r="R104" s="957">
        <f t="shared" si="180"/>
        <v>0</v>
      </c>
      <c r="S104" s="262"/>
      <c r="T104" s="958" t="str">
        <f>IF(AND(B104=FALSE,C104=""),"",IF(AND(B104=0,C104=0),"",(IF(OR(C104="cp",C104="f",C104="jc",C104="css"),"",IF(OR(C104="",C104="aa",C104="m"),(IF(OR(B104="cp",B104="f",B104="jc",B104="css"),"",B104*24+24-MAX(D103,H103,L103)*24)),C104*24+24-MAX(M103,I103,E103)*24)))))</f>
        <v/>
      </c>
      <c r="U104" s="959" t="str">
        <f>IF(P104=0,"",IF(P104&lt;Paramétrage!$S$12,"PB",IF(AND(Q104&lt;Paramétrage!$S$12,Q104&lt;&gt;0),"PB","")))</f>
        <v/>
      </c>
      <c r="V104" s="959" t="str">
        <f t="shared" si="182"/>
        <v/>
      </c>
      <c r="W104" s="959" t="str">
        <f t="shared" si="183"/>
        <v/>
      </c>
      <c r="X104" s="960" t="str">
        <f t="shared" si="184"/>
        <v/>
      </c>
      <c r="Y104" s="959" t="str">
        <f t="shared" si="185"/>
        <v/>
      </c>
      <c r="Z104" s="836"/>
      <c r="AA104" s="837"/>
      <c r="AC104" s="934">
        <f t="shared" si="187"/>
        <v>42761</v>
      </c>
      <c r="AD104" s="961">
        <f>IF(AND(N(AC104)&gt;=Paramétrage!$AU$11,N(AC104)&lt;=Paramétrage!$AU$12),IF(C104="cp",1,0),0)</f>
        <v>0</v>
      </c>
      <c r="AE104" s="962">
        <f t="shared" si="186"/>
        <v>0</v>
      </c>
      <c r="AF104" s="961">
        <f>IF(AND(N(AC104)&gt;=Paramétrage!$AX$11,N(AC104)&lt;=Paramétrage!$AX$12),IF(C104="cp",1,0),0)</f>
        <v>0</v>
      </c>
      <c r="AG104" s="962">
        <f t="shared" si="188"/>
        <v>0</v>
      </c>
      <c r="AI104" s="962">
        <f t="shared" si="189"/>
        <v>0</v>
      </c>
      <c r="AJ104" s="962">
        <f t="shared" si="190"/>
        <v>0</v>
      </c>
      <c r="AM104" s="962">
        <f t="shared" si="191"/>
        <v>0</v>
      </c>
      <c r="AN104" s="962">
        <f t="shared" si="192"/>
        <v>0</v>
      </c>
      <c r="AO104" s="962">
        <f t="shared" si="193"/>
        <v>0</v>
      </c>
      <c r="AP104" s="962">
        <f t="shared" si="194"/>
        <v>0</v>
      </c>
      <c r="AR104" s="917">
        <f>IF(AND(AC104&lt;=$AR$3,B104="CP"),1,0)</f>
        <v>0</v>
      </c>
      <c r="AS104" s="917">
        <f>IF(AND(AC104&lt;=$AR$3,C104="CP"),1,0)</f>
        <v>0</v>
      </c>
    </row>
    <row r="105" spans="1:45" ht="14.25" customHeight="1" x14ac:dyDescent="0.3">
      <c r="A105" s="964" t="s">
        <v>15</v>
      </c>
      <c r="B105" s="15" t="b">
        <f>IF(Paramétrage!$O$45="",FALSE,Paramétrage!$O$45)</f>
        <v>0</v>
      </c>
      <c r="C105" s="263"/>
      <c r="D105" s="16" t="b">
        <f>IF(Paramétrage!$Q$45="",FALSE,Paramétrage!$Q$45)</f>
        <v>0</v>
      </c>
      <c r="E105" s="264"/>
      <c r="F105" s="15" t="b">
        <f>IF(Paramétrage!$R$45="",FALSE,Paramétrage!$R$45)</f>
        <v>0</v>
      </c>
      <c r="G105" s="264"/>
      <c r="H105" s="17" t="b">
        <f>IF(Paramétrage!$T$45="",FALSE,Paramétrage!$T$45)</f>
        <v>0</v>
      </c>
      <c r="I105" s="263"/>
      <c r="J105" s="127" t="b">
        <f>IF(Paramétrage!$U$45="",FALSE,Paramétrage!$U$45)</f>
        <v>0</v>
      </c>
      <c r="K105" s="263"/>
      <c r="L105" s="28" t="b">
        <f>IF(Paramétrage!$W$45="",FALSE,Paramétrage!$W$45)</f>
        <v>0</v>
      </c>
      <c r="M105" s="263"/>
      <c r="N105" s="956">
        <f>IF(OR(B105="aa",B105="cp",B105="f",B105="jc",B105="m",B105="css"),0,(L105-J105)+(H105-F105)+(D105-B105))</f>
        <v>0</v>
      </c>
      <c r="O105" s="956">
        <f>SUM(AM105:AP105)+IF(OR(C105="m",C105="aa"),N105,IF(C105="css",0,IF(C105="cp",0,IF(C105="jc",0,IF(C105="f",0,E105-C105+I105-G105+M105-K105)))))</f>
        <v>0</v>
      </c>
      <c r="P105" s="956">
        <f t="shared" si="178"/>
        <v>0</v>
      </c>
      <c r="Q105" s="956">
        <f t="shared" si="179"/>
        <v>0</v>
      </c>
      <c r="R105" s="957">
        <f>IF(OR(C105="aa",C105="cp",C105="f",C105="jc",C105="m",C105="css"),0,IF(C105=0,MAX(B105,D105,F105,H105,J105,L105)-MIN(B105,D105,F105,H105,J105,L105),IF(C105&lt;&gt;0,MAX(C105,E105,G105,I105,K105,M105)-MIN(C105,E105,G105,I105,K105,M105))))</f>
        <v>0</v>
      </c>
      <c r="S105" s="262"/>
      <c r="T105" s="958" t="str">
        <f t="shared" ref="T105:T108" si="195">IF(AND(B105=FALSE,C105=""),"",IF(AND(B105=0,C105=0),"",(IF(OR(C105="cp",C105="f",C105="jc",C105="css"),"",IF(OR(C105="",C105="aa",C105="m"),(IF(OR(B105="cp",B105="f",B105="jc",B105="css"),"",B105*24+24-MAX(D104,H104,L104)*24)),C105*24+24-MAX(M104,I104,E104)*24)))))</f>
        <v/>
      </c>
      <c r="U105" s="959" t="str">
        <f>IF(P105=0,"",IF(P105&lt;Paramétrage!$S$12,"PB",IF(AND(Q105&lt;Paramétrage!$S$12,Q105&lt;&gt;0),"PB","")))</f>
        <v/>
      </c>
      <c r="V105" s="959" t="str">
        <f t="shared" si="182"/>
        <v/>
      </c>
      <c r="W105" s="959" t="str">
        <f t="shared" si="183"/>
        <v/>
      </c>
      <c r="X105" s="960" t="str">
        <f>IF(AND(N105=0,O105=0),"",(IF(OR(C105="aa",C105="cp",C105="f",C105="jc",C105="m",C105="css"),"",IF(C105="",IF(OR(D105-B105&gt;6/24,H105-F105&gt;6/24,L105-J105&gt;6/24),"PB",""),IF(OR(E105-C105&gt;6/24,I105-G105&gt;6/24,M105-K105&gt;6/24),"PB","")))))</f>
        <v/>
      </c>
      <c r="Y105" s="959" t="str">
        <f t="shared" si="185"/>
        <v/>
      </c>
      <c r="Z105" s="836"/>
      <c r="AA105" s="837"/>
      <c r="AC105" s="934">
        <f t="shared" si="187"/>
        <v>42762</v>
      </c>
      <c r="AD105" s="961">
        <f>IF(AND(N(AC105)&gt;=Paramétrage!$AU$11,N(AC105)&lt;=Paramétrage!$AU$12),IF(C105="cp",1,0),0)</f>
        <v>0</v>
      </c>
      <c r="AE105" s="962">
        <f t="shared" si="186"/>
        <v>0</v>
      </c>
      <c r="AF105" s="961">
        <f>IF(AND(N(AC105)&gt;=Paramétrage!$AX$11,N(AC105)&lt;=Paramétrage!$AX$12),IF(C105="cp",1,0),0)</f>
        <v>0</v>
      </c>
      <c r="AG105" s="962">
        <f t="shared" si="188"/>
        <v>0</v>
      </c>
      <c r="AI105" s="962">
        <f t="shared" si="189"/>
        <v>0</v>
      </c>
      <c r="AJ105" s="962">
        <f t="shared" si="190"/>
        <v>0</v>
      </c>
      <c r="AM105" s="962">
        <f t="shared" si="191"/>
        <v>0</v>
      </c>
      <c r="AN105" s="962">
        <f t="shared" si="192"/>
        <v>0</v>
      </c>
      <c r="AO105" s="962">
        <f t="shared" si="193"/>
        <v>0</v>
      </c>
      <c r="AP105" s="962">
        <f t="shared" si="194"/>
        <v>0</v>
      </c>
      <c r="AR105" s="917">
        <f>IF(AND(AC105&lt;=$AR$3,B105="CP"),1,0)</f>
        <v>0</v>
      </c>
      <c r="AS105" s="917">
        <f>IF(AND(AC105&lt;=$AR$3,C105="CP"),1,0)</f>
        <v>0</v>
      </c>
    </row>
    <row r="106" spans="1:45" ht="14.25" customHeight="1" x14ac:dyDescent="0.3">
      <c r="A106" s="964" t="s">
        <v>16</v>
      </c>
      <c r="B106" s="15" t="b">
        <f>IF(Paramétrage!$O$46="",FALSE,Paramétrage!$O$46)</f>
        <v>0</v>
      </c>
      <c r="C106" s="263"/>
      <c r="D106" s="16" t="b">
        <f>IF(Paramétrage!$Q$46="",FALSE,Paramétrage!$Q$46)</f>
        <v>0</v>
      </c>
      <c r="E106" s="264"/>
      <c r="F106" s="15" t="b">
        <f>IF(Paramétrage!$R$46="",FALSE,Paramétrage!$R$46)</f>
        <v>0</v>
      </c>
      <c r="G106" s="264"/>
      <c r="H106" s="17" t="b">
        <f>IF(Paramétrage!$T$46="",FALSE,Paramétrage!$T$46)</f>
        <v>0</v>
      </c>
      <c r="I106" s="263"/>
      <c r="J106" s="127" t="b">
        <f>IF(Paramétrage!$U$46="",FALSE,Paramétrage!$U$46)</f>
        <v>0</v>
      </c>
      <c r="K106" s="263"/>
      <c r="L106" s="28" t="b">
        <f>IF(Paramétrage!$W$46="",FALSE,Paramétrage!$W$46)</f>
        <v>0</v>
      </c>
      <c r="M106" s="263"/>
      <c r="N106" s="956">
        <f>IF(OR(B106="aa",B106="cp",B106="f",B106="jc",B106="m",B106="css"),0,(L106-J106)+(H106-F106)+(D106-B106))</f>
        <v>0</v>
      </c>
      <c r="O106" s="956">
        <f>SUM(AM106:AP106)+IF(OR(C106="m",C106="aa"),N106,IF(C106="css",0,IF(C106="cp",0,IF(C106="jc",0,IF(C106="f",0,E106-C106+I106-G106+M106-K106)))))</f>
        <v>0</v>
      </c>
      <c r="P106" s="956">
        <f t="shared" si="178"/>
        <v>0</v>
      </c>
      <c r="Q106" s="956">
        <f t="shared" si="179"/>
        <v>0</v>
      </c>
      <c r="R106" s="957">
        <f>IF(OR(C106="aa",C106="cp",C106="f",C106="jc",C106="m",C106="css"),0,IF(C106=0,MAX(B106,D106,F106,H106,J106,L106)-MIN(B106,D106,F106,H106,J106,L106),IF(C106&lt;&gt;0,MAX(C106,E106,G106,I106,K106,M106)-MIN(C106,E106,G106,I106,K106,M106))))</f>
        <v>0</v>
      </c>
      <c r="S106" s="262"/>
      <c r="T106" s="958" t="str">
        <f t="shared" si="195"/>
        <v/>
      </c>
      <c r="U106" s="959" t="str">
        <f>IF(P106=0,"",IF(P106&lt;Paramétrage!$S$12,"PB",IF(AND(Q106&lt;Paramétrage!$S$12,Q106&lt;&gt;0),"PB","")))</f>
        <v/>
      </c>
      <c r="V106" s="959" t="str">
        <f t="shared" si="182"/>
        <v/>
      </c>
      <c r="W106" s="959" t="str">
        <f t="shared" si="183"/>
        <v/>
      </c>
      <c r="X106" s="960" t="str">
        <f>IF(AND(N106=0,O106=0),"",(IF(OR(C106="aa",C106="cp",C106="f",C106="jc",C106="m",C106="css"),"",IF(C106="",IF(OR(D106-B106&gt;6/24,H106-F106&gt;6/24,L106-J106&gt;6/24),"PB",""),IF(OR(E106-C106&gt;6/24,I106-G106&gt;6/24,M106-K106&gt;6/24),"PB","")))))</f>
        <v/>
      </c>
      <c r="Y106" s="959" t="str">
        <f t="shared" si="185"/>
        <v/>
      </c>
      <c r="Z106" s="836"/>
      <c r="AA106" s="837"/>
      <c r="AC106" s="934">
        <f t="shared" si="187"/>
        <v>42763</v>
      </c>
      <c r="AD106" s="961">
        <f>IF(AND(N(AC106)&gt;=Paramétrage!$AU$11,N(AC106)&lt;=Paramétrage!$AU$12),IF(C106="cp",1,0),0)</f>
        <v>0</v>
      </c>
      <c r="AE106" s="962">
        <f t="shared" si="186"/>
        <v>0</v>
      </c>
      <c r="AF106" s="961">
        <f>IF(AND(N(AC106)&gt;=Paramétrage!$AX$11,N(AC106)&lt;=Paramétrage!$AX$12),IF(C106="cp",1,0),0)</f>
        <v>0</v>
      </c>
      <c r="AG106" s="962">
        <f t="shared" si="188"/>
        <v>0</v>
      </c>
      <c r="AI106" s="962">
        <f t="shared" si="189"/>
        <v>0</v>
      </c>
      <c r="AJ106" s="962">
        <f t="shared" si="190"/>
        <v>0</v>
      </c>
      <c r="AM106" s="962">
        <f t="shared" si="191"/>
        <v>0</v>
      </c>
      <c r="AN106" s="962">
        <f t="shared" si="192"/>
        <v>0</v>
      </c>
      <c r="AO106" s="962">
        <f t="shared" si="193"/>
        <v>0</v>
      </c>
      <c r="AP106" s="962">
        <f t="shared" si="194"/>
        <v>0</v>
      </c>
      <c r="AR106" s="917">
        <f>IF(AND(AC106&lt;=$AR$3,B106="CP"),1,0)</f>
        <v>0</v>
      </c>
      <c r="AS106" s="917">
        <f>IF(AND(AC106&lt;=$AR$3,C106="CP"),1,0)</f>
        <v>0</v>
      </c>
    </row>
    <row r="107" spans="1:45" ht="14.25" customHeight="1" x14ac:dyDescent="0.3">
      <c r="A107" s="964" t="s">
        <v>19</v>
      </c>
      <c r="B107" s="15" t="b">
        <f>IF(Paramétrage!$O$47="",FALSE,Paramétrage!$O$47)</f>
        <v>0</v>
      </c>
      <c r="C107" s="263"/>
      <c r="D107" s="16" t="b">
        <f>IF(Paramétrage!$Q$47="",FALSE,Paramétrage!$Q$47)</f>
        <v>0</v>
      </c>
      <c r="E107" s="264"/>
      <c r="F107" s="15" t="b">
        <f>IF(Paramétrage!$R$47="",FALSE,Paramétrage!$R$47)</f>
        <v>0</v>
      </c>
      <c r="G107" s="264"/>
      <c r="H107" s="17" t="b">
        <f>IF(Paramétrage!$T$47="",FALSE,Paramétrage!$T$47)</f>
        <v>0</v>
      </c>
      <c r="I107" s="263"/>
      <c r="J107" s="127" t="b">
        <f>IF(Paramétrage!$U$47="",FALSE,Paramétrage!$U$47)</f>
        <v>0</v>
      </c>
      <c r="K107" s="263"/>
      <c r="L107" s="28" t="b">
        <f>IF(Paramétrage!$W$47="",FALSE,Paramétrage!$W$47)</f>
        <v>0</v>
      </c>
      <c r="M107" s="263"/>
      <c r="N107" s="956">
        <f>IF(OR(B107="aa",B107="cp",B107="f",B107="jc",B107="m",B107="css"),0,(L107-J107)+(H107-F107)+(D107-B107))</f>
        <v>0</v>
      </c>
      <c r="O107" s="956">
        <f>IF(OR(C107="m",C107="aa"),N107,IF(C107="cp",0,IF(OR(C107="css",C107="jc"),0,IF(C107="f",0,E107-C107+I107-G107+M107-K107))))</f>
        <v>0</v>
      </c>
      <c r="P107" s="956">
        <f t="shared" si="178"/>
        <v>0</v>
      </c>
      <c r="Q107" s="956">
        <f t="shared" si="179"/>
        <v>0</v>
      </c>
      <c r="R107" s="957">
        <f>IF(OR(C107="aa",C107="cp",C107="f",C107="jc",C107="m",C107="css"),0,IF(C107=0,MAX(B107,D107,F107,H107,J107,L107)-MIN(B107,D107,F107,H107,J107,L107),IF(C107&lt;&gt;0,MAX(C107,E107,G107,I107,K107,M107)-MIN(C107,E107,G107,I107,K107,M107))))</f>
        <v>0</v>
      </c>
      <c r="S107" s="262"/>
      <c r="T107" s="958" t="str">
        <f t="shared" si="195"/>
        <v/>
      </c>
      <c r="U107" s="959" t="str">
        <f>IF(P107=0,"",IF(P107&lt;Paramétrage!$S$12,"PB",IF(AND(Q107&lt;Paramétrage!$S$12,Q107&lt;&gt;0),"PB","")))</f>
        <v/>
      </c>
      <c r="V107" s="959" t="str">
        <f t="shared" si="182"/>
        <v/>
      </c>
      <c r="W107" s="959" t="str">
        <f t="shared" si="183"/>
        <v/>
      </c>
      <c r="X107" s="960" t="str">
        <f>IF(AND(N107=0,O107=0),"",(IF(OR(C107="aa",C107="cp",C107="f",C107="jc",C107="m",C107="css"),"",IF(C107="",IF(OR(D107-B107&gt;6/24,H107-F107&gt;6/24,L107-J107&gt;6/24),"PB",""),IF(OR(E107-C107&gt;6/24,I107-G107&gt;6/24,M107-K107&gt;6/24),"PB","")))))</f>
        <v/>
      </c>
      <c r="Y107" s="959" t="str">
        <f t="shared" si="185"/>
        <v/>
      </c>
      <c r="Z107" s="836"/>
      <c r="AA107" s="837"/>
      <c r="AC107" s="934">
        <f t="shared" si="187"/>
        <v>42764</v>
      </c>
      <c r="AD107" s="961">
        <f>IF(AND(N(AC107)&gt;=Paramétrage!$AU$11,N(AC107)&lt;=Paramétrage!$AU$12),IF(C107="cp",1,0),0)</f>
        <v>0</v>
      </c>
      <c r="AE107" s="962">
        <f t="shared" si="186"/>
        <v>0</v>
      </c>
      <c r="AF107" s="961">
        <f>IF(AND(N(AC107)&gt;=Paramétrage!$AX$11,N(AC107)&lt;=Paramétrage!$AX$12),IF(C107="cp",1,0),0)</f>
        <v>0</v>
      </c>
      <c r="AG107" s="962">
        <f t="shared" si="188"/>
        <v>0</v>
      </c>
      <c r="AI107" s="962">
        <f t="shared" si="189"/>
        <v>0</v>
      </c>
      <c r="AJ107" s="962">
        <f t="shared" si="190"/>
        <v>0</v>
      </c>
      <c r="AM107" s="962"/>
      <c r="AN107" s="962"/>
      <c r="AO107" s="962"/>
      <c r="AP107" s="962"/>
    </row>
    <row r="108" spans="1:45" ht="14.25" customHeight="1" thickBot="1" x14ac:dyDescent="0.35">
      <c r="A108" s="966" t="s">
        <v>20</v>
      </c>
      <c r="B108" s="15" t="b">
        <f>IF(Paramétrage!$O$48="",FALSE,Paramétrage!$O$48)</f>
        <v>0</v>
      </c>
      <c r="C108" s="263"/>
      <c r="D108" s="16" t="b">
        <f>IF(Paramétrage!$Q$48="",FALSE,Paramétrage!$Q$48)</f>
        <v>0</v>
      </c>
      <c r="E108" s="264"/>
      <c r="F108" s="15" t="b">
        <f>IF(Paramétrage!$R$48="",FALSE,Paramétrage!$R$48)</f>
        <v>0</v>
      </c>
      <c r="G108" s="264"/>
      <c r="H108" s="17" t="b">
        <f>IF(Paramétrage!$T$48="",FALSE,Paramétrage!$T$48)</f>
        <v>0</v>
      </c>
      <c r="I108" s="263"/>
      <c r="J108" s="127" t="b">
        <f>IF(Paramétrage!$U$48="",FALSE,Paramétrage!$U$48)</f>
        <v>0</v>
      </c>
      <c r="K108" s="263"/>
      <c r="L108" s="28" t="b">
        <f>IF(Paramétrage!$W$48="",FALSE,Paramétrage!$W$48)</f>
        <v>0</v>
      </c>
      <c r="M108" s="263"/>
      <c r="N108" s="956">
        <f>IF(OR(B108="aa",B108="m"),M108,IF(B108="cp",0,IF(B108="jc",0,IF(B108="f",0,(D108-B108)*Paramétrage!$S$13+(H108-F108)*Paramétrage!$S$13+(L108-J108)*Paramétrage!$S$13+(D108-B108+H108-F108+L108-J108)))))</f>
        <v>0</v>
      </c>
      <c r="O108" s="956">
        <f>IF(OR(C108="aa",C108="m"),N108,IF(C108="cp",0,IF(C108="jc",0,IF(C108="f",0,(E108-C108)*Paramétrage!$S$13+(I108-G108)*Paramétrage!$S$13+(M108-K108)*Paramétrage!$S$13+(E108-C108+I108-G108+M108-K108)))))</f>
        <v>0</v>
      </c>
      <c r="P108" s="956">
        <f t="shared" si="178"/>
        <v>0</v>
      </c>
      <c r="Q108" s="956">
        <f t="shared" si="179"/>
        <v>0</v>
      </c>
      <c r="R108" s="957">
        <f t="shared" ref="R108" si="196">IF(OR(C108="aa",C108="cp",C108="f",C108="jc",C108="m",C108=0),MAX(B108,D108,F108,H108,J108,L108)-MIN(B108,D108,F108,H108,J108,L108),IF(C108&lt;&gt;0,MAX(C108,E108,G108,I108,K108,M108)-MIN(C108,E108,G108,I108,K108,M108)))</f>
        <v>0</v>
      </c>
      <c r="S108" s="262"/>
      <c r="T108" s="958" t="str">
        <f t="shared" si="195"/>
        <v/>
      </c>
      <c r="U108" s="959" t="str">
        <f>IF(P108=0,"",IF(P108&lt;Paramétrage!$S$12,"PB",IF(AND(Q108&lt;Paramétrage!$S$12,Q108&lt;&gt;0),"PB","")))</f>
        <v/>
      </c>
      <c r="V108" s="959" t="str">
        <f t="shared" si="182"/>
        <v/>
      </c>
      <c r="W108" s="959" t="str">
        <f t="shared" si="183"/>
        <v/>
      </c>
      <c r="X108" s="960" t="str">
        <f t="shared" ref="X108" si="197">IF(AND(N108=0,O108=0),"",(IF(OR(C108="aa",C108="cp",C108="f",C108="jc",C108="m"),"",IF(C108="",IF(OR(D108-B108&gt;6/24,H108-F108&gt;6/24,L108-J108&gt;6/24),"PB",""),IF(OR(E108-C108&gt;6/24,I108-G108&gt;6/24,M108-K108&gt;6/24),"PB","")))))</f>
        <v/>
      </c>
      <c r="Y108" s="959" t="str">
        <f t="shared" si="185"/>
        <v/>
      </c>
      <c r="Z108" s="836"/>
      <c r="AA108" s="837"/>
      <c r="AB108" s="967"/>
      <c r="AC108" s="934">
        <f t="shared" si="187"/>
        <v>42765</v>
      </c>
      <c r="AD108" s="961">
        <f>IF(AND(N(AC108)&gt;=Paramétrage!$AU$11,N(AC108)&lt;=Paramétrage!$AU$12),IF(C108="cp",1,0),0)</f>
        <v>0</v>
      </c>
      <c r="AE108" s="962">
        <f t="shared" si="186"/>
        <v>0</v>
      </c>
      <c r="AF108" s="961">
        <f>IF(AND(N(AC108)&gt;=Paramétrage!$AX$11,N(AC108)&lt;=Paramétrage!$AX$12),IF(C108="cp",1,0),0)</f>
        <v>0</v>
      </c>
      <c r="AG108" s="962">
        <f t="shared" si="188"/>
        <v>0</v>
      </c>
      <c r="AI108" s="962">
        <f t="shared" si="189"/>
        <v>0</v>
      </c>
      <c r="AJ108" s="962">
        <f t="shared" si="190"/>
        <v>0</v>
      </c>
      <c r="AM108" s="962"/>
      <c r="AN108" s="962"/>
      <c r="AO108" s="962"/>
      <c r="AP108" s="962"/>
    </row>
    <row r="109" spans="1:45" s="935" customFormat="1" x14ac:dyDescent="0.25">
      <c r="A109" s="969" t="s">
        <v>27</v>
      </c>
      <c r="B109" s="970"/>
      <c r="C109" s="970"/>
      <c r="D109" s="970"/>
      <c r="E109" s="970"/>
      <c r="F109" s="970"/>
      <c r="G109" s="970"/>
      <c r="H109" s="970"/>
      <c r="I109" s="970"/>
      <c r="J109" s="970"/>
      <c r="K109" s="971"/>
      <c r="L109" s="970"/>
      <c r="M109" s="970"/>
      <c r="N109" s="972">
        <f>SUM(N102:N108)</f>
        <v>0</v>
      </c>
      <c r="O109" s="972">
        <f>SUM(O102:O108)</f>
        <v>0</v>
      </c>
      <c r="P109" s="972">
        <f>SUM(P102:P108)</f>
        <v>0</v>
      </c>
      <c r="Q109" s="972">
        <f>SUM(Q102:Q108)</f>
        <v>0</v>
      </c>
      <c r="R109" s="972"/>
      <c r="S109" s="972"/>
      <c r="T109" s="973"/>
      <c r="U109" s="974"/>
      <c r="V109" s="975" t="str">
        <f>IF((O109*24)&gt;48,"PB","")</f>
        <v/>
      </c>
      <c r="W109" s="974"/>
      <c r="X109" s="974"/>
      <c r="Y109" s="974"/>
      <c r="Z109" s="1053" t="s">
        <v>59</v>
      </c>
      <c r="AA109" s="1055">
        <f>+O109-N109</f>
        <v>0</v>
      </c>
      <c r="AB109" s="917"/>
      <c r="AC109" s="934"/>
      <c r="AE109" s="917"/>
      <c r="AF109" s="917"/>
      <c r="AG109" s="917"/>
      <c r="AH109" s="917"/>
      <c r="AI109" s="917"/>
      <c r="AJ109" s="917"/>
      <c r="AK109" s="917"/>
      <c r="AL109" s="917"/>
      <c r="AM109" s="917"/>
      <c r="AN109" s="917"/>
      <c r="AO109" s="917"/>
      <c r="AP109" s="917"/>
      <c r="AR109" s="917"/>
      <c r="AS109" s="917"/>
    </row>
    <row r="110" spans="1:45" s="935" customFormat="1" ht="15" customHeight="1" x14ac:dyDescent="0.25">
      <c r="A110" s="969"/>
      <c r="B110" s="969"/>
      <c r="C110" s="969"/>
      <c r="D110" s="969"/>
      <c r="E110" s="969"/>
      <c r="F110" s="1052"/>
      <c r="G110" s="1052"/>
      <c r="H110" s="1052"/>
      <c r="I110" s="1052"/>
      <c r="J110" s="1052"/>
      <c r="K110" s="969"/>
      <c r="L110" s="969"/>
      <c r="M110" s="969"/>
      <c r="N110" s="972"/>
      <c r="O110" s="972"/>
      <c r="P110" s="981"/>
      <c r="Q110" s="981"/>
      <c r="R110" s="981"/>
      <c r="S110" s="981"/>
      <c r="T110" s="980"/>
      <c r="U110" s="1052"/>
      <c r="V110" s="1052"/>
      <c r="W110" s="1052"/>
      <c r="X110" s="1052"/>
      <c r="Y110" s="1052"/>
      <c r="Z110" s="1053"/>
      <c r="AA110" s="1055"/>
      <c r="AB110" s="917"/>
      <c r="AC110" s="934"/>
      <c r="AE110" s="917"/>
      <c r="AF110" s="917"/>
      <c r="AG110" s="917"/>
      <c r="AH110" s="917"/>
      <c r="AI110" s="917"/>
      <c r="AJ110" s="917"/>
      <c r="AK110" s="917"/>
      <c r="AL110" s="917"/>
      <c r="AM110" s="917"/>
      <c r="AN110" s="917"/>
      <c r="AO110" s="917"/>
      <c r="AP110" s="917"/>
      <c r="AR110" s="917"/>
      <c r="AS110" s="917"/>
    </row>
    <row r="111" spans="1:45" s="935" customFormat="1" ht="15" customHeight="1" x14ac:dyDescent="0.3">
      <c r="A111" s="969"/>
      <c r="B111" s="969"/>
      <c r="C111" s="969"/>
      <c r="D111" s="969"/>
      <c r="E111" s="969"/>
      <c r="F111" s="928">
        <f>+F99+7</f>
        <v>42766</v>
      </c>
      <c r="G111" s="928"/>
      <c r="H111" s="929" t="s">
        <v>58</v>
      </c>
      <c r="I111" s="928">
        <f>+F111+6</f>
        <v>42772</v>
      </c>
      <c r="J111" s="930"/>
      <c r="K111" s="969"/>
      <c r="L111" s="969"/>
      <c r="M111" s="969"/>
      <c r="N111" s="973"/>
      <c r="O111" s="969"/>
      <c r="P111" s="980"/>
      <c r="Q111" s="980"/>
      <c r="R111" s="980"/>
      <c r="S111" s="981"/>
      <c r="T111" s="980"/>
      <c r="U111" s="1052"/>
      <c r="V111" s="1052"/>
      <c r="W111" s="1052"/>
      <c r="X111" s="1052"/>
      <c r="Y111" s="1052"/>
      <c r="Z111" s="1053"/>
      <c r="AA111" s="1054"/>
      <c r="AB111" s="917"/>
      <c r="AC111" s="934"/>
      <c r="AE111" s="917"/>
      <c r="AF111" s="917"/>
      <c r="AG111" s="917"/>
      <c r="AH111" s="917"/>
      <c r="AI111" s="917"/>
      <c r="AJ111" s="917"/>
      <c r="AK111" s="917"/>
      <c r="AL111" s="917"/>
      <c r="AM111" s="917"/>
      <c r="AN111" s="917"/>
      <c r="AO111" s="917"/>
      <c r="AP111" s="917"/>
      <c r="AR111" s="917"/>
      <c r="AS111" s="917"/>
    </row>
    <row r="112" spans="1:45" ht="14.45" customHeight="1" x14ac:dyDescent="0.25">
      <c r="A112" s="994"/>
      <c r="B112" s="938" t="s">
        <v>17</v>
      </c>
      <c r="C112" s="938"/>
      <c r="D112" s="938" t="s">
        <v>18</v>
      </c>
      <c r="E112" s="938"/>
      <c r="F112" s="938" t="s">
        <v>17</v>
      </c>
      <c r="G112" s="938"/>
      <c r="H112" s="938" t="s">
        <v>18</v>
      </c>
      <c r="I112" s="938"/>
      <c r="J112" s="938" t="s">
        <v>17</v>
      </c>
      <c r="K112" s="938"/>
      <c r="L112" s="938" t="s">
        <v>18</v>
      </c>
      <c r="M112" s="938"/>
      <c r="N112" s="939" t="s">
        <v>61</v>
      </c>
      <c r="O112" s="939" t="s">
        <v>62</v>
      </c>
      <c r="P112" s="939" t="s">
        <v>60</v>
      </c>
      <c r="Q112" s="939" t="s">
        <v>63</v>
      </c>
      <c r="R112" s="939" t="s">
        <v>64</v>
      </c>
      <c r="S112" s="940" t="s">
        <v>223</v>
      </c>
      <c r="T112" s="939" t="s">
        <v>70</v>
      </c>
      <c r="U112" s="941" t="s">
        <v>65</v>
      </c>
      <c r="V112" s="942"/>
      <c r="W112" s="942"/>
      <c r="X112" s="942"/>
      <c r="Y112" s="943"/>
      <c r="Z112" s="944" t="s">
        <v>22</v>
      </c>
      <c r="AA112" s="944"/>
      <c r="AC112" s="934"/>
    </row>
    <row r="113" spans="1:45" ht="26.25" thickBot="1" x14ac:dyDescent="0.4">
      <c r="A113" s="937" t="str">
        <f>"S"&amp;WEEKNUM(F111,21)</f>
        <v>S5</v>
      </c>
      <c r="B113" s="949" t="s">
        <v>0</v>
      </c>
      <c r="C113" s="950" t="s">
        <v>1</v>
      </c>
      <c r="D113" s="949" t="s">
        <v>0</v>
      </c>
      <c r="E113" s="950" t="s">
        <v>1</v>
      </c>
      <c r="F113" s="949" t="s">
        <v>0</v>
      </c>
      <c r="G113" s="950" t="s">
        <v>1</v>
      </c>
      <c r="H113" s="949" t="s">
        <v>0</v>
      </c>
      <c r="I113" s="950" t="s">
        <v>1</v>
      </c>
      <c r="J113" s="949" t="s">
        <v>0</v>
      </c>
      <c r="K113" s="950" t="s">
        <v>1</v>
      </c>
      <c r="L113" s="949" t="s">
        <v>0</v>
      </c>
      <c r="M113" s="950" t="s">
        <v>1</v>
      </c>
      <c r="N113" s="951"/>
      <c r="O113" s="951"/>
      <c r="P113" s="951"/>
      <c r="Q113" s="951"/>
      <c r="R113" s="951"/>
      <c r="S113" s="951"/>
      <c r="T113" s="939"/>
      <c r="U113" s="952" t="s">
        <v>66</v>
      </c>
      <c r="V113" s="952" t="s">
        <v>67</v>
      </c>
      <c r="W113" s="952" t="s">
        <v>68</v>
      </c>
      <c r="X113" s="952" t="s">
        <v>137</v>
      </c>
      <c r="Y113" s="952" t="s">
        <v>69</v>
      </c>
      <c r="Z113" s="944"/>
      <c r="AA113" s="944"/>
      <c r="AC113" s="934"/>
      <c r="AM113" s="917" t="s">
        <v>274</v>
      </c>
    </row>
    <row r="114" spans="1:45" ht="14.25" customHeight="1" x14ac:dyDescent="0.3">
      <c r="A114" s="955" t="s">
        <v>12</v>
      </c>
      <c r="B114" s="15" t="b">
        <f>IF(Paramétrage!$O$42="",FALSE,Paramétrage!$O$42)</f>
        <v>0</v>
      </c>
      <c r="C114" s="263"/>
      <c r="D114" s="16" t="b">
        <f>IF(Paramétrage!$Q$42="",FALSE,Paramétrage!$Q$42)</f>
        <v>0</v>
      </c>
      <c r="E114" s="264"/>
      <c r="F114" s="15" t="b">
        <f>IF(Paramétrage!$R$42="",FALSE,Paramétrage!$R$42)</f>
        <v>0</v>
      </c>
      <c r="G114" s="264"/>
      <c r="H114" s="17" t="b">
        <f>IF(Paramétrage!$T$42="",FALSE,Paramétrage!$T$42)</f>
        <v>0</v>
      </c>
      <c r="I114" s="263"/>
      <c r="J114" s="127" t="b">
        <f>IF(Paramétrage!$U$42="",FALSE,Paramétrage!$U$42)</f>
        <v>0</v>
      </c>
      <c r="K114" s="263"/>
      <c r="L114" s="28" t="b">
        <f>IF(Paramétrage!$W$42="",FALSE,Paramétrage!$W$42)</f>
        <v>0</v>
      </c>
      <c r="M114" s="263"/>
      <c r="N114" s="956">
        <f t="shared" ref="N114:N116" si="198">IF(OR(B114="aa",B114="cp",B114="f",B114="jc",B114="m",B114="css"),0,(L114-J114)+(H114-F114)+(D114-B114))</f>
        <v>0</v>
      </c>
      <c r="O114" s="956">
        <f t="shared" ref="O114:O116" si="199">SUM(AM114:AP114)+IF(OR(C114="m",C114="aa"),N114,IF(C114="css",0,IF(C114="cp",0,IF(C114="jc",0,IF(C114="f",0,E114-C114+I114-G114+M114-K114)))))</f>
        <v>0</v>
      </c>
      <c r="P114" s="956">
        <f>IF(OR(C114="aa",C114="cp",C114="f",C114="jc",C114="m",C114="css"),0,IF(C114="",IF(OR(F114="",F114=FALSE),0,F114-D114),IF(G114="",0,G114-E114)))</f>
        <v>0</v>
      </c>
      <c r="Q114" s="956">
        <f>IF(P114=0,0,IF(G114="",IF(OR(J114="",J114=FALSE),0,J114-H114),IF(K114="",0,K114-I114)))</f>
        <v>0</v>
      </c>
      <c r="R114" s="957">
        <f t="shared" ref="R114:R116" si="200">IF(OR(C114="aa",C114="cp",C114="f",C114="jc",C114="m",C114="css"),0,IF(C114=0,MAX(B114,D114,F114,H114,J114,L114)-MIN(B114,D114,F114,H114,J114,L114),IF(C114&lt;&gt;0,MAX(C114,E114,G114,I114,K114,M114)-MIN(C114,E114,G114,I114,K114,M114))))</f>
        <v>0</v>
      </c>
      <c r="S114" s="262"/>
      <c r="T114" s="958" t="str">
        <f t="shared" ref="T114:T115" si="201">IF(AND(B114=FALSE,C114=""),"",IF(AND(B114=0,C114=0),"",(IF(OR(C114="cp",C114="f",C114="jc",C114="css"),"",IF(OR(C114="",C114="aa",C114="m"),(IF(OR(B114="cp",B114="f",B114="jc",B114="css"),"",B114*24+24-MAX(D113,H113,L113)*24)),C114*24+24-MAX(M113,I113,E113)*24)))))</f>
        <v/>
      </c>
      <c r="U114" s="959" t="str">
        <f>IF(P114=0,"",IF(P114&lt;Paramétrage!$S$12,"PB",IF(AND(Q114&lt;Paramétrage!$S$12,Q114&lt;&gt;0),"PB","")))</f>
        <v/>
      </c>
      <c r="V114" s="959" t="str">
        <f t="shared" ref="V114:V120" si="202">IF(C114="",IF((N114*24)&gt;10,"PB",""),IF((O114*24)&gt;10,"PB",""))</f>
        <v/>
      </c>
      <c r="W114" s="959" t="str">
        <f t="shared" ref="W114:W120" si="203">IF((R114*24)&gt;12,"PB","")</f>
        <v/>
      </c>
      <c r="X114" s="960" t="str">
        <f t="shared" ref="X114:X116" si="204">IF(AND(N114=0,O114=0),"",(IF(OR(C114="aa",C114="cp",C114="f",C114="jc",C114="m",C114="css"),"",IF(C114="",IF(OR(D114-B114&gt;6/24,H114-F114&gt;6/24,L114-J114&gt;6/24),"PB",""),IF(OR(E114-C114&gt;6/24,I114-G114&gt;6/24,M114-K114&gt;6/24),"PB","")))))</f>
        <v/>
      </c>
      <c r="Y114" s="959" t="str">
        <f t="shared" ref="Y114:Y120" si="205">IF(T114="","",IF(T114&lt;11,"PB",""))</f>
        <v/>
      </c>
      <c r="Z114" s="836"/>
      <c r="AA114" s="837"/>
      <c r="AC114" s="934">
        <f>AC108+1</f>
        <v>42766</v>
      </c>
      <c r="AD114" s="961">
        <f>IF(AND(N(AC114)&gt;=Paramétrage!$AU$11,N(AC114)&lt;=Paramétrage!$AU$12),IF(C114="cp",1,0),0)</f>
        <v>0</v>
      </c>
      <c r="AE114" s="962">
        <f t="shared" ref="AE114:AE120" si="206">IF(O114&lt;&gt;"erreur",N114,O114)</f>
        <v>0</v>
      </c>
      <c r="AF114" s="961">
        <f>IF(AND(N(AC114)&gt;=Paramétrage!$AX$11,N(AC114)&lt;=Paramétrage!$AX$12),IF(C114="cp",1,0),0)</f>
        <v>0</v>
      </c>
      <c r="AG114" s="962">
        <f t="shared" ref="AG114:AG120" si="207">O114</f>
        <v>0</v>
      </c>
      <c r="AI114" s="962">
        <f>AE114+AI108</f>
        <v>0</v>
      </c>
      <c r="AJ114" s="962">
        <f>AG114+AJ108</f>
        <v>0</v>
      </c>
      <c r="AM114" s="962">
        <f>IF(AND($B114="cp",$C114="m"),$Z114,0)</f>
        <v>0</v>
      </c>
      <c r="AN114" s="962">
        <f>IF(AND($B114="jc",$C114="m"),$Z114,0)</f>
        <v>0</v>
      </c>
      <c r="AO114" s="962">
        <f>IF(AND($B114="cp",$C114="aa"),$Z114,0)</f>
        <v>0</v>
      </c>
      <c r="AP114" s="962">
        <f>IF(AND($B114="jc",$C114="aa"),$Z114,0)</f>
        <v>0</v>
      </c>
      <c r="AR114" s="917">
        <f>IF(AND(AC114&lt;=$AR$3,B114="CP"),1,0)</f>
        <v>0</v>
      </c>
      <c r="AS114" s="917">
        <f>IF(AND(AC114&lt;=$AR$3,C114="CP"),1,0)</f>
        <v>0</v>
      </c>
    </row>
    <row r="115" spans="1:45" ht="14.25" customHeight="1" x14ac:dyDescent="0.3">
      <c r="A115" s="964" t="s">
        <v>13</v>
      </c>
      <c r="B115" s="15" t="b">
        <f>IF(Paramétrage!$O$43="",FALSE,Paramétrage!$O$43)</f>
        <v>0</v>
      </c>
      <c r="C115" s="263"/>
      <c r="D115" s="16" t="b">
        <f>IF(Paramétrage!$Q$43="",FALSE,Paramétrage!$Q$43)</f>
        <v>0</v>
      </c>
      <c r="E115" s="264"/>
      <c r="F115" s="15" t="b">
        <f>IF(Paramétrage!$R$43="",FALSE,Paramétrage!$R$43)</f>
        <v>0</v>
      </c>
      <c r="G115" s="264"/>
      <c r="H115" s="17" t="b">
        <f>IF(Paramétrage!$T$43="",FALSE,Paramétrage!$T$43)</f>
        <v>0</v>
      </c>
      <c r="I115" s="263"/>
      <c r="J115" s="127" t="b">
        <f>IF(Paramétrage!$U$43="",FALSE,Paramétrage!$U$43)</f>
        <v>0</v>
      </c>
      <c r="K115" s="263"/>
      <c r="L115" s="28" t="b">
        <f>IF(Paramétrage!$W$43="",FALSE,Paramétrage!$W$43)</f>
        <v>0</v>
      </c>
      <c r="M115" s="263"/>
      <c r="N115" s="956">
        <f t="shared" si="198"/>
        <v>0</v>
      </c>
      <c r="O115" s="956">
        <f t="shared" si="199"/>
        <v>0</v>
      </c>
      <c r="P115" s="956">
        <f>IF(OR(C115="aa",C115="cp",C115="f",C115="jc",C115="m",C115="css"),0,IF(C115="",IF(OR(F115="",F115=FALSE),0,F115-D115),IF(G115="",0,G115-E115)))</f>
        <v>0</v>
      </c>
      <c r="Q115" s="956">
        <f>IF(P115=0,0,IF(G115="",IF(OR(J115="",J115=FALSE),0,J115-H115),IF(K115="",0,K115-I115)))</f>
        <v>0</v>
      </c>
      <c r="R115" s="957">
        <f t="shared" si="200"/>
        <v>0</v>
      </c>
      <c r="S115" s="262"/>
      <c r="T115" s="958" t="str">
        <f t="shared" si="201"/>
        <v/>
      </c>
      <c r="U115" s="959" t="str">
        <f>IF(P115=0,"",IF(P115&lt;Paramétrage!$S$12,"PB",IF(AND(Q115&lt;Paramétrage!$S$12,Q115&lt;&gt;0),"PB","")))</f>
        <v/>
      </c>
      <c r="V115" s="959" t="str">
        <f t="shared" si="202"/>
        <v/>
      </c>
      <c r="W115" s="959" t="str">
        <f t="shared" si="203"/>
        <v/>
      </c>
      <c r="X115" s="960" t="str">
        <f t="shared" si="204"/>
        <v/>
      </c>
      <c r="Y115" s="959" t="str">
        <f t="shared" si="205"/>
        <v/>
      </c>
      <c r="Z115" s="836"/>
      <c r="AA115" s="837"/>
      <c r="AC115" s="934">
        <f t="shared" ref="AC115:AC120" si="208">AC114+1</f>
        <v>42767</v>
      </c>
      <c r="AD115" s="961">
        <f>IF(AND(N(AC115)&gt;=Paramétrage!$AU$11,N(AC115)&lt;=Paramétrage!$AU$12),IF(C115="cp",1,0),0)</f>
        <v>0</v>
      </c>
      <c r="AE115" s="962">
        <f t="shared" si="206"/>
        <v>0</v>
      </c>
      <c r="AF115" s="961">
        <f>IF(AND(N(AC115)&gt;=Paramétrage!$AX$11,N(AC115)&lt;=Paramétrage!$AX$12),IF(C115="cp",1,0),0)</f>
        <v>0</v>
      </c>
      <c r="AG115" s="962">
        <f t="shared" si="207"/>
        <v>0</v>
      </c>
      <c r="AI115" s="962">
        <f t="shared" ref="AI115:AI120" si="209">AE115+AI114</f>
        <v>0</v>
      </c>
      <c r="AJ115" s="962">
        <f t="shared" ref="AJ115:AJ120" si="210">AG115+AJ114</f>
        <v>0</v>
      </c>
      <c r="AM115" s="962">
        <f t="shared" ref="AM115:AM118" si="211">IF(AND($B115="cp",$C115="m"),$Z115,0)</f>
        <v>0</v>
      </c>
      <c r="AN115" s="962">
        <f t="shared" ref="AN115:AN118" si="212">IF(AND($B115="jc",$C115="m"),$Z115,0)</f>
        <v>0</v>
      </c>
      <c r="AO115" s="962">
        <f t="shared" ref="AO115:AO118" si="213">IF(AND($B115="cp",$C115="aa"),$Z115,0)</f>
        <v>0</v>
      </c>
      <c r="AP115" s="962">
        <f t="shared" ref="AP115:AP118" si="214">IF(AND($B115="jc",$C115="aa"),$Z115,0)</f>
        <v>0</v>
      </c>
      <c r="AR115" s="917">
        <f>IF(AND(AC115&lt;=$AR$3,B115="CP"),1,0)</f>
        <v>0</v>
      </c>
      <c r="AS115" s="917">
        <f>IF(AND(AC115&lt;=$AR$3,C115="CP"),1,0)</f>
        <v>0</v>
      </c>
    </row>
    <row r="116" spans="1:45" ht="14.25" customHeight="1" x14ac:dyDescent="0.3">
      <c r="A116" s="964" t="s">
        <v>14</v>
      </c>
      <c r="B116" s="15" t="b">
        <f>IF(Paramétrage!$O$44="",FALSE,Paramétrage!$O$44)</f>
        <v>0</v>
      </c>
      <c r="C116" s="263"/>
      <c r="D116" s="16" t="b">
        <f>IF(Paramétrage!$Q$44="",FALSE,Paramétrage!$Q$44)</f>
        <v>0</v>
      </c>
      <c r="E116" s="264"/>
      <c r="F116" s="15" t="b">
        <f>IF(Paramétrage!$R$44="",FALSE,Paramétrage!$R$44)</f>
        <v>0</v>
      </c>
      <c r="G116" s="264"/>
      <c r="H116" s="17" t="b">
        <f>IF(Paramétrage!$T$44="",FALSE,Paramétrage!$T$44)</f>
        <v>0</v>
      </c>
      <c r="I116" s="263"/>
      <c r="J116" s="127" t="b">
        <f>IF(Paramétrage!$U$44="",FALSE,Paramétrage!$U$44)</f>
        <v>0</v>
      </c>
      <c r="K116" s="263"/>
      <c r="L116" s="28" t="b">
        <f>IF(Paramétrage!$W$44="",FALSE,Paramétrage!$W$44)</f>
        <v>0</v>
      </c>
      <c r="M116" s="263"/>
      <c r="N116" s="956">
        <f t="shared" si="198"/>
        <v>0</v>
      </c>
      <c r="O116" s="956">
        <f t="shared" si="199"/>
        <v>0</v>
      </c>
      <c r="P116" s="956">
        <f t="shared" ref="P116:P120" si="215">IF(OR(C116="aa",C116="cp",C116="f",C116="jc",C116="m",C116="css"),0,IF(C116="",IF(OR(F116="",F116=FALSE),0,F116-D116),IF(G116="",0,G116-E116)))</f>
        <v>0</v>
      </c>
      <c r="Q116" s="956">
        <f t="shared" ref="Q116:Q120" si="216">IF(P116=0,0,IF(G116="",IF(OR(J116="",J116=FALSE),0,J116-H116),IF(K116="",0,K116-I116)))</f>
        <v>0</v>
      </c>
      <c r="R116" s="957">
        <f t="shared" si="200"/>
        <v>0</v>
      </c>
      <c r="S116" s="262"/>
      <c r="T116" s="958" t="str">
        <f>IF(AND(B116=FALSE,C116=""),"",IF(AND(B116=0,C116=0),"",(IF(OR(C116="cp",C116="f",C116="jc",C116="css"),"",IF(OR(C116="",C116="aa",C116="m"),(IF(OR(B116="cp",B116="f",B116="jc",B116="css"),"",B116*24+24-MAX(D115,H115,L115)*24)),C116*24+24-MAX(M115,I115,E115)*24)))))</f>
        <v/>
      </c>
      <c r="U116" s="959" t="str">
        <f>IF(P116=0,"",IF(P116&lt;Paramétrage!$S$12,"PB",IF(AND(Q116&lt;Paramétrage!$S$12,Q116&lt;&gt;0),"PB","")))</f>
        <v/>
      </c>
      <c r="V116" s="959" t="str">
        <f t="shared" si="202"/>
        <v/>
      </c>
      <c r="W116" s="959" t="str">
        <f t="shared" si="203"/>
        <v/>
      </c>
      <c r="X116" s="960" t="str">
        <f t="shared" si="204"/>
        <v/>
      </c>
      <c r="Y116" s="959" t="str">
        <f t="shared" si="205"/>
        <v/>
      </c>
      <c r="Z116" s="836"/>
      <c r="AA116" s="837"/>
      <c r="AC116" s="934">
        <f t="shared" si="208"/>
        <v>42768</v>
      </c>
      <c r="AD116" s="961">
        <f>IF(AND(N(AC116)&gt;=Paramétrage!$AU$11,N(AC116)&lt;=Paramétrage!$AU$12),IF(C116="cp",1,0),0)</f>
        <v>0</v>
      </c>
      <c r="AE116" s="962">
        <f t="shared" si="206"/>
        <v>0</v>
      </c>
      <c r="AF116" s="961">
        <f>IF(AND(N(AC116)&gt;=Paramétrage!$AX$11,N(AC116)&lt;=Paramétrage!$AX$12),IF(C116="cp",1,0),0)</f>
        <v>0</v>
      </c>
      <c r="AG116" s="962">
        <f t="shared" si="207"/>
        <v>0</v>
      </c>
      <c r="AI116" s="962">
        <f t="shared" si="209"/>
        <v>0</v>
      </c>
      <c r="AJ116" s="962">
        <f t="shared" si="210"/>
        <v>0</v>
      </c>
      <c r="AM116" s="962">
        <f t="shared" si="211"/>
        <v>0</v>
      </c>
      <c r="AN116" s="962">
        <f t="shared" si="212"/>
        <v>0</v>
      </c>
      <c r="AO116" s="962">
        <f t="shared" si="213"/>
        <v>0</v>
      </c>
      <c r="AP116" s="962">
        <f t="shared" si="214"/>
        <v>0</v>
      </c>
      <c r="AR116" s="917">
        <f>IF(AND(AC116&lt;=$AR$3,B116="CP"),1,0)</f>
        <v>0</v>
      </c>
      <c r="AS116" s="917">
        <f>IF(AND(AC116&lt;=$AR$3,C116="CP"),1,0)</f>
        <v>0</v>
      </c>
    </row>
    <row r="117" spans="1:45" ht="14.25" customHeight="1" x14ac:dyDescent="0.3">
      <c r="A117" s="964" t="s">
        <v>15</v>
      </c>
      <c r="B117" s="15" t="b">
        <f>IF(Paramétrage!$O$45="",FALSE,Paramétrage!$O$45)</f>
        <v>0</v>
      </c>
      <c r="C117" s="263"/>
      <c r="D117" s="16" t="b">
        <f>IF(Paramétrage!$Q$45="",FALSE,Paramétrage!$Q$45)</f>
        <v>0</v>
      </c>
      <c r="E117" s="264"/>
      <c r="F117" s="15" t="b">
        <f>IF(Paramétrage!$R$45="",FALSE,Paramétrage!$R$45)</f>
        <v>0</v>
      </c>
      <c r="G117" s="264"/>
      <c r="H117" s="17" t="b">
        <f>IF(Paramétrage!$T$45="",FALSE,Paramétrage!$T$45)</f>
        <v>0</v>
      </c>
      <c r="I117" s="263"/>
      <c r="J117" s="127" t="b">
        <f>IF(Paramétrage!$U$45="",FALSE,Paramétrage!$U$45)</f>
        <v>0</v>
      </c>
      <c r="K117" s="263"/>
      <c r="L117" s="28" t="b">
        <f>IF(Paramétrage!$W$45="",FALSE,Paramétrage!$W$45)</f>
        <v>0</v>
      </c>
      <c r="M117" s="263"/>
      <c r="N117" s="956">
        <f>IF(OR(B117="aa",B117="cp",B117="f",B117="jc",B117="m",B117="css"),0,(L117-J117)+(H117-F117)+(D117-B117))</f>
        <v>0</v>
      </c>
      <c r="O117" s="956">
        <f>SUM(AM117:AP117)+IF(OR(C117="m",C117="aa"),N117,IF(C117="css",0,IF(C117="cp",0,IF(C117="jc",0,IF(C117="f",0,E117-C117+I117-G117+M117-K117)))))</f>
        <v>0</v>
      </c>
      <c r="P117" s="956">
        <f t="shared" si="215"/>
        <v>0</v>
      </c>
      <c r="Q117" s="956">
        <f t="shared" si="216"/>
        <v>0</v>
      </c>
      <c r="R117" s="957">
        <f>IF(OR(C117="aa",C117="cp",C117="f",C117="jc",C117="m",C117="css"),0,IF(C117=0,MAX(B117,D117,F117,H117,J117,L117)-MIN(B117,D117,F117,H117,J117,L117),IF(C117&lt;&gt;0,MAX(C117,E117,G117,I117,K117,M117)-MIN(C117,E117,G117,I117,K117,M117))))</f>
        <v>0</v>
      </c>
      <c r="S117" s="262"/>
      <c r="T117" s="958" t="str">
        <f t="shared" ref="T117:T120" si="217">IF(AND(B117=FALSE,C117=""),"",IF(AND(B117=0,C117=0),"",(IF(OR(C117="cp",C117="f",C117="jc",C117="css"),"",IF(OR(C117="",C117="aa",C117="m"),(IF(OR(B117="cp",B117="f",B117="jc",B117="css"),"",B117*24+24-MAX(D116,H116,L116)*24)),C117*24+24-MAX(M116,I116,E116)*24)))))</f>
        <v/>
      </c>
      <c r="U117" s="959" t="str">
        <f>IF(P117=0,"",IF(P117&lt;Paramétrage!$S$12,"PB",IF(AND(Q117&lt;Paramétrage!$S$12,Q117&lt;&gt;0),"PB","")))</f>
        <v/>
      </c>
      <c r="V117" s="959" t="str">
        <f t="shared" si="202"/>
        <v/>
      </c>
      <c r="W117" s="959" t="str">
        <f t="shared" si="203"/>
        <v/>
      </c>
      <c r="X117" s="960" t="str">
        <f>IF(AND(N117=0,O117=0),"",(IF(OR(C117="aa",C117="cp",C117="f",C117="jc",C117="m",C117="css"),"",IF(C117="",IF(OR(D117-B117&gt;6/24,H117-F117&gt;6/24,L117-J117&gt;6/24),"PB",""),IF(OR(E117-C117&gt;6/24,I117-G117&gt;6/24,M117-K117&gt;6/24),"PB","")))))</f>
        <v/>
      </c>
      <c r="Y117" s="959" t="str">
        <f t="shared" si="205"/>
        <v/>
      </c>
      <c r="Z117" s="836"/>
      <c r="AA117" s="837"/>
      <c r="AC117" s="934">
        <f t="shared" si="208"/>
        <v>42769</v>
      </c>
      <c r="AD117" s="961">
        <f>IF(AND(N(AC117)&gt;=Paramétrage!$AU$11,N(AC117)&lt;=Paramétrage!$AU$12),IF(C117="cp",1,0),0)</f>
        <v>0</v>
      </c>
      <c r="AE117" s="962">
        <f t="shared" si="206"/>
        <v>0</v>
      </c>
      <c r="AF117" s="961">
        <f>IF(AND(N(AC117)&gt;=Paramétrage!$AX$11,N(AC117)&lt;=Paramétrage!$AX$12),IF(C117="cp",1,0),0)</f>
        <v>0</v>
      </c>
      <c r="AG117" s="962">
        <f t="shared" si="207"/>
        <v>0</v>
      </c>
      <c r="AI117" s="962">
        <f t="shared" si="209"/>
        <v>0</v>
      </c>
      <c r="AJ117" s="962">
        <f t="shared" si="210"/>
        <v>0</v>
      </c>
      <c r="AM117" s="962">
        <f t="shared" si="211"/>
        <v>0</v>
      </c>
      <c r="AN117" s="962">
        <f t="shared" si="212"/>
        <v>0</v>
      </c>
      <c r="AO117" s="962">
        <f t="shared" si="213"/>
        <v>0</v>
      </c>
      <c r="AP117" s="962">
        <f t="shared" si="214"/>
        <v>0</v>
      </c>
      <c r="AR117" s="917">
        <f>IF(AND(AC117&lt;=$AR$3,B117="CP"),1,0)</f>
        <v>0</v>
      </c>
      <c r="AS117" s="917">
        <f>IF(AND(AC117&lt;=$AR$3,C117="CP"),1,0)</f>
        <v>0</v>
      </c>
    </row>
    <row r="118" spans="1:45" ht="14.25" customHeight="1" x14ac:dyDescent="0.3">
      <c r="A118" s="964" t="s">
        <v>16</v>
      </c>
      <c r="B118" s="15" t="b">
        <f>IF(Paramétrage!$O$46="",FALSE,Paramétrage!$O$46)</f>
        <v>0</v>
      </c>
      <c r="C118" s="263"/>
      <c r="D118" s="16" t="b">
        <f>IF(Paramétrage!$Q$46="",FALSE,Paramétrage!$Q$46)</f>
        <v>0</v>
      </c>
      <c r="E118" s="264"/>
      <c r="F118" s="15" t="b">
        <f>IF(Paramétrage!$R$46="",FALSE,Paramétrage!$R$46)</f>
        <v>0</v>
      </c>
      <c r="G118" s="264"/>
      <c r="H118" s="17" t="b">
        <f>IF(Paramétrage!$T$46="",FALSE,Paramétrage!$T$46)</f>
        <v>0</v>
      </c>
      <c r="I118" s="263"/>
      <c r="J118" s="127" t="b">
        <f>IF(Paramétrage!$U$46="",FALSE,Paramétrage!$U$46)</f>
        <v>0</v>
      </c>
      <c r="K118" s="263"/>
      <c r="L118" s="28" t="b">
        <f>IF(Paramétrage!$W$46="",FALSE,Paramétrage!$W$46)</f>
        <v>0</v>
      </c>
      <c r="M118" s="263"/>
      <c r="N118" s="956">
        <f>IF(OR(B118="aa",B118="cp",B118="f",B118="jc",B118="m",B118="css"),0,(L118-J118)+(H118-F118)+(D118-B118))</f>
        <v>0</v>
      </c>
      <c r="O118" s="956">
        <f>SUM(AM118:AP118)+IF(OR(C118="m",C118="aa"),N118,IF(C118="css",0,IF(C118="cp",0,IF(C118="jc",0,IF(C118="f",0,E118-C118+I118-G118+M118-K118)))))</f>
        <v>0</v>
      </c>
      <c r="P118" s="956">
        <f t="shared" si="215"/>
        <v>0</v>
      </c>
      <c r="Q118" s="956">
        <f t="shared" si="216"/>
        <v>0</v>
      </c>
      <c r="R118" s="957">
        <f>IF(OR(C118="aa",C118="cp",C118="f",C118="jc",C118="m",C118="css"),0,IF(C118=0,MAX(B118,D118,F118,H118,J118,L118)-MIN(B118,D118,F118,H118,J118,L118),IF(C118&lt;&gt;0,MAX(C118,E118,G118,I118,K118,M118)-MIN(C118,E118,G118,I118,K118,M118))))</f>
        <v>0</v>
      </c>
      <c r="S118" s="262"/>
      <c r="T118" s="958" t="str">
        <f t="shared" si="217"/>
        <v/>
      </c>
      <c r="U118" s="959" t="str">
        <f>IF(P118=0,"",IF(P118&lt;Paramétrage!$S$12,"PB",IF(AND(Q118&lt;Paramétrage!$S$12,Q118&lt;&gt;0),"PB","")))</f>
        <v/>
      </c>
      <c r="V118" s="959" t="str">
        <f t="shared" si="202"/>
        <v/>
      </c>
      <c r="W118" s="959" t="str">
        <f t="shared" si="203"/>
        <v/>
      </c>
      <c r="X118" s="960" t="str">
        <f>IF(AND(N118=0,O118=0),"",(IF(OR(C118="aa",C118="cp",C118="f",C118="jc",C118="m",C118="css"),"",IF(C118="",IF(OR(D118-B118&gt;6/24,H118-F118&gt;6/24,L118-J118&gt;6/24),"PB",""),IF(OR(E118-C118&gt;6/24,I118-G118&gt;6/24,M118-K118&gt;6/24),"PB","")))))</f>
        <v/>
      </c>
      <c r="Y118" s="959" t="str">
        <f t="shared" si="205"/>
        <v/>
      </c>
      <c r="Z118" s="836"/>
      <c r="AA118" s="837"/>
      <c r="AC118" s="934">
        <f t="shared" si="208"/>
        <v>42770</v>
      </c>
      <c r="AD118" s="961">
        <f>IF(AND(N(AC118)&gt;=Paramétrage!$AU$11,N(AC118)&lt;=Paramétrage!$AU$12),IF(C118="cp",1,0),0)</f>
        <v>0</v>
      </c>
      <c r="AE118" s="962">
        <f t="shared" si="206"/>
        <v>0</v>
      </c>
      <c r="AF118" s="961">
        <f>IF(AND(N(AC118)&gt;=Paramétrage!$AX$11,N(AC118)&lt;=Paramétrage!$AX$12),IF(C118="cp",1,0),0)</f>
        <v>0</v>
      </c>
      <c r="AG118" s="962">
        <f t="shared" si="207"/>
        <v>0</v>
      </c>
      <c r="AI118" s="962">
        <f t="shared" si="209"/>
        <v>0</v>
      </c>
      <c r="AJ118" s="962">
        <f t="shared" si="210"/>
        <v>0</v>
      </c>
      <c r="AM118" s="962">
        <f t="shared" si="211"/>
        <v>0</v>
      </c>
      <c r="AN118" s="962">
        <f t="shared" si="212"/>
        <v>0</v>
      </c>
      <c r="AO118" s="962">
        <f t="shared" si="213"/>
        <v>0</v>
      </c>
      <c r="AP118" s="962">
        <f t="shared" si="214"/>
        <v>0</v>
      </c>
      <c r="AR118" s="917">
        <f>IF(AND(AC118&lt;=$AR$3,B118="CP"),1,0)</f>
        <v>0</v>
      </c>
      <c r="AS118" s="917">
        <f>IF(AND(AC118&lt;=$AR$3,C118="CP"),1,0)</f>
        <v>0</v>
      </c>
    </row>
    <row r="119" spans="1:45" ht="14.25" customHeight="1" x14ac:dyDescent="0.3">
      <c r="A119" s="964" t="s">
        <v>19</v>
      </c>
      <c r="B119" s="15" t="b">
        <f>IF(Paramétrage!$O$47="",FALSE,Paramétrage!$O$47)</f>
        <v>0</v>
      </c>
      <c r="C119" s="263"/>
      <c r="D119" s="16" t="b">
        <f>IF(Paramétrage!$Q$47="",FALSE,Paramétrage!$Q$47)</f>
        <v>0</v>
      </c>
      <c r="E119" s="264"/>
      <c r="F119" s="15" t="b">
        <f>IF(Paramétrage!$R$47="",FALSE,Paramétrage!$R$47)</f>
        <v>0</v>
      </c>
      <c r="G119" s="264"/>
      <c r="H119" s="17" t="b">
        <f>IF(Paramétrage!$T$47="",FALSE,Paramétrage!$T$47)</f>
        <v>0</v>
      </c>
      <c r="I119" s="263"/>
      <c r="J119" s="127" t="b">
        <f>IF(Paramétrage!$U$47="",FALSE,Paramétrage!$U$47)</f>
        <v>0</v>
      </c>
      <c r="K119" s="263"/>
      <c r="L119" s="28" t="b">
        <f>IF(Paramétrage!$W$47="",FALSE,Paramétrage!$W$47)</f>
        <v>0</v>
      </c>
      <c r="M119" s="263"/>
      <c r="N119" s="956">
        <f>IF(OR(B119="aa",B119="cp",B119="f",B119="jc",B119="m",B119="css"),0,(L119-J119)+(H119-F119)+(D119-B119))</f>
        <v>0</v>
      </c>
      <c r="O119" s="956">
        <f>IF(OR(C119="m",C119="aa"),N119,IF(C119="cp",0,IF(OR(C119="css",C119="jc"),0,IF(C119="f",0,E119-C119+I119-G119+M119-K119))))</f>
        <v>0</v>
      </c>
      <c r="P119" s="956">
        <f t="shared" si="215"/>
        <v>0</v>
      </c>
      <c r="Q119" s="956">
        <f t="shared" si="216"/>
        <v>0</v>
      </c>
      <c r="R119" s="957">
        <f>IF(OR(C119="aa",C119="cp",C119="f",C119="jc",C119="m",C119="css"),0,IF(C119=0,MAX(B119,D119,F119,H119,J119,L119)-MIN(B119,D119,F119,H119,J119,L119),IF(C119&lt;&gt;0,MAX(C119,E119,G119,I119,K119,M119)-MIN(C119,E119,G119,I119,K119,M119))))</f>
        <v>0</v>
      </c>
      <c r="S119" s="262"/>
      <c r="T119" s="958" t="str">
        <f t="shared" si="217"/>
        <v/>
      </c>
      <c r="U119" s="959" t="str">
        <f>IF(P119=0,"",IF(P119&lt;Paramétrage!$S$12,"PB",IF(AND(Q119&lt;Paramétrage!$S$12,Q119&lt;&gt;0),"PB","")))</f>
        <v/>
      </c>
      <c r="V119" s="959" t="str">
        <f t="shared" si="202"/>
        <v/>
      </c>
      <c r="W119" s="959" t="str">
        <f t="shared" si="203"/>
        <v/>
      </c>
      <c r="X119" s="960" t="str">
        <f>IF(AND(N119=0,O119=0),"",(IF(OR(C119="aa",C119="cp",C119="f",C119="jc",C119="m",C119="css"),"",IF(C119="",IF(OR(D119-B119&gt;6/24,H119-F119&gt;6/24,L119-J119&gt;6/24),"PB",""),IF(OR(E119-C119&gt;6/24,I119-G119&gt;6/24,M119-K119&gt;6/24),"PB","")))))</f>
        <v/>
      </c>
      <c r="Y119" s="959" t="str">
        <f t="shared" si="205"/>
        <v/>
      </c>
      <c r="Z119" s="836"/>
      <c r="AA119" s="837"/>
      <c r="AC119" s="934">
        <f t="shared" si="208"/>
        <v>42771</v>
      </c>
      <c r="AD119" s="961">
        <f>IF(AND(N(AC119)&gt;=Paramétrage!$AU$11,N(AC119)&lt;=Paramétrage!$AU$12),IF(C119="cp",1,0),0)</f>
        <v>0</v>
      </c>
      <c r="AE119" s="962">
        <f t="shared" si="206"/>
        <v>0</v>
      </c>
      <c r="AF119" s="961">
        <f>IF(AND(N(AC119)&gt;=Paramétrage!$AX$11,N(AC119)&lt;=Paramétrage!$AX$12),IF(C119="cp",1,0),0)</f>
        <v>0</v>
      </c>
      <c r="AG119" s="962">
        <f t="shared" si="207"/>
        <v>0</v>
      </c>
      <c r="AI119" s="962">
        <f t="shared" si="209"/>
        <v>0</v>
      </c>
      <c r="AJ119" s="962">
        <f t="shared" si="210"/>
        <v>0</v>
      </c>
      <c r="AM119" s="962"/>
      <c r="AN119" s="962"/>
      <c r="AO119" s="962"/>
      <c r="AP119" s="962"/>
    </row>
    <row r="120" spans="1:45" ht="14.25" customHeight="1" thickBot="1" x14ac:dyDescent="0.35">
      <c r="A120" s="966" t="s">
        <v>20</v>
      </c>
      <c r="B120" s="15" t="b">
        <f>IF(Paramétrage!$O$48="",FALSE,Paramétrage!$O$48)</f>
        <v>0</v>
      </c>
      <c r="C120" s="263"/>
      <c r="D120" s="16" t="b">
        <f>IF(Paramétrage!$Q$48="",FALSE,Paramétrage!$Q$48)</f>
        <v>0</v>
      </c>
      <c r="E120" s="264"/>
      <c r="F120" s="15" t="b">
        <f>IF(Paramétrage!$R$48="",FALSE,Paramétrage!$R$48)</f>
        <v>0</v>
      </c>
      <c r="G120" s="264"/>
      <c r="H120" s="17" t="b">
        <f>IF(Paramétrage!$T$48="",FALSE,Paramétrage!$T$48)</f>
        <v>0</v>
      </c>
      <c r="I120" s="263"/>
      <c r="J120" s="127" t="b">
        <f>IF(Paramétrage!$U$48="",FALSE,Paramétrage!$U$48)</f>
        <v>0</v>
      </c>
      <c r="K120" s="263"/>
      <c r="L120" s="28" t="b">
        <f>IF(Paramétrage!$W$48="",FALSE,Paramétrage!$W$48)</f>
        <v>0</v>
      </c>
      <c r="M120" s="263"/>
      <c r="N120" s="956">
        <f>IF(OR(B120="aa",B120="m"),M120,IF(B120="cp",0,IF(B120="jc",0,IF(B120="f",0,(D120-B120)*Paramétrage!$S$13+(H120-F120)*Paramétrage!$S$13+(L120-J120)*Paramétrage!$S$13+(D120-B120+H120-F120+L120-J120)))))</f>
        <v>0</v>
      </c>
      <c r="O120" s="956">
        <f>IF(OR(C120="aa",C120="m"),N120,IF(C120="cp",0,IF(C120="jc",0,IF(C120="f",0,(E120-C120)*Paramétrage!$S$13+(I120-G120)*Paramétrage!$S$13+(M120-K120)*Paramétrage!$S$13+(E120-C120+I120-G120+M120-K120)))))</f>
        <v>0</v>
      </c>
      <c r="P120" s="956">
        <f t="shared" si="215"/>
        <v>0</v>
      </c>
      <c r="Q120" s="956">
        <f t="shared" si="216"/>
        <v>0</v>
      </c>
      <c r="R120" s="957">
        <f t="shared" ref="R120" si="218">IF(OR(C120="aa",C120="cp",C120="f",C120="jc",C120="m",C120=0),MAX(B120,D120,F120,H120,J120,L120)-MIN(B120,D120,F120,H120,J120,L120),IF(C120&lt;&gt;0,MAX(C120,E120,G120,I120,K120,M120)-MIN(C120,E120,G120,I120,K120,M120)))</f>
        <v>0</v>
      </c>
      <c r="S120" s="262"/>
      <c r="T120" s="958" t="str">
        <f t="shared" si="217"/>
        <v/>
      </c>
      <c r="U120" s="959" t="str">
        <f>IF(P120=0,"",IF(P120&lt;Paramétrage!$S$12,"PB",IF(AND(Q120&lt;Paramétrage!$S$12,Q120&lt;&gt;0),"PB","")))</f>
        <v/>
      </c>
      <c r="V120" s="959" t="str">
        <f t="shared" si="202"/>
        <v/>
      </c>
      <c r="W120" s="959" t="str">
        <f t="shared" si="203"/>
        <v/>
      </c>
      <c r="X120" s="960" t="str">
        <f t="shared" ref="X120" si="219">IF(AND(N120=0,O120=0),"",(IF(OR(C120="aa",C120="cp",C120="f",C120="jc",C120="m"),"",IF(C120="",IF(OR(D120-B120&gt;6/24,H120-F120&gt;6/24,L120-J120&gt;6/24),"PB",""),IF(OR(E120-C120&gt;6/24,I120-G120&gt;6/24,M120-K120&gt;6/24),"PB","")))))</f>
        <v/>
      </c>
      <c r="Y120" s="959" t="str">
        <f t="shared" si="205"/>
        <v/>
      </c>
      <c r="Z120" s="836"/>
      <c r="AA120" s="837"/>
      <c r="AB120" s="967"/>
      <c r="AC120" s="934">
        <f t="shared" si="208"/>
        <v>42772</v>
      </c>
      <c r="AD120" s="961">
        <f>IF(AND(N(AC120)&gt;=Paramétrage!$AU$11,N(AC120)&lt;=Paramétrage!$AU$12),IF(C120="cp",1,0),0)</f>
        <v>0</v>
      </c>
      <c r="AE120" s="962">
        <f t="shared" si="206"/>
        <v>0</v>
      </c>
      <c r="AF120" s="961">
        <f>IF(AND(N(AC120)&gt;=Paramétrage!$AX$11,N(AC120)&lt;=Paramétrage!$AX$12),IF(C120="cp",1,0),0)</f>
        <v>0</v>
      </c>
      <c r="AG120" s="962">
        <f t="shared" si="207"/>
        <v>0</v>
      </c>
      <c r="AI120" s="962">
        <f t="shared" si="209"/>
        <v>0</v>
      </c>
      <c r="AJ120" s="962">
        <f t="shared" si="210"/>
        <v>0</v>
      </c>
      <c r="AM120" s="962"/>
      <c r="AN120" s="962"/>
      <c r="AO120" s="962"/>
      <c r="AP120" s="962"/>
    </row>
    <row r="121" spans="1:45" s="935" customFormat="1" x14ac:dyDescent="0.25">
      <c r="A121" s="969" t="s">
        <v>28</v>
      </c>
      <c r="B121" s="970"/>
      <c r="C121" s="970"/>
      <c r="D121" s="970"/>
      <c r="E121" s="970"/>
      <c r="F121" s="970"/>
      <c r="G121" s="970"/>
      <c r="H121" s="970"/>
      <c r="I121" s="970"/>
      <c r="J121" s="970"/>
      <c r="K121" s="971"/>
      <c r="L121" s="970"/>
      <c r="M121" s="970"/>
      <c r="N121" s="972">
        <f>SUM(N114:N120)</f>
        <v>0</v>
      </c>
      <c r="O121" s="972">
        <f>SUM(O114:O120)</f>
        <v>0</v>
      </c>
      <c r="P121" s="972">
        <f>SUM(P114:P120)</f>
        <v>0</v>
      </c>
      <c r="Q121" s="972">
        <f>SUM(Q114:Q120)</f>
        <v>0</v>
      </c>
      <c r="R121" s="972"/>
      <c r="S121" s="972"/>
      <c r="T121" s="973"/>
      <c r="U121" s="974"/>
      <c r="V121" s="975" t="str">
        <f>IF((O121*24)&gt;48,"PB","")</f>
        <v/>
      </c>
      <c r="W121" s="974"/>
      <c r="X121" s="974"/>
      <c r="Y121" s="974"/>
      <c r="Z121" s="1053" t="s">
        <v>59</v>
      </c>
      <c r="AA121" s="1055">
        <f>+O121-N121</f>
        <v>0</v>
      </c>
      <c r="AB121" s="917"/>
      <c r="AC121" s="934"/>
      <c r="AE121" s="917"/>
      <c r="AG121" s="917"/>
      <c r="AH121" s="917"/>
      <c r="AI121" s="917"/>
      <c r="AJ121" s="917"/>
      <c r="AK121" s="917"/>
      <c r="AL121" s="917"/>
      <c r="AM121" s="917"/>
      <c r="AN121" s="917"/>
      <c r="AO121" s="917"/>
      <c r="AP121" s="917"/>
      <c r="AR121" s="917"/>
      <c r="AS121" s="917"/>
    </row>
    <row r="122" spans="1:45" s="935" customFormat="1" x14ac:dyDescent="0.25">
      <c r="A122" s="969"/>
      <c r="B122" s="969"/>
      <c r="C122" s="969"/>
      <c r="D122" s="969"/>
      <c r="E122" s="969"/>
      <c r="F122" s="1052"/>
      <c r="G122" s="1052"/>
      <c r="H122" s="1052"/>
      <c r="I122" s="1052"/>
      <c r="J122" s="1052"/>
      <c r="K122" s="969"/>
      <c r="L122" s="969"/>
      <c r="M122" s="969"/>
      <c r="N122" s="973"/>
      <c r="O122" s="969"/>
      <c r="P122" s="980"/>
      <c r="Q122" s="980"/>
      <c r="R122" s="980"/>
      <c r="S122" s="981"/>
      <c r="T122" s="980"/>
      <c r="U122" s="1052"/>
      <c r="V122" s="1052"/>
      <c r="W122" s="1052"/>
      <c r="X122" s="1052"/>
      <c r="Y122" s="1052"/>
      <c r="Z122" s="1053"/>
      <c r="AA122" s="1055"/>
      <c r="AB122" s="917"/>
      <c r="AC122" s="934"/>
      <c r="AE122" s="917"/>
      <c r="AG122" s="917"/>
      <c r="AH122" s="917"/>
      <c r="AI122" s="917"/>
      <c r="AJ122" s="917"/>
      <c r="AK122" s="917"/>
      <c r="AL122" s="917"/>
      <c r="AM122" s="917"/>
      <c r="AN122" s="917"/>
      <c r="AO122" s="917"/>
      <c r="AP122" s="917"/>
      <c r="AR122" s="917"/>
      <c r="AS122" s="917"/>
    </row>
    <row r="123" spans="1:45" s="935" customFormat="1" ht="16.5" x14ac:dyDescent="0.3">
      <c r="A123" s="969"/>
      <c r="B123" s="969"/>
      <c r="C123" s="969"/>
      <c r="D123" s="969"/>
      <c r="E123" s="969"/>
      <c r="F123" s="928">
        <f>+F111+7</f>
        <v>42773</v>
      </c>
      <c r="G123" s="928"/>
      <c r="H123" s="929" t="s">
        <v>58</v>
      </c>
      <c r="I123" s="928">
        <f>+F123+6</f>
        <v>42779</v>
      </c>
      <c r="J123" s="930"/>
      <c r="K123" s="969"/>
      <c r="L123" s="969"/>
      <c r="M123" s="969"/>
      <c r="N123" s="973"/>
      <c r="O123" s="969"/>
      <c r="P123" s="980"/>
      <c r="Q123" s="980"/>
      <c r="R123" s="980"/>
      <c r="S123" s="981"/>
      <c r="T123" s="980"/>
      <c r="U123" s="1052"/>
      <c r="V123" s="1052"/>
      <c r="W123" s="1052"/>
      <c r="X123" s="1052"/>
      <c r="Y123" s="1052"/>
      <c r="Z123" s="1053"/>
      <c r="AA123" s="1054"/>
      <c r="AB123" s="917"/>
      <c r="AC123" s="934"/>
      <c r="AE123" s="917"/>
      <c r="AG123" s="917"/>
      <c r="AH123" s="917"/>
      <c r="AI123" s="917"/>
      <c r="AJ123" s="917"/>
      <c r="AK123" s="917"/>
      <c r="AL123" s="917"/>
      <c r="AM123" s="917"/>
      <c r="AN123" s="917"/>
      <c r="AO123" s="917"/>
      <c r="AP123" s="917"/>
      <c r="AR123" s="917"/>
      <c r="AS123" s="917"/>
    </row>
    <row r="124" spans="1:45" ht="14.45" customHeight="1" x14ac:dyDescent="0.25">
      <c r="A124" s="994"/>
      <c r="B124" s="938" t="s">
        <v>17</v>
      </c>
      <c r="C124" s="938"/>
      <c r="D124" s="938" t="s">
        <v>18</v>
      </c>
      <c r="E124" s="938"/>
      <c r="F124" s="938" t="s">
        <v>17</v>
      </c>
      <c r="G124" s="938"/>
      <c r="H124" s="938" t="s">
        <v>18</v>
      </c>
      <c r="I124" s="938"/>
      <c r="J124" s="938" t="s">
        <v>17</v>
      </c>
      <c r="K124" s="938"/>
      <c r="L124" s="938" t="s">
        <v>18</v>
      </c>
      <c r="M124" s="938"/>
      <c r="N124" s="939" t="s">
        <v>61</v>
      </c>
      <c r="O124" s="939" t="s">
        <v>62</v>
      </c>
      <c r="P124" s="939" t="s">
        <v>60</v>
      </c>
      <c r="Q124" s="939" t="s">
        <v>63</v>
      </c>
      <c r="R124" s="939" t="s">
        <v>64</v>
      </c>
      <c r="S124" s="940" t="s">
        <v>223</v>
      </c>
      <c r="T124" s="939" t="s">
        <v>70</v>
      </c>
      <c r="U124" s="941" t="s">
        <v>65</v>
      </c>
      <c r="V124" s="942"/>
      <c r="W124" s="942"/>
      <c r="X124" s="942"/>
      <c r="Y124" s="943"/>
      <c r="Z124" s="944" t="s">
        <v>22</v>
      </c>
      <c r="AA124" s="944"/>
      <c r="AC124" s="934"/>
    </row>
    <row r="125" spans="1:45" ht="26.25" thickBot="1" x14ac:dyDescent="0.4">
      <c r="A125" s="937" t="str">
        <f>"S"&amp;WEEKNUM(F123,21)</f>
        <v>S6</v>
      </c>
      <c r="B125" s="949" t="s">
        <v>0</v>
      </c>
      <c r="C125" s="950" t="s">
        <v>1</v>
      </c>
      <c r="D125" s="949" t="s">
        <v>0</v>
      </c>
      <c r="E125" s="950" t="s">
        <v>1</v>
      </c>
      <c r="F125" s="949" t="s">
        <v>0</v>
      </c>
      <c r="G125" s="950" t="s">
        <v>1</v>
      </c>
      <c r="H125" s="949" t="s">
        <v>0</v>
      </c>
      <c r="I125" s="950" t="s">
        <v>1</v>
      </c>
      <c r="J125" s="949" t="s">
        <v>0</v>
      </c>
      <c r="K125" s="950" t="s">
        <v>1</v>
      </c>
      <c r="L125" s="949" t="s">
        <v>0</v>
      </c>
      <c r="M125" s="950" t="s">
        <v>1</v>
      </c>
      <c r="N125" s="951"/>
      <c r="O125" s="951"/>
      <c r="P125" s="951"/>
      <c r="Q125" s="951"/>
      <c r="R125" s="951"/>
      <c r="S125" s="951"/>
      <c r="T125" s="939"/>
      <c r="U125" s="952" t="s">
        <v>66</v>
      </c>
      <c r="V125" s="952" t="s">
        <v>67</v>
      </c>
      <c r="W125" s="952" t="s">
        <v>68</v>
      </c>
      <c r="X125" s="952" t="s">
        <v>137</v>
      </c>
      <c r="Y125" s="952" t="s">
        <v>69</v>
      </c>
      <c r="Z125" s="944"/>
      <c r="AA125" s="944"/>
      <c r="AC125" s="934"/>
      <c r="AM125" s="917" t="s">
        <v>274</v>
      </c>
    </row>
    <row r="126" spans="1:45" ht="14.25" customHeight="1" x14ac:dyDescent="0.3">
      <c r="A126" s="955" t="s">
        <v>12</v>
      </c>
      <c r="B126" s="15" t="b">
        <f>IF(Paramétrage!$O$42="",FALSE,Paramétrage!$O$42)</f>
        <v>0</v>
      </c>
      <c r="C126" s="263"/>
      <c r="D126" s="16" t="b">
        <f>IF(Paramétrage!$Q$42="",FALSE,Paramétrage!$Q$42)</f>
        <v>0</v>
      </c>
      <c r="E126" s="264"/>
      <c r="F126" s="15" t="b">
        <f>IF(Paramétrage!$R$42="",FALSE,Paramétrage!$R$42)</f>
        <v>0</v>
      </c>
      <c r="G126" s="264"/>
      <c r="H126" s="17" t="b">
        <f>IF(Paramétrage!$T$42="",FALSE,Paramétrage!$T$42)</f>
        <v>0</v>
      </c>
      <c r="I126" s="263"/>
      <c r="J126" s="127" t="b">
        <f>IF(Paramétrage!$U$42="",FALSE,Paramétrage!$U$42)</f>
        <v>0</v>
      </c>
      <c r="K126" s="263"/>
      <c r="L126" s="28" t="b">
        <f>IF(Paramétrage!$W$42="",FALSE,Paramétrage!$W$42)</f>
        <v>0</v>
      </c>
      <c r="M126" s="263"/>
      <c r="N126" s="956">
        <f t="shared" ref="N126:N128" si="220">IF(OR(B126="aa",B126="cp",B126="f",B126="jc",B126="m",B126="css"),0,(L126-J126)+(H126-F126)+(D126-B126))</f>
        <v>0</v>
      </c>
      <c r="O126" s="956">
        <f t="shared" ref="O126:O128" si="221">SUM(AM126:AP126)+IF(OR(C126="m",C126="aa"),N126,IF(C126="css",0,IF(C126="cp",0,IF(C126="jc",0,IF(C126="f",0,E126-C126+I126-G126+M126-K126)))))</f>
        <v>0</v>
      </c>
      <c r="P126" s="956">
        <f t="shared" ref="P126:P132" si="222">IF(OR(C126="aa",C126="cp",C126="f",C126="jc",C126="m",C126="css"),0,IF(C126="",IF(OR(F126="",F126=FALSE),0,F126-D126),IF(G126="",0,G126-E126)))</f>
        <v>0</v>
      </c>
      <c r="Q126" s="956">
        <f t="shared" ref="Q126:Q132" si="223">IF(P126=0,0,IF(G126="",IF(OR(J126="",J126=FALSE),0,J126-H126),IF(K126="",0,K126-I126)))</f>
        <v>0</v>
      </c>
      <c r="R126" s="957">
        <f t="shared" ref="R126:R128" si="224">IF(OR(C126="aa",C126="cp",C126="f",C126="jc",C126="m",C126="css"),0,IF(C126=0,MAX(B126,D126,F126,H126,J126,L126)-MIN(B126,D126,F126,H126,J126,L126),IF(C126&lt;&gt;0,MAX(C126,E126,G126,I126,K126,M126)-MIN(C126,E126,G126,I126,K126,M126))))</f>
        <v>0</v>
      </c>
      <c r="S126" s="262"/>
      <c r="T126" s="958" t="str">
        <f t="shared" ref="T126:T127" si="225">IF(AND(B126=FALSE,C126=""),"",IF(AND(B126=0,C126=0),"",(IF(OR(C126="cp",C126="f",C126="jc",C126="css"),"",IF(OR(C126="",C126="aa",C126="m"),(IF(OR(B126="cp",B126="f",B126="jc",B126="css"),"",B126*24+24-MAX(D125,H125,L125)*24)),C126*24+24-MAX(M125,I125,E125)*24)))))</f>
        <v/>
      </c>
      <c r="U126" s="959" t="str">
        <f>IF(P126=0,"",IF(P126&lt;Paramétrage!$S$12,"PB",IF(AND(Q126&lt;Paramétrage!$S$12,Q126&lt;&gt;0),"PB","")))</f>
        <v/>
      </c>
      <c r="V126" s="959" t="str">
        <f t="shared" ref="V126:V132" si="226">IF(C126="",IF((N126*24)&gt;10,"PB",""),IF((O126*24)&gt;10,"PB",""))</f>
        <v/>
      </c>
      <c r="W126" s="959" t="str">
        <f t="shared" ref="W126:W132" si="227">IF((R126*24)&gt;12,"PB","")</f>
        <v/>
      </c>
      <c r="X126" s="960" t="str">
        <f t="shared" ref="X126:X128" si="228">IF(AND(N126=0,O126=0),"",(IF(OR(C126="aa",C126="cp",C126="f",C126="jc",C126="m",C126="css"),"",IF(C126="",IF(OR(D126-B126&gt;6/24,H126-F126&gt;6/24,L126-J126&gt;6/24),"PB",""),IF(OR(E126-C126&gt;6/24,I126-G126&gt;6/24,M126-K126&gt;6/24),"PB","")))))</f>
        <v/>
      </c>
      <c r="Y126" s="959" t="str">
        <f t="shared" ref="Y126:Y132" si="229">IF(T126="","",IF(T126&lt;11,"PB",""))</f>
        <v/>
      </c>
      <c r="Z126" s="836"/>
      <c r="AA126" s="837"/>
      <c r="AC126" s="934">
        <f>AC120+1</f>
        <v>42773</v>
      </c>
      <c r="AD126" s="961">
        <f>IF(AND(N(AC126)&gt;=Paramétrage!$AU$11,N(AC126)&lt;=Paramétrage!$AU$12),IF(C126="cp",1,0),0)</f>
        <v>0</v>
      </c>
      <c r="AE126" s="962">
        <f t="shared" ref="AE126:AE132" si="230">IF(O126&lt;&gt;"erreur",N126,O126)</f>
        <v>0</v>
      </c>
      <c r="AF126" s="961">
        <f>IF(AND(N(AC126)&gt;=Paramétrage!$AX$11,N(AC126)&lt;=Paramétrage!$AX$12),IF(C126="cp",1,0),0)</f>
        <v>0</v>
      </c>
      <c r="AG126" s="962">
        <f>O126</f>
        <v>0</v>
      </c>
      <c r="AI126" s="962">
        <f>AE126+AI120</f>
        <v>0</v>
      </c>
      <c r="AJ126" s="962">
        <f>AG126+AJ120</f>
        <v>0</v>
      </c>
      <c r="AM126" s="962">
        <f>IF(AND($B126="cp",$C126="m"),$Z126,0)</f>
        <v>0</v>
      </c>
      <c r="AN126" s="962">
        <f>IF(AND($B126="jc",$C126="m"),$Z126,0)</f>
        <v>0</v>
      </c>
      <c r="AO126" s="962">
        <f>IF(AND($B126="cp",$C126="aa"),$Z126,0)</f>
        <v>0</v>
      </c>
      <c r="AP126" s="962">
        <f>IF(AND($B126="jc",$C126="aa"),$Z126,0)</f>
        <v>0</v>
      </c>
      <c r="AR126" s="917">
        <f>IF(AND(AC126&lt;=$AR$3,B126="CP"),1,0)</f>
        <v>0</v>
      </c>
      <c r="AS126" s="917">
        <f>IF(AND(AC126&lt;=$AR$3,C126="CP"),1,0)</f>
        <v>0</v>
      </c>
    </row>
    <row r="127" spans="1:45" ht="14.25" customHeight="1" x14ac:dyDescent="0.3">
      <c r="A127" s="964" t="s">
        <v>13</v>
      </c>
      <c r="B127" s="15" t="b">
        <f>IF(Paramétrage!$O$43="",FALSE,Paramétrage!$O$43)</f>
        <v>0</v>
      </c>
      <c r="C127" s="263"/>
      <c r="D127" s="16" t="b">
        <f>IF(Paramétrage!$Q$43="",FALSE,Paramétrage!$Q$43)</f>
        <v>0</v>
      </c>
      <c r="E127" s="264"/>
      <c r="F127" s="15" t="b">
        <f>IF(Paramétrage!$R$43="",FALSE,Paramétrage!$R$43)</f>
        <v>0</v>
      </c>
      <c r="G127" s="264"/>
      <c r="H127" s="17" t="b">
        <f>IF(Paramétrage!$T$43="",FALSE,Paramétrage!$T$43)</f>
        <v>0</v>
      </c>
      <c r="I127" s="263"/>
      <c r="J127" s="127" t="b">
        <f>IF(Paramétrage!$U$43="",FALSE,Paramétrage!$U$43)</f>
        <v>0</v>
      </c>
      <c r="K127" s="263"/>
      <c r="L127" s="28" t="b">
        <f>IF(Paramétrage!$W$43="",FALSE,Paramétrage!$W$43)</f>
        <v>0</v>
      </c>
      <c r="M127" s="263"/>
      <c r="N127" s="956">
        <f t="shared" si="220"/>
        <v>0</v>
      </c>
      <c r="O127" s="956">
        <f t="shared" si="221"/>
        <v>0</v>
      </c>
      <c r="P127" s="956">
        <f t="shared" si="222"/>
        <v>0</v>
      </c>
      <c r="Q127" s="956">
        <f t="shared" si="223"/>
        <v>0</v>
      </c>
      <c r="R127" s="957">
        <f t="shared" si="224"/>
        <v>0</v>
      </c>
      <c r="S127" s="262"/>
      <c r="T127" s="958" t="str">
        <f t="shared" si="225"/>
        <v/>
      </c>
      <c r="U127" s="959" t="str">
        <f>IF(P127=0,"",IF(P127&lt;Paramétrage!$S$12,"PB",IF(AND(Q127&lt;Paramétrage!$S$12,Q127&lt;&gt;0),"PB","")))</f>
        <v/>
      </c>
      <c r="V127" s="959" t="str">
        <f t="shared" si="226"/>
        <v/>
      </c>
      <c r="W127" s="959" t="str">
        <f t="shared" si="227"/>
        <v/>
      </c>
      <c r="X127" s="960" t="str">
        <f t="shared" si="228"/>
        <v/>
      </c>
      <c r="Y127" s="959" t="str">
        <f t="shared" si="229"/>
        <v/>
      </c>
      <c r="Z127" s="836"/>
      <c r="AA127" s="837"/>
      <c r="AC127" s="934">
        <f t="shared" ref="AC127:AC132" si="231">AC126+1</f>
        <v>42774</v>
      </c>
      <c r="AD127" s="961">
        <f>IF(AND(N(AC127)&gt;=Paramétrage!$AU$11,N(AC127)&lt;=Paramétrage!$AU$12),IF(C127="cp",1,0),0)</f>
        <v>0</v>
      </c>
      <c r="AE127" s="962">
        <f t="shared" si="230"/>
        <v>0</v>
      </c>
      <c r="AF127" s="961">
        <f>IF(AND(N(AC127)&gt;=Paramétrage!$AX$11,N(AC127)&lt;=Paramétrage!$AX$12),IF(C127="cp",1,0),0)</f>
        <v>0</v>
      </c>
      <c r="AG127" s="962">
        <f t="shared" ref="AG127:AG132" si="232">O127</f>
        <v>0</v>
      </c>
      <c r="AI127" s="962">
        <f t="shared" ref="AI127:AI132" si="233">AE127+AI126</f>
        <v>0</v>
      </c>
      <c r="AJ127" s="962">
        <f t="shared" ref="AJ127:AJ132" si="234">AG127+AJ126</f>
        <v>0</v>
      </c>
      <c r="AM127" s="962">
        <f t="shared" ref="AM127:AM130" si="235">IF(AND($B127="cp",$C127="m"),$Z127,0)</f>
        <v>0</v>
      </c>
      <c r="AN127" s="962">
        <f t="shared" ref="AN127:AN130" si="236">IF(AND($B127="jc",$C127="m"),$Z127,0)</f>
        <v>0</v>
      </c>
      <c r="AO127" s="962">
        <f t="shared" ref="AO127:AO130" si="237">IF(AND($B127="cp",$C127="aa"),$Z127,0)</f>
        <v>0</v>
      </c>
      <c r="AP127" s="962">
        <f t="shared" ref="AP127:AP130" si="238">IF(AND($B127="jc",$C127="aa"),$Z127,0)</f>
        <v>0</v>
      </c>
      <c r="AR127" s="917">
        <f>IF(AND(AC127&lt;=$AR$3,B127="CP"),1,0)</f>
        <v>0</v>
      </c>
      <c r="AS127" s="917">
        <f>IF(AND(AC127&lt;=$AR$3,C127="CP"),1,0)</f>
        <v>0</v>
      </c>
    </row>
    <row r="128" spans="1:45" ht="14.25" customHeight="1" x14ac:dyDescent="0.3">
      <c r="A128" s="964" t="s">
        <v>14</v>
      </c>
      <c r="B128" s="15" t="b">
        <f>IF(Paramétrage!$O$44="",FALSE,Paramétrage!$O$44)</f>
        <v>0</v>
      </c>
      <c r="C128" s="263"/>
      <c r="D128" s="16" t="b">
        <f>IF(Paramétrage!$Q$44="",FALSE,Paramétrage!$Q$44)</f>
        <v>0</v>
      </c>
      <c r="E128" s="264"/>
      <c r="F128" s="15" t="b">
        <f>IF(Paramétrage!$R$44="",FALSE,Paramétrage!$R$44)</f>
        <v>0</v>
      </c>
      <c r="G128" s="264"/>
      <c r="H128" s="17" t="b">
        <f>IF(Paramétrage!$T$44="",FALSE,Paramétrage!$T$44)</f>
        <v>0</v>
      </c>
      <c r="I128" s="263"/>
      <c r="J128" s="127" t="b">
        <f>IF(Paramétrage!$U$44="",FALSE,Paramétrage!$U$44)</f>
        <v>0</v>
      </c>
      <c r="K128" s="263"/>
      <c r="L128" s="28" t="b">
        <f>IF(Paramétrage!$W$44="",FALSE,Paramétrage!$W$44)</f>
        <v>0</v>
      </c>
      <c r="M128" s="263"/>
      <c r="N128" s="956">
        <f t="shared" si="220"/>
        <v>0</v>
      </c>
      <c r="O128" s="956">
        <f t="shared" si="221"/>
        <v>0</v>
      </c>
      <c r="P128" s="956">
        <f t="shared" si="222"/>
        <v>0</v>
      </c>
      <c r="Q128" s="956">
        <f t="shared" si="223"/>
        <v>0</v>
      </c>
      <c r="R128" s="957">
        <f t="shared" si="224"/>
        <v>0</v>
      </c>
      <c r="S128" s="262"/>
      <c r="T128" s="958" t="str">
        <f>IF(AND(B128=FALSE,C128=""),"",IF(AND(B128=0,C128=0),"",(IF(OR(C128="cp",C128="f",C128="jc",C128="css"),"",IF(OR(C128="",C128="aa",C128="m"),(IF(OR(B128="cp",B128="f",B128="jc",B128="css"),"",B128*24+24-MAX(D127,H127,L127)*24)),C128*24+24-MAX(M127,I127,E127)*24)))))</f>
        <v/>
      </c>
      <c r="U128" s="959" t="str">
        <f>IF(P128=0,"",IF(P128&lt;Paramétrage!$S$12,"PB",IF(AND(Q128&lt;Paramétrage!$S$12,Q128&lt;&gt;0),"PB","")))</f>
        <v/>
      </c>
      <c r="V128" s="959" t="str">
        <f t="shared" si="226"/>
        <v/>
      </c>
      <c r="W128" s="959" t="str">
        <f t="shared" si="227"/>
        <v/>
      </c>
      <c r="X128" s="960" t="str">
        <f t="shared" si="228"/>
        <v/>
      </c>
      <c r="Y128" s="959" t="str">
        <f t="shared" si="229"/>
        <v/>
      </c>
      <c r="Z128" s="836"/>
      <c r="AA128" s="837"/>
      <c r="AC128" s="934">
        <f t="shared" si="231"/>
        <v>42775</v>
      </c>
      <c r="AD128" s="961">
        <f>IF(AND(N(AC128)&gt;=Paramétrage!$AU$11,N(AC128)&lt;=Paramétrage!$AU$12),IF(C128="cp",1,0),0)</f>
        <v>0</v>
      </c>
      <c r="AE128" s="962">
        <f t="shared" si="230"/>
        <v>0</v>
      </c>
      <c r="AF128" s="961">
        <f>IF(AND(N(AC128)&gt;=Paramétrage!$AX$11,N(AC128)&lt;=Paramétrage!$AX$12),IF(C128="cp",1,0),0)</f>
        <v>0</v>
      </c>
      <c r="AG128" s="962">
        <f t="shared" si="232"/>
        <v>0</v>
      </c>
      <c r="AI128" s="962">
        <f t="shared" si="233"/>
        <v>0</v>
      </c>
      <c r="AJ128" s="962">
        <f t="shared" si="234"/>
        <v>0</v>
      </c>
      <c r="AM128" s="962">
        <f t="shared" si="235"/>
        <v>0</v>
      </c>
      <c r="AN128" s="962">
        <f t="shared" si="236"/>
        <v>0</v>
      </c>
      <c r="AO128" s="962">
        <f t="shared" si="237"/>
        <v>0</v>
      </c>
      <c r="AP128" s="962">
        <f t="shared" si="238"/>
        <v>0</v>
      </c>
      <c r="AR128" s="917">
        <f>IF(AND(AC128&lt;=$AR$3,B128="CP"),1,0)</f>
        <v>0</v>
      </c>
      <c r="AS128" s="917">
        <f>IF(AND(AC128&lt;=$AR$3,C128="CP"),1,0)</f>
        <v>0</v>
      </c>
    </row>
    <row r="129" spans="1:45" ht="14.25" customHeight="1" x14ac:dyDescent="0.3">
      <c r="A129" s="964" t="s">
        <v>15</v>
      </c>
      <c r="B129" s="15" t="b">
        <f>IF(Paramétrage!$O$45="",FALSE,Paramétrage!$O$45)</f>
        <v>0</v>
      </c>
      <c r="C129" s="263"/>
      <c r="D129" s="16" t="b">
        <f>IF(Paramétrage!$Q$45="",FALSE,Paramétrage!$Q$45)</f>
        <v>0</v>
      </c>
      <c r="E129" s="264"/>
      <c r="F129" s="15" t="b">
        <f>IF(Paramétrage!$R$45="",FALSE,Paramétrage!$R$45)</f>
        <v>0</v>
      </c>
      <c r="G129" s="264"/>
      <c r="H129" s="17" t="b">
        <f>IF(Paramétrage!$T$45="",FALSE,Paramétrage!$T$45)</f>
        <v>0</v>
      </c>
      <c r="I129" s="263"/>
      <c r="J129" s="127" t="b">
        <f>IF(Paramétrage!$U$45="",FALSE,Paramétrage!$U$45)</f>
        <v>0</v>
      </c>
      <c r="K129" s="263"/>
      <c r="L129" s="28" t="b">
        <f>IF(Paramétrage!$W$45="",FALSE,Paramétrage!$W$45)</f>
        <v>0</v>
      </c>
      <c r="M129" s="263"/>
      <c r="N129" s="956">
        <f>IF(OR(B129="aa",B129="cp",B129="f",B129="jc",B129="m",B129="css"),0,(L129-J129)+(H129-F129)+(D129-B129))</f>
        <v>0</v>
      </c>
      <c r="O129" s="956">
        <f>SUM(AM129:AP129)+IF(OR(C129="m",C129="aa"),N129,IF(C129="css",0,IF(C129="cp",0,IF(C129="jc",0,IF(C129="f",0,E129-C129+I129-G129+M129-K129)))))</f>
        <v>0</v>
      </c>
      <c r="P129" s="956">
        <f t="shared" si="222"/>
        <v>0</v>
      </c>
      <c r="Q129" s="956">
        <f t="shared" si="223"/>
        <v>0</v>
      </c>
      <c r="R129" s="957">
        <f>IF(OR(C129="aa",C129="cp",C129="f",C129="jc",C129="m",C129="css"),0,IF(C129=0,MAX(B129,D129,F129,H129,J129,L129)-MIN(B129,D129,F129,H129,J129,L129),IF(C129&lt;&gt;0,MAX(C129,E129,G129,I129,K129,M129)-MIN(C129,E129,G129,I129,K129,M129))))</f>
        <v>0</v>
      </c>
      <c r="S129" s="262"/>
      <c r="T129" s="958" t="str">
        <f t="shared" ref="T129:T132" si="239">IF(AND(B129=FALSE,C129=""),"",IF(AND(B129=0,C129=0),"",(IF(OR(C129="cp",C129="f",C129="jc",C129="css"),"",IF(OR(C129="",C129="aa",C129="m"),(IF(OR(B129="cp",B129="f",B129="jc",B129="css"),"",B129*24+24-MAX(D128,H128,L128)*24)),C129*24+24-MAX(M128,I128,E128)*24)))))</f>
        <v/>
      </c>
      <c r="U129" s="959" t="str">
        <f>IF(P129=0,"",IF(P129&lt;Paramétrage!$S$12,"PB",IF(AND(Q129&lt;Paramétrage!$S$12,Q129&lt;&gt;0),"PB","")))</f>
        <v/>
      </c>
      <c r="V129" s="959" t="str">
        <f t="shared" si="226"/>
        <v/>
      </c>
      <c r="W129" s="959" t="str">
        <f t="shared" si="227"/>
        <v/>
      </c>
      <c r="X129" s="960" t="str">
        <f>IF(AND(N129=0,O129=0),"",(IF(OR(C129="aa",C129="cp",C129="f",C129="jc",C129="m",C129="css"),"",IF(C129="",IF(OR(D129-B129&gt;6/24,H129-F129&gt;6/24,L129-J129&gt;6/24),"PB",""),IF(OR(E129-C129&gt;6/24,I129-G129&gt;6/24,M129-K129&gt;6/24),"PB","")))))</f>
        <v/>
      </c>
      <c r="Y129" s="959" t="str">
        <f t="shared" si="229"/>
        <v/>
      </c>
      <c r="Z129" s="836"/>
      <c r="AA129" s="837"/>
      <c r="AC129" s="934">
        <f t="shared" si="231"/>
        <v>42776</v>
      </c>
      <c r="AD129" s="961">
        <f>IF(AND(N(AC129)&gt;=Paramétrage!$AU$11,N(AC129)&lt;=Paramétrage!$AU$12),IF(C129="cp",1,0),0)</f>
        <v>0</v>
      </c>
      <c r="AE129" s="962">
        <f t="shared" si="230"/>
        <v>0</v>
      </c>
      <c r="AF129" s="961">
        <f>IF(AND(N(AC129)&gt;=Paramétrage!$AX$11,N(AC129)&lt;=Paramétrage!$AX$12),IF(C129="cp",1,0),0)</f>
        <v>0</v>
      </c>
      <c r="AG129" s="962">
        <f t="shared" si="232"/>
        <v>0</v>
      </c>
      <c r="AI129" s="962">
        <f t="shared" si="233"/>
        <v>0</v>
      </c>
      <c r="AJ129" s="962">
        <f t="shared" si="234"/>
        <v>0</v>
      </c>
      <c r="AM129" s="962">
        <f t="shared" si="235"/>
        <v>0</v>
      </c>
      <c r="AN129" s="962">
        <f t="shared" si="236"/>
        <v>0</v>
      </c>
      <c r="AO129" s="962">
        <f t="shared" si="237"/>
        <v>0</v>
      </c>
      <c r="AP129" s="962">
        <f t="shared" si="238"/>
        <v>0</v>
      </c>
      <c r="AR129" s="917">
        <f>IF(AND(AC129&lt;=$AR$3,B129="CP"),1,0)</f>
        <v>0</v>
      </c>
      <c r="AS129" s="917">
        <f>IF(AND(AC129&lt;=$AR$3,C129="CP"),1,0)</f>
        <v>0</v>
      </c>
    </row>
    <row r="130" spans="1:45" ht="14.25" customHeight="1" x14ac:dyDescent="0.3">
      <c r="A130" s="964" t="s">
        <v>16</v>
      </c>
      <c r="B130" s="15" t="b">
        <f>IF(Paramétrage!$O$46="",FALSE,Paramétrage!$O$46)</f>
        <v>0</v>
      </c>
      <c r="C130" s="263"/>
      <c r="D130" s="16" t="b">
        <f>IF(Paramétrage!$Q$46="",FALSE,Paramétrage!$Q$46)</f>
        <v>0</v>
      </c>
      <c r="E130" s="264"/>
      <c r="F130" s="15" t="b">
        <f>IF(Paramétrage!$R$46="",FALSE,Paramétrage!$R$46)</f>
        <v>0</v>
      </c>
      <c r="G130" s="264"/>
      <c r="H130" s="17" t="b">
        <f>IF(Paramétrage!$T$46="",FALSE,Paramétrage!$T$46)</f>
        <v>0</v>
      </c>
      <c r="I130" s="263"/>
      <c r="J130" s="127" t="b">
        <f>IF(Paramétrage!$U$46="",FALSE,Paramétrage!$U$46)</f>
        <v>0</v>
      </c>
      <c r="K130" s="263"/>
      <c r="L130" s="28" t="b">
        <f>IF(Paramétrage!$W$46="",FALSE,Paramétrage!$W$46)</f>
        <v>0</v>
      </c>
      <c r="M130" s="263"/>
      <c r="N130" s="956">
        <f>IF(OR(B130="aa",B130="cp",B130="f",B130="jc",B130="m",B130="css"),0,(L130-J130)+(H130-F130)+(D130-B130))</f>
        <v>0</v>
      </c>
      <c r="O130" s="956">
        <f>SUM(AM130:AP130)+IF(OR(C130="m",C130="aa"),N130,IF(C130="css",0,IF(C130="cp",0,IF(C130="jc",0,IF(C130="f",0,E130-C130+I130-G130+M130-K130)))))</f>
        <v>0</v>
      </c>
      <c r="P130" s="956">
        <f t="shared" si="222"/>
        <v>0</v>
      </c>
      <c r="Q130" s="956">
        <f t="shared" si="223"/>
        <v>0</v>
      </c>
      <c r="R130" s="957">
        <f>IF(OR(C130="aa",C130="cp",C130="f",C130="jc",C130="m",C130="css"),0,IF(C130=0,MAX(B130,D130,F130,H130,J130,L130)-MIN(B130,D130,F130,H130,J130,L130),IF(C130&lt;&gt;0,MAX(C130,E130,G130,I130,K130,M130)-MIN(C130,E130,G130,I130,K130,M130))))</f>
        <v>0</v>
      </c>
      <c r="S130" s="262"/>
      <c r="T130" s="958" t="str">
        <f t="shared" si="239"/>
        <v/>
      </c>
      <c r="U130" s="959" t="str">
        <f>IF(P130=0,"",IF(P130&lt;Paramétrage!$S$12,"PB",IF(AND(Q130&lt;Paramétrage!$S$12,Q130&lt;&gt;0),"PB","")))</f>
        <v/>
      </c>
      <c r="V130" s="959" t="str">
        <f t="shared" si="226"/>
        <v/>
      </c>
      <c r="W130" s="959" t="str">
        <f t="shared" si="227"/>
        <v/>
      </c>
      <c r="X130" s="960" t="str">
        <f>IF(AND(N130=0,O130=0),"",(IF(OR(C130="aa",C130="cp",C130="f",C130="jc",C130="m",C130="css"),"",IF(C130="",IF(OR(D130-B130&gt;6/24,H130-F130&gt;6/24,L130-J130&gt;6/24),"PB",""),IF(OR(E130-C130&gt;6/24,I130-G130&gt;6/24,M130-K130&gt;6/24),"PB","")))))</f>
        <v/>
      </c>
      <c r="Y130" s="959" t="str">
        <f t="shared" si="229"/>
        <v/>
      </c>
      <c r="Z130" s="836"/>
      <c r="AA130" s="837"/>
      <c r="AC130" s="934">
        <f t="shared" si="231"/>
        <v>42777</v>
      </c>
      <c r="AD130" s="961">
        <f>IF(AND(N(AC130)&gt;=Paramétrage!$AU$11,N(AC130)&lt;=Paramétrage!$AU$12),IF(C130="cp",1,0),0)</f>
        <v>0</v>
      </c>
      <c r="AE130" s="962">
        <f t="shared" si="230"/>
        <v>0</v>
      </c>
      <c r="AF130" s="961">
        <f>IF(AND(N(AC130)&gt;=Paramétrage!$AX$11,N(AC130)&lt;=Paramétrage!$AX$12),IF(C130="cp",1,0),0)</f>
        <v>0</v>
      </c>
      <c r="AG130" s="962">
        <f t="shared" si="232"/>
        <v>0</v>
      </c>
      <c r="AI130" s="962">
        <f t="shared" si="233"/>
        <v>0</v>
      </c>
      <c r="AJ130" s="962">
        <f t="shared" si="234"/>
        <v>0</v>
      </c>
      <c r="AM130" s="962">
        <f t="shared" si="235"/>
        <v>0</v>
      </c>
      <c r="AN130" s="962">
        <f t="shared" si="236"/>
        <v>0</v>
      </c>
      <c r="AO130" s="962">
        <f t="shared" si="237"/>
        <v>0</v>
      </c>
      <c r="AP130" s="962">
        <f t="shared" si="238"/>
        <v>0</v>
      </c>
      <c r="AR130" s="917">
        <f>IF(AND(AC130&lt;=$AR$3,B130="CP"),1,0)</f>
        <v>0</v>
      </c>
      <c r="AS130" s="917">
        <f>IF(AND(AC130&lt;=$AR$3,C130="CP"),1,0)</f>
        <v>0</v>
      </c>
    </row>
    <row r="131" spans="1:45" ht="14.25" customHeight="1" x14ac:dyDescent="0.3">
      <c r="A131" s="964" t="s">
        <v>19</v>
      </c>
      <c r="B131" s="15" t="b">
        <f>IF(Paramétrage!$O$47="",FALSE,Paramétrage!$O$47)</f>
        <v>0</v>
      </c>
      <c r="C131" s="263"/>
      <c r="D131" s="16" t="b">
        <f>IF(Paramétrage!$Q$47="",FALSE,Paramétrage!$Q$47)</f>
        <v>0</v>
      </c>
      <c r="E131" s="264"/>
      <c r="F131" s="15" t="b">
        <f>IF(Paramétrage!$R$47="",FALSE,Paramétrage!$R$47)</f>
        <v>0</v>
      </c>
      <c r="G131" s="264"/>
      <c r="H131" s="17" t="b">
        <f>IF(Paramétrage!$T$47="",FALSE,Paramétrage!$T$47)</f>
        <v>0</v>
      </c>
      <c r="I131" s="263"/>
      <c r="J131" s="127" t="b">
        <f>IF(Paramétrage!$U$47="",FALSE,Paramétrage!$U$47)</f>
        <v>0</v>
      </c>
      <c r="K131" s="263"/>
      <c r="L131" s="28" t="b">
        <f>IF(Paramétrage!$W$47="",FALSE,Paramétrage!$W$47)</f>
        <v>0</v>
      </c>
      <c r="M131" s="263"/>
      <c r="N131" s="956">
        <f>IF(OR(B131="aa",B131="cp",B131="f",B131="jc",B131="m",B131="css"),0,(L131-J131)+(H131-F131)+(D131-B131))</f>
        <v>0</v>
      </c>
      <c r="O131" s="956">
        <f>IF(OR(C131="m",C131="aa"),N131,IF(C131="cp",0,IF(OR(C131="css",C131="jc"),0,IF(C131="f",0,E131-C131+I131-G131+M131-K131))))</f>
        <v>0</v>
      </c>
      <c r="P131" s="956">
        <f t="shared" si="222"/>
        <v>0</v>
      </c>
      <c r="Q131" s="956">
        <f t="shared" si="223"/>
        <v>0</v>
      </c>
      <c r="R131" s="957">
        <f>IF(OR(C131="aa",C131="cp",C131="f",C131="jc",C131="m",C131="css"),0,IF(C131=0,MAX(B131,D131,F131,H131,J131,L131)-MIN(B131,D131,F131,H131,J131,L131),IF(C131&lt;&gt;0,MAX(C131,E131,G131,I131,K131,M131)-MIN(C131,E131,G131,I131,K131,M131))))</f>
        <v>0</v>
      </c>
      <c r="S131" s="262"/>
      <c r="T131" s="958" t="str">
        <f t="shared" si="239"/>
        <v/>
      </c>
      <c r="U131" s="959" t="str">
        <f>IF(P131=0,"",IF(P131&lt;Paramétrage!$S$12,"PB",IF(AND(Q131&lt;Paramétrage!$S$12,Q131&lt;&gt;0),"PB","")))</f>
        <v/>
      </c>
      <c r="V131" s="959" t="str">
        <f t="shared" si="226"/>
        <v/>
      </c>
      <c r="W131" s="959" t="str">
        <f t="shared" si="227"/>
        <v/>
      </c>
      <c r="X131" s="960" t="str">
        <f>IF(AND(N131=0,O131=0),"",(IF(OR(C131="aa",C131="cp",C131="f",C131="jc",C131="m",C131="css"),"",IF(C131="",IF(OR(D131-B131&gt;6/24,H131-F131&gt;6/24,L131-J131&gt;6/24),"PB",""),IF(OR(E131-C131&gt;6/24,I131-G131&gt;6/24,M131-K131&gt;6/24),"PB","")))))</f>
        <v/>
      </c>
      <c r="Y131" s="959" t="str">
        <f t="shared" si="229"/>
        <v/>
      </c>
      <c r="Z131" s="836"/>
      <c r="AA131" s="837"/>
      <c r="AC131" s="934">
        <f t="shared" si="231"/>
        <v>42778</v>
      </c>
      <c r="AD131" s="961">
        <f>IF(AND(N(AC131)&gt;=Paramétrage!$AU$11,N(AC131)&lt;=Paramétrage!$AU$12),IF(C131="cp",1,0),0)</f>
        <v>0</v>
      </c>
      <c r="AE131" s="962">
        <f t="shared" si="230"/>
        <v>0</v>
      </c>
      <c r="AF131" s="961">
        <f>IF(AND(N(AC131)&gt;=Paramétrage!$AX$11,N(AC131)&lt;=Paramétrage!$AX$12),IF(C131="cp",1,0),0)</f>
        <v>0</v>
      </c>
      <c r="AG131" s="962">
        <f t="shared" si="232"/>
        <v>0</v>
      </c>
      <c r="AI131" s="962">
        <f t="shared" si="233"/>
        <v>0</v>
      </c>
      <c r="AJ131" s="962">
        <f t="shared" si="234"/>
        <v>0</v>
      </c>
      <c r="AM131" s="962"/>
      <c r="AN131" s="962"/>
      <c r="AO131" s="962"/>
      <c r="AP131" s="962"/>
    </row>
    <row r="132" spans="1:45" ht="14.25" customHeight="1" thickBot="1" x14ac:dyDescent="0.35">
      <c r="A132" s="966" t="s">
        <v>20</v>
      </c>
      <c r="B132" s="15" t="b">
        <f>IF(Paramétrage!$O$48="",FALSE,Paramétrage!$O$48)</f>
        <v>0</v>
      </c>
      <c r="C132" s="263"/>
      <c r="D132" s="16" t="b">
        <f>IF(Paramétrage!$Q$48="",FALSE,Paramétrage!$Q$48)</f>
        <v>0</v>
      </c>
      <c r="E132" s="264"/>
      <c r="F132" s="15" t="b">
        <f>IF(Paramétrage!$R$48="",FALSE,Paramétrage!$R$48)</f>
        <v>0</v>
      </c>
      <c r="G132" s="264"/>
      <c r="H132" s="17" t="b">
        <f>IF(Paramétrage!$T$48="",FALSE,Paramétrage!$T$48)</f>
        <v>0</v>
      </c>
      <c r="I132" s="263"/>
      <c r="J132" s="127" t="b">
        <f>IF(Paramétrage!$U$48="",FALSE,Paramétrage!$U$48)</f>
        <v>0</v>
      </c>
      <c r="K132" s="263"/>
      <c r="L132" s="28" t="b">
        <f>IF(Paramétrage!$W$48="",FALSE,Paramétrage!$W$48)</f>
        <v>0</v>
      </c>
      <c r="M132" s="263"/>
      <c r="N132" s="956">
        <f>IF(OR(B132="aa",B132="m"),M132,IF(B132="cp",0,IF(B132="jc",0,IF(B132="f",0,(D132-B132)*Paramétrage!$S$13+(H132-F132)*Paramétrage!$S$13+(L132-J132)*Paramétrage!$S$13+(D132-B132+H132-F132+L132-J132)))))</f>
        <v>0</v>
      </c>
      <c r="O132" s="956">
        <f>IF(OR(C132="aa",C132="m"),N132,IF(C132="cp",0,IF(C132="jc",0,IF(C132="f",0,(E132-C132)*Paramétrage!$S$13+(I132-G132)*Paramétrage!$S$13+(M132-K132)*Paramétrage!$S$13+(E132-C132+I132-G132+M132-K132)))))</f>
        <v>0</v>
      </c>
      <c r="P132" s="956">
        <f t="shared" si="222"/>
        <v>0</v>
      </c>
      <c r="Q132" s="956">
        <f t="shared" si="223"/>
        <v>0</v>
      </c>
      <c r="R132" s="957">
        <f t="shared" ref="R132" si="240">IF(OR(C132="aa",C132="cp",C132="f",C132="jc",C132="m",C132=0),MAX(B132,D132,F132,H132,J132,L132)-MIN(B132,D132,F132,H132,J132,L132),IF(C132&lt;&gt;0,MAX(C132,E132,G132,I132,K132,M132)-MIN(C132,E132,G132,I132,K132,M132)))</f>
        <v>0</v>
      </c>
      <c r="S132" s="262"/>
      <c r="T132" s="958" t="str">
        <f t="shared" si="239"/>
        <v/>
      </c>
      <c r="U132" s="959" t="str">
        <f>IF(P132=0,"",IF(P132&lt;Paramétrage!$S$12,"PB",IF(AND(Q132&lt;Paramétrage!$S$12,Q132&lt;&gt;0),"PB","")))</f>
        <v/>
      </c>
      <c r="V132" s="959" t="str">
        <f t="shared" si="226"/>
        <v/>
      </c>
      <c r="W132" s="959" t="str">
        <f t="shared" si="227"/>
        <v/>
      </c>
      <c r="X132" s="960" t="str">
        <f t="shared" ref="X132" si="241">IF(AND(N132=0,O132=0),"",(IF(OR(C132="aa",C132="cp",C132="f",C132="jc",C132="m"),"",IF(C132="",IF(OR(D132-B132&gt;6/24,H132-F132&gt;6/24,L132-J132&gt;6/24),"PB",""),IF(OR(E132-C132&gt;6/24,I132-G132&gt;6/24,M132-K132&gt;6/24),"PB","")))))</f>
        <v/>
      </c>
      <c r="Y132" s="959" t="str">
        <f t="shared" si="229"/>
        <v/>
      </c>
      <c r="Z132" s="836"/>
      <c r="AA132" s="837"/>
      <c r="AB132" s="967"/>
      <c r="AC132" s="934">
        <f t="shared" si="231"/>
        <v>42779</v>
      </c>
      <c r="AD132" s="961">
        <f>IF(AND(N(AC132)&gt;=Paramétrage!$AU$11,N(AC132)&lt;=Paramétrage!$AU$12),IF(C132="cp",1,0),0)</f>
        <v>0</v>
      </c>
      <c r="AE132" s="962">
        <f t="shared" si="230"/>
        <v>0</v>
      </c>
      <c r="AF132" s="961">
        <f>IF(AND(N(AC132)&gt;=Paramétrage!$AX$11,N(AC132)&lt;=Paramétrage!$AX$12),IF(C132="cp",1,0),0)</f>
        <v>0</v>
      </c>
      <c r="AG132" s="962">
        <f t="shared" si="232"/>
        <v>0</v>
      </c>
      <c r="AI132" s="962">
        <f t="shared" si="233"/>
        <v>0</v>
      </c>
      <c r="AJ132" s="962">
        <f t="shared" si="234"/>
        <v>0</v>
      </c>
      <c r="AM132" s="962"/>
      <c r="AN132" s="962"/>
      <c r="AO132" s="962"/>
      <c r="AP132" s="962"/>
    </row>
    <row r="133" spans="1:45" s="935" customFormat="1" x14ac:dyDescent="0.25">
      <c r="A133" s="969" t="s">
        <v>29</v>
      </c>
      <c r="B133" s="970"/>
      <c r="C133" s="970"/>
      <c r="D133" s="970"/>
      <c r="E133" s="970"/>
      <c r="F133" s="970"/>
      <c r="G133" s="970"/>
      <c r="H133" s="970"/>
      <c r="I133" s="970"/>
      <c r="J133" s="970"/>
      <c r="K133" s="971"/>
      <c r="L133" s="970"/>
      <c r="M133" s="970"/>
      <c r="N133" s="972">
        <f>SUM(N126:N132)</f>
        <v>0</v>
      </c>
      <c r="O133" s="972">
        <f>SUM(O126:O132)</f>
        <v>0</v>
      </c>
      <c r="P133" s="972">
        <f>SUM(P126:P132)</f>
        <v>0</v>
      </c>
      <c r="Q133" s="972">
        <f>SUM(Q126:Q132)</f>
        <v>0</v>
      </c>
      <c r="R133" s="972"/>
      <c r="S133" s="972"/>
      <c r="T133" s="973"/>
      <c r="U133" s="974"/>
      <c r="V133" s="975" t="str">
        <f>IF((O133*24)&gt;48,"PB","")</f>
        <v/>
      </c>
      <c r="W133" s="974"/>
      <c r="X133" s="974"/>
      <c r="Y133" s="974"/>
      <c r="Z133" s="1053" t="s">
        <v>59</v>
      </c>
      <c r="AA133" s="1055">
        <f>+O133-N133</f>
        <v>0</v>
      </c>
      <c r="AB133" s="967"/>
      <c r="AC133" s="934"/>
      <c r="AE133" s="917"/>
      <c r="AF133" s="917"/>
      <c r="AG133" s="917"/>
      <c r="AH133" s="917"/>
      <c r="AI133" s="917"/>
      <c r="AJ133" s="917"/>
      <c r="AK133" s="917"/>
      <c r="AL133" s="917"/>
      <c r="AM133" s="917"/>
      <c r="AN133" s="917"/>
      <c r="AO133" s="917"/>
      <c r="AP133" s="917"/>
      <c r="AR133" s="917"/>
      <c r="AS133" s="917"/>
    </row>
    <row r="134" spans="1:45" s="935" customFormat="1" x14ac:dyDescent="0.25">
      <c r="A134" s="969"/>
      <c r="B134" s="970"/>
      <c r="C134" s="970"/>
      <c r="D134" s="970"/>
      <c r="E134" s="970"/>
      <c r="F134" s="970"/>
      <c r="G134" s="970"/>
      <c r="H134" s="970"/>
      <c r="I134" s="970"/>
      <c r="J134" s="970"/>
      <c r="K134" s="971"/>
      <c r="L134" s="970"/>
      <c r="M134" s="970"/>
      <c r="N134" s="973"/>
      <c r="O134" s="973"/>
      <c r="P134" s="973"/>
      <c r="Q134" s="973"/>
      <c r="R134" s="973"/>
      <c r="S134" s="981"/>
      <c r="T134" s="973"/>
      <c r="U134" s="974"/>
      <c r="V134" s="978"/>
      <c r="W134" s="974"/>
      <c r="X134" s="974"/>
      <c r="Y134" s="974"/>
      <c r="Z134" s="1053"/>
      <c r="AA134" s="1055"/>
      <c r="AB134" s="917"/>
      <c r="AC134" s="934"/>
      <c r="AE134" s="917"/>
      <c r="AF134" s="917"/>
      <c r="AG134" s="917"/>
      <c r="AH134" s="917"/>
      <c r="AI134" s="917"/>
      <c r="AJ134" s="917"/>
      <c r="AK134" s="917"/>
      <c r="AL134" s="917"/>
      <c r="AM134" s="917"/>
      <c r="AN134" s="917"/>
      <c r="AO134" s="917"/>
      <c r="AP134" s="917"/>
      <c r="AR134" s="917"/>
      <c r="AS134" s="917"/>
    </row>
    <row r="135" spans="1:45" ht="16.5" x14ac:dyDescent="0.3">
      <c r="A135" s="927"/>
      <c r="B135" s="927"/>
      <c r="C135" s="927"/>
      <c r="D135" s="927"/>
      <c r="E135" s="927"/>
      <c r="F135" s="928">
        <f>+'T2'!F123:G123+7</f>
        <v>42780</v>
      </c>
      <c r="G135" s="928"/>
      <c r="H135" s="929" t="s">
        <v>58</v>
      </c>
      <c r="I135" s="928">
        <f>+F135+6</f>
        <v>42786</v>
      </c>
      <c r="J135" s="930"/>
      <c r="K135" s="927"/>
      <c r="L135" s="927"/>
      <c r="M135" s="927"/>
      <c r="N135" s="927"/>
      <c r="O135" s="927"/>
      <c r="P135" s="927"/>
      <c r="Q135" s="927"/>
      <c r="R135" s="927"/>
      <c r="S135" s="981"/>
      <c r="T135" s="927"/>
      <c r="U135" s="927"/>
      <c r="V135" s="927"/>
      <c r="W135" s="927"/>
      <c r="X135" s="927"/>
      <c r="Y135" s="927"/>
      <c r="Z135" s="1056"/>
      <c r="AA135" s="994"/>
      <c r="AB135" s="933"/>
      <c r="AC135" s="934"/>
    </row>
    <row r="136" spans="1:45" ht="14.45" customHeight="1" x14ac:dyDescent="0.35">
      <c r="A136" s="937"/>
      <c r="B136" s="938" t="s">
        <v>17</v>
      </c>
      <c r="C136" s="938"/>
      <c r="D136" s="938" t="s">
        <v>18</v>
      </c>
      <c r="E136" s="938"/>
      <c r="F136" s="938" t="s">
        <v>17</v>
      </c>
      <c r="G136" s="938"/>
      <c r="H136" s="938" t="s">
        <v>18</v>
      </c>
      <c r="I136" s="938"/>
      <c r="J136" s="938" t="s">
        <v>17</v>
      </c>
      <c r="K136" s="938"/>
      <c r="L136" s="938" t="s">
        <v>18</v>
      </c>
      <c r="M136" s="938"/>
      <c r="N136" s="939" t="s">
        <v>61</v>
      </c>
      <c r="O136" s="939" t="s">
        <v>62</v>
      </c>
      <c r="P136" s="939" t="s">
        <v>60</v>
      </c>
      <c r="Q136" s="939" t="s">
        <v>63</v>
      </c>
      <c r="R136" s="939" t="s">
        <v>64</v>
      </c>
      <c r="S136" s="940" t="s">
        <v>223</v>
      </c>
      <c r="T136" s="939" t="s">
        <v>70</v>
      </c>
      <c r="U136" s="941" t="s">
        <v>65</v>
      </c>
      <c r="V136" s="942"/>
      <c r="W136" s="942"/>
      <c r="X136" s="942"/>
      <c r="Y136" s="943"/>
      <c r="Z136" s="944" t="s">
        <v>22</v>
      </c>
      <c r="AA136" s="944"/>
      <c r="AB136" s="945"/>
      <c r="AC136" s="934"/>
    </row>
    <row r="137" spans="1:45" ht="29.45" customHeight="1" thickBot="1" x14ac:dyDescent="0.4">
      <c r="A137" s="937" t="str">
        <f>"S"&amp;WEEKNUM(F135,21)</f>
        <v>S7</v>
      </c>
      <c r="B137" s="949" t="s">
        <v>0</v>
      </c>
      <c r="C137" s="950" t="s">
        <v>1</v>
      </c>
      <c r="D137" s="949" t="s">
        <v>0</v>
      </c>
      <c r="E137" s="950" t="s">
        <v>1</v>
      </c>
      <c r="F137" s="949" t="s">
        <v>0</v>
      </c>
      <c r="G137" s="950" t="s">
        <v>1</v>
      </c>
      <c r="H137" s="949" t="s">
        <v>0</v>
      </c>
      <c r="I137" s="950" t="s">
        <v>1</v>
      </c>
      <c r="J137" s="949" t="s">
        <v>0</v>
      </c>
      <c r="K137" s="950" t="s">
        <v>1</v>
      </c>
      <c r="L137" s="949" t="s">
        <v>0</v>
      </c>
      <c r="M137" s="950" t="s">
        <v>1</v>
      </c>
      <c r="N137" s="951"/>
      <c r="O137" s="951"/>
      <c r="P137" s="951"/>
      <c r="Q137" s="951"/>
      <c r="R137" s="951"/>
      <c r="S137" s="951"/>
      <c r="T137" s="939"/>
      <c r="U137" s="952" t="s">
        <v>66</v>
      </c>
      <c r="V137" s="952" t="s">
        <v>67</v>
      </c>
      <c r="W137" s="952" t="s">
        <v>68</v>
      </c>
      <c r="X137" s="952" t="s">
        <v>137</v>
      </c>
      <c r="Y137" s="952" t="s">
        <v>69</v>
      </c>
      <c r="Z137" s="944"/>
      <c r="AA137" s="944"/>
      <c r="AB137" s="1057"/>
      <c r="AC137" s="934"/>
      <c r="AM137" s="917" t="s">
        <v>274</v>
      </c>
    </row>
    <row r="138" spans="1:45" ht="16.5" x14ac:dyDescent="0.3">
      <c r="A138" s="955" t="s">
        <v>12</v>
      </c>
      <c r="B138" s="15" t="b">
        <f>IF(Paramétrage!$O$42="",FALSE,Paramétrage!$O$42)</f>
        <v>0</v>
      </c>
      <c r="C138" s="263"/>
      <c r="D138" s="16" t="b">
        <f>IF(Paramétrage!$Q$42="",FALSE,Paramétrage!$Q$42)</f>
        <v>0</v>
      </c>
      <c r="E138" s="264"/>
      <c r="F138" s="15" t="b">
        <f>IF(Paramétrage!$R$42="",FALSE,Paramétrage!$R$42)</f>
        <v>0</v>
      </c>
      <c r="G138" s="264"/>
      <c r="H138" s="17" t="b">
        <f>IF(Paramétrage!$T$42="",FALSE,Paramétrage!$T$42)</f>
        <v>0</v>
      </c>
      <c r="I138" s="263"/>
      <c r="J138" s="127" t="b">
        <f>IF(Paramétrage!$U$42="",FALSE,Paramétrage!$U$42)</f>
        <v>0</v>
      </c>
      <c r="K138" s="263"/>
      <c r="L138" s="28" t="b">
        <f>IF(Paramétrage!$W$42="",FALSE,Paramétrage!$W$42)</f>
        <v>0</v>
      </c>
      <c r="M138" s="263"/>
      <c r="N138" s="956">
        <f t="shared" ref="N138:N140" si="242">IF(OR(B138="aa",B138="cp",B138="f",B138="jc",B138="m",B138="css"),0,(L138-J138)+(H138-F138)+(D138-B138))</f>
        <v>0</v>
      </c>
      <c r="O138" s="956">
        <f t="shared" ref="O138:O140" si="243">SUM(AM138:AP138)+IF(OR(C138="m",C138="aa"),N138,IF(C138="css",0,IF(C138="cp",0,IF(C138="jc",0,IF(C138="f",0,E138-C138+I138-G138+M138-K138)))))</f>
        <v>0</v>
      </c>
      <c r="P138" s="956">
        <f t="shared" ref="P138:P144" si="244">IF(OR(C138="aa",C138="cp",C138="f",C138="jc",C138="m",C138="css"),0,IF(C138="",IF(OR(F138="",F138=FALSE),0,F138-D138),IF(G138="",0,G138-E138)))</f>
        <v>0</v>
      </c>
      <c r="Q138" s="956">
        <f t="shared" ref="Q138:Q144" si="245">IF(P138=0,0,IF(G138="",IF(OR(J138="",J138=FALSE),0,J138-H138),IF(K138="",0,K138-I138)))</f>
        <v>0</v>
      </c>
      <c r="R138" s="957">
        <f t="shared" ref="R138:R140" si="246">IF(OR(C138="aa",C138="cp",C138="f",C138="jc",C138="m",C138="css"),0,IF(C138=0,MAX(B138,D138,F138,H138,J138,L138)-MIN(B138,D138,F138,H138,J138,L138),IF(C138&lt;&gt;0,MAX(C138,E138,G138,I138,K138,M138)-MIN(C138,E138,G138,I138,K138,M138))))</f>
        <v>0</v>
      </c>
      <c r="S138" s="262"/>
      <c r="T138" s="958" t="str">
        <f t="shared" ref="T138:T139" si="247">IF(AND(B138=FALSE,C138=""),"",IF(AND(B138=0,C138=0),"",(IF(OR(C138="cp",C138="f",C138="jc",C138="css"),"",IF(OR(C138="",C138="aa",C138="m"),(IF(OR(B138="cp",B138="f",B138="jc",B138="css"),"",B138*24+24-MAX(D137,H137,L137)*24)),C138*24+24-MAX(M137,I137,E137)*24)))))</f>
        <v/>
      </c>
      <c r="U138" s="959" t="str">
        <f>IF(P138=0,"",IF(P138&lt;Paramétrage!$S$12,"PB",IF(AND(Q138&lt;Paramétrage!$S$12,Q138&lt;&gt;0),"PB","")))</f>
        <v/>
      </c>
      <c r="V138" s="959" t="str">
        <f t="shared" ref="V138:V144" si="248">IF(C138="",IF((N138*24)&gt;10,"PB",""),IF((O138*24)&gt;10,"PB",""))</f>
        <v/>
      </c>
      <c r="W138" s="959" t="str">
        <f t="shared" ref="W138:W144" si="249">IF((R138*24)&gt;12,"PB","")</f>
        <v/>
      </c>
      <c r="X138" s="960" t="str">
        <f t="shared" ref="X138:X140" si="250">IF(AND(N138=0,O138=0),"",(IF(OR(C138="aa",C138="cp",C138="f",C138="jc",C138="m",C138="css"),"",IF(C138="",IF(OR(D138-B138&gt;6/24,H138-F138&gt;6/24,L138-J138&gt;6/24),"PB",""),IF(OR(E138-C138&gt;6/24,I138-G138&gt;6/24,M138-K138&gt;6/24),"PB","")))))</f>
        <v/>
      </c>
      <c r="Y138" s="959" t="str">
        <f t="shared" ref="Y138:Y144" si="251">IF(T138="","",IF(T138&lt;11,"PB",""))</f>
        <v/>
      </c>
      <c r="Z138" s="836"/>
      <c r="AA138" s="837"/>
      <c r="AB138" s="953"/>
      <c r="AC138" s="934">
        <f>AC132+1</f>
        <v>42780</v>
      </c>
      <c r="AD138" s="961">
        <f>IF(AND(N(AC138)&gt;=Paramétrage!$AU$11,N(AC138)&lt;=Paramétrage!$AU$12),IF(C138="cp",1,0),0)</f>
        <v>0</v>
      </c>
      <c r="AE138" s="962">
        <f t="shared" ref="AE138:AE144" si="252">IF(O138&lt;&gt;"erreur",N138,O138)</f>
        <v>0</v>
      </c>
      <c r="AF138" s="961">
        <f>IF(AND(N(AC138)&gt;=Paramétrage!$AX$11,N(AC138)&lt;=Paramétrage!$AX$12),IF(C138="cp",1,0),0)</f>
        <v>0</v>
      </c>
      <c r="AG138" s="962">
        <f t="shared" ref="AG138:AG144" si="253">O138</f>
        <v>0</v>
      </c>
      <c r="AI138" s="962">
        <f>AE138+AI132</f>
        <v>0</v>
      </c>
      <c r="AJ138" s="962">
        <f>AG138+AJ132</f>
        <v>0</v>
      </c>
      <c r="AM138" s="962">
        <f>IF(AND($B138="cp",$C138="m"),$Z138,0)</f>
        <v>0</v>
      </c>
      <c r="AN138" s="962">
        <f>IF(AND($B138="jc",$C138="m"),$Z138,0)</f>
        <v>0</v>
      </c>
      <c r="AO138" s="962">
        <f>IF(AND($B138="cp",$C138="aa"),$Z138,0)</f>
        <v>0</v>
      </c>
      <c r="AP138" s="962">
        <f>IF(AND($B138="jc",$C138="aa"),$Z138,0)</f>
        <v>0</v>
      </c>
      <c r="AR138" s="917">
        <f>IF(AND(AC138&lt;=$AR$3,B138="CP"),1,0)</f>
        <v>0</v>
      </c>
      <c r="AS138" s="917">
        <f>IF(AND(AC138&lt;=$AR$3,C138="CP"),1,0)</f>
        <v>0</v>
      </c>
    </row>
    <row r="139" spans="1:45" ht="16.5" x14ac:dyDescent="0.3">
      <c r="A139" s="964" t="s">
        <v>13</v>
      </c>
      <c r="B139" s="15" t="b">
        <f>IF(Paramétrage!$O$43="",FALSE,Paramétrage!$O$43)</f>
        <v>0</v>
      </c>
      <c r="C139" s="263"/>
      <c r="D139" s="16" t="b">
        <f>IF(Paramétrage!$Q$43="",FALSE,Paramétrage!$Q$43)</f>
        <v>0</v>
      </c>
      <c r="E139" s="264"/>
      <c r="F139" s="15" t="b">
        <f>IF(Paramétrage!$R$43="",FALSE,Paramétrage!$R$43)</f>
        <v>0</v>
      </c>
      <c r="G139" s="264"/>
      <c r="H139" s="17" t="b">
        <f>IF(Paramétrage!$T$43="",FALSE,Paramétrage!$T$43)</f>
        <v>0</v>
      </c>
      <c r="I139" s="263"/>
      <c r="J139" s="127" t="b">
        <f>IF(Paramétrage!$U$43="",FALSE,Paramétrage!$U$43)</f>
        <v>0</v>
      </c>
      <c r="K139" s="263"/>
      <c r="L139" s="28" t="b">
        <f>IF(Paramétrage!$W$43="",FALSE,Paramétrage!$W$43)</f>
        <v>0</v>
      </c>
      <c r="M139" s="263"/>
      <c r="N139" s="956">
        <f t="shared" si="242"/>
        <v>0</v>
      </c>
      <c r="O139" s="956">
        <f t="shared" si="243"/>
        <v>0</v>
      </c>
      <c r="P139" s="956">
        <f t="shared" si="244"/>
        <v>0</v>
      </c>
      <c r="Q139" s="956">
        <f t="shared" si="245"/>
        <v>0</v>
      </c>
      <c r="R139" s="957">
        <f t="shared" si="246"/>
        <v>0</v>
      </c>
      <c r="S139" s="262"/>
      <c r="T139" s="958" t="str">
        <f t="shared" si="247"/>
        <v/>
      </c>
      <c r="U139" s="959" t="str">
        <f>IF(P139=0,"",IF(P139&lt;Paramétrage!$S$12,"PB",IF(AND(Q139&lt;Paramétrage!$S$12,Q139&lt;&gt;0),"PB","")))</f>
        <v/>
      </c>
      <c r="V139" s="959" t="str">
        <f t="shared" si="248"/>
        <v/>
      </c>
      <c r="W139" s="959" t="str">
        <f t="shared" si="249"/>
        <v/>
      </c>
      <c r="X139" s="960" t="str">
        <f t="shared" si="250"/>
        <v/>
      </c>
      <c r="Y139" s="959" t="str">
        <f t="shared" si="251"/>
        <v/>
      </c>
      <c r="Z139" s="836"/>
      <c r="AA139" s="837"/>
      <c r="AB139" s="953"/>
      <c r="AC139" s="934">
        <f t="shared" ref="AC139:AC144" si="254">AC138+1</f>
        <v>42781</v>
      </c>
      <c r="AD139" s="961">
        <f>IF(AND(N(AC139)&gt;=Paramétrage!$AU$11,N(AC139)&lt;=Paramétrage!$AU$12),IF(C139="cp",1,0),0)</f>
        <v>0</v>
      </c>
      <c r="AE139" s="962">
        <f t="shared" si="252"/>
        <v>0</v>
      </c>
      <c r="AF139" s="961">
        <f>IF(AND(N(AC139)&gt;=Paramétrage!$AX$11,N(AC139)&lt;=Paramétrage!$AX$12),IF(C139="cp",1,0),0)</f>
        <v>0</v>
      </c>
      <c r="AG139" s="962">
        <f t="shared" si="253"/>
        <v>0</v>
      </c>
      <c r="AI139" s="962">
        <f t="shared" ref="AI139:AI144" si="255">AE139+AI138</f>
        <v>0</v>
      </c>
      <c r="AJ139" s="962">
        <f t="shared" ref="AJ139:AJ144" si="256">AG139+AJ138</f>
        <v>0</v>
      </c>
      <c r="AM139" s="962">
        <f t="shared" ref="AM139:AM142" si="257">IF(AND($B139="cp",$C139="m"),$Z139,0)</f>
        <v>0</v>
      </c>
      <c r="AN139" s="962">
        <f t="shared" ref="AN139:AN142" si="258">IF(AND($B139="jc",$C139="m"),$Z139,0)</f>
        <v>0</v>
      </c>
      <c r="AO139" s="962">
        <f t="shared" ref="AO139:AO142" si="259">IF(AND($B139="cp",$C139="aa"),$Z139,0)</f>
        <v>0</v>
      </c>
      <c r="AP139" s="962">
        <f t="shared" ref="AP139:AP142" si="260">IF(AND($B139="jc",$C139="aa"),$Z139,0)</f>
        <v>0</v>
      </c>
      <c r="AR139" s="917">
        <f>IF(AND(AC139&lt;=$AR$3,B139="CP"),1,0)</f>
        <v>0</v>
      </c>
      <c r="AS139" s="917">
        <f>IF(AND(AC139&lt;=$AR$3,C139="CP"),1,0)</f>
        <v>0</v>
      </c>
    </row>
    <row r="140" spans="1:45" ht="16.5" x14ac:dyDescent="0.3">
      <c r="A140" s="964" t="s">
        <v>14</v>
      </c>
      <c r="B140" s="15" t="b">
        <f>IF(Paramétrage!$O$44="",FALSE,Paramétrage!$O$44)</f>
        <v>0</v>
      </c>
      <c r="C140" s="263"/>
      <c r="D140" s="16" t="b">
        <f>IF(Paramétrage!$Q$44="",FALSE,Paramétrage!$Q$44)</f>
        <v>0</v>
      </c>
      <c r="E140" s="264"/>
      <c r="F140" s="15" t="b">
        <f>IF(Paramétrage!$R$44="",FALSE,Paramétrage!$R$44)</f>
        <v>0</v>
      </c>
      <c r="G140" s="264"/>
      <c r="H140" s="17" t="b">
        <f>IF(Paramétrage!$T$44="",FALSE,Paramétrage!$T$44)</f>
        <v>0</v>
      </c>
      <c r="I140" s="263"/>
      <c r="J140" s="127" t="b">
        <f>IF(Paramétrage!$U$44="",FALSE,Paramétrage!$U$44)</f>
        <v>0</v>
      </c>
      <c r="K140" s="263"/>
      <c r="L140" s="28" t="b">
        <f>IF(Paramétrage!$W$44="",FALSE,Paramétrage!$W$44)</f>
        <v>0</v>
      </c>
      <c r="M140" s="263"/>
      <c r="N140" s="956">
        <f t="shared" si="242"/>
        <v>0</v>
      </c>
      <c r="O140" s="956">
        <f t="shared" si="243"/>
        <v>0</v>
      </c>
      <c r="P140" s="956">
        <f t="shared" si="244"/>
        <v>0</v>
      </c>
      <c r="Q140" s="956">
        <f t="shared" si="245"/>
        <v>0</v>
      </c>
      <c r="R140" s="957">
        <f t="shared" si="246"/>
        <v>0</v>
      </c>
      <c r="S140" s="262"/>
      <c r="T140" s="958" t="str">
        <f>IF(AND(B140=FALSE,C140=""),"",IF(AND(B140=0,C140=0),"",(IF(OR(C140="cp",C140="f",C140="jc",C140="css"),"",IF(OR(C140="",C140="aa",C140="m"),(IF(OR(B140="cp",B140="f",B140="jc",B140="css"),"",B140*24+24-MAX(D139,H139,L139)*24)),C140*24+24-MAX(M139,I139,E139)*24)))))</f>
        <v/>
      </c>
      <c r="U140" s="959" t="str">
        <f>IF(P140=0,"",IF(P140&lt;Paramétrage!$S$12,"PB",IF(AND(Q140&lt;Paramétrage!$S$12,Q140&lt;&gt;0),"PB","")))</f>
        <v/>
      </c>
      <c r="V140" s="959" t="str">
        <f t="shared" si="248"/>
        <v/>
      </c>
      <c r="W140" s="959" t="str">
        <f t="shared" si="249"/>
        <v/>
      </c>
      <c r="X140" s="960" t="str">
        <f t="shared" si="250"/>
        <v/>
      </c>
      <c r="Y140" s="959" t="str">
        <f t="shared" si="251"/>
        <v/>
      </c>
      <c r="Z140" s="836"/>
      <c r="AA140" s="837"/>
      <c r="AB140" s="953"/>
      <c r="AC140" s="934">
        <f t="shared" si="254"/>
        <v>42782</v>
      </c>
      <c r="AD140" s="961">
        <f>IF(AND(N(AC140)&gt;=Paramétrage!$AU$11,N(AC140)&lt;=Paramétrage!$AU$12),IF(C140="cp",1,0),0)</f>
        <v>0</v>
      </c>
      <c r="AE140" s="962">
        <f t="shared" si="252"/>
        <v>0</v>
      </c>
      <c r="AF140" s="961">
        <f>IF(AND(N(AC140)&gt;=Paramétrage!$AX$11,N(AC140)&lt;=Paramétrage!$AX$12),IF(C140="cp",1,0),0)</f>
        <v>0</v>
      </c>
      <c r="AG140" s="962">
        <f t="shared" si="253"/>
        <v>0</v>
      </c>
      <c r="AI140" s="962">
        <f t="shared" si="255"/>
        <v>0</v>
      </c>
      <c r="AJ140" s="962">
        <f t="shared" si="256"/>
        <v>0</v>
      </c>
      <c r="AM140" s="962">
        <f t="shared" si="257"/>
        <v>0</v>
      </c>
      <c r="AN140" s="962">
        <f t="shared" si="258"/>
        <v>0</v>
      </c>
      <c r="AO140" s="962">
        <f t="shared" si="259"/>
        <v>0</v>
      </c>
      <c r="AP140" s="962">
        <f t="shared" si="260"/>
        <v>0</v>
      </c>
      <c r="AR140" s="917">
        <f>IF(AND(AC140&lt;=$AR$3,B140="CP"),1,0)</f>
        <v>0</v>
      </c>
      <c r="AS140" s="917">
        <f>IF(AND(AC140&lt;=$AR$3,C140="CP"),1,0)</f>
        <v>0</v>
      </c>
    </row>
    <row r="141" spans="1:45" ht="16.5" x14ac:dyDescent="0.3">
      <c r="A141" s="964" t="s">
        <v>15</v>
      </c>
      <c r="B141" s="15" t="b">
        <f>IF(Paramétrage!$O$45="",FALSE,Paramétrage!$O$45)</f>
        <v>0</v>
      </c>
      <c r="C141" s="263"/>
      <c r="D141" s="16" t="b">
        <f>IF(Paramétrage!$Q$45="",FALSE,Paramétrage!$Q$45)</f>
        <v>0</v>
      </c>
      <c r="E141" s="264"/>
      <c r="F141" s="15" t="b">
        <f>IF(Paramétrage!$R$45="",FALSE,Paramétrage!$R$45)</f>
        <v>0</v>
      </c>
      <c r="G141" s="264"/>
      <c r="H141" s="17" t="b">
        <f>IF(Paramétrage!$T$45="",FALSE,Paramétrage!$T$45)</f>
        <v>0</v>
      </c>
      <c r="I141" s="263"/>
      <c r="J141" s="127" t="b">
        <f>IF(Paramétrage!$U$45="",FALSE,Paramétrage!$U$45)</f>
        <v>0</v>
      </c>
      <c r="K141" s="263"/>
      <c r="L141" s="28" t="b">
        <f>IF(Paramétrage!$W$45="",FALSE,Paramétrage!$W$45)</f>
        <v>0</v>
      </c>
      <c r="M141" s="263"/>
      <c r="N141" s="956">
        <f>IF(OR(B141="aa",B141="cp",B141="f",B141="jc",B141="m",B141="css"),0,(L141-J141)+(H141-F141)+(D141-B141))</f>
        <v>0</v>
      </c>
      <c r="O141" s="956">
        <f>SUM(AM141:AP141)+IF(OR(C141="m",C141="aa"),N141,IF(C141="css",0,IF(C141="cp",0,IF(C141="jc",0,IF(C141="f",0,E141-C141+I141-G141+M141-K141)))))</f>
        <v>0</v>
      </c>
      <c r="P141" s="956">
        <f t="shared" si="244"/>
        <v>0</v>
      </c>
      <c r="Q141" s="956">
        <f t="shared" si="245"/>
        <v>0</v>
      </c>
      <c r="R141" s="957">
        <f>IF(OR(C141="aa",C141="cp",C141="f",C141="jc",C141="m",C141="css"),0,IF(C141=0,MAX(B141,D141,F141,H141,J141,L141)-MIN(B141,D141,F141,H141,J141,L141),IF(C141&lt;&gt;0,MAX(C141,E141,G141,I141,K141,M141)-MIN(C141,E141,G141,I141,K141,M141))))</f>
        <v>0</v>
      </c>
      <c r="S141" s="262"/>
      <c r="T141" s="958" t="str">
        <f t="shared" ref="T141:T144" si="261">IF(AND(B141=FALSE,C141=""),"",IF(AND(B141=0,C141=0),"",(IF(OR(C141="cp",C141="f",C141="jc",C141="css"),"",IF(OR(C141="",C141="aa",C141="m"),(IF(OR(B141="cp",B141="f",B141="jc",B141="css"),"",B141*24+24-MAX(D140,H140,L140)*24)),C141*24+24-MAX(M140,I140,E140)*24)))))</f>
        <v/>
      </c>
      <c r="U141" s="959" t="str">
        <f>IF(P141=0,"",IF(P141&lt;Paramétrage!$S$12,"PB",IF(AND(Q141&lt;Paramétrage!$S$12,Q141&lt;&gt;0),"PB","")))</f>
        <v/>
      </c>
      <c r="V141" s="959" t="str">
        <f t="shared" si="248"/>
        <v/>
      </c>
      <c r="W141" s="959" t="str">
        <f t="shared" si="249"/>
        <v/>
      </c>
      <c r="X141" s="960" t="str">
        <f>IF(AND(N141=0,O141=0),"",(IF(OR(C141="aa",C141="cp",C141="f",C141="jc",C141="m",C141="css"),"",IF(C141="",IF(OR(D141-B141&gt;6/24,H141-F141&gt;6/24,L141-J141&gt;6/24),"PB",""),IF(OR(E141-C141&gt;6/24,I141-G141&gt;6/24,M141-K141&gt;6/24),"PB","")))))</f>
        <v/>
      </c>
      <c r="Y141" s="959" t="str">
        <f t="shared" si="251"/>
        <v/>
      </c>
      <c r="Z141" s="836"/>
      <c r="AA141" s="837"/>
      <c r="AB141" s="953"/>
      <c r="AC141" s="934">
        <f t="shared" si="254"/>
        <v>42783</v>
      </c>
      <c r="AD141" s="961">
        <f>IF(AND(N(AC141)&gt;=Paramétrage!$AU$11,N(AC141)&lt;=Paramétrage!$AU$12),IF(C141="cp",1,0),0)</f>
        <v>0</v>
      </c>
      <c r="AE141" s="962">
        <f t="shared" si="252"/>
        <v>0</v>
      </c>
      <c r="AF141" s="961">
        <f>IF(AND(N(AC141)&gt;=Paramétrage!$AX$11,N(AC141)&lt;=Paramétrage!$AX$12),IF(C141="cp",1,0),0)</f>
        <v>0</v>
      </c>
      <c r="AG141" s="962">
        <f t="shared" si="253"/>
        <v>0</v>
      </c>
      <c r="AI141" s="962">
        <f t="shared" si="255"/>
        <v>0</v>
      </c>
      <c r="AJ141" s="962">
        <f t="shared" si="256"/>
        <v>0</v>
      </c>
      <c r="AM141" s="962">
        <f t="shared" si="257"/>
        <v>0</v>
      </c>
      <c r="AN141" s="962">
        <f t="shared" si="258"/>
        <v>0</v>
      </c>
      <c r="AO141" s="962">
        <f t="shared" si="259"/>
        <v>0</v>
      </c>
      <c r="AP141" s="962">
        <f t="shared" si="260"/>
        <v>0</v>
      </c>
      <c r="AR141" s="917">
        <f>IF(AND(AC141&lt;=$AR$3,B141="CP"),1,0)</f>
        <v>0</v>
      </c>
      <c r="AS141" s="917">
        <f>IF(AND(AC141&lt;=$AR$3,C141="CP"),1,0)</f>
        <v>0</v>
      </c>
    </row>
    <row r="142" spans="1:45" ht="16.5" x14ac:dyDescent="0.3">
      <c r="A142" s="964" t="s">
        <v>16</v>
      </c>
      <c r="B142" s="15" t="b">
        <f>IF(Paramétrage!$O$46="",FALSE,Paramétrage!$O$46)</f>
        <v>0</v>
      </c>
      <c r="C142" s="263"/>
      <c r="D142" s="16" t="b">
        <f>IF(Paramétrage!$Q$46="",FALSE,Paramétrage!$Q$46)</f>
        <v>0</v>
      </c>
      <c r="E142" s="264"/>
      <c r="F142" s="15" t="b">
        <f>IF(Paramétrage!$R$46="",FALSE,Paramétrage!$R$46)</f>
        <v>0</v>
      </c>
      <c r="G142" s="264"/>
      <c r="H142" s="17" t="b">
        <f>IF(Paramétrage!$T$46="",FALSE,Paramétrage!$T$46)</f>
        <v>0</v>
      </c>
      <c r="I142" s="263"/>
      <c r="J142" s="127" t="b">
        <f>IF(Paramétrage!$U$46="",FALSE,Paramétrage!$U$46)</f>
        <v>0</v>
      </c>
      <c r="K142" s="263"/>
      <c r="L142" s="28" t="b">
        <f>IF(Paramétrage!$W$46="",FALSE,Paramétrage!$W$46)</f>
        <v>0</v>
      </c>
      <c r="M142" s="263"/>
      <c r="N142" s="956">
        <f>IF(OR(B142="aa",B142="cp",B142="f",B142="jc",B142="m",B142="css"),0,(L142-J142)+(H142-F142)+(D142-B142))</f>
        <v>0</v>
      </c>
      <c r="O142" s="956">
        <f>SUM(AM142:AP142)+IF(OR(C142="m",C142="aa"),N142,IF(C142="css",0,IF(C142="cp",0,IF(C142="jc",0,IF(C142="f",0,E142-C142+I142-G142+M142-K142)))))</f>
        <v>0</v>
      </c>
      <c r="P142" s="956">
        <f t="shared" si="244"/>
        <v>0</v>
      </c>
      <c r="Q142" s="956">
        <f t="shared" si="245"/>
        <v>0</v>
      </c>
      <c r="R142" s="957">
        <f>IF(OR(C142="aa",C142="cp",C142="f",C142="jc",C142="m",C142="css"),0,IF(C142=0,MAX(B142,D142,F142,H142,J142,L142)-MIN(B142,D142,F142,H142,J142,L142),IF(C142&lt;&gt;0,MAX(C142,E142,G142,I142,K142,M142)-MIN(C142,E142,G142,I142,K142,M142))))</f>
        <v>0</v>
      </c>
      <c r="S142" s="262"/>
      <c r="T142" s="958" t="str">
        <f t="shared" si="261"/>
        <v/>
      </c>
      <c r="U142" s="959" t="str">
        <f>IF(P142=0,"",IF(P142&lt;Paramétrage!$S$12,"PB",IF(AND(Q142&lt;Paramétrage!$S$12,Q142&lt;&gt;0),"PB","")))</f>
        <v/>
      </c>
      <c r="V142" s="959" t="str">
        <f t="shared" si="248"/>
        <v/>
      </c>
      <c r="W142" s="959" t="str">
        <f t="shared" si="249"/>
        <v/>
      </c>
      <c r="X142" s="960" t="str">
        <f>IF(AND(N142=0,O142=0),"",(IF(OR(C142="aa",C142="cp",C142="f",C142="jc",C142="m",C142="css"),"",IF(C142="",IF(OR(D142-B142&gt;6/24,H142-F142&gt;6/24,L142-J142&gt;6/24),"PB",""),IF(OR(E142-C142&gt;6/24,I142-G142&gt;6/24,M142-K142&gt;6/24),"PB","")))))</f>
        <v/>
      </c>
      <c r="Y142" s="959" t="str">
        <f t="shared" si="251"/>
        <v/>
      </c>
      <c r="Z142" s="836"/>
      <c r="AA142" s="837"/>
      <c r="AB142" s="953"/>
      <c r="AC142" s="934">
        <f t="shared" si="254"/>
        <v>42784</v>
      </c>
      <c r="AD142" s="961">
        <f>IF(AND(N(AC142)&gt;=Paramétrage!$AU$11,N(AC142)&lt;=Paramétrage!$AU$12),IF(C142="cp",1,0),0)</f>
        <v>0</v>
      </c>
      <c r="AE142" s="962">
        <f t="shared" si="252"/>
        <v>0</v>
      </c>
      <c r="AF142" s="961">
        <f>IF(AND(N(AC142)&gt;=Paramétrage!$AX$11,N(AC142)&lt;=Paramétrage!$AX$12),IF(C142="cp",1,0),0)</f>
        <v>0</v>
      </c>
      <c r="AG142" s="962">
        <f t="shared" si="253"/>
        <v>0</v>
      </c>
      <c r="AI142" s="962">
        <f t="shared" si="255"/>
        <v>0</v>
      </c>
      <c r="AJ142" s="962">
        <f t="shared" si="256"/>
        <v>0</v>
      </c>
      <c r="AM142" s="962">
        <f t="shared" si="257"/>
        <v>0</v>
      </c>
      <c r="AN142" s="962">
        <f t="shared" si="258"/>
        <v>0</v>
      </c>
      <c r="AO142" s="962">
        <f t="shared" si="259"/>
        <v>0</v>
      </c>
      <c r="AP142" s="962">
        <f t="shared" si="260"/>
        <v>0</v>
      </c>
      <c r="AR142" s="917">
        <f>IF(AND(AC142&lt;=$AR$3,B142="CP"),1,0)</f>
        <v>0</v>
      </c>
      <c r="AS142" s="917">
        <f>IF(AND(AC142&lt;=$AR$3,C142="CP"),1,0)</f>
        <v>0</v>
      </c>
    </row>
    <row r="143" spans="1:45" ht="16.5" x14ac:dyDescent="0.3">
      <c r="A143" s="964" t="s">
        <v>19</v>
      </c>
      <c r="B143" s="15" t="b">
        <f>IF(Paramétrage!$O$47="",FALSE,Paramétrage!$O$47)</f>
        <v>0</v>
      </c>
      <c r="C143" s="263"/>
      <c r="D143" s="16" t="b">
        <f>IF(Paramétrage!$Q$47="",FALSE,Paramétrage!$Q$47)</f>
        <v>0</v>
      </c>
      <c r="E143" s="264"/>
      <c r="F143" s="15" t="b">
        <f>IF(Paramétrage!$R$47="",FALSE,Paramétrage!$R$47)</f>
        <v>0</v>
      </c>
      <c r="G143" s="264"/>
      <c r="H143" s="17" t="b">
        <f>IF(Paramétrage!$T$47="",FALSE,Paramétrage!$T$47)</f>
        <v>0</v>
      </c>
      <c r="I143" s="263"/>
      <c r="J143" s="127" t="b">
        <f>IF(Paramétrage!$U$47="",FALSE,Paramétrage!$U$47)</f>
        <v>0</v>
      </c>
      <c r="K143" s="263"/>
      <c r="L143" s="28" t="b">
        <f>IF(Paramétrage!$W$47="",FALSE,Paramétrage!$W$47)</f>
        <v>0</v>
      </c>
      <c r="M143" s="263"/>
      <c r="N143" s="956">
        <f>IF(OR(B143="aa",B143="cp",B143="f",B143="jc",B143="m",B143="css"),0,(L143-J143)+(H143-F143)+(D143-B143))</f>
        <v>0</v>
      </c>
      <c r="O143" s="956">
        <f>IF(OR(C143="m",C143="aa"),N143,IF(C143="cp",0,IF(OR(C143="css",C143="jc"),0,IF(C143="f",0,E143-C143+I143-G143+M143-K143))))</f>
        <v>0</v>
      </c>
      <c r="P143" s="956">
        <f t="shared" si="244"/>
        <v>0</v>
      </c>
      <c r="Q143" s="956">
        <f t="shared" si="245"/>
        <v>0</v>
      </c>
      <c r="R143" s="957">
        <f>IF(OR(C143="aa",C143="cp",C143="f",C143="jc",C143="m",C143="css"),0,IF(C143=0,MAX(B143,D143,F143,H143,J143,L143)-MIN(B143,D143,F143,H143,J143,L143),IF(C143&lt;&gt;0,MAX(C143,E143,G143,I143,K143,M143)-MIN(C143,E143,G143,I143,K143,M143))))</f>
        <v>0</v>
      </c>
      <c r="S143" s="262"/>
      <c r="T143" s="958" t="str">
        <f t="shared" si="261"/>
        <v/>
      </c>
      <c r="U143" s="959" t="str">
        <f>IF(P143=0,"",IF(P143&lt;Paramétrage!$S$12,"PB",IF(AND(Q143&lt;Paramétrage!$S$12,Q143&lt;&gt;0),"PB","")))</f>
        <v/>
      </c>
      <c r="V143" s="959" t="str">
        <f t="shared" si="248"/>
        <v/>
      </c>
      <c r="W143" s="959" t="str">
        <f t="shared" si="249"/>
        <v/>
      </c>
      <c r="X143" s="960" t="str">
        <f>IF(AND(N143=0,O143=0),"",(IF(OR(C143="aa",C143="cp",C143="f",C143="jc",C143="m",C143="css"),"",IF(C143="",IF(OR(D143-B143&gt;6/24,H143-F143&gt;6/24,L143-J143&gt;6/24),"PB",""),IF(OR(E143-C143&gt;6/24,I143-G143&gt;6/24,M143-K143&gt;6/24),"PB","")))))</f>
        <v/>
      </c>
      <c r="Y143" s="959" t="str">
        <f t="shared" si="251"/>
        <v/>
      </c>
      <c r="Z143" s="836"/>
      <c r="AA143" s="837"/>
      <c r="AB143" s="953"/>
      <c r="AC143" s="934">
        <f t="shared" si="254"/>
        <v>42785</v>
      </c>
      <c r="AD143" s="961">
        <f>IF(AND(N(AC143)&gt;=Paramétrage!$AU$11,N(AC143)&lt;=Paramétrage!$AU$12),IF(C143="cp",1,0),0)</f>
        <v>0</v>
      </c>
      <c r="AE143" s="962">
        <f t="shared" si="252"/>
        <v>0</v>
      </c>
      <c r="AF143" s="961">
        <f>IF(AND(N(AC143)&gt;=Paramétrage!$AX$11,N(AC143)&lt;=Paramétrage!$AX$12),IF(C143="cp",1,0),0)</f>
        <v>0</v>
      </c>
      <c r="AG143" s="962">
        <f t="shared" si="253"/>
        <v>0</v>
      </c>
      <c r="AI143" s="962">
        <f t="shared" si="255"/>
        <v>0</v>
      </c>
      <c r="AJ143" s="962">
        <f t="shared" si="256"/>
        <v>0</v>
      </c>
      <c r="AM143" s="962"/>
      <c r="AN143" s="962"/>
      <c r="AO143" s="962"/>
      <c r="AP143" s="962"/>
    </row>
    <row r="144" spans="1:45" ht="17.25" thickBot="1" x14ac:dyDescent="0.35">
      <c r="A144" s="966" t="s">
        <v>20</v>
      </c>
      <c r="B144" s="15" t="b">
        <f>IF(Paramétrage!$O$48="",FALSE,Paramétrage!$O$48)</f>
        <v>0</v>
      </c>
      <c r="C144" s="263"/>
      <c r="D144" s="16" t="b">
        <f>IF(Paramétrage!$Q$48="",FALSE,Paramétrage!$Q$48)</f>
        <v>0</v>
      </c>
      <c r="E144" s="264"/>
      <c r="F144" s="15" t="b">
        <f>IF(Paramétrage!$R$48="",FALSE,Paramétrage!$R$48)</f>
        <v>0</v>
      </c>
      <c r="G144" s="264"/>
      <c r="H144" s="17" t="b">
        <f>IF(Paramétrage!$T$48="",FALSE,Paramétrage!$T$48)</f>
        <v>0</v>
      </c>
      <c r="I144" s="263"/>
      <c r="J144" s="127" t="b">
        <f>IF(Paramétrage!$U$48="",FALSE,Paramétrage!$U$48)</f>
        <v>0</v>
      </c>
      <c r="K144" s="263"/>
      <c r="L144" s="28" t="b">
        <f>IF(Paramétrage!$W$48="",FALSE,Paramétrage!$W$48)</f>
        <v>0</v>
      </c>
      <c r="M144" s="263"/>
      <c r="N144" s="956">
        <f>IF(OR(B144="aa",B144="m"),M144,IF(B144="cp",0,IF(B144="jc",0,IF(B144="f",0,(D144-B144)*Paramétrage!$S$13+(H144-F144)*Paramétrage!$S$13+(L144-J144)*Paramétrage!$S$13+(D144-B144+H144-F144+L144-J144)))))</f>
        <v>0</v>
      </c>
      <c r="O144" s="956">
        <f>IF(OR(C144="aa",C144="m"),N144,IF(C144="cp",0,IF(C144="jc",0,IF(C144="f",0,(E144-C144)*Paramétrage!$S$13+(I144-G144)*Paramétrage!$S$13+(M144-K144)*Paramétrage!$S$13+(E144-C144+I144-G144+M144-K144)))))</f>
        <v>0</v>
      </c>
      <c r="P144" s="956">
        <f t="shared" si="244"/>
        <v>0</v>
      </c>
      <c r="Q144" s="956">
        <f t="shared" si="245"/>
        <v>0</v>
      </c>
      <c r="R144" s="957">
        <f t="shared" ref="R144" si="262">IF(OR(C144="aa",C144="cp",C144="f",C144="jc",C144="m",C144=0),MAX(B144,D144,F144,H144,J144,L144)-MIN(B144,D144,F144,H144,J144,L144),IF(C144&lt;&gt;0,MAX(C144,E144,G144,I144,K144,M144)-MIN(C144,E144,G144,I144,K144,M144)))</f>
        <v>0</v>
      </c>
      <c r="S144" s="262"/>
      <c r="T144" s="958" t="str">
        <f t="shared" si="261"/>
        <v/>
      </c>
      <c r="U144" s="959" t="str">
        <f>IF(P144=0,"",IF(P144&lt;Paramétrage!$S$12,"PB",IF(AND(Q144&lt;Paramétrage!$S$12,Q144&lt;&gt;0),"PB","")))</f>
        <v/>
      </c>
      <c r="V144" s="959" t="str">
        <f t="shared" si="248"/>
        <v/>
      </c>
      <c r="W144" s="959" t="str">
        <f t="shared" si="249"/>
        <v/>
      </c>
      <c r="X144" s="960" t="str">
        <f t="shared" ref="X144" si="263">IF(AND(N144=0,O144=0),"",(IF(OR(C144="aa",C144="cp",C144="f",C144="jc",C144="m"),"",IF(C144="",IF(OR(D144-B144&gt;6/24,H144-F144&gt;6/24,L144-J144&gt;6/24),"PB",""),IF(OR(E144-C144&gt;6/24,I144-G144&gt;6/24,M144-K144&gt;6/24),"PB","")))))</f>
        <v/>
      </c>
      <c r="Y144" s="959" t="str">
        <f t="shared" si="251"/>
        <v/>
      </c>
      <c r="Z144" s="836"/>
      <c r="AA144" s="837"/>
      <c r="AB144" s="967"/>
      <c r="AC144" s="934">
        <f t="shared" si="254"/>
        <v>42786</v>
      </c>
      <c r="AD144" s="961">
        <f>IF(AND(N(AC144)&gt;=Paramétrage!$AU$11,N(AC144)&lt;=Paramétrage!$AU$12),IF(C144="cp",1,0),0)</f>
        <v>0</v>
      </c>
      <c r="AE144" s="962">
        <f t="shared" si="252"/>
        <v>0</v>
      </c>
      <c r="AF144" s="961">
        <f>IF(AND(N(AC144)&gt;=Paramétrage!$AX$11,N(AC144)&lt;=Paramétrage!$AX$12),IF(C144="cp",1,0),0)</f>
        <v>0</v>
      </c>
      <c r="AG144" s="962">
        <f t="shared" si="253"/>
        <v>0</v>
      </c>
      <c r="AI144" s="962">
        <f t="shared" si="255"/>
        <v>0</v>
      </c>
      <c r="AJ144" s="962">
        <f t="shared" si="256"/>
        <v>0</v>
      </c>
      <c r="AM144" s="962"/>
      <c r="AN144" s="962"/>
      <c r="AO144" s="962"/>
      <c r="AP144" s="962"/>
    </row>
    <row r="145" spans="1:45" s="935" customFormat="1" x14ac:dyDescent="0.25">
      <c r="A145" s="969" t="s">
        <v>30</v>
      </c>
      <c r="B145" s="970"/>
      <c r="C145" s="970"/>
      <c r="D145" s="970"/>
      <c r="E145" s="970"/>
      <c r="F145" s="970"/>
      <c r="G145" s="970"/>
      <c r="H145" s="970"/>
      <c r="I145" s="970"/>
      <c r="J145" s="970"/>
      <c r="K145" s="971"/>
      <c r="L145" s="970"/>
      <c r="M145" s="970"/>
      <c r="N145" s="972">
        <f>SUM(N138:N144)</f>
        <v>0</v>
      </c>
      <c r="O145" s="972">
        <f>SUM(O138:O144)</f>
        <v>0</v>
      </c>
      <c r="P145" s="972">
        <f>SUM(P138:P144)</f>
        <v>0</v>
      </c>
      <c r="Q145" s="972">
        <f>SUM(Q138:Q144)</f>
        <v>0</v>
      </c>
      <c r="R145" s="972"/>
      <c r="S145" s="972"/>
      <c r="T145" s="973"/>
      <c r="U145" s="974"/>
      <c r="V145" s="975" t="str">
        <f>IF((O145*24)&gt;48,"PB","")</f>
        <v/>
      </c>
      <c r="W145" s="974"/>
      <c r="X145" s="974"/>
      <c r="Y145" s="974"/>
      <c r="Z145" s="1053" t="s">
        <v>59</v>
      </c>
      <c r="AA145" s="1055">
        <f>+O145-N145</f>
        <v>0</v>
      </c>
      <c r="AB145" s="953"/>
      <c r="AC145" s="934"/>
      <c r="AE145" s="917"/>
      <c r="AF145" s="917"/>
      <c r="AG145" s="917"/>
      <c r="AH145" s="917"/>
      <c r="AI145" s="917"/>
      <c r="AJ145" s="917"/>
      <c r="AK145" s="917"/>
      <c r="AL145" s="917"/>
      <c r="AM145" s="917"/>
      <c r="AN145" s="917"/>
      <c r="AO145" s="917"/>
      <c r="AP145" s="917"/>
      <c r="AR145" s="917"/>
      <c r="AS145" s="917"/>
    </row>
    <row r="146" spans="1:45" s="935" customFormat="1" x14ac:dyDescent="0.25">
      <c r="A146" s="969"/>
      <c r="B146" s="969"/>
      <c r="C146" s="969"/>
      <c r="D146" s="969"/>
      <c r="E146" s="969"/>
      <c r="F146" s="1052"/>
      <c r="G146" s="1052"/>
      <c r="H146" s="1052"/>
      <c r="I146" s="1052"/>
      <c r="J146" s="1052"/>
      <c r="K146" s="969"/>
      <c r="L146" s="969"/>
      <c r="M146" s="969"/>
      <c r="N146" s="973"/>
      <c r="O146" s="979"/>
      <c r="P146" s="980"/>
      <c r="Q146" s="980"/>
      <c r="R146" s="980"/>
      <c r="S146" s="972"/>
      <c r="T146" s="980"/>
      <c r="U146" s="980"/>
      <c r="V146" s="980"/>
      <c r="W146" s="980"/>
      <c r="X146" s="980"/>
      <c r="Y146" s="980"/>
      <c r="Z146" s="1053"/>
      <c r="AA146" s="1055"/>
      <c r="AB146" s="953"/>
      <c r="AC146" s="934"/>
      <c r="AE146" s="917"/>
      <c r="AF146" s="917"/>
      <c r="AG146" s="917"/>
      <c r="AH146" s="917"/>
      <c r="AI146" s="917"/>
      <c r="AJ146" s="917"/>
      <c r="AK146" s="917"/>
      <c r="AL146" s="917"/>
      <c r="AM146" s="917"/>
      <c r="AN146" s="917"/>
      <c r="AO146" s="917"/>
      <c r="AP146" s="917"/>
      <c r="AR146" s="917"/>
      <c r="AS146" s="917"/>
    </row>
    <row r="147" spans="1:45" s="935" customFormat="1" ht="16.5" x14ac:dyDescent="0.3">
      <c r="A147" s="969"/>
      <c r="B147" s="969"/>
      <c r="C147" s="969"/>
      <c r="D147" s="969"/>
      <c r="E147" s="969"/>
      <c r="F147" s="928">
        <f>+F135+7</f>
        <v>42787</v>
      </c>
      <c r="G147" s="928"/>
      <c r="H147" s="929" t="s">
        <v>58</v>
      </c>
      <c r="I147" s="928">
        <f>+F147+6</f>
        <v>42793</v>
      </c>
      <c r="J147" s="930"/>
      <c r="K147" s="969"/>
      <c r="L147" s="969"/>
      <c r="M147" s="969"/>
      <c r="N147" s="973"/>
      <c r="O147" s="979"/>
      <c r="P147" s="980"/>
      <c r="Q147" s="980"/>
      <c r="R147" s="980"/>
      <c r="S147" s="981"/>
      <c r="T147" s="980"/>
      <c r="U147" s="980"/>
      <c r="V147" s="980"/>
      <c r="W147" s="980"/>
      <c r="X147" s="980"/>
      <c r="Y147" s="980"/>
      <c r="Z147" s="1053"/>
      <c r="AA147" s="1054"/>
      <c r="AB147" s="953"/>
      <c r="AC147" s="934"/>
      <c r="AE147" s="917"/>
      <c r="AF147" s="917"/>
      <c r="AG147" s="917"/>
      <c r="AH147" s="917"/>
      <c r="AI147" s="917"/>
      <c r="AJ147" s="917"/>
      <c r="AK147" s="917"/>
      <c r="AL147" s="917"/>
      <c r="AM147" s="917"/>
      <c r="AN147" s="917"/>
      <c r="AO147" s="917"/>
      <c r="AP147" s="917"/>
      <c r="AR147" s="917"/>
      <c r="AS147" s="917"/>
    </row>
    <row r="148" spans="1:45" ht="14.45" customHeight="1" x14ac:dyDescent="0.25">
      <c r="A148" s="984"/>
      <c r="B148" s="938" t="s">
        <v>17</v>
      </c>
      <c r="C148" s="938"/>
      <c r="D148" s="938" t="s">
        <v>18</v>
      </c>
      <c r="E148" s="938"/>
      <c r="F148" s="938" t="s">
        <v>17</v>
      </c>
      <c r="G148" s="938"/>
      <c r="H148" s="938" t="s">
        <v>18</v>
      </c>
      <c r="I148" s="938"/>
      <c r="J148" s="938" t="s">
        <v>17</v>
      </c>
      <c r="K148" s="938"/>
      <c r="L148" s="938" t="s">
        <v>18</v>
      </c>
      <c r="M148" s="938"/>
      <c r="N148" s="939" t="s">
        <v>61</v>
      </c>
      <c r="O148" s="939" t="s">
        <v>62</v>
      </c>
      <c r="P148" s="939" t="s">
        <v>60</v>
      </c>
      <c r="Q148" s="939" t="s">
        <v>63</v>
      </c>
      <c r="R148" s="939" t="s">
        <v>64</v>
      </c>
      <c r="S148" s="940" t="s">
        <v>223</v>
      </c>
      <c r="T148" s="939" t="s">
        <v>70</v>
      </c>
      <c r="U148" s="941" t="s">
        <v>65</v>
      </c>
      <c r="V148" s="942"/>
      <c r="W148" s="942"/>
      <c r="X148" s="942"/>
      <c r="Y148" s="943"/>
      <c r="Z148" s="944" t="s">
        <v>22</v>
      </c>
      <c r="AA148" s="944"/>
      <c r="AB148" s="953"/>
      <c r="AC148" s="934"/>
    </row>
    <row r="149" spans="1:45" ht="26.25" thickBot="1" x14ac:dyDescent="0.4">
      <c r="A149" s="937" t="str">
        <f>"S"&amp;WEEKNUM(F147,21)</f>
        <v>S8</v>
      </c>
      <c r="B149" s="949" t="s">
        <v>0</v>
      </c>
      <c r="C149" s="950" t="s">
        <v>1</v>
      </c>
      <c r="D149" s="949" t="s">
        <v>0</v>
      </c>
      <c r="E149" s="950" t="s">
        <v>1</v>
      </c>
      <c r="F149" s="949" t="s">
        <v>0</v>
      </c>
      <c r="G149" s="950" t="s">
        <v>1</v>
      </c>
      <c r="H149" s="949" t="s">
        <v>0</v>
      </c>
      <c r="I149" s="950" t="s">
        <v>1</v>
      </c>
      <c r="J149" s="949" t="s">
        <v>0</v>
      </c>
      <c r="K149" s="950" t="s">
        <v>1</v>
      </c>
      <c r="L149" s="949" t="s">
        <v>0</v>
      </c>
      <c r="M149" s="950" t="s">
        <v>1</v>
      </c>
      <c r="N149" s="951"/>
      <c r="O149" s="951"/>
      <c r="P149" s="951"/>
      <c r="Q149" s="951"/>
      <c r="R149" s="951"/>
      <c r="S149" s="951"/>
      <c r="T149" s="939"/>
      <c r="U149" s="952" t="s">
        <v>66</v>
      </c>
      <c r="V149" s="952" t="s">
        <v>67</v>
      </c>
      <c r="W149" s="952" t="s">
        <v>68</v>
      </c>
      <c r="X149" s="952" t="s">
        <v>137</v>
      </c>
      <c r="Y149" s="952" t="s">
        <v>69</v>
      </c>
      <c r="Z149" s="944"/>
      <c r="AA149" s="944"/>
      <c r="AB149" s="953"/>
      <c r="AC149" s="934"/>
      <c r="AM149" s="917" t="s">
        <v>274</v>
      </c>
    </row>
    <row r="150" spans="1:45" ht="16.5" x14ac:dyDescent="0.3">
      <c r="A150" s="955" t="s">
        <v>12</v>
      </c>
      <c r="B150" s="15" t="b">
        <f>IF(Paramétrage!$O$42="",FALSE,Paramétrage!$O$42)</f>
        <v>0</v>
      </c>
      <c r="C150" s="263"/>
      <c r="D150" s="16" t="b">
        <f>IF(Paramétrage!$Q$42="",FALSE,Paramétrage!$Q$42)</f>
        <v>0</v>
      </c>
      <c r="E150" s="264"/>
      <c r="F150" s="15" t="b">
        <f>IF(Paramétrage!$R$42="",FALSE,Paramétrage!$R$42)</f>
        <v>0</v>
      </c>
      <c r="G150" s="264"/>
      <c r="H150" s="17" t="b">
        <f>IF(Paramétrage!$T$42="",FALSE,Paramétrage!$T$42)</f>
        <v>0</v>
      </c>
      <c r="I150" s="263"/>
      <c r="J150" s="127" t="b">
        <f>IF(Paramétrage!$U$42="",FALSE,Paramétrage!$U$42)</f>
        <v>0</v>
      </c>
      <c r="K150" s="263"/>
      <c r="L150" s="28" t="b">
        <f>IF(Paramétrage!$W$42="",FALSE,Paramétrage!$W$42)</f>
        <v>0</v>
      </c>
      <c r="M150" s="263"/>
      <c r="N150" s="956">
        <f t="shared" ref="N150:N152" si="264">IF(OR(B150="aa",B150="cp",B150="f",B150="jc",B150="m",B150="css"),0,(L150-J150)+(H150-F150)+(D150-B150))</f>
        <v>0</v>
      </c>
      <c r="O150" s="956">
        <f t="shared" ref="O150:O152" si="265">SUM(AM150:AP150)+IF(OR(C150="m",C150="aa"),N150,IF(C150="css",0,IF(C150="cp",0,IF(C150="jc",0,IF(C150="f",0,E150-C150+I150-G150+M150-K150)))))</f>
        <v>0</v>
      </c>
      <c r="P150" s="956">
        <f t="shared" ref="P150:P156" si="266">IF(OR(C150="aa",C150="cp",C150="f",C150="jc",C150="m",C150="css"),0,IF(C150="",IF(OR(F150="",F150=FALSE),0,F150-D150),IF(G150="",0,G150-E150)))</f>
        <v>0</v>
      </c>
      <c r="Q150" s="956">
        <f t="shared" ref="Q150:Q156" si="267">IF(P150=0,0,IF(G150="",IF(OR(J150="",J150=FALSE),0,J150-H150),IF(K150="",0,K150-I150)))</f>
        <v>0</v>
      </c>
      <c r="R150" s="957">
        <f t="shared" ref="R150:R152" si="268">IF(OR(C150="aa",C150="cp",C150="f",C150="jc",C150="m",C150="css"),0,IF(C150=0,MAX(B150,D150,F150,H150,J150,L150)-MIN(B150,D150,F150,H150,J150,L150),IF(C150&lt;&gt;0,MAX(C150,E150,G150,I150,K150,M150)-MIN(C150,E150,G150,I150,K150,M150))))</f>
        <v>0</v>
      </c>
      <c r="S150" s="262"/>
      <c r="T150" s="958" t="str">
        <f t="shared" ref="T150:T151" si="269">IF(AND(B150=FALSE,C150=""),"",IF(AND(B150=0,C150=0),"",(IF(OR(C150="cp",C150="f",C150="jc",C150="css"),"",IF(OR(C150="",C150="aa",C150="m"),(IF(OR(B150="cp",B150="f",B150="jc",B150="css"),"",B150*24+24-MAX(D149,H149,L149)*24)),C150*24+24-MAX(M149,I149,E149)*24)))))</f>
        <v/>
      </c>
      <c r="U150" s="959" t="str">
        <f>IF(P150=0,"",IF(P150&lt;Paramétrage!$S$12,"PB",IF(AND(Q150&lt;Paramétrage!$S$12,Q150&lt;&gt;0),"PB","")))</f>
        <v/>
      </c>
      <c r="V150" s="959" t="str">
        <f t="shared" ref="V150:V156" si="270">IF(C150="",IF((N150*24)&gt;10,"PB",""),IF((O150*24)&gt;10,"PB",""))</f>
        <v/>
      </c>
      <c r="W150" s="959" t="str">
        <f t="shared" ref="W150:W156" si="271">IF((R150*24)&gt;12,"PB","")</f>
        <v/>
      </c>
      <c r="X150" s="960" t="str">
        <f t="shared" ref="X150:X152" si="272">IF(AND(N150=0,O150=0),"",(IF(OR(C150="aa",C150="cp",C150="f",C150="jc",C150="m",C150="css"),"",IF(C150="",IF(OR(D150-B150&gt;6/24,H150-F150&gt;6/24,L150-J150&gt;6/24),"PB",""),IF(OR(E150-C150&gt;6/24,I150-G150&gt;6/24,M150-K150&gt;6/24),"PB","")))))</f>
        <v/>
      </c>
      <c r="Y150" s="959" t="str">
        <f t="shared" ref="Y150:Y156" si="273">IF(T150="","",IF(T150&lt;11,"PB",""))</f>
        <v/>
      </c>
      <c r="Z150" s="836"/>
      <c r="AA150" s="837"/>
      <c r="AB150" s="953"/>
      <c r="AC150" s="934">
        <f>AC144+1</f>
        <v>42787</v>
      </c>
      <c r="AD150" s="961">
        <f>IF(AND(N(AC150)&gt;=Paramétrage!$AU$11,N(AC150)&lt;=Paramétrage!$AU$12),IF(C150="cp",1,0),0)</f>
        <v>0</v>
      </c>
      <c r="AE150" s="962">
        <f t="shared" ref="AE150:AE156" si="274">IF(O150&lt;&gt;"erreur",N150,O150)</f>
        <v>0</v>
      </c>
      <c r="AF150" s="961">
        <f>IF(AND(N(AC150)&gt;=Paramétrage!$AX$11,N(AC150)&lt;=Paramétrage!$AX$12),IF(C150="cp",1,0),0)</f>
        <v>0</v>
      </c>
      <c r="AG150" s="962">
        <f>O150</f>
        <v>0</v>
      </c>
      <c r="AI150" s="962">
        <f>AE150+AI144</f>
        <v>0</v>
      </c>
      <c r="AJ150" s="962">
        <f>AG150+AJ144</f>
        <v>0</v>
      </c>
      <c r="AM150" s="962">
        <f>IF(AND($B150="cp",$C150="m"),$Z150,0)</f>
        <v>0</v>
      </c>
      <c r="AN150" s="962">
        <f>IF(AND($B150="jc",$C150="m"),$Z150,0)</f>
        <v>0</v>
      </c>
      <c r="AO150" s="962">
        <f>IF(AND($B150="cp",$C150="aa"),$Z150,0)</f>
        <v>0</v>
      </c>
      <c r="AP150" s="962">
        <f>IF(AND($B150="jc",$C150="aa"),$Z150,0)</f>
        <v>0</v>
      </c>
      <c r="AR150" s="917">
        <f>IF(AND(AC150&lt;=$AR$3,B150="CP"),1,0)</f>
        <v>0</v>
      </c>
      <c r="AS150" s="917">
        <f>IF(AND(AC150&lt;=$AR$3,C150="CP"),1,0)</f>
        <v>0</v>
      </c>
    </row>
    <row r="151" spans="1:45" ht="16.5" x14ac:dyDescent="0.3">
      <c r="A151" s="964" t="s">
        <v>13</v>
      </c>
      <c r="B151" s="15" t="b">
        <f>IF(Paramétrage!$O$43="",FALSE,Paramétrage!$O$43)</f>
        <v>0</v>
      </c>
      <c r="C151" s="263"/>
      <c r="D151" s="16" t="b">
        <f>IF(Paramétrage!$Q$43="",FALSE,Paramétrage!$Q$43)</f>
        <v>0</v>
      </c>
      <c r="E151" s="264"/>
      <c r="F151" s="15" t="b">
        <f>IF(Paramétrage!$R$43="",FALSE,Paramétrage!$R$43)</f>
        <v>0</v>
      </c>
      <c r="G151" s="264"/>
      <c r="H151" s="17" t="b">
        <f>IF(Paramétrage!$T$43="",FALSE,Paramétrage!$T$43)</f>
        <v>0</v>
      </c>
      <c r="I151" s="263"/>
      <c r="J151" s="127" t="b">
        <f>IF(Paramétrage!$U$43="",FALSE,Paramétrage!$U$43)</f>
        <v>0</v>
      </c>
      <c r="K151" s="263"/>
      <c r="L151" s="28" t="b">
        <f>IF(Paramétrage!$W$43="",FALSE,Paramétrage!$W$43)</f>
        <v>0</v>
      </c>
      <c r="M151" s="263"/>
      <c r="N151" s="956">
        <f t="shared" si="264"/>
        <v>0</v>
      </c>
      <c r="O151" s="956">
        <f t="shared" si="265"/>
        <v>0</v>
      </c>
      <c r="P151" s="956">
        <f t="shared" si="266"/>
        <v>0</v>
      </c>
      <c r="Q151" s="956">
        <f t="shared" si="267"/>
        <v>0</v>
      </c>
      <c r="R151" s="957">
        <f t="shared" si="268"/>
        <v>0</v>
      </c>
      <c r="S151" s="262"/>
      <c r="T151" s="958" t="str">
        <f t="shared" si="269"/>
        <v/>
      </c>
      <c r="U151" s="959" t="str">
        <f>IF(P151=0,"",IF(P151&lt;Paramétrage!$S$12,"PB",IF(AND(Q151&lt;Paramétrage!$S$12,Q151&lt;&gt;0),"PB","")))</f>
        <v/>
      </c>
      <c r="V151" s="959" t="str">
        <f t="shared" si="270"/>
        <v/>
      </c>
      <c r="W151" s="959" t="str">
        <f t="shared" si="271"/>
        <v/>
      </c>
      <c r="X151" s="960" t="str">
        <f t="shared" si="272"/>
        <v/>
      </c>
      <c r="Y151" s="959" t="str">
        <f t="shared" si="273"/>
        <v/>
      </c>
      <c r="Z151" s="836"/>
      <c r="AA151" s="837"/>
      <c r="AB151" s="953"/>
      <c r="AC151" s="934">
        <f t="shared" ref="AC151:AC156" si="275">AC150+1</f>
        <v>42788</v>
      </c>
      <c r="AD151" s="961">
        <f>IF(AND(N(AC151)&gt;=Paramétrage!$AU$11,N(AC151)&lt;=Paramétrage!$AU$12),IF(C151="cp",1,0),0)</f>
        <v>0</v>
      </c>
      <c r="AE151" s="962">
        <f t="shared" si="274"/>
        <v>0</v>
      </c>
      <c r="AF151" s="961">
        <f>IF(AND(N(AC151)&gt;=Paramétrage!$AX$11,N(AC151)&lt;=Paramétrage!$AX$12),IF(C151="cp",1,0),0)</f>
        <v>0</v>
      </c>
      <c r="AG151" s="962">
        <f t="shared" ref="AG151:AG156" si="276">O151</f>
        <v>0</v>
      </c>
      <c r="AI151" s="962">
        <f t="shared" ref="AI151:AI156" si="277">AE151+AI150</f>
        <v>0</v>
      </c>
      <c r="AJ151" s="962">
        <f t="shared" ref="AJ151:AJ156" si="278">AG151+AJ150</f>
        <v>0</v>
      </c>
      <c r="AM151" s="962">
        <f t="shared" ref="AM151:AM154" si="279">IF(AND($B151="cp",$C151="m"),$Z151,0)</f>
        <v>0</v>
      </c>
      <c r="AN151" s="962">
        <f t="shared" ref="AN151:AN154" si="280">IF(AND($B151="jc",$C151="m"),$Z151,0)</f>
        <v>0</v>
      </c>
      <c r="AO151" s="962">
        <f t="shared" ref="AO151:AO154" si="281">IF(AND($B151="cp",$C151="aa"),$Z151,0)</f>
        <v>0</v>
      </c>
      <c r="AP151" s="962">
        <f t="shared" ref="AP151:AP154" si="282">IF(AND($B151="jc",$C151="aa"),$Z151,0)</f>
        <v>0</v>
      </c>
      <c r="AR151" s="917">
        <f>IF(AND(AC151&lt;=$AR$3,B151="CP"),1,0)</f>
        <v>0</v>
      </c>
      <c r="AS151" s="917">
        <f>IF(AND(AC151&lt;=$AR$3,C151="CP"),1,0)</f>
        <v>0</v>
      </c>
    </row>
    <row r="152" spans="1:45" ht="16.5" x14ac:dyDescent="0.3">
      <c r="A152" s="964" t="s">
        <v>14</v>
      </c>
      <c r="B152" s="15" t="b">
        <f>IF(Paramétrage!$O$44="",FALSE,Paramétrage!$O$44)</f>
        <v>0</v>
      </c>
      <c r="C152" s="263"/>
      <c r="D152" s="16" t="b">
        <f>IF(Paramétrage!$Q$44="",FALSE,Paramétrage!$Q$44)</f>
        <v>0</v>
      </c>
      <c r="E152" s="264"/>
      <c r="F152" s="15" t="b">
        <f>IF(Paramétrage!$R$44="",FALSE,Paramétrage!$R$44)</f>
        <v>0</v>
      </c>
      <c r="G152" s="264"/>
      <c r="H152" s="17" t="b">
        <f>IF(Paramétrage!$T$44="",FALSE,Paramétrage!$T$44)</f>
        <v>0</v>
      </c>
      <c r="I152" s="263"/>
      <c r="J152" s="127" t="b">
        <f>IF(Paramétrage!$U$44="",FALSE,Paramétrage!$U$44)</f>
        <v>0</v>
      </c>
      <c r="K152" s="263"/>
      <c r="L152" s="28" t="b">
        <f>IF(Paramétrage!$W$44="",FALSE,Paramétrage!$W$44)</f>
        <v>0</v>
      </c>
      <c r="M152" s="263"/>
      <c r="N152" s="956">
        <f t="shared" si="264"/>
        <v>0</v>
      </c>
      <c r="O152" s="956">
        <f t="shared" si="265"/>
        <v>0</v>
      </c>
      <c r="P152" s="956">
        <f t="shared" si="266"/>
        <v>0</v>
      </c>
      <c r="Q152" s="956">
        <f t="shared" si="267"/>
        <v>0</v>
      </c>
      <c r="R152" s="957">
        <f t="shared" si="268"/>
        <v>0</v>
      </c>
      <c r="S152" s="262"/>
      <c r="T152" s="958" t="str">
        <f>IF(AND(B152=FALSE,C152=""),"",IF(AND(B152=0,C152=0),"",(IF(OR(C152="cp",C152="f",C152="jc",C152="css"),"",IF(OR(C152="",C152="aa",C152="m"),(IF(OR(B152="cp",B152="f",B152="jc",B152="css"),"",B152*24+24-MAX(D151,H151,L151)*24)),C152*24+24-MAX(M151,I151,E151)*24)))))</f>
        <v/>
      </c>
      <c r="U152" s="959" t="str">
        <f>IF(P152=0,"",IF(P152&lt;Paramétrage!$S$12,"PB",IF(AND(Q152&lt;Paramétrage!$S$12,Q152&lt;&gt;0),"PB","")))</f>
        <v/>
      </c>
      <c r="V152" s="959" t="str">
        <f t="shared" si="270"/>
        <v/>
      </c>
      <c r="W152" s="959" t="str">
        <f t="shared" si="271"/>
        <v/>
      </c>
      <c r="X152" s="960" t="str">
        <f t="shared" si="272"/>
        <v/>
      </c>
      <c r="Y152" s="959" t="str">
        <f t="shared" si="273"/>
        <v/>
      </c>
      <c r="Z152" s="836"/>
      <c r="AA152" s="837"/>
      <c r="AB152" s="953"/>
      <c r="AC152" s="934">
        <f t="shared" si="275"/>
        <v>42789</v>
      </c>
      <c r="AD152" s="961">
        <f>IF(AND(N(AC152)&gt;=Paramétrage!$AU$11,N(AC152)&lt;=Paramétrage!$AU$12),IF(C152="cp",1,0),0)</f>
        <v>0</v>
      </c>
      <c r="AE152" s="962">
        <f t="shared" si="274"/>
        <v>0</v>
      </c>
      <c r="AF152" s="961">
        <f>IF(AND(N(AC152)&gt;=Paramétrage!$AX$11,N(AC152)&lt;=Paramétrage!$AX$12),IF(C152="cp",1,0),0)</f>
        <v>0</v>
      </c>
      <c r="AG152" s="962">
        <f t="shared" si="276"/>
        <v>0</v>
      </c>
      <c r="AI152" s="962">
        <f t="shared" si="277"/>
        <v>0</v>
      </c>
      <c r="AJ152" s="962">
        <f t="shared" si="278"/>
        <v>0</v>
      </c>
      <c r="AM152" s="962">
        <f t="shared" si="279"/>
        <v>0</v>
      </c>
      <c r="AN152" s="962">
        <f t="shared" si="280"/>
        <v>0</v>
      </c>
      <c r="AO152" s="962">
        <f t="shared" si="281"/>
        <v>0</v>
      </c>
      <c r="AP152" s="962">
        <f t="shared" si="282"/>
        <v>0</v>
      </c>
      <c r="AR152" s="917">
        <f>IF(AND(AC152&lt;=$AR$3,B152="CP"),1,0)</f>
        <v>0</v>
      </c>
      <c r="AS152" s="917">
        <f>IF(AND(AC152&lt;=$AR$3,C152="CP"),1,0)</f>
        <v>0</v>
      </c>
    </row>
    <row r="153" spans="1:45" ht="16.5" x14ac:dyDescent="0.3">
      <c r="A153" s="964" t="s">
        <v>15</v>
      </c>
      <c r="B153" s="15" t="b">
        <f>IF(Paramétrage!$O$45="",FALSE,Paramétrage!$O$45)</f>
        <v>0</v>
      </c>
      <c r="C153" s="263"/>
      <c r="D153" s="16" t="b">
        <f>IF(Paramétrage!$Q$45="",FALSE,Paramétrage!$Q$45)</f>
        <v>0</v>
      </c>
      <c r="E153" s="264"/>
      <c r="F153" s="15" t="b">
        <f>IF(Paramétrage!$R$45="",FALSE,Paramétrage!$R$45)</f>
        <v>0</v>
      </c>
      <c r="G153" s="264"/>
      <c r="H153" s="17" t="b">
        <f>IF(Paramétrage!$T$45="",FALSE,Paramétrage!$T$45)</f>
        <v>0</v>
      </c>
      <c r="I153" s="263"/>
      <c r="J153" s="127" t="b">
        <f>IF(Paramétrage!$U$45="",FALSE,Paramétrage!$U$45)</f>
        <v>0</v>
      </c>
      <c r="K153" s="263"/>
      <c r="L153" s="28" t="b">
        <f>IF(Paramétrage!$W$45="",FALSE,Paramétrage!$W$45)</f>
        <v>0</v>
      </c>
      <c r="M153" s="263"/>
      <c r="N153" s="956">
        <f>IF(OR(B153="aa",B153="cp",B153="f",B153="jc",B153="m",B153="css"),0,(L153-J153)+(H153-F153)+(D153-B153))</f>
        <v>0</v>
      </c>
      <c r="O153" s="956">
        <f>SUM(AM153:AP153)+IF(OR(C153="m",C153="aa"),N153,IF(C153="css",0,IF(C153="cp",0,IF(C153="jc",0,IF(C153="f",0,E153-C153+I153-G153+M153-K153)))))</f>
        <v>0</v>
      </c>
      <c r="P153" s="956">
        <f t="shared" si="266"/>
        <v>0</v>
      </c>
      <c r="Q153" s="956">
        <f t="shared" si="267"/>
        <v>0</v>
      </c>
      <c r="R153" s="957">
        <f>IF(OR(C153="aa",C153="cp",C153="f",C153="jc",C153="m",C153="css"),0,IF(C153=0,MAX(B153,D153,F153,H153,J153,L153)-MIN(B153,D153,F153,H153,J153,L153),IF(C153&lt;&gt;0,MAX(C153,E153,G153,I153,K153,M153)-MIN(C153,E153,G153,I153,K153,M153))))</f>
        <v>0</v>
      </c>
      <c r="S153" s="262"/>
      <c r="T153" s="958" t="str">
        <f t="shared" ref="T153:T156" si="283">IF(AND(B153=FALSE,C153=""),"",IF(AND(B153=0,C153=0),"",(IF(OR(C153="cp",C153="f",C153="jc",C153="css"),"",IF(OR(C153="",C153="aa",C153="m"),(IF(OR(B153="cp",B153="f",B153="jc",B153="css"),"",B153*24+24-MAX(D152,H152,L152)*24)),C153*24+24-MAX(M152,I152,E152)*24)))))</f>
        <v/>
      </c>
      <c r="U153" s="959" t="str">
        <f>IF(P153=0,"",IF(P153&lt;Paramétrage!$S$12,"PB",IF(AND(Q153&lt;Paramétrage!$S$12,Q153&lt;&gt;0),"PB","")))</f>
        <v/>
      </c>
      <c r="V153" s="959" t="str">
        <f t="shared" si="270"/>
        <v/>
      </c>
      <c r="W153" s="959" t="str">
        <f t="shared" si="271"/>
        <v/>
      </c>
      <c r="X153" s="960" t="str">
        <f>IF(AND(N153=0,O153=0),"",(IF(OR(C153="aa",C153="cp",C153="f",C153="jc",C153="m",C153="css"),"",IF(C153="",IF(OR(D153-B153&gt;6/24,H153-F153&gt;6/24,L153-J153&gt;6/24),"PB",""),IF(OR(E153-C153&gt;6/24,I153-G153&gt;6/24,M153-K153&gt;6/24),"PB","")))))</f>
        <v/>
      </c>
      <c r="Y153" s="959" t="str">
        <f t="shared" si="273"/>
        <v/>
      </c>
      <c r="Z153" s="836"/>
      <c r="AA153" s="837"/>
      <c r="AB153" s="953"/>
      <c r="AC153" s="934">
        <f t="shared" si="275"/>
        <v>42790</v>
      </c>
      <c r="AD153" s="961">
        <f>IF(AND(N(AC153)&gt;=Paramétrage!$AU$11,N(AC153)&lt;=Paramétrage!$AU$12),IF(C153="cp",1,0),0)</f>
        <v>0</v>
      </c>
      <c r="AE153" s="962">
        <f t="shared" si="274"/>
        <v>0</v>
      </c>
      <c r="AF153" s="961">
        <f>IF(AND(N(AC153)&gt;=Paramétrage!$AX$11,N(AC153)&lt;=Paramétrage!$AX$12),IF(C153="cp",1,0),0)</f>
        <v>0</v>
      </c>
      <c r="AG153" s="962">
        <f t="shared" si="276"/>
        <v>0</v>
      </c>
      <c r="AI153" s="962">
        <f t="shared" si="277"/>
        <v>0</v>
      </c>
      <c r="AJ153" s="962">
        <f t="shared" si="278"/>
        <v>0</v>
      </c>
      <c r="AM153" s="962">
        <f t="shared" si="279"/>
        <v>0</v>
      </c>
      <c r="AN153" s="962">
        <f t="shared" si="280"/>
        <v>0</v>
      </c>
      <c r="AO153" s="962">
        <f t="shared" si="281"/>
        <v>0</v>
      </c>
      <c r="AP153" s="962">
        <f t="shared" si="282"/>
        <v>0</v>
      </c>
      <c r="AR153" s="917">
        <f>IF(AND(AC153&lt;=$AR$3,B153="CP"),1,0)</f>
        <v>0</v>
      </c>
      <c r="AS153" s="917">
        <f>IF(AND(AC153&lt;=$AR$3,C153="CP"),1,0)</f>
        <v>0</v>
      </c>
    </row>
    <row r="154" spans="1:45" ht="16.5" x14ac:dyDescent="0.3">
      <c r="A154" s="964" t="s">
        <v>16</v>
      </c>
      <c r="B154" s="15" t="b">
        <f>IF(Paramétrage!$O$46="",FALSE,Paramétrage!$O$46)</f>
        <v>0</v>
      </c>
      <c r="C154" s="263"/>
      <c r="D154" s="16" t="b">
        <f>IF(Paramétrage!$Q$46="",FALSE,Paramétrage!$Q$46)</f>
        <v>0</v>
      </c>
      <c r="E154" s="264"/>
      <c r="F154" s="15" t="b">
        <f>IF(Paramétrage!$R$46="",FALSE,Paramétrage!$R$46)</f>
        <v>0</v>
      </c>
      <c r="G154" s="264"/>
      <c r="H154" s="17" t="b">
        <f>IF(Paramétrage!$T$46="",FALSE,Paramétrage!$T$46)</f>
        <v>0</v>
      </c>
      <c r="I154" s="263"/>
      <c r="J154" s="127" t="b">
        <f>IF(Paramétrage!$U$46="",FALSE,Paramétrage!$U$46)</f>
        <v>0</v>
      </c>
      <c r="K154" s="263"/>
      <c r="L154" s="28" t="b">
        <f>IF(Paramétrage!$W$46="",FALSE,Paramétrage!$W$46)</f>
        <v>0</v>
      </c>
      <c r="M154" s="263"/>
      <c r="N154" s="956">
        <f>IF(OR(B154="aa",B154="cp",B154="f",B154="jc",B154="m",B154="css"),0,(L154-J154)+(H154-F154)+(D154-B154))</f>
        <v>0</v>
      </c>
      <c r="O154" s="956">
        <f>SUM(AM154:AP154)+IF(OR(C154="m",C154="aa"),N154,IF(C154="css",0,IF(C154="cp",0,IF(C154="jc",0,IF(C154="f",0,E154-C154+I154-G154+M154-K154)))))</f>
        <v>0</v>
      </c>
      <c r="P154" s="956">
        <f t="shared" si="266"/>
        <v>0</v>
      </c>
      <c r="Q154" s="956">
        <f t="shared" si="267"/>
        <v>0</v>
      </c>
      <c r="R154" s="957">
        <f>IF(OR(C154="aa",C154="cp",C154="f",C154="jc",C154="m",C154="css"),0,IF(C154=0,MAX(B154,D154,F154,H154,J154,L154)-MIN(B154,D154,F154,H154,J154,L154),IF(C154&lt;&gt;0,MAX(C154,E154,G154,I154,K154,M154)-MIN(C154,E154,G154,I154,K154,M154))))</f>
        <v>0</v>
      </c>
      <c r="S154" s="262"/>
      <c r="T154" s="958" t="str">
        <f t="shared" si="283"/>
        <v/>
      </c>
      <c r="U154" s="959" t="str">
        <f>IF(P154=0,"",IF(P154&lt;Paramétrage!$S$12,"PB",IF(AND(Q154&lt;Paramétrage!$S$12,Q154&lt;&gt;0),"PB","")))</f>
        <v/>
      </c>
      <c r="V154" s="959" t="str">
        <f t="shared" si="270"/>
        <v/>
      </c>
      <c r="W154" s="959" t="str">
        <f t="shared" si="271"/>
        <v/>
      </c>
      <c r="X154" s="960" t="str">
        <f>IF(AND(N154=0,O154=0),"",(IF(OR(C154="aa",C154="cp",C154="f",C154="jc",C154="m",C154="css"),"",IF(C154="",IF(OR(D154-B154&gt;6/24,H154-F154&gt;6/24,L154-J154&gt;6/24),"PB",""),IF(OR(E154-C154&gt;6/24,I154-G154&gt;6/24,M154-K154&gt;6/24),"PB","")))))</f>
        <v/>
      </c>
      <c r="Y154" s="959" t="str">
        <f t="shared" si="273"/>
        <v/>
      </c>
      <c r="Z154" s="836"/>
      <c r="AA154" s="837"/>
      <c r="AB154" s="953"/>
      <c r="AC154" s="934">
        <f t="shared" si="275"/>
        <v>42791</v>
      </c>
      <c r="AD154" s="961">
        <f>IF(AND(N(AC154)&gt;=Paramétrage!$AU$11,N(AC154)&lt;=Paramétrage!$AU$12),IF(C154="cp",1,0),0)</f>
        <v>0</v>
      </c>
      <c r="AE154" s="962">
        <f t="shared" si="274"/>
        <v>0</v>
      </c>
      <c r="AF154" s="961">
        <f>IF(AND(N(AC154)&gt;=Paramétrage!$AX$11,N(AC154)&lt;=Paramétrage!$AX$12),IF(C154="cp",1,0),0)</f>
        <v>0</v>
      </c>
      <c r="AG154" s="962">
        <f t="shared" si="276"/>
        <v>0</v>
      </c>
      <c r="AI154" s="962">
        <f t="shared" si="277"/>
        <v>0</v>
      </c>
      <c r="AJ154" s="962">
        <f t="shared" si="278"/>
        <v>0</v>
      </c>
      <c r="AM154" s="962">
        <f t="shared" si="279"/>
        <v>0</v>
      </c>
      <c r="AN154" s="962">
        <f t="shared" si="280"/>
        <v>0</v>
      </c>
      <c r="AO154" s="962">
        <f t="shared" si="281"/>
        <v>0</v>
      </c>
      <c r="AP154" s="962">
        <f t="shared" si="282"/>
        <v>0</v>
      </c>
      <c r="AR154" s="917">
        <f>IF(AND(AC154&lt;=$AR$3,B154="CP"),1,0)</f>
        <v>0</v>
      </c>
      <c r="AS154" s="917">
        <f>IF(AND(AC154&lt;=$AR$3,C154="CP"),1,0)</f>
        <v>0</v>
      </c>
    </row>
    <row r="155" spans="1:45" ht="16.5" x14ac:dyDescent="0.3">
      <c r="A155" s="964" t="s">
        <v>19</v>
      </c>
      <c r="B155" s="15" t="b">
        <f>IF(Paramétrage!$O$47="",FALSE,Paramétrage!$O$47)</f>
        <v>0</v>
      </c>
      <c r="C155" s="263"/>
      <c r="D155" s="16" t="b">
        <f>IF(Paramétrage!$Q$47="",FALSE,Paramétrage!$Q$47)</f>
        <v>0</v>
      </c>
      <c r="E155" s="264"/>
      <c r="F155" s="15" t="b">
        <f>IF(Paramétrage!$R$47="",FALSE,Paramétrage!$R$47)</f>
        <v>0</v>
      </c>
      <c r="G155" s="264"/>
      <c r="H155" s="17" t="b">
        <f>IF(Paramétrage!$T$47="",FALSE,Paramétrage!$T$47)</f>
        <v>0</v>
      </c>
      <c r="I155" s="263"/>
      <c r="J155" s="127" t="b">
        <f>IF(Paramétrage!$U$47="",FALSE,Paramétrage!$U$47)</f>
        <v>0</v>
      </c>
      <c r="K155" s="263"/>
      <c r="L155" s="28" t="b">
        <f>IF(Paramétrage!$W$47="",FALSE,Paramétrage!$W$47)</f>
        <v>0</v>
      </c>
      <c r="M155" s="263"/>
      <c r="N155" s="956">
        <f>IF(OR(B155="aa",B155="cp",B155="f",B155="jc",B155="m",B155="css"),0,(L155-J155)+(H155-F155)+(D155-B155))</f>
        <v>0</v>
      </c>
      <c r="O155" s="956">
        <f>IF(OR(C155="m",C155="aa"),N155,IF(C155="cp",0,IF(OR(C155="css",C155="jc"),0,IF(C155="f",0,E155-C155+I155-G155+M155-K155))))</f>
        <v>0</v>
      </c>
      <c r="P155" s="956">
        <f t="shared" si="266"/>
        <v>0</v>
      </c>
      <c r="Q155" s="956">
        <f t="shared" si="267"/>
        <v>0</v>
      </c>
      <c r="R155" s="957">
        <f>IF(OR(C155="aa",C155="cp",C155="f",C155="jc",C155="m",C155="css"),0,IF(C155=0,MAX(B155,D155,F155,H155,J155,L155)-MIN(B155,D155,F155,H155,J155,L155),IF(C155&lt;&gt;0,MAX(C155,E155,G155,I155,K155,M155)-MIN(C155,E155,G155,I155,K155,M155))))</f>
        <v>0</v>
      </c>
      <c r="S155" s="262"/>
      <c r="T155" s="958" t="str">
        <f t="shared" si="283"/>
        <v/>
      </c>
      <c r="U155" s="959" t="str">
        <f>IF(P155=0,"",IF(P155&lt;Paramétrage!$S$12,"PB",IF(AND(Q155&lt;Paramétrage!$S$12,Q155&lt;&gt;0),"PB","")))</f>
        <v/>
      </c>
      <c r="V155" s="959" t="str">
        <f t="shared" si="270"/>
        <v/>
      </c>
      <c r="W155" s="959" t="str">
        <f t="shared" si="271"/>
        <v/>
      </c>
      <c r="X155" s="960" t="str">
        <f>IF(AND(N155=0,O155=0),"",(IF(OR(C155="aa",C155="cp",C155="f",C155="jc",C155="m",C155="css"),"",IF(C155="",IF(OR(D155-B155&gt;6/24,H155-F155&gt;6/24,L155-J155&gt;6/24),"PB",""),IF(OR(E155-C155&gt;6/24,I155-G155&gt;6/24,M155-K155&gt;6/24),"PB","")))))</f>
        <v/>
      </c>
      <c r="Y155" s="959" t="str">
        <f t="shared" si="273"/>
        <v/>
      </c>
      <c r="Z155" s="836"/>
      <c r="AA155" s="837"/>
      <c r="AB155" s="953"/>
      <c r="AC155" s="934">
        <f t="shared" si="275"/>
        <v>42792</v>
      </c>
      <c r="AD155" s="961">
        <f>IF(AND(N(AC155)&gt;=Paramétrage!$AU$11,N(AC155)&lt;=Paramétrage!$AU$12),IF(C155="cp",1,0),0)</f>
        <v>0</v>
      </c>
      <c r="AE155" s="962">
        <f t="shared" si="274"/>
        <v>0</v>
      </c>
      <c r="AF155" s="961">
        <f>IF(AND(N(AC155)&gt;=Paramétrage!$AX$11,N(AC155)&lt;=Paramétrage!$AX$12),IF(C155="cp",1,0),0)</f>
        <v>0</v>
      </c>
      <c r="AG155" s="962">
        <f t="shared" si="276"/>
        <v>0</v>
      </c>
      <c r="AI155" s="962">
        <f t="shared" si="277"/>
        <v>0</v>
      </c>
      <c r="AJ155" s="962">
        <f t="shared" si="278"/>
        <v>0</v>
      </c>
      <c r="AM155" s="962"/>
      <c r="AN155" s="962"/>
      <c r="AO155" s="962"/>
      <c r="AP155" s="962"/>
    </row>
    <row r="156" spans="1:45" ht="17.25" thickBot="1" x14ac:dyDescent="0.35">
      <c r="A156" s="966" t="s">
        <v>20</v>
      </c>
      <c r="B156" s="15" t="b">
        <f>IF(Paramétrage!$O$48="",FALSE,Paramétrage!$O$48)</f>
        <v>0</v>
      </c>
      <c r="C156" s="263"/>
      <c r="D156" s="16" t="b">
        <f>IF(Paramétrage!$Q$48="",FALSE,Paramétrage!$Q$48)</f>
        <v>0</v>
      </c>
      <c r="E156" s="264"/>
      <c r="F156" s="15" t="b">
        <f>IF(Paramétrage!$R$48="",FALSE,Paramétrage!$R$48)</f>
        <v>0</v>
      </c>
      <c r="G156" s="264"/>
      <c r="H156" s="17" t="b">
        <f>IF(Paramétrage!$T$48="",FALSE,Paramétrage!$T$48)</f>
        <v>0</v>
      </c>
      <c r="I156" s="263"/>
      <c r="J156" s="127" t="b">
        <f>IF(Paramétrage!$U$48="",FALSE,Paramétrage!$U$48)</f>
        <v>0</v>
      </c>
      <c r="K156" s="263"/>
      <c r="L156" s="28" t="b">
        <f>IF(Paramétrage!$W$48="",FALSE,Paramétrage!$W$48)</f>
        <v>0</v>
      </c>
      <c r="M156" s="263"/>
      <c r="N156" s="956">
        <f>IF(OR(B156="aa",B156="m"),M156,IF(B156="cp",0,IF(B156="jc",0,IF(B156="f",0,(D156-B156)*Paramétrage!$S$13+(H156-F156)*Paramétrage!$S$13+(L156-J156)*Paramétrage!$S$13+(D156-B156+H156-F156+L156-J156)))))</f>
        <v>0</v>
      </c>
      <c r="O156" s="956">
        <f>IF(OR(C156="aa",C156="m"),N156,IF(C156="cp",0,IF(C156="jc",0,IF(C156="f",0,(E156-C156)*Paramétrage!$S$13+(I156-G156)*Paramétrage!$S$13+(M156-K156)*Paramétrage!$S$13+(E156-C156+I156-G156+M156-K156)))))</f>
        <v>0</v>
      </c>
      <c r="P156" s="956">
        <f t="shared" si="266"/>
        <v>0</v>
      </c>
      <c r="Q156" s="956">
        <f t="shared" si="267"/>
        <v>0</v>
      </c>
      <c r="R156" s="957">
        <f t="shared" ref="R156" si="284">IF(OR(C156="aa",C156="cp",C156="f",C156="jc",C156="m",C156=0),MAX(B156,D156,F156,H156,J156,L156)-MIN(B156,D156,F156,H156,J156,L156),IF(C156&lt;&gt;0,MAX(C156,E156,G156,I156,K156,M156)-MIN(C156,E156,G156,I156,K156,M156)))</f>
        <v>0</v>
      </c>
      <c r="S156" s="262"/>
      <c r="T156" s="958" t="str">
        <f t="shared" si="283"/>
        <v/>
      </c>
      <c r="U156" s="959" t="str">
        <f>IF(P156=0,"",IF(P156&lt;Paramétrage!$S$12,"PB",IF(AND(Q156&lt;Paramétrage!$S$12,Q156&lt;&gt;0),"PB","")))</f>
        <v/>
      </c>
      <c r="V156" s="959" t="str">
        <f t="shared" si="270"/>
        <v/>
      </c>
      <c r="W156" s="959" t="str">
        <f t="shared" si="271"/>
        <v/>
      </c>
      <c r="X156" s="960" t="str">
        <f t="shared" ref="X156" si="285">IF(AND(N156=0,O156=0),"",(IF(OR(C156="aa",C156="cp",C156="f",C156="jc",C156="m"),"",IF(C156="",IF(OR(D156-B156&gt;6/24,H156-F156&gt;6/24,L156-J156&gt;6/24),"PB",""),IF(OR(E156-C156&gt;6/24,I156-G156&gt;6/24,M156-K156&gt;6/24),"PB","")))))</f>
        <v/>
      </c>
      <c r="Y156" s="959" t="str">
        <f t="shared" si="273"/>
        <v/>
      </c>
      <c r="Z156" s="836"/>
      <c r="AA156" s="837"/>
      <c r="AB156" s="967"/>
      <c r="AC156" s="934">
        <f t="shared" si="275"/>
        <v>42793</v>
      </c>
      <c r="AD156" s="961">
        <f>IF(AND(N(AC156)&gt;=Paramétrage!$AU$11,N(AC156)&lt;=Paramétrage!$AU$12),IF(C156="cp",1,0),0)</f>
        <v>0</v>
      </c>
      <c r="AE156" s="962">
        <f t="shared" si="274"/>
        <v>0</v>
      </c>
      <c r="AF156" s="961">
        <f>IF(AND(N(AC156)&gt;=Paramétrage!$AX$11,N(AC156)&lt;=Paramétrage!$AX$12),IF(C156="cp",1,0),0)</f>
        <v>0</v>
      </c>
      <c r="AG156" s="962">
        <f t="shared" si="276"/>
        <v>0</v>
      </c>
      <c r="AI156" s="962">
        <f t="shared" si="277"/>
        <v>0</v>
      </c>
      <c r="AJ156" s="962">
        <f t="shared" si="278"/>
        <v>0</v>
      </c>
      <c r="AM156" s="962"/>
      <c r="AN156" s="962"/>
      <c r="AO156" s="962"/>
      <c r="AP156" s="962"/>
    </row>
    <row r="157" spans="1:45" s="935" customFormat="1" x14ac:dyDescent="0.25">
      <c r="A157" s="969" t="s">
        <v>31</v>
      </c>
      <c r="B157" s="970"/>
      <c r="C157" s="970"/>
      <c r="D157" s="970"/>
      <c r="E157" s="970"/>
      <c r="F157" s="970"/>
      <c r="G157" s="970"/>
      <c r="H157" s="970"/>
      <c r="I157" s="970"/>
      <c r="J157" s="970"/>
      <c r="K157" s="971"/>
      <c r="L157" s="970"/>
      <c r="M157" s="970"/>
      <c r="N157" s="972">
        <f>SUM(N150:N156)</f>
        <v>0</v>
      </c>
      <c r="O157" s="972">
        <f>SUM(O150:O156)</f>
        <v>0</v>
      </c>
      <c r="P157" s="972">
        <f>SUM(P150:P156)</f>
        <v>0</v>
      </c>
      <c r="Q157" s="972">
        <f>SUM(Q150:Q156)</f>
        <v>0</v>
      </c>
      <c r="R157" s="972"/>
      <c r="S157" s="972"/>
      <c r="T157" s="973"/>
      <c r="U157" s="974"/>
      <c r="V157" s="975" t="str">
        <f>IF((O157*24)&gt;48,"PB","")</f>
        <v/>
      </c>
      <c r="W157" s="974"/>
      <c r="X157" s="974"/>
      <c r="Y157" s="974"/>
      <c r="Z157" s="1053" t="s">
        <v>59</v>
      </c>
      <c r="AA157" s="1055">
        <f>+O157-N157</f>
        <v>0</v>
      </c>
      <c r="AB157" s="953"/>
      <c r="AE157" s="917"/>
      <c r="AF157" s="917"/>
      <c r="AG157" s="917"/>
      <c r="AH157" s="917"/>
      <c r="AI157" s="917"/>
      <c r="AJ157" s="917"/>
      <c r="AK157" s="917"/>
      <c r="AL157" s="917"/>
      <c r="AR157" s="917"/>
      <c r="AS157" s="917"/>
    </row>
    <row r="158" spans="1:45" s="935" customFormat="1" x14ac:dyDescent="0.25">
      <c r="A158" s="969"/>
      <c r="B158" s="969"/>
      <c r="C158" s="969"/>
      <c r="D158" s="969"/>
      <c r="E158" s="969"/>
      <c r="F158" s="1052"/>
      <c r="G158" s="1052"/>
      <c r="H158" s="1052"/>
      <c r="I158" s="1052"/>
      <c r="J158" s="1052"/>
      <c r="K158" s="969"/>
      <c r="L158" s="969"/>
      <c r="M158" s="969"/>
      <c r="N158" s="973"/>
      <c r="O158" s="969"/>
      <c r="P158" s="980"/>
      <c r="Q158" s="980"/>
      <c r="R158" s="980"/>
      <c r="S158" s="973"/>
      <c r="T158" s="980"/>
      <c r="U158" s="980"/>
      <c r="V158" s="980"/>
      <c r="W158" s="980"/>
      <c r="X158" s="980"/>
      <c r="Y158" s="980"/>
      <c r="Z158" s="1053"/>
      <c r="AA158" s="1055"/>
      <c r="AB158" s="953"/>
      <c r="AE158" s="917"/>
      <c r="AF158" s="917"/>
      <c r="AG158" s="917"/>
      <c r="AH158" s="917"/>
      <c r="AI158" s="917"/>
      <c r="AJ158" s="917"/>
      <c r="AK158" s="917"/>
      <c r="AL158" s="917"/>
      <c r="AR158" s="917"/>
      <c r="AS158" s="917"/>
    </row>
    <row r="159" spans="1:45" ht="16.5" x14ac:dyDescent="0.3">
      <c r="A159" s="997" t="s">
        <v>225</v>
      </c>
      <c r="B159" s="997"/>
      <c r="C159" s="997"/>
      <c r="D159" s="997"/>
      <c r="E159" s="997"/>
      <c r="F159" s="998">
        <f>N133+N121+N109+N97+N85+N73+N61+N49+N37+N25+N13+N145+N157</f>
        <v>0</v>
      </c>
      <c r="G159" s="998"/>
      <c r="H159" s="1058"/>
      <c r="I159" s="1058"/>
      <c r="J159" s="1058"/>
      <c r="K159" s="1058"/>
      <c r="L159" s="999"/>
      <c r="M159" s="999"/>
      <c r="N159" s="999"/>
      <c r="O159" s="997"/>
      <c r="P159" s="997"/>
      <c r="Q159" s="997"/>
      <c r="R159" s="1000"/>
      <c r="S159" s="1000"/>
      <c r="T159" s="1000"/>
      <c r="U159" s="1000"/>
      <c r="V159" s="1000"/>
      <c r="W159" s="1000"/>
      <c r="X159" s="1000"/>
      <c r="Y159" s="1000"/>
      <c r="Z159" s="1001"/>
      <c r="AA159" s="1002"/>
    </row>
    <row r="160" spans="1:45" ht="18.75" x14ac:dyDescent="0.3">
      <c r="A160" s="1003" t="s">
        <v>226</v>
      </c>
      <c r="B160" s="1003"/>
      <c r="C160" s="1003"/>
      <c r="D160" s="1003"/>
      <c r="E160" s="1003"/>
      <c r="F160" s="1004">
        <f>O133+O121+O109+O97+O85+O73+O61+O49+O37+O25+O13+O145+O157</f>
        <v>0</v>
      </c>
      <c r="G160" s="1004"/>
      <c r="H160" s="1058"/>
      <c r="I160" s="1058"/>
      <c r="J160" s="1058"/>
      <c r="K160" s="1058"/>
      <c r="L160" s="999"/>
      <c r="M160" s="999"/>
      <c r="N160" s="999"/>
      <c r="O160" s="997"/>
      <c r="P160" s="997"/>
      <c r="Q160" s="997"/>
      <c r="R160" s="1005" t="s">
        <v>120</v>
      </c>
      <c r="S160" s="1005"/>
      <c r="T160" s="1005"/>
      <c r="U160" s="1005"/>
      <c r="V160" s="1005"/>
      <c r="W160" s="1005"/>
      <c r="X160" s="1005"/>
      <c r="Y160" s="1005"/>
      <c r="Z160" s="1005"/>
      <c r="AA160" s="1005"/>
    </row>
    <row r="161" spans="1:36" ht="16.5" x14ac:dyDescent="0.3">
      <c r="A161" s="1003" t="s">
        <v>227</v>
      </c>
      <c r="B161" s="1003"/>
      <c r="C161" s="1003"/>
      <c r="D161" s="1003"/>
      <c r="E161" s="1003"/>
      <c r="F161" s="1004">
        <f>+annualisation!$B$39</f>
        <v>0</v>
      </c>
      <c r="G161" s="1004"/>
      <c r="H161" s="1058"/>
      <c r="I161" s="1058"/>
      <c r="J161" s="1058"/>
      <c r="K161" s="1058"/>
      <c r="L161" s="999"/>
      <c r="M161" s="999"/>
      <c r="N161" s="999"/>
      <c r="O161" s="997"/>
      <c r="P161" s="997"/>
      <c r="Q161" s="997"/>
      <c r="R161" s="1000"/>
      <c r="S161" s="1000"/>
      <c r="T161" s="1000"/>
      <c r="U161" s="1000"/>
      <c r="V161" s="1000"/>
      <c r="W161" s="1000"/>
      <c r="X161" s="1000"/>
      <c r="Y161" s="1000"/>
      <c r="Z161" s="1001"/>
      <c r="AA161" s="1002"/>
    </row>
    <row r="162" spans="1:36" ht="16.5" customHeight="1" x14ac:dyDescent="0.3">
      <c r="A162" s="1003" t="s">
        <v>71</v>
      </c>
      <c r="B162" s="1003"/>
      <c r="C162" s="1003"/>
      <c r="D162" s="1003"/>
      <c r="E162" s="1003"/>
      <c r="F162" s="1004">
        <f>+annualisation!F78</f>
        <v>0</v>
      </c>
      <c r="G162" s="1004"/>
      <c r="H162" s="1058"/>
      <c r="I162" s="1058"/>
      <c r="J162" s="1058"/>
      <c r="K162" s="1058"/>
      <c r="L162" s="999"/>
      <c r="M162" s="999"/>
      <c r="N162" s="999"/>
      <c r="O162" s="997"/>
      <c r="P162" s="1006"/>
      <c r="Q162" s="1007" t="s">
        <v>155</v>
      </c>
      <c r="R162" s="1008"/>
      <c r="S162" s="1009" t="str">
        <f>Paramétrage!$K$5&amp;" "&amp;Paramétrage!$C$5</f>
        <v xml:space="preserve"> </v>
      </c>
      <c r="T162" s="1009"/>
      <c r="U162" s="1009"/>
      <c r="V162" s="1009"/>
      <c r="W162" s="1009"/>
      <c r="X162" s="1009"/>
      <c r="Y162" s="1010"/>
      <c r="Z162" s="1011" t="s">
        <v>154</v>
      </c>
      <c r="AA162" s="1011"/>
      <c r="AF162" s="961"/>
      <c r="AG162" s="962">
        <f>'T2'!O6</f>
        <v>0</v>
      </c>
      <c r="AI162" s="962">
        <f>AE162+AI156</f>
        <v>0</v>
      </c>
      <c r="AJ162" s="962">
        <f>AG162+AJ156</f>
        <v>0</v>
      </c>
    </row>
    <row r="163" spans="1:36" ht="16.5" x14ac:dyDescent="0.3">
      <c r="A163" s="1003" t="s">
        <v>228</v>
      </c>
      <c r="B163" s="1003"/>
      <c r="C163" s="1003"/>
      <c r="D163" s="1003"/>
      <c r="E163" s="1003"/>
      <c r="F163" s="1012">
        <f>COUNTIF(C150:C156,"cp")+COUNTIF(C138:C144,"cp")+COUNTIF(C54:C60,"cp")+COUNTIF(C42:C48,"cp")+COUNTIF(C30:C36,"cp")+COUNTIF(C18:C24,"cp")+COUNTIF(C66:C72,"cp")+COUNTIF(C78:C84,"cp")+COUNTIF(C90:C96,"cp")+COUNTIF(C102:C108,"cp")+COUNTIF(C114:C120,"cp")+COUNTIF(C126:C132,"cp")+COUNTIF(C6:C12,"cp")</f>
        <v>0</v>
      </c>
      <c r="G163" s="1012"/>
      <c r="H163" s="1013" t="s">
        <v>23</v>
      </c>
      <c r="I163" s="1014"/>
      <c r="J163" s="1015" t="str">
        <f>ROUND(Paramétrage!AD11,2)-F163-'T1'!F163&amp;" jours"</f>
        <v>25 jours</v>
      </c>
      <c r="K163" s="1016"/>
      <c r="L163" s="999"/>
      <c r="M163" s="999"/>
      <c r="N163" s="999"/>
      <c r="O163" s="997"/>
      <c r="P163" s="997"/>
      <c r="Q163" s="1017"/>
      <c r="R163" s="1018"/>
      <c r="S163" s="1019"/>
      <c r="T163" s="1019"/>
      <c r="U163" s="1019"/>
      <c r="V163" s="1019"/>
      <c r="W163" s="1019"/>
      <c r="X163" s="1019"/>
      <c r="Y163" s="1020"/>
      <c r="Z163" s="1011"/>
      <c r="AA163" s="1011"/>
      <c r="AF163" s="961"/>
      <c r="AG163" s="962">
        <f>'T2'!O7</f>
        <v>0</v>
      </c>
      <c r="AI163" s="962">
        <f t="shared" ref="AI163:AI168" si="286">AE163+AI162</f>
        <v>0</v>
      </c>
      <c r="AJ163" s="962">
        <f t="shared" ref="AJ163:AJ168" si="287">AG163+AJ162</f>
        <v>0</v>
      </c>
    </row>
    <row r="164" spans="1:36" ht="16.5" x14ac:dyDescent="0.3">
      <c r="A164" s="1003" t="s">
        <v>229</v>
      </c>
      <c r="B164" s="1003"/>
      <c r="C164" s="1003"/>
      <c r="D164" s="1003"/>
      <c r="E164" s="1003"/>
      <c r="F164" s="1012">
        <f>COUNTIF(C150:C156,"jc")+COUNTIF(C138:C144,"jc")+COUNTIF(C54:C60,"jc")+COUNTIF(C42:C48,"jc")+COUNTIF(C30:C36,"jc")+COUNTIF(C18:C24,"jc")+COUNTIF(C66:C72,"jc")+COUNTIF(C78:C84,"jc")+COUNTIF(C90:C96,"jc")+COUNTIF(C102:C108,"jc")+COUNTIF(C114:C120,"jc")+COUNTIF(C126:C132,"jc")+COUNTIF(C6:C12,"jc")</f>
        <v>0</v>
      </c>
      <c r="G164" s="1012"/>
      <c r="H164" s="1058"/>
      <c r="I164" s="1058"/>
      <c r="J164" s="1058"/>
      <c r="K164" s="1058"/>
      <c r="L164" s="999"/>
      <c r="M164" s="999"/>
      <c r="N164" s="999"/>
      <c r="O164" s="997"/>
      <c r="P164" s="997"/>
      <c r="Q164" s="1021"/>
      <c r="R164" s="1022"/>
      <c r="S164" s="1023"/>
      <c r="T164" s="1023"/>
      <c r="U164" s="1023"/>
      <c r="V164" s="1023"/>
      <c r="W164" s="1023"/>
      <c r="X164" s="1023"/>
      <c r="Y164" s="1024"/>
      <c r="Z164" s="1011"/>
      <c r="AA164" s="1011"/>
      <c r="AF164" s="961"/>
      <c r="AG164" s="962">
        <f>'T2'!O8</f>
        <v>0</v>
      </c>
      <c r="AI164" s="962">
        <f t="shared" si="286"/>
        <v>0</v>
      </c>
      <c r="AJ164" s="962">
        <f t="shared" si="287"/>
        <v>0</v>
      </c>
    </row>
    <row r="165" spans="1:36" ht="16.5" x14ac:dyDescent="0.3">
      <c r="A165" s="1003" t="s">
        <v>230</v>
      </c>
      <c r="B165" s="1003"/>
      <c r="C165" s="1003"/>
      <c r="D165" s="1003"/>
      <c r="E165" s="1003"/>
      <c r="F165" s="1012">
        <f>COUNTIF(C150:C156,"m")+COUNTIF(C138:C144,"m")+COUNTIF(C54:C60,"m")+COUNTIF(C42:C48,"m")+COUNTIF(C30:C36,"m")+COUNTIF(C18:C24,"m")+COUNTIF(C66:C72,"m")+COUNTIF(C78:C84,"m")+COUNTIF(C90:C96,"m")+COUNTIF(C102:C108,"m")+COUNTIF(C114:C120,"m")+COUNTIF(C126:C132,"m")+COUNTIF(C6:C12,"m")</f>
        <v>0</v>
      </c>
      <c r="G165" s="1012"/>
      <c r="H165" s="1058"/>
      <c r="I165" s="1058"/>
      <c r="J165" s="1058"/>
      <c r="K165" s="1058"/>
      <c r="L165" s="999"/>
      <c r="M165" s="999"/>
      <c r="N165" s="999"/>
      <c r="O165" s="997"/>
      <c r="P165" s="1025" t="str">
        <f>A5</f>
        <v>S49</v>
      </c>
      <c r="Q165" s="1026"/>
      <c r="R165" s="1027"/>
      <c r="S165" s="1028"/>
      <c r="T165" s="1028"/>
      <c r="U165" s="1028"/>
      <c r="V165" s="1028"/>
      <c r="W165" s="1028"/>
      <c r="X165" s="1028"/>
      <c r="Y165" s="1027"/>
      <c r="Z165" s="1029"/>
      <c r="AA165" s="1030"/>
      <c r="AF165" s="961"/>
      <c r="AG165" s="962">
        <f>'T2'!O9</f>
        <v>0</v>
      </c>
      <c r="AI165" s="962">
        <f t="shared" si="286"/>
        <v>0</v>
      </c>
      <c r="AJ165" s="962">
        <f t="shared" si="287"/>
        <v>0</v>
      </c>
    </row>
    <row r="166" spans="1:36" ht="16.5" x14ac:dyDescent="0.3">
      <c r="A166" s="1003" t="s">
        <v>222</v>
      </c>
      <c r="B166" s="1000"/>
      <c r="C166" s="1000"/>
      <c r="D166" s="1000"/>
      <c r="E166" s="1000"/>
      <c r="F166" s="1012">
        <f>COUNTIF(C6:C156,"aa")</f>
        <v>0</v>
      </c>
      <c r="G166" s="1012"/>
      <c r="H166" s="1000"/>
      <c r="I166" s="1000"/>
      <c r="J166" s="999"/>
      <c r="K166" s="999"/>
      <c r="L166" s="999"/>
      <c r="M166" s="999"/>
      <c r="N166" s="999"/>
      <c r="O166" s="997"/>
      <c r="P166" s="1025"/>
      <c r="Q166" s="1031"/>
      <c r="R166" s="1032"/>
      <c r="S166" s="1033"/>
      <c r="T166" s="1033"/>
      <c r="U166" s="1033"/>
      <c r="V166" s="1033"/>
      <c r="W166" s="1033"/>
      <c r="X166" s="1033"/>
      <c r="Y166" s="1032"/>
      <c r="Z166" s="1034"/>
      <c r="AA166" s="1035"/>
      <c r="AF166" s="961"/>
      <c r="AG166" s="962">
        <f>'T2'!O10</f>
        <v>0</v>
      </c>
      <c r="AI166" s="962">
        <f t="shared" si="286"/>
        <v>0</v>
      </c>
      <c r="AJ166" s="962">
        <f t="shared" si="287"/>
        <v>0</v>
      </c>
    </row>
    <row r="167" spans="1:36" ht="15" customHeight="1" x14ac:dyDescent="0.3">
      <c r="A167" s="1000"/>
      <c r="B167" s="1000"/>
      <c r="C167" s="1000"/>
      <c r="D167" s="1000"/>
      <c r="E167" s="1000"/>
      <c r="F167" s="1036"/>
      <c r="G167" s="1000"/>
      <c r="H167" s="1000"/>
      <c r="I167" s="1000"/>
      <c r="J167" s="999"/>
      <c r="K167" s="999"/>
      <c r="L167" s="999"/>
      <c r="M167" s="999"/>
      <c r="N167" s="999"/>
      <c r="O167" s="997"/>
      <c r="P167" s="1025" t="str">
        <f>A17</f>
        <v>S50</v>
      </c>
      <c r="Q167" s="1026"/>
      <c r="R167" s="1027"/>
      <c r="S167" s="1028"/>
      <c r="T167" s="1028"/>
      <c r="U167" s="1028"/>
      <c r="V167" s="1028"/>
      <c r="W167" s="1028"/>
      <c r="X167" s="1028"/>
      <c r="Y167" s="1027"/>
      <c r="Z167" s="1029"/>
      <c r="AA167" s="1030"/>
      <c r="AF167" s="961"/>
      <c r="AG167" s="962">
        <f>'T2'!O11</f>
        <v>0</v>
      </c>
      <c r="AI167" s="962">
        <f t="shared" si="286"/>
        <v>0</v>
      </c>
      <c r="AJ167" s="962">
        <f t="shared" si="287"/>
        <v>0</v>
      </c>
    </row>
    <row r="168" spans="1:36" ht="16.5" x14ac:dyDescent="0.3">
      <c r="A168" s="1000"/>
      <c r="B168" s="1000"/>
      <c r="C168" s="1000"/>
      <c r="D168" s="1000"/>
      <c r="E168" s="1000"/>
      <c r="F168" s="1000"/>
      <c r="G168" s="1000"/>
      <c r="H168" s="1000"/>
      <c r="I168" s="1000"/>
      <c r="J168" s="999"/>
      <c r="K168" s="999"/>
      <c r="L168" s="999"/>
      <c r="M168" s="999"/>
      <c r="N168" s="999"/>
      <c r="O168" s="997"/>
      <c r="P168" s="1025"/>
      <c r="Q168" s="1031"/>
      <c r="R168" s="1032"/>
      <c r="S168" s="1033"/>
      <c r="T168" s="1033"/>
      <c r="U168" s="1033"/>
      <c r="V168" s="1033"/>
      <c r="W168" s="1033"/>
      <c r="X168" s="1033"/>
      <c r="Y168" s="1032"/>
      <c r="Z168" s="1034"/>
      <c r="AA168" s="1035"/>
      <c r="AF168" s="961"/>
      <c r="AG168" s="962">
        <f>'T2'!O12</f>
        <v>0</v>
      </c>
      <c r="AI168" s="962">
        <f t="shared" si="286"/>
        <v>0</v>
      </c>
      <c r="AJ168" s="962">
        <f t="shared" si="287"/>
        <v>0</v>
      </c>
    </row>
    <row r="169" spans="1:36" ht="16.5" x14ac:dyDescent="0.3">
      <c r="A169" s="1000"/>
      <c r="B169" s="1000"/>
      <c r="C169" s="1000"/>
      <c r="D169" s="1000"/>
      <c r="E169" s="1000"/>
      <c r="F169" s="1000"/>
      <c r="G169" s="1000"/>
      <c r="H169" s="1000"/>
      <c r="I169" s="1000"/>
      <c r="J169" s="999"/>
      <c r="K169" s="999"/>
      <c r="L169" s="999"/>
      <c r="M169" s="999"/>
      <c r="N169" s="999"/>
      <c r="O169" s="997"/>
      <c r="P169" s="1025" t="str">
        <f>A29</f>
        <v>S51</v>
      </c>
      <c r="Q169" s="1026"/>
      <c r="R169" s="1027"/>
      <c r="S169" s="1028"/>
      <c r="T169" s="1028"/>
      <c r="U169" s="1028"/>
      <c r="V169" s="1028"/>
      <c r="W169" s="1028"/>
      <c r="X169" s="1028"/>
      <c r="Y169" s="1027"/>
      <c r="Z169" s="1029"/>
      <c r="AA169" s="1030"/>
    </row>
    <row r="170" spans="1:36" ht="16.5" customHeight="1" x14ac:dyDescent="0.3">
      <c r="A170" s="1005" t="str">
        <f>IF(Paramétrage!F30="o","Signatures","")</f>
        <v/>
      </c>
      <c r="B170" s="1005"/>
      <c r="C170" s="1005"/>
      <c r="D170" s="1005"/>
      <c r="E170" s="1005"/>
      <c r="F170" s="1005"/>
      <c r="G170" s="1005"/>
      <c r="H170" s="1000"/>
      <c r="I170" s="1000"/>
      <c r="J170" s="999"/>
      <c r="K170" s="999"/>
      <c r="L170" s="999"/>
      <c r="M170" s="999"/>
      <c r="N170" s="999"/>
      <c r="O170" s="997"/>
      <c r="P170" s="1025"/>
      <c r="Q170" s="1031"/>
      <c r="R170" s="1032"/>
      <c r="S170" s="1033"/>
      <c r="T170" s="1033"/>
      <c r="U170" s="1033"/>
      <c r="V170" s="1033"/>
      <c r="W170" s="1033"/>
      <c r="X170" s="1033"/>
      <c r="Y170" s="1032"/>
      <c r="Z170" s="1034"/>
      <c r="AA170" s="1035"/>
    </row>
    <row r="171" spans="1:36" ht="16.5" x14ac:dyDescent="0.3">
      <c r="A171" s="1000"/>
      <c r="B171" s="1000"/>
      <c r="C171" s="1000"/>
      <c r="D171" s="1000"/>
      <c r="E171" s="1000"/>
      <c r="F171" s="1000"/>
      <c r="G171" s="1000"/>
      <c r="H171" s="1000"/>
      <c r="I171" s="1000"/>
      <c r="J171" s="999"/>
      <c r="K171" s="999"/>
      <c r="L171" s="999"/>
      <c r="M171" s="999"/>
      <c r="N171" s="999"/>
      <c r="O171" s="997"/>
      <c r="P171" s="1025" t="str">
        <f>A41</f>
        <v>S52</v>
      </c>
      <c r="Q171" s="1026"/>
      <c r="R171" s="1027"/>
      <c r="S171" s="1028"/>
      <c r="T171" s="1028"/>
      <c r="U171" s="1028"/>
      <c r="V171" s="1028"/>
      <c r="W171" s="1028"/>
      <c r="X171" s="1028"/>
      <c r="Y171" s="1027"/>
      <c r="Z171" s="1029"/>
      <c r="AA171" s="1030"/>
    </row>
    <row r="172" spans="1:36" ht="16.5" x14ac:dyDescent="0.3">
      <c r="A172" s="1037" t="str">
        <f>Paramétrage!K5&amp;" "&amp;Paramétrage!C5</f>
        <v xml:space="preserve"> </v>
      </c>
      <c r="B172" s="1037"/>
      <c r="C172" s="1037"/>
      <c r="D172" s="1038" t="s">
        <v>121</v>
      </c>
      <c r="E172" s="1038"/>
      <c r="F172" s="1038"/>
      <c r="G172" s="1038"/>
      <c r="H172" s="1000"/>
      <c r="I172" s="1000"/>
      <c r="J172" s="999"/>
      <c r="K172" s="999"/>
      <c r="L172" s="999"/>
      <c r="M172" s="999"/>
      <c r="N172" s="999"/>
      <c r="O172" s="997"/>
      <c r="P172" s="1025"/>
      <c r="Q172" s="1031"/>
      <c r="R172" s="1032"/>
      <c r="S172" s="1033"/>
      <c r="T172" s="1033"/>
      <c r="U172" s="1033"/>
      <c r="V172" s="1033"/>
      <c r="W172" s="1033"/>
      <c r="X172" s="1033"/>
      <c r="Y172" s="1032"/>
      <c r="Z172" s="1034"/>
      <c r="AA172" s="1035"/>
    </row>
    <row r="173" spans="1:36" ht="16.5" x14ac:dyDescent="0.3">
      <c r="A173" s="1037"/>
      <c r="B173" s="1037"/>
      <c r="C173" s="1037"/>
      <c r="D173" s="1038"/>
      <c r="E173" s="1038"/>
      <c r="F173" s="1038"/>
      <c r="G173" s="1038"/>
      <c r="H173" s="1000"/>
      <c r="I173" s="1000"/>
      <c r="J173" s="999"/>
      <c r="K173" s="999"/>
      <c r="L173" s="999"/>
      <c r="M173" s="999"/>
      <c r="N173" s="999"/>
      <c r="O173" s="997"/>
      <c r="P173" s="1025" t="str">
        <f>A53</f>
        <v>S53</v>
      </c>
      <c r="Q173" s="1026"/>
      <c r="R173" s="1027"/>
      <c r="S173" s="1028"/>
      <c r="T173" s="1028"/>
      <c r="U173" s="1028"/>
      <c r="V173" s="1028"/>
      <c r="W173" s="1028"/>
      <c r="X173" s="1028"/>
      <c r="Y173" s="1027"/>
      <c r="Z173" s="1029"/>
      <c r="AA173" s="1030"/>
    </row>
    <row r="174" spans="1:36" ht="16.5" x14ac:dyDescent="0.3">
      <c r="A174" s="1000"/>
      <c r="B174" s="1000"/>
      <c r="C174" s="1000"/>
      <c r="D174" s="1000"/>
      <c r="E174" s="1000"/>
      <c r="F174" s="1000"/>
      <c r="G174" s="1000"/>
      <c r="H174" s="1000"/>
      <c r="I174" s="1000"/>
      <c r="J174" s="999"/>
      <c r="K174" s="999"/>
      <c r="L174" s="999"/>
      <c r="M174" s="999"/>
      <c r="N174" s="999"/>
      <c r="O174" s="997"/>
      <c r="P174" s="1025"/>
      <c r="Q174" s="1031"/>
      <c r="R174" s="1032"/>
      <c r="S174" s="1033"/>
      <c r="T174" s="1033"/>
      <c r="U174" s="1033"/>
      <c r="V174" s="1033"/>
      <c r="W174" s="1033"/>
      <c r="X174" s="1033"/>
      <c r="Y174" s="1032"/>
      <c r="Z174" s="1034"/>
      <c r="AA174" s="1035"/>
      <c r="AF174" s="961"/>
      <c r="AG174" s="962">
        <f>'T2'!O18</f>
        <v>0</v>
      </c>
      <c r="AI174" s="962">
        <f>AE174+AI168</f>
        <v>0</v>
      </c>
      <c r="AJ174" s="962">
        <f>AG174+AJ168</f>
        <v>0</v>
      </c>
    </row>
    <row r="175" spans="1:36" ht="16.5" x14ac:dyDescent="0.3">
      <c r="A175" s="1000"/>
      <c r="B175" s="1000"/>
      <c r="C175" s="1000"/>
      <c r="D175" s="1000"/>
      <c r="E175" s="1000"/>
      <c r="F175" s="1000"/>
      <c r="G175" s="1000"/>
      <c r="H175" s="1000"/>
      <c r="I175" s="1000"/>
      <c r="J175" s="999"/>
      <c r="K175" s="999"/>
      <c r="L175" s="999"/>
      <c r="M175" s="999"/>
      <c r="N175" s="999"/>
      <c r="O175" s="997"/>
      <c r="P175" s="1025" t="str">
        <f>A65</f>
        <v>S1</v>
      </c>
      <c r="Q175" s="1026"/>
      <c r="R175" s="1027"/>
      <c r="S175" s="1028"/>
      <c r="T175" s="1028"/>
      <c r="U175" s="1028"/>
      <c r="V175" s="1028"/>
      <c r="W175" s="1028"/>
      <c r="X175" s="1028"/>
      <c r="Y175" s="1027"/>
      <c r="Z175" s="1029"/>
      <c r="AA175" s="1030"/>
      <c r="AF175" s="961"/>
      <c r="AG175" s="962">
        <f>'T2'!O19</f>
        <v>0</v>
      </c>
      <c r="AI175" s="962">
        <f t="shared" ref="AI175:AI180" si="288">AE175+AI174</f>
        <v>0</v>
      </c>
      <c r="AJ175" s="962">
        <f t="shared" ref="AJ175:AJ180" si="289">AG175+AJ174</f>
        <v>0</v>
      </c>
    </row>
    <row r="176" spans="1:36" ht="16.5" x14ac:dyDescent="0.3">
      <c r="A176" s="1000"/>
      <c r="B176" s="1000"/>
      <c r="C176" s="1000"/>
      <c r="D176" s="1000"/>
      <c r="E176" s="1000"/>
      <c r="F176" s="1000"/>
      <c r="G176" s="1000"/>
      <c r="H176" s="1000"/>
      <c r="I176" s="1000"/>
      <c r="J176" s="999"/>
      <c r="K176" s="999"/>
      <c r="L176" s="999"/>
      <c r="M176" s="999"/>
      <c r="N176" s="999"/>
      <c r="O176" s="997"/>
      <c r="P176" s="1025"/>
      <c r="Q176" s="1031"/>
      <c r="R176" s="1032"/>
      <c r="S176" s="1033"/>
      <c r="T176" s="1033"/>
      <c r="U176" s="1033"/>
      <c r="V176" s="1033"/>
      <c r="W176" s="1033"/>
      <c r="X176" s="1033"/>
      <c r="Y176" s="1032"/>
      <c r="Z176" s="1034"/>
      <c r="AA176" s="1035"/>
      <c r="AF176" s="961"/>
      <c r="AG176" s="962">
        <f>'T2'!O20</f>
        <v>0</v>
      </c>
      <c r="AI176" s="962">
        <f t="shared" si="288"/>
        <v>0</v>
      </c>
      <c r="AJ176" s="962">
        <f t="shared" si="289"/>
        <v>0</v>
      </c>
    </row>
    <row r="177" spans="1:36" ht="16.5" x14ac:dyDescent="0.3">
      <c r="A177" s="1000"/>
      <c r="B177" s="1000"/>
      <c r="C177" s="1000"/>
      <c r="D177" s="1000"/>
      <c r="E177" s="1000"/>
      <c r="F177" s="1000"/>
      <c r="G177" s="1000"/>
      <c r="H177" s="1000"/>
      <c r="I177" s="1000"/>
      <c r="J177" s="999"/>
      <c r="K177" s="999"/>
      <c r="L177" s="999"/>
      <c r="M177" s="999"/>
      <c r="N177" s="999"/>
      <c r="O177" s="997"/>
      <c r="P177" s="1025" t="str">
        <f>A77</f>
        <v>S2</v>
      </c>
      <c r="Q177" s="1026"/>
      <c r="R177" s="1027"/>
      <c r="S177" s="1028"/>
      <c r="T177" s="1028"/>
      <c r="U177" s="1028"/>
      <c r="V177" s="1028"/>
      <c r="W177" s="1028"/>
      <c r="X177" s="1028"/>
      <c r="Y177" s="1027"/>
      <c r="Z177" s="1029"/>
      <c r="AA177" s="1030"/>
      <c r="AF177" s="961"/>
      <c r="AG177" s="962">
        <f>'T2'!O21</f>
        <v>0</v>
      </c>
      <c r="AI177" s="962">
        <f t="shared" si="288"/>
        <v>0</v>
      </c>
      <c r="AJ177" s="962">
        <f t="shared" si="289"/>
        <v>0</v>
      </c>
    </row>
    <row r="178" spans="1:36" ht="16.5" x14ac:dyDescent="0.3">
      <c r="A178" s="1000"/>
      <c r="B178" s="1000"/>
      <c r="C178" s="1000"/>
      <c r="D178" s="1000"/>
      <c r="E178" s="1000"/>
      <c r="F178" s="1000"/>
      <c r="G178" s="1000"/>
      <c r="H178" s="1000"/>
      <c r="I178" s="1000"/>
      <c r="J178" s="999"/>
      <c r="K178" s="999"/>
      <c r="L178" s="999"/>
      <c r="M178" s="999"/>
      <c r="N178" s="999"/>
      <c r="O178" s="997"/>
      <c r="P178" s="1025"/>
      <c r="Q178" s="1031"/>
      <c r="R178" s="1032"/>
      <c r="S178" s="1033"/>
      <c r="T178" s="1033"/>
      <c r="U178" s="1033"/>
      <c r="V178" s="1033"/>
      <c r="W178" s="1033"/>
      <c r="X178" s="1033"/>
      <c r="Y178" s="1032"/>
      <c r="Z178" s="1034"/>
      <c r="AA178" s="1035"/>
      <c r="AF178" s="961"/>
      <c r="AG178" s="962">
        <f>'T2'!O22</f>
        <v>0</v>
      </c>
      <c r="AI178" s="962">
        <f t="shared" si="288"/>
        <v>0</v>
      </c>
      <c r="AJ178" s="962">
        <f t="shared" si="289"/>
        <v>0</v>
      </c>
    </row>
    <row r="179" spans="1:36" ht="16.5" x14ac:dyDescent="0.3">
      <c r="A179" s="1000"/>
      <c r="B179" s="1000"/>
      <c r="C179" s="1000"/>
      <c r="D179" s="1000"/>
      <c r="E179" s="1000"/>
      <c r="F179" s="1000"/>
      <c r="G179" s="1000"/>
      <c r="H179" s="1000"/>
      <c r="I179" s="1000"/>
      <c r="J179" s="999"/>
      <c r="K179" s="999"/>
      <c r="L179" s="999"/>
      <c r="M179" s="999"/>
      <c r="N179" s="999"/>
      <c r="O179" s="997"/>
      <c r="P179" s="1025" t="str">
        <f>A89</f>
        <v>S3</v>
      </c>
      <c r="Q179" s="1026"/>
      <c r="R179" s="1027"/>
      <c r="S179" s="1028"/>
      <c r="T179" s="1028"/>
      <c r="U179" s="1028"/>
      <c r="V179" s="1028"/>
      <c r="W179" s="1028"/>
      <c r="X179" s="1028"/>
      <c r="Y179" s="1027"/>
      <c r="Z179" s="1029"/>
      <c r="AA179" s="1030"/>
      <c r="AF179" s="961"/>
      <c r="AG179" s="962">
        <f>'T2'!O23</f>
        <v>0</v>
      </c>
      <c r="AI179" s="962">
        <f t="shared" si="288"/>
        <v>0</v>
      </c>
      <c r="AJ179" s="962">
        <f t="shared" si="289"/>
        <v>0</v>
      </c>
    </row>
    <row r="180" spans="1:36" ht="16.5" x14ac:dyDescent="0.3">
      <c r="A180" s="1000"/>
      <c r="B180" s="1000"/>
      <c r="C180" s="1000"/>
      <c r="D180" s="1000"/>
      <c r="E180" s="1000"/>
      <c r="F180" s="1000"/>
      <c r="G180" s="1000"/>
      <c r="H180" s="1000"/>
      <c r="I180" s="1000"/>
      <c r="J180" s="999"/>
      <c r="K180" s="999"/>
      <c r="L180" s="999"/>
      <c r="M180" s="999"/>
      <c r="N180" s="999"/>
      <c r="O180" s="997"/>
      <c r="P180" s="1025"/>
      <c r="Q180" s="1031"/>
      <c r="R180" s="1032"/>
      <c r="S180" s="1033"/>
      <c r="T180" s="1033"/>
      <c r="U180" s="1033"/>
      <c r="V180" s="1033"/>
      <c r="W180" s="1033"/>
      <c r="X180" s="1033"/>
      <c r="Y180" s="1032"/>
      <c r="Z180" s="1034"/>
      <c r="AA180" s="1035"/>
      <c r="AF180" s="961"/>
      <c r="AG180" s="962">
        <f>'T2'!O24</f>
        <v>0</v>
      </c>
      <c r="AI180" s="962">
        <f t="shared" si="288"/>
        <v>0</v>
      </c>
      <c r="AJ180" s="962">
        <f t="shared" si="289"/>
        <v>0</v>
      </c>
    </row>
    <row r="181" spans="1:36" ht="16.5" x14ac:dyDescent="0.3">
      <c r="A181" s="1040" t="s">
        <v>347</v>
      </c>
      <c r="B181" s="1000"/>
      <c r="C181" s="1000"/>
      <c r="D181" s="1000"/>
      <c r="E181" s="1000"/>
      <c r="F181" s="1000"/>
      <c r="G181" s="1000"/>
      <c r="H181" s="1000"/>
      <c r="I181" s="1000"/>
      <c r="J181" s="999"/>
      <c r="K181" s="999"/>
      <c r="L181" s="999"/>
      <c r="M181" s="999"/>
      <c r="N181" s="999"/>
      <c r="O181" s="997"/>
      <c r="P181" s="1025" t="str">
        <f>A101</f>
        <v>S4</v>
      </c>
      <c r="Q181" s="1026"/>
      <c r="R181" s="1027"/>
      <c r="S181" s="1028"/>
      <c r="T181" s="1028"/>
      <c r="U181" s="1028"/>
      <c r="V181" s="1028"/>
      <c r="W181" s="1028"/>
      <c r="X181" s="1028"/>
      <c r="Y181" s="1027"/>
      <c r="Z181" s="1029"/>
      <c r="AA181" s="1030"/>
    </row>
    <row r="182" spans="1:36" ht="16.5" x14ac:dyDescent="0.3">
      <c r="A182" s="1000"/>
      <c r="B182" s="1000"/>
      <c r="C182" s="1000"/>
      <c r="D182" s="1000"/>
      <c r="E182" s="1000"/>
      <c r="F182" s="1000"/>
      <c r="G182" s="1000"/>
      <c r="H182" s="1000"/>
      <c r="I182" s="1000"/>
      <c r="J182" s="999"/>
      <c r="K182" s="999"/>
      <c r="L182" s="999"/>
      <c r="M182" s="999"/>
      <c r="N182" s="999"/>
      <c r="O182" s="997"/>
      <c r="P182" s="1025"/>
      <c r="Q182" s="1031"/>
      <c r="R182" s="1032"/>
      <c r="S182" s="1033"/>
      <c r="T182" s="1033"/>
      <c r="U182" s="1033"/>
      <c r="V182" s="1033"/>
      <c r="W182" s="1033"/>
      <c r="X182" s="1033"/>
      <c r="Y182" s="1032"/>
      <c r="Z182" s="1034"/>
      <c r="AA182" s="1035"/>
    </row>
    <row r="183" spans="1:36" ht="16.5" x14ac:dyDescent="0.3">
      <c r="A183" s="1000"/>
      <c r="B183" s="1000"/>
      <c r="C183" s="1000"/>
      <c r="D183" s="1000"/>
      <c r="E183" s="1000"/>
      <c r="F183" s="1000"/>
      <c r="G183" s="1000"/>
      <c r="H183" s="1000"/>
      <c r="I183" s="1000"/>
      <c r="J183" s="999"/>
      <c r="K183" s="999"/>
      <c r="L183" s="999"/>
      <c r="M183" s="999"/>
      <c r="N183" s="999"/>
      <c r="O183" s="997"/>
      <c r="P183" s="1025" t="str">
        <f>A113</f>
        <v>S5</v>
      </c>
      <c r="Q183" s="1026"/>
      <c r="R183" s="1027"/>
      <c r="S183" s="1028"/>
      <c r="T183" s="1028"/>
      <c r="U183" s="1028"/>
      <c r="V183" s="1028"/>
      <c r="W183" s="1028"/>
      <c r="X183" s="1028"/>
      <c r="Y183" s="1027"/>
      <c r="Z183" s="1029"/>
      <c r="AA183" s="1030"/>
    </row>
    <row r="184" spans="1:36" ht="16.5" x14ac:dyDescent="0.3">
      <c r="A184" s="1000"/>
      <c r="B184" s="1000"/>
      <c r="C184" s="1000"/>
      <c r="D184" s="1000"/>
      <c r="E184" s="1000"/>
      <c r="F184" s="1000"/>
      <c r="G184" s="1000"/>
      <c r="H184" s="1000"/>
      <c r="I184" s="1000"/>
      <c r="J184" s="999"/>
      <c r="K184" s="999"/>
      <c r="L184" s="999"/>
      <c r="M184" s="999"/>
      <c r="N184" s="999"/>
      <c r="O184" s="997"/>
      <c r="P184" s="1025"/>
      <c r="Q184" s="1031"/>
      <c r="R184" s="1032"/>
      <c r="S184" s="1033"/>
      <c r="T184" s="1033"/>
      <c r="U184" s="1033"/>
      <c r="V184" s="1033"/>
      <c r="W184" s="1033"/>
      <c r="X184" s="1033"/>
      <c r="Y184" s="1032"/>
      <c r="Z184" s="1034"/>
      <c r="AA184" s="1035"/>
    </row>
    <row r="185" spans="1:36" ht="16.5" x14ac:dyDescent="0.3">
      <c r="A185" s="1000"/>
      <c r="B185" s="1000"/>
      <c r="C185" s="1000"/>
      <c r="D185" s="1000"/>
      <c r="E185" s="1000"/>
      <c r="F185" s="1000"/>
      <c r="G185" s="1000"/>
      <c r="H185" s="1000"/>
      <c r="I185" s="1000"/>
      <c r="J185" s="999"/>
      <c r="K185" s="999"/>
      <c r="L185" s="999"/>
      <c r="M185" s="999"/>
      <c r="N185" s="999"/>
      <c r="O185" s="997"/>
      <c r="P185" s="1025" t="str">
        <f>A125</f>
        <v>S6</v>
      </c>
      <c r="Q185" s="1026"/>
      <c r="R185" s="1027"/>
      <c r="S185" s="1028"/>
      <c r="T185" s="1028"/>
      <c r="U185" s="1028"/>
      <c r="V185" s="1028"/>
      <c r="W185" s="1028"/>
      <c r="X185" s="1028"/>
      <c r="Y185" s="1027"/>
      <c r="Z185" s="1029"/>
      <c r="AA185" s="1030"/>
    </row>
    <row r="186" spans="1:36" ht="16.5" x14ac:dyDescent="0.3">
      <c r="A186" s="1000"/>
      <c r="B186" s="1000"/>
      <c r="C186" s="1000"/>
      <c r="D186" s="1000"/>
      <c r="E186" s="1000"/>
      <c r="F186" s="1000"/>
      <c r="G186" s="1000"/>
      <c r="H186" s="1000"/>
      <c r="I186" s="1000"/>
      <c r="J186" s="999"/>
      <c r="K186" s="999"/>
      <c r="L186" s="999"/>
      <c r="M186" s="999"/>
      <c r="N186" s="999"/>
      <c r="O186" s="997"/>
      <c r="P186" s="1025"/>
      <c r="Q186" s="1031"/>
      <c r="R186" s="1032"/>
      <c r="S186" s="1033"/>
      <c r="T186" s="1033"/>
      <c r="U186" s="1033"/>
      <c r="V186" s="1033"/>
      <c r="W186" s="1033"/>
      <c r="X186" s="1033"/>
      <c r="Y186" s="1032"/>
      <c r="Z186" s="1034"/>
      <c r="AA186" s="1035"/>
      <c r="AG186" s="962">
        <f>'T2'!O30</f>
        <v>0</v>
      </c>
      <c r="AI186" s="962">
        <f>AE186+AI180</f>
        <v>0</v>
      </c>
      <c r="AJ186" s="962">
        <f>AG186+AJ180</f>
        <v>0</v>
      </c>
    </row>
    <row r="187" spans="1:36" ht="16.5" x14ac:dyDescent="0.3">
      <c r="A187" s="1000"/>
      <c r="B187" s="1000"/>
      <c r="C187" s="1000"/>
      <c r="D187" s="1000"/>
      <c r="E187" s="1000"/>
      <c r="F187" s="1000"/>
      <c r="G187" s="1000"/>
      <c r="H187" s="1000"/>
      <c r="I187" s="1000"/>
      <c r="J187" s="999"/>
      <c r="K187" s="999"/>
      <c r="L187" s="999"/>
      <c r="M187" s="999"/>
      <c r="N187" s="999"/>
      <c r="O187" s="997"/>
      <c r="P187" s="1025" t="str">
        <f>A137</f>
        <v>S7</v>
      </c>
      <c r="Q187" s="1026"/>
      <c r="R187" s="1027"/>
      <c r="S187" s="1028"/>
      <c r="T187" s="1028"/>
      <c r="U187" s="1028"/>
      <c r="V187" s="1028"/>
      <c r="W187" s="1028"/>
      <c r="X187" s="1028"/>
      <c r="Y187" s="1027"/>
      <c r="Z187" s="1029"/>
      <c r="AA187" s="1030"/>
      <c r="AG187" s="962">
        <f>'T2'!O31</f>
        <v>0</v>
      </c>
      <c r="AI187" s="962">
        <f t="shared" ref="AI187:AI192" si="290">AE187+AI186</f>
        <v>0</v>
      </c>
      <c r="AJ187" s="962">
        <f t="shared" ref="AJ187:AJ192" si="291">AG187+AJ186</f>
        <v>0</v>
      </c>
    </row>
    <row r="188" spans="1:36" ht="16.5" x14ac:dyDescent="0.3">
      <c r="A188" s="1000"/>
      <c r="B188" s="1000"/>
      <c r="C188" s="1000"/>
      <c r="D188" s="1000"/>
      <c r="E188" s="1000"/>
      <c r="F188" s="1000"/>
      <c r="G188" s="1000"/>
      <c r="H188" s="1000"/>
      <c r="I188" s="1000"/>
      <c r="J188" s="999"/>
      <c r="K188" s="999"/>
      <c r="L188" s="999"/>
      <c r="M188" s="999"/>
      <c r="N188" s="999"/>
      <c r="O188" s="997"/>
      <c r="P188" s="1025"/>
      <c r="Q188" s="1031"/>
      <c r="R188" s="1032"/>
      <c r="S188" s="1033"/>
      <c r="T188" s="1033"/>
      <c r="U188" s="1033"/>
      <c r="V188" s="1033"/>
      <c r="W188" s="1033"/>
      <c r="X188" s="1033"/>
      <c r="Y188" s="1032"/>
      <c r="Z188" s="1034"/>
      <c r="AA188" s="1035"/>
      <c r="AG188" s="962">
        <f>'T2'!O32</f>
        <v>0</v>
      </c>
      <c r="AI188" s="962">
        <f t="shared" si="290"/>
        <v>0</v>
      </c>
      <c r="AJ188" s="962">
        <f t="shared" si="291"/>
        <v>0</v>
      </c>
    </row>
    <row r="189" spans="1:36" ht="16.5" x14ac:dyDescent="0.3">
      <c r="A189" s="1000"/>
      <c r="B189" s="1000"/>
      <c r="C189" s="1000"/>
      <c r="D189" s="1000"/>
      <c r="E189" s="1000"/>
      <c r="F189" s="1000"/>
      <c r="G189" s="1000"/>
      <c r="H189" s="1000"/>
      <c r="I189" s="1000"/>
      <c r="J189" s="999"/>
      <c r="K189" s="999"/>
      <c r="L189" s="999"/>
      <c r="M189" s="999"/>
      <c r="N189" s="999"/>
      <c r="O189" s="997"/>
      <c r="P189" s="1025" t="str">
        <f>A149</f>
        <v>S8</v>
      </c>
      <c r="Q189" s="1026"/>
      <c r="R189" s="1027"/>
      <c r="S189" s="1028"/>
      <c r="T189" s="1028"/>
      <c r="U189" s="1028"/>
      <c r="V189" s="1028"/>
      <c r="W189" s="1028"/>
      <c r="X189" s="1028"/>
      <c r="Y189" s="1027"/>
      <c r="Z189" s="1029"/>
      <c r="AA189" s="1030"/>
      <c r="AG189" s="962">
        <f>'T2'!O33</f>
        <v>0</v>
      </c>
      <c r="AI189" s="962">
        <f t="shared" si="290"/>
        <v>0</v>
      </c>
      <c r="AJ189" s="962">
        <f t="shared" si="291"/>
        <v>0</v>
      </c>
    </row>
    <row r="190" spans="1:36" ht="16.5" x14ac:dyDescent="0.3">
      <c r="A190" s="1000"/>
      <c r="B190" s="1000"/>
      <c r="C190" s="1000"/>
      <c r="D190" s="1000"/>
      <c r="E190" s="1000"/>
      <c r="F190" s="1000"/>
      <c r="G190" s="1000"/>
      <c r="H190" s="1000"/>
      <c r="I190" s="1000"/>
      <c r="J190" s="999"/>
      <c r="K190" s="999"/>
      <c r="L190" s="999"/>
      <c r="M190" s="999"/>
      <c r="N190" s="999"/>
      <c r="O190" s="997"/>
      <c r="P190" s="1025"/>
      <c r="Q190" s="1031"/>
      <c r="R190" s="1032"/>
      <c r="S190" s="1033"/>
      <c r="T190" s="1033"/>
      <c r="U190" s="1033"/>
      <c r="V190" s="1033"/>
      <c r="W190" s="1033"/>
      <c r="X190" s="1033"/>
      <c r="Y190" s="1032"/>
      <c r="Z190" s="1034"/>
      <c r="AA190" s="1035"/>
      <c r="AG190" s="962">
        <f>'T2'!O34</f>
        <v>0</v>
      </c>
      <c r="AI190" s="962">
        <f t="shared" si="290"/>
        <v>0</v>
      </c>
      <c r="AJ190" s="962">
        <f t="shared" si="291"/>
        <v>0</v>
      </c>
    </row>
    <row r="191" spans="1:36" ht="17.25" thickBot="1" x14ac:dyDescent="0.35">
      <c r="A191" s="997"/>
      <c r="B191" s="1059"/>
      <c r="C191" s="1059"/>
      <c r="D191" s="1059"/>
      <c r="E191" s="997"/>
      <c r="F191" s="997"/>
      <c r="G191" s="997"/>
      <c r="H191" s="997"/>
      <c r="I191" s="999"/>
      <c r="J191" s="999"/>
      <c r="K191" s="999"/>
      <c r="L191" s="999"/>
      <c r="M191" s="999"/>
      <c r="N191" s="999"/>
      <c r="O191" s="997"/>
      <c r="P191" s="997"/>
      <c r="Q191" s="997"/>
      <c r="R191" s="1006"/>
      <c r="S191" s="1006"/>
      <c r="T191" s="1006"/>
      <c r="U191" s="1006"/>
      <c r="V191" s="1006"/>
      <c r="W191" s="1006"/>
      <c r="X191" s="1006"/>
      <c r="Y191" s="1006"/>
      <c r="Z191" s="1006"/>
      <c r="AA191" s="1006"/>
      <c r="AG191" s="962">
        <f>'T2'!O35</f>
        <v>0</v>
      </c>
      <c r="AI191" s="962">
        <f t="shared" si="290"/>
        <v>0</v>
      </c>
      <c r="AJ191" s="962">
        <f t="shared" si="291"/>
        <v>0</v>
      </c>
    </row>
    <row r="192" spans="1:36" x14ac:dyDescent="0.25">
      <c r="A192" s="1041" t="s">
        <v>123</v>
      </c>
      <c r="B192" s="1042"/>
      <c r="C192" s="1042"/>
      <c r="D192" s="1042"/>
      <c r="E192" s="1042"/>
      <c r="F192" s="1042"/>
      <c r="G192" s="1042"/>
      <c r="H192" s="1042"/>
      <c r="I192" s="1042"/>
      <c r="J192" s="1042"/>
      <c r="K192" s="1042"/>
      <c r="L192" s="1042"/>
      <c r="M192" s="1042"/>
      <c r="N192" s="1042"/>
      <c r="O192" s="1042"/>
      <c r="P192" s="1042"/>
      <c r="Q192" s="1042"/>
      <c r="R192" s="1042"/>
      <c r="S192" s="1042"/>
      <c r="T192" s="1042"/>
      <c r="U192" s="1042"/>
      <c r="V192" s="1042"/>
      <c r="W192" s="1042"/>
      <c r="X192" s="1042"/>
      <c r="Y192" s="1042"/>
      <c r="Z192" s="1042"/>
      <c r="AA192" s="1043"/>
      <c r="AG192" s="962">
        <f>'T2'!O36</f>
        <v>0</v>
      </c>
      <c r="AI192" s="962">
        <f t="shared" si="290"/>
        <v>0</v>
      </c>
      <c r="AJ192" s="962">
        <f t="shared" si="291"/>
        <v>0</v>
      </c>
    </row>
    <row r="193" spans="1:36" ht="15.75" thickBot="1" x14ac:dyDescent="0.3">
      <c r="A193" s="1044"/>
      <c r="B193" s="1045"/>
      <c r="C193" s="1045"/>
      <c r="D193" s="1045"/>
      <c r="E193" s="1045"/>
      <c r="F193" s="1045"/>
      <c r="G193" s="1045"/>
      <c r="H193" s="1045"/>
      <c r="I193" s="1045"/>
      <c r="J193" s="1045"/>
      <c r="K193" s="1045"/>
      <c r="L193" s="1045"/>
      <c r="M193" s="1045"/>
      <c r="N193" s="1045"/>
      <c r="O193" s="1045"/>
      <c r="P193" s="1045"/>
      <c r="Q193" s="1045"/>
      <c r="R193" s="1045"/>
      <c r="S193" s="1045"/>
      <c r="T193" s="1045"/>
      <c r="U193" s="1045"/>
      <c r="V193" s="1045"/>
      <c r="W193" s="1045"/>
      <c r="X193" s="1045"/>
      <c r="Y193" s="1045"/>
      <c r="Z193" s="1045"/>
      <c r="AA193" s="1046"/>
    </row>
    <row r="198" spans="1:36" x14ac:dyDescent="0.25">
      <c r="AG198" s="962">
        <f>'T2'!O42</f>
        <v>0</v>
      </c>
      <c r="AI198" s="962">
        <f>AE198+AI192</f>
        <v>0</v>
      </c>
      <c r="AJ198" s="962">
        <f>AG198+AJ192</f>
        <v>0</v>
      </c>
    </row>
    <row r="199" spans="1:36" x14ac:dyDescent="0.25">
      <c r="AG199" s="962">
        <f>'T2'!O43</f>
        <v>0</v>
      </c>
      <c r="AI199" s="962">
        <f t="shared" ref="AI199:AI204" si="292">AE199+AI198</f>
        <v>0</v>
      </c>
      <c r="AJ199" s="962">
        <f t="shared" ref="AJ199:AJ204" si="293">AG199+AJ198</f>
        <v>0</v>
      </c>
    </row>
    <row r="200" spans="1:36" x14ac:dyDescent="0.25">
      <c r="AG200" s="962">
        <f>'T2'!O44</f>
        <v>0</v>
      </c>
      <c r="AI200" s="962">
        <f t="shared" si="292"/>
        <v>0</v>
      </c>
      <c r="AJ200" s="962">
        <f t="shared" si="293"/>
        <v>0</v>
      </c>
    </row>
    <row r="201" spans="1:36" x14ac:dyDescent="0.25">
      <c r="AG201" s="962">
        <f>'T2'!O45</f>
        <v>0</v>
      </c>
      <c r="AI201" s="962">
        <f t="shared" si="292"/>
        <v>0</v>
      </c>
      <c r="AJ201" s="962">
        <f t="shared" si="293"/>
        <v>0</v>
      </c>
    </row>
    <row r="202" spans="1:36" x14ac:dyDescent="0.25">
      <c r="AG202" s="962">
        <f>'T2'!O46</f>
        <v>0</v>
      </c>
      <c r="AI202" s="962">
        <f t="shared" si="292"/>
        <v>0</v>
      </c>
      <c r="AJ202" s="962">
        <f t="shared" si="293"/>
        <v>0</v>
      </c>
    </row>
    <row r="203" spans="1:36" x14ac:dyDescent="0.25">
      <c r="AG203" s="962">
        <f>'T2'!O47</f>
        <v>0</v>
      </c>
      <c r="AI203" s="962">
        <f t="shared" si="292"/>
        <v>0</v>
      </c>
      <c r="AJ203" s="962">
        <f t="shared" si="293"/>
        <v>0</v>
      </c>
    </row>
    <row r="204" spans="1:36" x14ac:dyDescent="0.25">
      <c r="AG204" s="962">
        <f>'T2'!O48</f>
        <v>0</v>
      </c>
      <c r="AI204" s="962">
        <f t="shared" si="292"/>
        <v>0</v>
      </c>
      <c r="AJ204" s="962">
        <f t="shared" si="293"/>
        <v>0</v>
      </c>
    </row>
    <row r="210" spans="33:36" x14ac:dyDescent="0.25">
      <c r="AG210" s="962">
        <f>'T2'!O54</f>
        <v>0</v>
      </c>
      <c r="AI210" s="962">
        <f>AE210+AI204</f>
        <v>0</v>
      </c>
      <c r="AJ210" s="962">
        <f>AG210+AJ204</f>
        <v>0</v>
      </c>
    </row>
    <row r="211" spans="33:36" x14ac:dyDescent="0.25">
      <c r="AG211" s="962">
        <f>'T2'!O55</f>
        <v>0</v>
      </c>
      <c r="AI211" s="962">
        <f t="shared" ref="AI211:AI216" si="294">AE211+AI210</f>
        <v>0</v>
      </c>
      <c r="AJ211" s="962">
        <f t="shared" ref="AJ211:AJ216" si="295">AG211+AJ210</f>
        <v>0</v>
      </c>
    </row>
    <row r="212" spans="33:36" x14ac:dyDescent="0.25">
      <c r="AG212" s="962">
        <f>'T2'!O56</f>
        <v>0</v>
      </c>
      <c r="AI212" s="962">
        <f t="shared" si="294"/>
        <v>0</v>
      </c>
      <c r="AJ212" s="962">
        <f t="shared" si="295"/>
        <v>0</v>
      </c>
    </row>
    <row r="213" spans="33:36" x14ac:dyDescent="0.25">
      <c r="AG213" s="962">
        <f>'T2'!O57</f>
        <v>0</v>
      </c>
      <c r="AI213" s="962">
        <f t="shared" si="294"/>
        <v>0</v>
      </c>
      <c r="AJ213" s="962">
        <f t="shared" si="295"/>
        <v>0</v>
      </c>
    </row>
    <row r="214" spans="33:36" x14ac:dyDescent="0.25">
      <c r="AG214" s="962">
        <f>'T2'!O58</f>
        <v>0</v>
      </c>
      <c r="AI214" s="962">
        <f t="shared" si="294"/>
        <v>0</v>
      </c>
      <c r="AJ214" s="962">
        <f t="shared" si="295"/>
        <v>0</v>
      </c>
    </row>
    <row r="215" spans="33:36" x14ac:dyDescent="0.25">
      <c r="AG215" s="962">
        <f>'T2'!O59</f>
        <v>0</v>
      </c>
      <c r="AI215" s="962">
        <f t="shared" si="294"/>
        <v>0</v>
      </c>
      <c r="AJ215" s="962">
        <f t="shared" si="295"/>
        <v>0</v>
      </c>
    </row>
    <row r="216" spans="33:36" x14ac:dyDescent="0.25">
      <c r="AG216" s="962">
        <f>'T2'!O60</f>
        <v>0</v>
      </c>
      <c r="AI216" s="962">
        <f t="shared" si="294"/>
        <v>0</v>
      </c>
      <c r="AJ216" s="962">
        <f t="shared" si="295"/>
        <v>0</v>
      </c>
    </row>
    <row r="222" spans="33:36" x14ac:dyDescent="0.25">
      <c r="AG222" s="962">
        <f>'T2'!O66</f>
        <v>0</v>
      </c>
      <c r="AI222" s="962">
        <f>AE222+AI216</f>
        <v>0</v>
      </c>
      <c r="AJ222" s="962">
        <f>AG222+AJ216</f>
        <v>0</v>
      </c>
    </row>
    <row r="223" spans="33:36" x14ac:dyDescent="0.25">
      <c r="AG223" s="962">
        <f>'T2'!O67</f>
        <v>0</v>
      </c>
      <c r="AI223" s="962">
        <f t="shared" ref="AI223:AI228" si="296">AE223+AI222</f>
        <v>0</v>
      </c>
      <c r="AJ223" s="962">
        <f t="shared" ref="AJ223:AJ228" si="297">AG223+AJ222</f>
        <v>0</v>
      </c>
    </row>
    <row r="224" spans="33:36" x14ac:dyDescent="0.25">
      <c r="AG224" s="962">
        <f>'T2'!O68</f>
        <v>0</v>
      </c>
      <c r="AI224" s="962">
        <f t="shared" si="296"/>
        <v>0</v>
      </c>
      <c r="AJ224" s="962">
        <f t="shared" si="297"/>
        <v>0</v>
      </c>
    </row>
    <row r="225" spans="33:36" x14ac:dyDescent="0.25">
      <c r="AG225" s="962">
        <f>'T2'!O69</f>
        <v>0</v>
      </c>
      <c r="AI225" s="962">
        <f t="shared" si="296"/>
        <v>0</v>
      </c>
      <c r="AJ225" s="962">
        <f t="shared" si="297"/>
        <v>0</v>
      </c>
    </row>
    <row r="226" spans="33:36" x14ac:dyDescent="0.25">
      <c r="AG226" s="962">
        <f>'T2'!O70</f>
        <v>0</v>
      </c>
      <c r="AI226" s="962">
        <f t="shared" si="296"/>
        <v>0</v>
      </c>
      <c r="AJ226" s="962">
        <f t="shared" si="297"/>
        <v>0</v>
      </c>
    </row>
    <row r="227" spans="33:36" x14ac:dyDescent="0.25">
      <c r="AG227" s="962">
        <f>'T2'!O71</f>
        <v>0</v>
      </c>
      <c r="AI227" s="962">
        <f t="shared" si="296"/>
        <v>0</v>
      </c>
      <c r="AJ227" s="962">
        <f t="shared" si="297"/>
        <v>0</v>
      </c>
    </row>
    <row r="228" spans="33:36" x14ac:dyDescent="0.25">
      <c r="AG228" s="962">
        <f>'T2'!O72</f>
        <v>0</v>
      </c>
      <c r="AI228" s="962">
        <f t="shared" si="296"/>
        <v>0</v>
      </c>
      <c r="AJ228" s="962">
        <f t="shared" si="297"/>
        <v>0</v>
      </c>
    </row>
    <row r="234" spans="33:36" x14ac:dyDescent="0.25">
      <c r="AG234" s="962">
        <f>'T2'!O78</f>
        <v>0</v>
      </c>
      <c r="AI234" s="962">
        <f>AE234+AI228</f>
        <v>0</v>
      </c>
      <c r="AJ234" s="962">
        <f>AG234+AJ228</f>
        <v>0</v>
      </c>
    </row>
    <row r="235" spans="33:36" x14ac:dyDescent="0.25">
      <c r="AG235" s="962">
        <f>'T2'!O79</f>
        <v>0</v>
      </c>
      <c r="AI235" s="962">
        <f t="shared" ref="AI235:AI240" si="298">AE235+AI234</f>
        <v>0</v>
      </c>
      <c r="AJ235" s="962">
        <f t="shared" ref="AJ235:AJ240" si="299">AG235+AJ234</f>
        <v>0</v>
      </c>
    </row>
    <row r="236" spans="33:36" x14ac:dyDescent="0.25">
      <c r="AG236" s="962">
        <f>'T2'!O80</f>
        <v>0</v>
      </c>
      <c r="AI236" s="962">
        <f t="shared" si="298"/>
        <v>0</v>
      </c>
      <c r="AJ236" s="962">
        <f t="shared" si="299"/>
        <v>0</v>
      </c>
    </row>
    <row r="237" spans="33:36" x14ac:dyDescent="0.25">
      <c r="AG237" s="962">
        <f>'T2'!O81</f>
        <v>0</v>
      </c>
      <c r="AI237" s="962">
        <f t="shared" si="298"/>
        <v>0</v>
      </c>
      <c r="AJ237" s="962">
        <f t="shared" si="299"/>
        <v>0</v>
      </c>
    </row>
    <row r="238" spans="33:36" x14ac:dyDescent="0.25">
      <c r="AG238" s="962">
        <f>'T2'!O82</f>
        <v>0</v>
      </c>
      <c r="AI238" s="962">
        <f t="shared" si="298"/>
        <v>0</v>
      </c>
      <c r="AJ238" s="962">
        <f t="shared" si="299"/>
        <v>0</v>
      </c>
    </row>
    <row r="239" spans="33:36" x14ac:dyDescent="0.25">
      <c r="AG239" s="962">
        <f>'T2'!O83</f>
        <v>0</v>
      </c>
      <c r="AI239" s="962">
        <f t="shared" si="298"/>
        <v>0</v>
      </c>
      <c r="AJ239" s="962">
        <f t="shared" si="299"/>
        <v>0</v>
      </c>
    </row>
    <row r="240" spans="33:36" x14ac:dyDescent="0.25">
      <c r="AG240" s="962">
        <f>'T2'!O84</f>
        <v>0</v>
      </c>
      <c r="AI240" s="962">
        <f t="shared" si="298"/>
        <v>0</v>
      </c>
      <c r="AJ240" s="962">
        <f t="shared" si="299"/>
        <v>0</v>
      </c>
    </row>
    <row r="246" spans="33:36" x14ac:dyDescent="0.25">
      <c r="AG246" s="962">
        <f>'T2'!O90</f>
        <v>0</v>
      </c>
      <c r="AI246" s="962">
        <f>AE246+AI240</f>
        <v>0</v>
      </c>
      <c r="AJ246" s="962">
        <f>AG246+AJ240</f>
        <v>0</v>
      </c>
    </row>
    <row r="247" spans="33:36" x14ac:dyDescent="0.25">
      <c r="AG247" s="962">
        <f>'T2'!O91</f>
        <v>0</v>
      </c>
      <c r="AI247" s="962">
        <f t="shared" ref="AI247:AI252" si="300">AE247+AI246</f>
        <v>0</v>
      </c>
      <c r="AJ247" s="962">
        <f t="shared" ref="AJ247:AJ252" si="301">AG247+AJ246</f>
        <v>0</v>
      </c>
    </row>
    <row r="248" spans="33:36" x14ac:dyDescent="0.25">
      <c r="AG248" s="962">
        <f>'T2'!O92</f>
        <v>0</v>
      </c>
      <c r="AI248" s="962">
        <f t="shared" si="300"/>
        <v>0</v>
      </c>
      <c r="AJ248" s="962">
        <f t="shared" si="301"/>
        <v>0</v>
      </c>
    </row>
    <row r="249" spans="33:36" x14ac:dyDescent="0.25">
      <c r="AG249" s="962">
        <f>'T2'!O93</f>
        <v>0</v>
      </c>
      <c r="AI249" s="962">
        <f t="shared" si="300"/>
        <v>0</v>
      </c>
      <c r="AJ249" s="962">
        <f t="shared" si="301"/>
        <v>0</v>
      </c>
    </row>
    <row r="250" spans="33:36" x14ac:dyDescent="0.25">
      <c r="AG250" s="962">
        <f>'T2'!O94</f>
        <v>0</v>
      </c>
      <c r="AI250" s="962">
        <f t="shared" si="300"/>
        <v>0</v>
      </c>
      <c r="AJ250" s="962">
        <f t="shared" si="301"/>
        <v>0</v>
      </c>
    </row>
    <row r="251" spans="33:36" x14ac:dyDescent="0.25">
      <c r="AG251" s="962">
        <f>'T2'!O95</f>
        <v>0</v>
      </c>
      <c r="AI251" s="962">
        <f t="shared" si="300"/>
        <v>0</v>
      </c>
      <c r="AJ251" s="962">
        <f t="shared" si="301"/>
        <v>0</v>
      </c>
    </row>
    <row r="252" spans="33:36" x14ac:dyDescent="0.25">
      <c r="AG252" s="962">
        <f>'T2'!O96</f>
        <v>0</v>
      </c>
      <c r="AI252" s="962">
        <f t="shared" si="300"/>
        <v>0</v>
      </c>
      <c r="AJ252" s="962">
        <f t="shared" si="301"/>
        <v>0</v>
      </c>
    </row>
    <row r="258" spans="33:36" x14ac:dyDescent="0.25">
      <c r="AG258" s="962">
        <f>'T2'!O102</f>
        <v>0</v>
      </c>
      <c r="AI258" s="962">
        <f>AE258+AI252</f>
        <v>0</v>
      </c>
      <c r="AJ258" s="962">
        <f>AG258+AJ252</f>
        <v>0</v>
      </c>
    </row>
    <row r="259" spans="33:36" x14ac:dyDescent="0.25">
      <c r="AG259" s="962">
        <f>'T2'!O103</f>
        <v>0</v>
      </c>
      <c r="AI259" s="962">
        <f t="shared" ref="AI259:AI264" si="302">AE259+AI258</f>
        <v>0</v>
      </c>
      <c r="AJ259" s="962">
        <f t="shared" ref="AJ259:AJ264" si="303">AG259+AJ258</f>
        <v>0</v>
      </c>
    </row>
    <row r="260" spans="33:36" x14ac:dyDescent="0.25">
      <c r="AG260" s="962">
        <f>'T2'!O104</f>
        <v>0</v>
      </c>
      <c r="AI260" s="962">
        <f t="shared" si="302"/>
        <v>0</v>
      </c>
      <c r="AJ260" s="962">
        <f t="shared" si="303"/>
        <v>0</v>
      </c>
    </row>
    <row r="261" spans="33:36" x14ac:dyDescent="0.25">
      <c r="AG261" s="962">
        <f>'T2'!O105</f>
        <v>0</v>
      </c>
      <c r="AI261" s="962">
        <f t="shared" si="302"/>
        <v>0</v>
      </c>
      <c r="AJ261" s="962">
        <f t="shared" si="303"/>
        <v>0</v>
      </c>
    </row>
    <row r="262" spans="33:36" x14ac:dyDescent="0.25">
      <c r="AG262" s="962">
        <f>'T2'!O106</f>
        <v>0</v>
      </c>
      <c r="AI262" s="962">
        <f t="shared" si="302"/>
        <v>0</v>
      </c>
      <c r="AJ262" s="962">
        <f t="shared" si="303"/>
        <v>0</v>
      </c>
    </row>
    <row r="263" spans="33:36" x14ac:dyDescent="0.25">
      <c r="AG263" s="962">
        <f>'T2'!O107</f>
        <v>0</v>
      </c>
      <c r="AI263" s="962">
        <f t="shared" si="302"/>
        <v>0</v>
      </c>
      <c r="AJ263" s="962">
        <f t="shared" si="303"/>
        <v>0</v>
      </c>
    </row>
    <row r="264" spans="33:36" x14ac:dyDescent="0.25">
      <c r="AG264" s="962">
        <f>'T2'!O108</f>
        <v>0</v>
      </c>
      <c r="AI264" s="962">
        <f t="shared" si="302"/>
        <v>0</v>
      </c>
      <c r="AJ264" s="962">
        <f t="shared" si="303"/>
        <v>0</v>
      </c>
    </row>
    <row r="270" spans="33:36" x14ac:dyDescent="0.25">
      <c r="AG270" s="962">
        <f>'T2'!O114</f>
        <v>0</v>
      </c>
      <c r="AI270" s="962">
        <f>AE270+AI264</f>
        <v>0</v>
      </c>
      <c r="AJ270" s="962">
        <f>AG270+AJ264</f>
        <v>0</v>
      </c>
    </row>
    <row r="271" spans="33:36" x14ac:dyDescent="0.25">
      <c r="AG271" s="962">
        <f>'T2'!O115</f>
        <v>0</v>
      </c>
      <c r="AI271" s="962">
        <f t="shared" ref="AI271:AI276" si="304">AE271+AI270</f>
        <v>0</v>
      </c>
      <c r="AJ271" s="962">
        <f t="shared" ref="AJ271:AJ276" si="305">AG271+AJ270</f>
        <v>0</v>
      </c>
    </row>
    <row r="272" spans="33:36" x14ac:dyDescent="0.25">
      <c r="AG272" s="962">
        <f>'T2'!O116</f>
        <v>0</v>
      </c>
      <c r="AI272" s="962">
        <f t="shared" si="304"/>
        <v>0</v>
      </c>
      <c r="AJ272" s="962">
        <f t="shared" si="305"/>
        <v>0</v>
      </c>
    </row>
    <row r="273" spans="33:36" x14ac:dyDescent="0.25">
      <c r="AG273" s="962">
        <f>'T2'!O117</f>
        <v>0</v>
      </c>
      <c r="AI273" s="962">
        <f t="shared" si="304"/>
        <v>0</v>
      </c>
      <c r="AJ273" s="962">
        <f t="shared" si="305"/>
        <v>0</v>
      </c>
    </row>
    <row r="274" spans="33:36" x14ac:dyDescent="0.25">
      <c r="AG274" s="962">
        <f>'T2'!O118</f>
        <v>0</v>
      </c>
      <c r="AI274" s="962">
        <f t="shared" si="304"/>
        <v>0</v>
      </c>
      <c r="AJ274" s="962">
        <f t="shared" si="305"/>
        <v>0</v>
      </c>
    </row>
    <row r="275" spans="33:36" x14ac:dyDescent="0.25">
      <c r="AG275" s="962">
        <f>'T2'!O119</f>
        <v>0</v>
      </c>
      <c r="AI275" s="962">
        <f t="shared" si="304"/>
        <v>0</v>
      </c>
      <c r="AJ275" s="962">
        <f t="shared" si="305"/>
        <v>0</v>
      </c>
    </row>
    <row r="276" spans="33:36" x14ac:dyDescent="0.25">
      <c r="AG276" s="962">
        <f>'T2'!O120</f>
        <v>0</v>
      </c>
      <c r="AI276" s="962">
        <f t="shared" si="304"/>
        <v>0</v>
      </c>
      <c r="AJ276" s="962">
        <f t="shared" si="305"/>
        <v>0</v>
      </c>
    </row>
    <row r="282" spans="33:36" x14ac:dyDescent="0.25">
      <c r="AG282" s="962">
        <f>'T2'!O126</f>
        <v>0</v>
      </c>
      <c r="AI282" s="962">
        <f>AE282+AI276</f>
        <v>0</v>
      </c>
      <c r="AJ282" s="962">
        <f>AG282+AJ276</f>
        <v>0</v>
      </c>
    </row>
    <row r="283" spans="33:36" x14ac:dyDescent="0.25">
      <c r="AG283" s="962">
        <f>'T2'!O127</f>
        <v>0</v>
      </c>
      <c r="AI283" s="962">
        <f t="shared" ref="AI283:AI288" si="306">AE283+AI282</f>
        <v>0</v>
      </c>
      <c r="AJ283" s="962">
        <f t="shared" ref="AJ283:AJ288" si="307">AG283+AJ282</f>
        <v>0</v>
      </c>
    </row>
    <row r="284" spans="33:36" x14ac:dyDescent="0.25">
      <c r="AG284" s="962">
        <f>'T2'!O128</f>
        <v>0</v>
      </c>
      <c r="AI284" s="962">
        <f t="shared" si="306"/>
        <v>0</v>
      </c>
      <c r="AJ284" s="962">
        <f t="shared" si="307"/>
        <v>0</v>
      </c>
    </row>
    <row r="285" spans="33:36" x14ac:dyDescent="0.25">
      <c r="AG285" s="962">
        <f>'T2'!O129</f>
        <v>0</v>
      </c>
      <c r="AI285" s="962">
        <f t="shared" si="306"/>
        <v>0</v>
      </c>
      <c r="AJ285" s="962">
        <f t="shared" si="307"/>
        <v>0</v>
      </c>
    </row>
    <row r="286" spans="33:36" x14ac:dyDescent="0.25">
      <c r="AG286" s="962">
        <f>'T2'!O130</f>
        <v>0</v>
      </c>
      <c r="AI286" s="962">
        <f t="shared" si="306"/>
        <v>0</v>
      </c>
      <c r="AJ286" s="962">
        <f t="shared" si="307"/>
        <v>0</v>
      </c>
    </row>
    <row r="287" spans="33:36" x14ac:dyDescent="0.25">
      <c r="AG287" s="962">
        <f>'T2'!O131</f>
        <v>0</v>
      </c>
      <c r="AI287" s="962">
        <f t="shared" si="306"/>
        <v>0</v>
      </c>
      <c r="AJ287" s="962">
        <f t="shared" si="307"/>
        <v>0</v>
      </c>
    </row>
    <row r="288" spans="33:36" x14ac:dyDescent="0.25">
      <c r="AG288" s="962">
        <f>'T2'!O132</f>
        <v>0</v>
      </c>
      <c r="AI288" s="962">
        <f t="shared" si="306"/>
        <v>0</v>
      </c>
      <c r="AJ288" s="962">
        <f t="shared" si="307"/>
        <v>0</v>
      </c>
    </row>
    <row r="294" spans="33:36" x14ac:dyDescent="0.25">
      <c r="AG294" s="962">
        <f>'T2'!O138</f>
        <v>0</v>
      </c>
      <c r="AI294" s="962">
        <f>AE294+AI288</f>
        <v>0</v>
      </c>
      <c r="AJ294" s="962">
        <f>AG294+AJ288</f>
        <v>0</v>
      </c>
    </row>
    <row r="295" spans="33:36" x14ac:dyDescent="0.25">
      <c r="AG295" s="962">
        <f>'T2'!O139</f>
        <v>0</v>
      </c>
      <c r="AI295" s="962">
        <f t="shared" ref="AI295:AI300" si="308">AE295+AI294</f>
        <v>0</v>
      </c>
      <c r="AJ295" s="962">
        <f t="shared" ref="AJ295:AJ300" si="309">AG295+AJ294</f>
        <v>0</v>
      </c>
    </row>
    <row r="296" spans="33:36" x14ac:dyDescent="0.25">
      <c r="AG296" s="962">
        <f>'T2'!O140</f>
        <v>0</v>
      </c>
      <c r="AI296" s="962">
        <f t="shared" si="308"/>
        <v>0</v>
      </c>
      <c r="AJ296" s="962">
        <f t="shared" si="309"/>
        <v>0</v>
      </c>
    </row>
    <row r="297" spans="33:36" x14ac:dyDescent="0.25">
      <c r="AG297" s="962">
        <f>'T2'!O141</f>
        <v>0</v>
      </c>
      <c r="AI297" s="962">
        <f t="shared" si="308"/>
        <v>0</v>
      </c>
      <c r="AJ297" s="962">
        <f t="shared" si="309"/>
        <v>0</v>
      </c>
    </row>
    <row r="298" spans="33:36" x14ac:dyDescent="0.25">
      <c r="AG298" s="962">
        <f>'T2'!O142</f>
        <v>0</v>
      </c>
      <c r="AI298" s="962">
        <f t="shared" si="308"/>
        <v>0</v>
      </c>
      <c r="AJ298" s="962">
        <f t="shared" si="309"/>
        <v>0</v>
      </c>
    </row>
    <row r="299" spans="33:36" x14ac:dyDescent="0.25">
      <c r="AG299" s="962">
        <f>'T2'!O143</f>
        <v>0</v>
      </c>
      <c r="AI299" s="962">
        <f t="shared" si="308"/>
        <v>0</v>
      </c>
      <c r="AJ299" s="962">
        <f t="shared" si="309"/>
        <v>0</v>
      </c>
    </row>
    <row r="300" spans="33:36" x14ac:dyDescent="0.25">
      <c r="AG300" s="962">
        <f>'T2'!O144</f>
        <v>0</v>
      </c>
      <c r="AI300" s="962">
        <f t="shared" si="308"/>
        <v>0</v>
      </c>
      <c r="AJ300" s="962">
        <f t="shared" si="309"/>
        <v>0</v>
      </c>
    </row>
    <row r="306" spans="33:36" x14ac:dyDescent="0.25">
      <c r="AG306" s="962">
        <f>'T2'!O150</f>
        <v>0</v>
      </c>
      <c r="AI306" s="962">
        <f>AE306+AI300</f>
        <v>0</v>
      </c>
      <c r="AJ306" s="962">
        <f>AG306+AJ300</f>
        <v>0</v>
      </c>
    </row>
    <row r="307" spans="33:36" x14ac:dyDescent="0.25">
      <c r="AG307" s="962">
        <f>'T2'!O151</f>
        <v>0</v>
      </c>
      <c r="AI307" s="962">
        <f t="shared" ref="AI307:AI312" si="310">AE307+AI306</f>
        <v>0</v>
      </c>
      <c r="AJ307" s="962">
        <f t="shared" ref="AJ307:AJ312" si="311">AG307+AJ306</f>
        <v>0</v>
      </c>
    </row>
    <row r="308" spans="33:36" x14ac:dyDescent="0.25">
      <c r="AG308" s="962">
        <f>'T2'!O152</f>
        <v>0</v>
      </c>
      <c r="AI308" s="962">
        <f t="shared" si="310"/>
        <v>0</v>
      </c>
      <c r="AJ308" s="962">
        <f t="shared" si="311"/>
        <v>0</v>
      </c>
    </row>
    <row r="309" spans="33:36" x14ac:dyDescent="0.25">
      <c r="AG309" s="962">
        <f>'T2'!O153</f>
        <v>0</v>
      </c>
      <c r="AI309" s="962">
        <f t="shared" si="310"/>
        <v>0</v>
      </c>
      <c r="AJ309" s="962">
        <f t="shared" si="311"/>
        <v>0</v>
      </c>
    </row>
    <row r="310" spans="33:36" x14ac:dyDescent="0.25">
      <c r="AG310" s="962">
        <f>'T2'!O154</f>
        <v>0</v>
      </c>
      <c r="AI310" s="962">
        <f t="shared" si="310"/>
        <v>0</v>
      </c>
      <c r="AJ310" s="962">
        <f t="shared" si="311"/>
        <v>0</v>
      </c>
    </row>
    <row r="311" spans="33:36" x14ac:dyDescent="0.25">
      <c r="AG311" s="962">
        <f>'T2'!O155</f>
        <v>0</v>
      </c>
      <c r="AI311" s="962">
        <f t="shared" si="310"/>
        <v>0</v>
      </c>
      <c r="AJ311" s="962">
        <f t="shared" si="311"/>
        <v>0</v>
      </c>
    </row>
    <row r="312" spans="33:36" x14ac:dyDescent="0.25">
      <c r="AG312" s="962">
        <f>'T2'!O156</f>
        <v>0</v>
      </c>
      <c r="AI312" s="962">
        <f t="shared" si="310"/>
        <v>0</v>
      </c>
      <c r="AJ312" s="962">
        <f t="shared" si="311"/>
        <v>0</v>
      </c>
    </row>
    <row r="318" spans="33:36" x14ac:dyDescent="0.25">
      <c r="AG318" s="962">
        <f>'T3'!O6</f>
        <v>0</v>
      </c>
      <c r="AI318" s="962">
        <f>AE318+AI312</f>
        <v>0</v>
      </c>
      <c r="AJ318" s="962">
        <f>AG318+AJ312</f>
        <v>0</v>
      </c>
    </row>
    <row r="319" spans="33:36" x14ac:dyDescent="0.25">
      <c r="AG319" s="962">
        <f>'T3'!O7</f>
        <v>0</v>
      </c>
      <c r="AI319" s="962">
        <f t="shared" ref="AI319:AI324" si="312">AE319+AI318</f>
        <v>0</v>
      </c>
      <c r="AJ319" s="962">
        <f t="shared" ref="AJ319:AJ324" si="313">AG319+AJ318</f>
        <v>0</v>
      </c>
    </row>
    <row r="320" spans="33:36" x14ac:dyDescent="0.25">
      <c r="AG320" s="962">
        <f>'T3'!O8</f>
        <v>0</v>
      </c>
      <c r="AI320" s="962">
        <f t="shared" si="312"/>
        <v>0</v>
      </c>
      <c r="AJ320" s="962">
        <f t="shared" si="313"/>
        <v>0</v>
      </c>
    </row>
    <row r="321" spans="33:36" x14ac:dyDescent="0.25">
      <c r="AG321" s="962">
        <f>'T3'!O9</f>
        <v>0</v>
      </c>
      <c r="AI321" s="962">
        <f t="shared" si="312"/>
        <v>0</v>
      </c>
      <c r="AJ321" s="962">
        <f t="shared" si="313"/>
        <v>0</v>
      </c>
    </row>
    <row r="322" spans="33:36" x14ac:dyDescent="0.25">
      <c r="AG322" s="962">
        <f>'T3'!O10</f>
        <v>0</v>
      </c>
      <c r="AI322" s="962">
        <f t="shared" si="312"/>
        <v>0</v>
      </c>
      <c r="AJ322" s="962">
        <f t="shared" si="313"/>
        <v>0</v>
      </c>
    </row>
    <row r="323" spans="33:36" x14ac:dyDescent="0.25">
      <c r="AG323" s="962">
        <f>'T3'!O11</f>
        <v>0</v>
      </c>
      <c r="AI323" s="962">
        <f t="shared" si="312"/>
        <v>0</v>
      </c>
      <c r="AJ323" s="962">
        <f t="shared" si="313"/>
        <v>0</v>
      </c>
    </row>
    <row r="324" spans="33:36" x14ac:dyDescent="0.25">
      <c r="AG324" s="962">
        <f>'T3'!O12</f>
        <v>0</v>
      </c>
      <c r="AI324" s="962">
        <f t="shared" si="312"/>
        <v>0</v>
      </c>
      <c r="AJ324" s="962">
        <f t="shared" si="313"/>
        <v>0</v>
      </c>
    </row>
    <row r="330" spans="33:36" x14ac:dyDescent="0.25">
      <c r="AG330" s="962">
        <f>'T3'!O18</f>
        <v>0</v>
      </c>
      <c r="AI330" s="962">
        <f>AE330+AI324</f>
        <v>0</v>
      </c>
      <c r="AJ330" s="962">
        <f>AG330+AJ324</f>
        <v>0</v>
      </c>
    </row>
    <row r="331" spans="33:36" x14ac:dyDescent="0.25">
      <c r="AG331" s="962">
        <f>'T3'!O19</f>
        <v>0</v>
      </c>
      <c r="AI331" s="962">
        <f t="shared" ref="AI331:AI336" si="314">AE331+AI330</f>
        <v>0</v>
      </c>
      <c r="AJ331" s="962">
        <f t="shared" ref="AJ331:AJ336" si="315">AG331+AJ330</f>
        <v>0</v>
      </c>
    </row>
    <row r="332" spans="33:36" x14ac:dyDescent="0.25">
      <c r="AG332" s="962">
        <f>'T3'!O20</f>
        <v>0</v>
      </c>
      <c r="AI332" s="962">
        <f t="shared" si="314"/>
        <v>0</v>
      </c>
      <c r="AJ332" s="962">
        <f t="shared" si="315"/>
        <v>0</v>
      </c>
    </row>
    <row r="333" spans="33:36" x14ac:dyDescent="0.25">
      <c r="AG333" s="962">
        <f>'T3'!O21</f>
        <v>0</v>
      </c>
      <c r="AI333" s="962">
        <f t="shared" si="314"/>
        <v>0</v>
      </c>
      <c r="AJ333" s="962">
        <f t="shared" si="315"/>
        <v>0</v>
      </c>
    </row>
    <row r="334" spans="33:36" x14ac:dyDescent="0.25">
      <c r="AG334" s="962">
        <f>'T3'!O22</f>
        <v>0</v>
      </c>
      <c r="AI334" s="962">
        <f t="shared" si="314"/>
        <v>0</v>
      </c>
      <c r="AJ334" s="962">
        <f t="shared" si="315"/>
        <v>0</v>
      </c>
    </row>
    <row r="335" spans="33:36" x14ac:dyDescent="0.25">
      <c r="AG335" s="962">
        <f>'T3'!O23</f>
        <v>0</v>
      </c>
      <c r="AI335" s="962">
        <f t="shared" si="314"/>
        <v>0</v>
      </c>
      <c r="AJ335" s="962">
        <f t="shared" si="315"/>
        <v>0</v>
      </c>
    </row>
    <row r="336" spans="33:36" x14ac:dyDescent="0.25">
      <c r="AG336" s="962">
        <f>'T3'!O24</f>
        <v>0</v>
      </c>
      <c r="AI336" s="962">
        <f t="shared" si="314"/>
        <v>0</v>
      </c>
      <c r="AJ336" s="962">
        <f t="shared" si="315"/>
        <v>0</v>
      </c>
    </row>
    <row r="342" spans="33:36" x14ac:dyDescent="0.25">
      <c r="AG342" s="962">
        <f>'T3'!O30</f>
        <v>0</v>
      </c>
      <c r="AI342" s="962">
        <f>AE342+AI336</f>
        <v>0</v>
      </c>
      <c r="AJ342" s="962">
        <f>AG342+AJ336</f>
        <v>0</v>
      </c>
    </row>
    <row r="343" spans="33:36" x14ac:dyDescent="0.25">
      <c r="AG343" s="962">
        <f>'T3'!O31</f>
        <v>0</v>
      </c>
      <c r="AI343" s="962">
        <f t="shared" ref="AI343:AI348" si="316">AE343+AI342</f>
        <v>0</v>
      </c>
      <c r="AJ343" s="962">
        <f t="shared" ref="AJ343:AJ348" si="317">AG343+AJ342</f>
        <v>0</v>
      </c>
    </row>
    <row r="344" spans="33:36" x14ac:dyDescent="0.25">
      <c r="AG344" s="962">
        <f>'T3'!O32</f>
        <v>0</v>
      </c>
      <c r="AI344" s="962">
        <f t="shared" si="316"/>
        <v>0</v>
      </c>
      <c r="AJ344" s="962">
        <f t="shared" si="317"/>
        <v>0</v>
      </c>
    </row>
    <row r="345" spans="33:36" x14ac:dyDescent="0.25">
      <c r="AG345" s="962">
        <f>'T3'!O33</f>
        <v>0</v>
      </c>
      <c r="AI345" s="962">
        <f t="shared" si="316"/>
        <v>0</v>
      </c>
      <c r="AJ345" s="962">
        <f t="shared" si="317"/>
        <v>0</v>
      </c>
    </row>
    <row r="346" spans="33:36" x14ac:dyDescent="0.25">
      <c r="AG346" s="962">
        <f>'T3'!O34</f>
        <v>0</v>
      </c>
      <c r="AI346" s="962">
        <f t="shared" si="316"/>
        <v>0</v>
      </c>
      <c r="AJ346" s="962">
        <f t="shared" si="317"/>
        <v>0</v>
      </c>
    </row>
    <row r="347" spans="33:36" x14ac:dyDescent="0.25">
      <c r="AG347" s="962">
        <f>'T3'!O35</f>
        <v>0</v>
      </c>
      <c r="AI347" s="962">
        <f t="shared" si="316"/>
        <v>0</v>
      </c>
      <c r="AJ347" s="962">
        <f t="shared" si="317"/>
        <v>0</v>
      </c>
    </row>
    <row r="348" spans="33:36" x14ac:dyDescent="0.25">
      <c r="AG348" s="962">
        <f>'T3'!O36</f>
        <v>0</v>
      </c>
      <c r="AI348" s="962">
        <f t="shared" si="316"/>
        <v>0</v>
      </c>
      <c r="AJ348" s="962">
        <f t="shared" si="317"/>
        <v>0</v>
      </c>
    </row>
    <row r="354" spans="33:36" x14ac:dyDescent="0.25">
      <c r="AG354" s="962">
        <f>'T3'!O42</f>
        <v>0</v>
      </c>
      <c r="AI354" s="962">
        <f>AE354+AI348</f>
        <v>0</v>
      </c>
      <c r="AJ354" s="962">
        <f>AG354+AJ348</f>
        <v>0</v>
      </c>
    </row>
    <row r="355" spans="33:36" x14ac:dyDescent="0.25">
      <c r="AG355" s="962">
        <f>'T3'!O43</f>
        <v>0</v>
      </c>
      <c r="AI355" s="962">
        <f t="shared" ref="AI355:AI360" si="318">AE355+AI354</f>
        <v>0</v>
      </c>
      <c r="AJ355" s="962">
        <f t="shared" ref="AJ355:AJ360" si="319">AG355+AJ354</f>
        <v>0</v>
      </c>
    </row>
    <row r="356" spans="33:36" x14ac:dyDescent="0.25">
      <c r="AG356" s="962">
        <f>'T3'!O44</f>
        <v>0</v>
      </c>
      <c r="AI356" s="962">
        <f t="shared" si="318"/>
        <v>0</v>
      </c>
      <c r="AJ356" s="962">
        <f t="shared" si="319"/>
        <v>0</v>
      </c>
    </row>
    <row r="357" spans="33:36" x14ac:dyDescent="0.25">
      <c r="AG357" s="962">
        <f>'T3'!O45</f>
        <v>0</v>
      </c>
      <c r="AI357" s="962">
        <f t="shared" si="318"/>
        <v>0</v>
      </c>
      <c r="AJ357" s="962">
        <f t="shared" si="319"/>
        <v>0</v>
      </c>
    </row>
    <row r="358" spans="33:36" x14ac:dyDescent="0.25">
      <c r="AG358" s="962">
        <f>'T3'!O46</f>
        <v>0</v>
      </c>
      <c r="AI358" s="962">
        <f t="shared" si="318"/>
        <v>0</v>
      </c>
      <c r="AJ358" s="962">
        <f t="shared" si="319"/>
        <v>0</v>
      </c>
    </row>
    <row r="359" spans="33:36" x14ac:dyDescent="0.25">
      <c r="AG359" s="962">
        <f>'T3'!O47</f>
        <v>0</v>
      </c>
      <c r="AI359" s="962">
        <f t="shared" si="318"/>
        <v>0</v>
      </c>
      <c r="AJ359" s="962">
        <f t="shared" si="319"/>
        <v>0</v>
      </c>
    </row>
    <row r="360" spans="33:36" x14ac:dyDescent="0.25">
      <c r="AG360" s="962">
        <f>'T3'!O48</f>
        <v>0</v>
      </c>
      <c r="AI360" s="962">
        <f t="shared" si="318"/>
        <v>0</v>
      </c>
      <c r="AJ360" s="962">
        <f t="shared" si="319"/>
        <v>0</v>
      </c>
    </row>
    <row r="366" spans="33:36" x14ac:dyDescent="0.25">
      <c r="AG366" s="962">
        <f>'T3'!O54</f>
        <v>0</v>
      </c>
      <c r="AI366" s="962">
        <f>AE366+AI360</f>
        <v>0</v>
      </c>
      <c r="AJ366" s="962">
        <f>AG366+AJ360</f>
        <v>0</v>
      </c>
    </row>
    <row r="367" spans="33:36" x14ac:dyDescent="0.25">
      <c r="AG367" s="962">
        <f>'T3'!O55</f>
        <v>0</v>
      </c>
      <c r="AI367" s="962">
        <f t="shared" ref="AI367:AI372" si="320">AE367+AI366</f>
        <v>0</v>
      </c>
      <c r="AJ367" s="962">
        <f t="shared" ref="AJ367:AJ372" si="321">AG367+AJ366</f>
        <v>0</v>
      </c>
    </row>
    <row r="368" spans="33:36" x14ac:dyDescent="0.25">
      <c r="AG368" s="962">
        <f>'T3'!O56</f>
        <v>0</v>
      </c>
      <c r="AI368" s="962">
        <f t="shared" si="320"/>
        <v>0</v>
      </c>
      <c r="AJ368" s="962">
        <f t="shared" si="321"/>
        <v>0</v>
      </c>
    </row>
    <row r="369" spans="33:36" x14ac:dyDescent="0.25">
      <c r="AG369" s="962">
        <f>'T3'!O57</f>
        <v>0</v>
      </c>
      <c r="AI369" s="962">
        <f t="shared" si="320"/>
        <v>0</v>
      </c>
      <c r="AJ369" s="962">
        <f t="shared" si="321"/>
        <v>0</v>
      </c>
    </row>
    <row r="370" spans="33:36" x14ac:dyDescent="0.25">
      <c r="AG370" s="962">
        <f>'T3'!O58</f>
        <v>0</v>
      </c>
      <c r="AI370" s="962">
        <f t="shared" si="320"/>
        <v>0</v>
      </c>
      <c r="AJ370" s="962">
        <f t="shared" si="321"/>
        <v>0</v>
      </c>
    </row>
    <row r="371" spans="33:36" x14ac:dyDescent="0.25">
      <c r="AG371" s="962">
        <f>'T3'!O59</f>
        <v>0</v>
      </c>
      <c r="AI371" s="962">
        <f t="shared" si="320"/>
        <v>0</v>
      </c>
      <c r="AJ371" s="962">
        <f t="shared" si="321"/>
        <v>0</v>
      </c>
    </row>
    <row r="372" spans="33:36" x14ac:dyDescent="0.25">
      <c r="AG372" s="962">
        <f>'T3'!O60</f>
        <v>0</v>
      </c>
      <c r="AI372" s="962">
        <f t="shared" si="320"/>
        <v>0</v>
      </c>
      <c r="AJ372" s="962">
        <f t="shared" si="321"/>
        <v>0</v>
      </c>
    </row>
    <row r="378" spans="33:36" x14ac:dyDescent="0.25">
      <c r="AG378" s="962">
        <f>'T3'!O66</f>
        <v>0</v>
      </c>
      <c r="AI378" s="962">
        <f>AE378+AI372</f>
        <v>0</v>
      </c>
      <c r="AJ378" s="962">
        <f>AG378+AJ372</f>
        <v>0</v>
      </c>
    </row>
    <row r="379" spans="33:36" x14ac:dyDescent="0.25">
      <c r="AG379" s="962">
        <f>'T3'!O67</f>
        <v>0</v>
      </c>
      <c r="AI379" s="962">
        <f t="shared" ref="AI379:AI384" si="322">AE379+AI378</f>
        <v>0</v>
      </c>
      <c r="AJ379" s="962">
        <f t="shared" ref="AJ379:AJ384" si="323">AG379+AJ378</f>
        <v>0</v>
      </c>
    </row>
    <row r="380" spans="33:36" x14ac:dyDescent="0.25">
      <c r="AG380" s="962">
        <f>'T3'!O68</f>
        <v>0</v>
      </c>
      <c r="AI380" s="962">
        <f t="shared" si="322"/>
        <v>0</v>
      </c>
      <c r="AJ380" s="962">
        <f t="shared" si="323"/>
        <v>0</v>
      </c>
    </row>
    <row r="381" spans="33:36" x14ac:dyDescent="0.25">
      <c r="AG381" s="962">
        <f>'T3'!O69</f>
        <v>0</v>
      </c>
      <c r="AI381" s="962">
        <f t="shared" si="322"/>
        <v>0</v>
      </c>
      <c r="AJ381" s="962">
        <f t="shared" si="323"/>
        <v>0</v>
      </c>
    </row>
    <row r="382" spans="33:36" x14ac:dyDescent="0.25">
      <c r="AG382" s="962">
        <f>'T3'!O70</f>
        <v>0</v>
      </c>
      <c r="AI382" s="962">
        <f t="shared" si="322"/>
        <v>0</v>
      </c>
      <c r="AJ382" s="962">
        <f t="shared" si="323"/>
        <v>0</v>
      </c>
    </row>
    <row r="383" spans="33:36" x14ac:dyDescent="0.25">
      <c r="AG383" s="962">
        <f>'T3'!O71</f>
        <v>0</v>
      </c>
      <c r="AI383" s="962">
        <f t="shared" si="322"/>
        <v>0</v>
      </c>
      <c r="AJ383" s="962">
        <f t="shared" si="323"/>
        <v>0</v>
      </c>
    </row>
    <row r="384" spans="33:36" x14ac:dyDescent="0.25">
      <c r="AG384" s="962">
        <f>'T3'!O72</f>
        <v>0</v>
      </c>
      <c r="AI384" s="962">
        <f t="shared" si="322"/>
        <v>0</v>
      </c>
      <c r="AJ384" s="962">
        <f t="shared" si="323"/>
        <v>0</v>
      </c>
    </row>
    <row r="390" spans="33:36" x14ac:dyDescent="0.25">
      <c r="AG390" s="962">
        <f>'T3'!O78</f>
        <v>0</v>
      </c>
      <c r="AI390" s="962">
        <f>AE390+AI384</f>
        <v>0</v>
      </c>
      <c r="AJ390" s="962">
        <f>AG390+AJ384</f>
        <v>0</v>
      </c>
    </row>
    <row r="391" spans="33:36" x14ac:dyDescent="0.25">
      <c r="AG391" s="962">
        <f>'T3'!O79</f>
        <v>0</v>
      </c>
      <c r="AI391" s="962">
        <f t="shared" ref="AI391:AI396" si="324">AE391+AI390</f>
        <v>0</v>
      </c>
      <c r="AJ391" s="962">
        <f t="shared" ref="AJ391:AJ396" si="325">AG391+AJ390</f>
        <v>0</v>
      </c>
    </row>
    <row r="392" spans="33:36" x14ac:dyDescent="0.25">
      <c r="AG392" s="962">
        <f>'T3'!O80</f>
        <v>0</v>
      </c>
      <c r="AI392" s="962">
        <f t="shared" si="324"/>
        <v>0</v>
      </c>
      <c r="AJ392" s="962">
        <f t="shared" si="325"/>
        <v>0</v>
      </c>
    </row>
    <row r="393" spans="33:36" x14ac:dyDescent="0.25">
      <c r="AG393" s="962">
        <f>'T3'!O81</f>
        <v>0</v>
      </c>
      <c r="AI393" s="962">
        <f t="shared" si="324"/>
        <v>0</v>
      </c>
      <c r="AJ393" s="962">
        <f t="shared" si="325"/>
        <v>0</v>
      </c>
    </row>
    <row r="394" spans="33:36" x14ac:dyDescent="0.25">
      <c r="AG394" s="962">
        <f>'T3'!O82</f>
        <v>0</v>
      </c>
      <c r="AI394" s="962">
        <f t="shared" si="324"/>
        <v>0</v>
      </c>
      <c r="AJ394" s="962">
        <f t="shared" si="325"/>
        <v>0</v>
      </c>
    </row>
    <row r="395" spans="33:36" x14ac:dyDescent="0.25">
      <c r="AG395" s="962">
        <f>'T3'!O83</f>
        <v>0</v>
      </c>
      <c r="AI395" s="962">
        <f t="shared" si="324"/>
        <v>0</v>
      </c>
      <c r="AJ395" s="962">
        <f t="shared" si="325"/>
        <v>0</v>
      </c>
    </row>
    <row r="396" spans="33:36" x14ac:dyDescent="0.25">
      <c r="AG396" s="962">
        <f>'T3'!O84</f>
        <v>0</v>
      </c>
      <c r="AI396" s="962">
        <f t="shared" si="324"/>
        <v>0</v>
      </c>
      <c r="AJ396" s="962">
        <f t="shared" si="325"/>
        <v>0</v>
      </c>
    </row>
    <row r="402" spans="33:36" x14ac:dyDescent="0.25">
      <c r="AG402" s="962">
        <f>'T3'!O90</f>
        <v>0</v>
      </c>
      <c r="AI402" s="962">
        <f>AE402+AI396</f>
        <v>0</v>
      </c>
      <c r="AJ402" s="962">
        <f>AG402+AJ396</f>
        <v>0</v>
      </c>
    </row>
    <row r="403" spans="33:36" x14ac:dyDescent="0.25">
      <c r="AG403" s="962">
        <f>'T3'!O91</f>
        <v>0</v>
      </c>
      <c r="AI403" s="962">
        <f t="shared" ref="AI403:AI408" si="326">AE403+AI402</f>
        <v>0</v>
      </c>
      <c r="AJ403" s="962">
        <f t="shared" ref="AJ403:AJ408" si="327">AG403+AJ402</f>
        <v>0</v>
      </c>
    </row>
    <row r="404" spans="33:36" x14ac:dyDescent="0.25">
      <c r="AG404" s="962">
        <f>'T3'!O92</f>
        <v>0</v>
      </c>
      <c r="AI404" s="962">
        <f t="shared" si="326"/>
        <v>0</v>
      </c>
      <c r="AJ404" s="962">
        <f t="shared" si="327"/>
        <v>0</v>
      </c>
    </row>
    <row r="405" spans="33:36" x14ac:dyDescent="0.25">
      <c r="AG405" s="962">
        <f>'T3'!O93</f>
        <v>0</v>
      </c>
      <c r="AI405" s="962">
        <f t="shared" si="326"/>
        <v>0</v>
      </c>
      <c r="AJ405" s="962">
        <f t="shared" si="327"/>
        <v>0</v>
      </c>
    </row>
    <row r="406" spans="33:36" x14ac:dyDescent="0.25">
      <c r="AG406" s="962">
        <f>'T3'!O94</f>
        <v>0</v>
      </c>
      <c r="AI406" s="962">
        <f t="shared" si="326"/>
        <v>0</v>
      </c>
      <c r="AJ406" s="962">
        <f t="shared" si="327"/>
        <v>0</v>
      </c>
    </row>
    <row r="407" spans="33:36" x14ac:dyDescent="0.25">
      <c r="AG407" s="962">
        <f>'T3'!O95</f>
        <v>0</v>
      </c>
      <c r="AI407" s="962">
        <f t="shared" si="326"/>
        <v>0</v>
      </c>
      <c r="AJ407" s="962">
        <f t="shared" si="327"/>
        <v>0</v>
      </c>
    </row>
    <row r="408" spans="33:36" x14ac:dyDescent="0.25">
      <c r="AG408" s="962">
        <f>'T3'!O96</f>
        <v>0</v>
      </c>
      <c r="AI408" s="962">
        <f t="shared" si="326"/>
        <v>0</v>
      </c>
      <c r="AJ408" s="962">
        <f t="shared" si="327"/>
        <v>0</v>
      </c>
    </row>
    <row r="414" spans="33:36" x14ac:dyDescent="0.25">
      <c r="AG414" s="962">
        <f>'T3'!O102</f>
        <v>0</v>
      </c>
      <c r="AI414" s="962">
        <f>AE414+AI408</f>
        <v>0</v>
      </c>
      <c r="AJ414" s="962">
        <f>AG414+AJ408</f>
        <v>0</v>
      </c>
    </row>
    <row r="415" spans="33:36" x14ac:dyDescent="0.25">
      <c r="AG415" s="962">
        <f>'T3'!O103</f>
        <v>0</v>
      </c>
      <c r="AI415" s="962">
        <f t="shared" ref="AI415:AI420" si="328">AE415+AI414</f>
        <v>0</v>
      </c>
      <c r="AJ415" s="962">
        <f t="shared" ref="AJ415:AJ420" si="329">AG415+AJ414</f>
        <v>0</v>
      </c>
    </row>
    <row r="416" spans="33:36" x14ac:dyDescent="0.25">
      <c r="AG416" s="962">
        <f>'T3'!O104</f>
        <v>0</v>
      </c>
      <c r="AI416" s="962">
        <f t="shared" si="328"/>
        <v>0</v>
      </c>
      <c r="AJ416" s="962">
        <f t="shared" si="329"/>
        <v>0</v>
      </c>
    </row>
    <row r="417" spans="33:36" x14ac:dyDescent="0.25">
      <c r="AG417" s="962">
        <f>'T3'!O105</f>
        <v>0</v>
      </c>
      <c r="AI417" s="962">
        <f t="shared" si="328"/>
        <v>0</v>
      </c>
      <c r="AJ417" s="962">
        <f t="shared" si="329"/>
        <v>0</v>
      </c>
    </row>
    <row r="418" spans="33:36" x14ac:dyDescent="0.25">
      <c r="AG418" s="962">
        <f>'T3'!O106</f>
        <v>0</v>
      </c>
      <c r="AI418" s="962">
        <f t="shared" si="328"/>
        <v>0</v>
      </c>
      <c r="AJ418" s="962">
        <f t="shared" si="329"/>
        <v>0</v>
      </c>
    </row>
    <row r="419" spans="33:36" x14ac:dyDescent="0.25">
      <c r="AG419" s="962">
        <f>'T3'!O107</f>
        <v>0</v>
      </c>
      <c r="AI419" s="962">
        <f t="shared" si="328"/>
        <v>0</v>
      </c>
      <c r="AJ419" s="962">
        <f t="shared" si="329"/>
        <v>0</v>
      </c>
    </row>
    <row r="420" spans="33:36" x14ac:dyDescent="0.25">
      <c r="AG420" s="962">
        <f>'T3'!O108</f>
        <v>0</v>
      </c>
      <c r="AI420" s="962">
        <f t="shared" si="328"/>
        <v>0</v>
      </c>
      <c r="AJ420" s="962">
        <f t="shared" si="329"/>
        <v>0</v>
      </c>
    </row>
    <row r="426" spans="33:36" x14ac:dyDescent="0.25">
      <c r="AG426" s="962">
        <f>'T3'!O114</f>
        <v>0</v>
      </c>
      <c r="AI426" s="962">
        <f>AE426+AI420</f>
        <v>0</v>
      </c>
      <c r="AJ426" s="962">
        <f>AG426+AJ420</f>
        <v>0</v>
      </c>
    </row>
    <row r="427" spans="33:36" x14ac:dyDescent="0.25">
      <c r="AG427" s="962">
        <f>'T3'!O115</f>
        <v>0</v>
      </c>
      <c r="AI427" s="962">
        <f t="shared" ref="AI427:AI432" si="330">AE427+AI426</f>
        <v>0</v>
      </c>
      <c r="AJ427" s="962">
        <f t="shared" ref="AJ427:AJ432" si="331">AG427+AJ426</f>
        <v>0</v>
      </c>
    </row>
    <row r="428" spans="33:36" x14ac:dyDescent="0.25">
      <c r="AG428" s="962">
        <f>'T3'!O116</f>
        <v>0</v>
      </c>
      <c r="AI428" s="962">
        <f t="shared" si="330"/>
        <v>0</v>
      </c>
      <c r="AJ428" s="962">
        <f t="shared" si="331"/>
        <v>0</v>
      </c>
    </row>
    <row r="429" spans="33:36" x14ac:dyDescent="0.25">
      <c r="AG429" s="962">
        <f>'T3'!O117</f>
        <v>0</v>
      </c>
      <c r="AI429" s="962">
        <f t="shared" si="330"/>
        <v>0</v>
      </c>
      <c r="AJ429" s="962">
        <f t="shared" si="331"/>
        <v>0</v>
      </c>
    </row>
    <row r="430" spans="33:36" x14ac:dyDescent="0.25">
      <c r="AG430" s="962">
        <f>'T3'!O118</f>
        <v>0</v>
      </c>
      <c r="AI430" s="962">
        <f t="shared" si="330"/>
        <v>0</v>
      </c>
      <c r="AJ430" s="962">
        <f t="shared" si="331"/>
        <v>0</v>
      </c>
    </row>
    <row r="431" spans="33:36" x14ac:dyDescent="0.25">
      <c r="AG431" s="962">
        <f>'T3'!O119</f>
        <v>0</v>
      </c>
      <c r="AI431" s="962">
        <f t="shared" si="330"/>
        <v>0</v>
      </c>
      <c r="AJ431" s="962">
        <f t="shared" si="331"/>
        <v>0</v>
      </c>
    </row>
    <row r="432" spans="33:36" x14ac:dyDescent="0.25">
      <c r="AG432" s="962">
        <f>'T3'!O120</f>
        <v>0</v>
      </c>
      <c r="AI432" s="962">
        <f t="shared" si="330"/>
        <v>0</v>
      </c>
      <c r="AJ432" s="962">
        <f t="shared" si="331"/>
        <v>0</v>
      </c>
    </row>
    <row r="438" spans="33:36" x14ac:dyDescent="0.25">
      <c r="AG438" s="962">
        <f>'T3'!O126</f>
        <v>0</v>
      </c>
      <c r="AI438" s="962">
        <f>AE438+AI432</f>
        <v>0</v>
      </c>
      <c r="AJ438" s="962">
        <f>AG438+AJ432</f>
        <v>0</v>
      </c>
    </row>
    <row r="439" spans="33:36" x14ac:dyDescent="0.25">
      <c r="AG439" s="962">
        <f>'T3'!O127</f>
        <v>0</v>
      </c>
      <c r="AI439" s="962">
        <f t="shared" ref="AI439:AI444" si="332">AE439+AI438</f>
        <v>0</v>
      </c>
      <c r="AJ439" s="962">
        <f t="shared" ref="AJ439:AJ444" si="333">AG439+AJ438</f>
        <v>0</v>
      </c>
    </row>
    <row r="440" spans="33:36" x14ac:dyDescent="0.25">
      <c r="AG440" s="962">
        <f>'T3'!O128</f>
        <v>0</v>
      </c>
      <c r="AI440" s="962">
        <f t="shared" si="332"/>
        <v>0</v>
      </c>
      <c r="AJ440" s="962">
        <f t="shared" si="333"/>
        <v>0</v>
      </c>
    </row>
    <row r="441" spans="33:36" x14ac:dyDescent="0.25">
      <c r="AG441" s="962">
        <f>'T3'!O129</f>
        <v>0</v>
      </c>
      <c r="AI441" s="962">
        <f t="shared" si="332"/>
        <v>0</v>
      </c>
      <c r="AJ441" s="962">
        <f t="shared" si="333"/>
        <v>0</v>
      </c>
    </row>
    <row r="442" spans="33:36" x14ac:dyDescent="0.25">
      <c r="AG442" s="962">
        <f>'T3'!O130</f>
        <v>0</v>
      </c>
      <c r="AI442" s="962">
        <f t="shared" si="332"/>
        <v>0</v>
      </c>
      <c r="AJ442" s="962">
        <f t="shared" si="333"/>
        <v>0</v>
      </c>
    </row>
    <row r="443" spans="33:36" x14ac:dyDescent="0.25">
      <c r="AG443" s="962">
        <f>'T3'!O131</f>
        <v>0</v>
      </c>
      <c r="AI443" s="962">
        <f t="shared" si="332"/>
        <v>0</v>
      </c>
      <c r="AJ443" s="962">
        <f t="shared" si="333"/>
        <v>0</v>
      </c>
    </row>
    <row r="444" spans="33:36" x14ac:dyDescent="0.25">
      <c r="AG444" s="962">
        <f>'T3'!O132</f>
        <v>0</v>
      </c>
      <c r="AI444" s="962">
        <f t="shared" si="332"/>
        <v>0</v>
      </c>
      <c r="AJ444" s="962">
        <f t="shared" si="333"/>
        <v>0</v>
      </c>
    </row>
    <row r="450" spans="33:36" x14ac:dyDescent="0.25">
      <c r="AG450" s="962">
        <f>'T3'!O138</f>
        <v>0</v>
      </c>
      <c r="AI450" s="962">
        <f>AE450+AI444</f>
        <v>0</v>
      </c>
      <c r="AJ450" s="962">
        <f>AG450+AJ444</f>
        <v>0</v>
      </c>
    </row>
    <row r="451" spans="33:36" x14ac:dyDescent="0.25">
      <c r="AG451" s="962">
        <f>'T3'!O139</f>
        <v>0</v>
      </c>
      <c r="AI451" s="962">
        <f t="shared" ref="AI451:AI456" si="334">AE451+AI450</f>
        <v>0</v>
      </c>
      <c r="AJ451" s="962">
        <f t="shared" ref="AJ451:AJ456" si="335">AG451+AJ450</f>
        <v>0</v>
      </c>
    </row>
    <row r="452" spans="33:36" x14ac:dyDescent="0.25">
      <c r="AG452" s="962">
        <f>'T3'!O140</f>
        <v>0</v>
      </c>
      <c r="AI452" s="962">
        <f t="shared" si="334"/>
        <v>0</v>
      </c>
      <c r="AJ452" s="962">
        <f t="shared" si="335"/>
        <v>0</v>
      </c>
    </row>
    <row r="453" spans="33:36" x14ac:dyDescent="0.25">
      <c r="AG453" s="962">
        <f>'T3'!O141</f>
        <v>0</v>
      </c>
      <c r="AI453" s="962">
        <f t="shared" si="334"/>
        <v>0</v>
      </c>
      <c r="AJ453" s="962">
        <f t="shared" si="335"/>
        <v>0</v>
      </c>
    </row>
    <row r="454" spans="33:36" x14ac:dyDescent="0.25">
      <c r="AG454" s="962">
        <f>'T3'!O142</f>
        <v>0</v>
      </c>
      <c r="AI454" s="962">
        <f t="shared" si="334"/>
        <v>0</v>
      </c>
      <c r="AJ454" s="962">
        <f t="shared" si="335"/>
        <v>0</v>
      </c>
    </row>
    <row r="455" spans="33:36" x14ac:dyDescent="0.25">
      <c r="AG455" s="962">
        <f>'T3'!O143</f>
        <v>0</v>
      </c>
      <c r="AI455" s="962">
        <f t="shared" si="334"/>
        <v>0</v>
      </c>
      <c r="AJ455" s="962">
        <f t="shared" si="335"/>
        <v>0</v>
      </c>
    </row>
    <row r="456" spans="33:36" x14ac:dyDescent="0.25">
      <c r="AG456" s="962">
        <f>'T3'!O144</f>
        <v>0</v>
      </c>
      <c r="AI456" s="962">
        <f t="shared" si="334"/>
        <v>0</v>
      </c>
      <c r="AJ456" s="962">
        <f t="shared" si="335"/>
        <v>0</v>
      </c>
    </row>
    <row r="462" spans="33:36" x14ac:dyDescent="0.25">
      <c r="AG462" s="962">
        <f>'T3'!O150</f>
        <v>0</v>
      </c>
      <c r="AI462" s="962">
        <f>AE462+AI456</f>
        <v>0</v>
      </c>
      <c r="AJ462" s="962">
        <f>AG462+AJ456</f>
        <v>0</v>
      </c>
    </row>
    <row r="463" spans="33:36" x14ac:dyDescent="0.25">
      <c r="AG463" s="962">
        <f>'T3'!O151</f>
        <v>0</v>
      </c>
      <c r="AI463" s="962">
        <f t="shared" ref="AI463:AI468" si="336">AE463+AI462</f>
        <v>0</v>
      </c>
      <c r="AJ463" s="962">
        <f t="shared" ref="AJ463:AJ468" si="337">AG463+AJ462</f>
        <v>0</v>
      </c>
    </row>
    <row r="464" spans="33:36" x14ac:dyDescent="0.25">
      <c r="AG464" s="962">
        <f>'T3'!O152</f>
        <v>0</v>
      </c>
      <c r="AI464" s="962">
        <f t="shared" si="336"/>
        <v>0</v>
      </c>
      <c r="AJ464" s="962">
        <f t="shared" si="337"/>
        <v>0</v>
      </c>
    </row>
    <row r="465" spans="33:36" x14ac:dyDescent="0.25">
      <c r="AG465" s="962">
        <f>'T3'!O153</f>
        <v>0</v>
      </c>
      <c r="AI465" s="962">
        <f t="shared" si="336"/>
        <v>0</v>
      </c>
      <c r="AJ465" s="962">
        <f t="shared" si="337"/>
        <v>0</v>
      </c>
    </row>
    <row r="466" spans="33:36" x14ac:dyDescent="0.25">
      <c r="AG466" s="962">
        <f>'T3'!O154</f>
        <v>0</v>
      </c>
      <c r="AI466" s="962">
        <f t="shared" si="336"/>
        <v>0</v>
      </c>
      <c r="AJ466" s="962">
        <f t="shared" si="337"/>
        <v>0</v>
      </c>
    </row>
    <row r="467" spans="33:36" x14ac:dyDescent="0.25">
      <c r="AG467" s="962">
        <f>'T3'!O155</f>
        <v>0</v>
      </c>
      <c r="AI467" s="962">
        <f t="shared" si="336"/>
        <v>0</v>
      </c>
      <c r="AJ467" s="962">
        <f t="shared" si="337"/>
        <v>0</v>
      </c>
    </row>
    <row r="468" spans="33:36" x14ac:dyDescent="0.25">
      <c r="AG468" s="962">
        <f>'T3'!O156</f>
        <v>0</v>
      </c>
      <c r="AI468" s="962">
        <f t="shared" si="336"/>
        <v>0</v>
      </c>
      <c r="AJ468" s="962">
        <f t="shared" si="337"/>
        <v>0</v>
      </c>
    </row>
    <row r="474" spans="33:36" x14ac:dyDescent="0.25">
      <c r="AG474" s="962">
        <f>'T3'!O162</f>
        <v>0</v>
      </c>
      <c r="AI474" s="962">
        <f>AE474+AI468</f>
        <v>0</v>
      </c>
      <c r="AJ474" s="962">
        <f>AG474+AJ468</f>
        <v>0</v>
      </c>
    </row>
    <row r="475" spans="33:36" x14ac:dyDescent="0.25">
      <c r="AG475" s="962">
        <f>'T3'!O163</f>
        <v>0</v>
      </c>
      <c r="AI475" s="962">
        <f t="shared" ref="AI475:AI480" si="338">AE475+AI474</f>
        <v>0</v>
      </c>
      <c r="AJ475" s="962">
        <f t="shared" ref="AJ475:AJ480" si="339">AG475+AJ474</f>
        <v>0</v>
      </c>
    </row>
    <row r="476" spans="33:36" x14ac:dyDescent="0.25">
      <c r="AG476" s="962">
        <f>'T3'!O164</f>
        <v>0</v>
      </c>
      <c r="AI476" s="962">
        <f t="shared" si="338"/>
        <v>0</v>
      </c>
      <c r="AJ476" s="962">
        <f t="shared" si="339"/>
        <v>0</v>
      </c>
    </row>
    <row r="477" spans="33:36" x14ac:dyDescent="0.25">
      <c r="AG477" s="962">
        <f>'T3'!O165</f>
        <v>0</v>
      </c>
      <c r="AI477" s="962">
        <f t="shared" si="338"/>
        <v>0</v>
      </c>
      <c r="AJ477" s="962">
        <f t="shared" si="339"/>
        <v>0</v>
      </c>
    </row>
    <row r="478" spans="33:36" x14ac:dyDescent="0.25">
      <c r="AG478" s="962">
        <f>'T3'!O166</f>
        <v>0</v>
      </c>
      <c r="AI478" s="962">
        <f t="shared" si="338"/>
        <v>0</v>
      </c>
      <c r="AJ478" s="962">
        <f t="shared" si="339"/>
        <v>0</v>
      </c>
    </row>
    <row r="479" spans="33:36" x14ac:dyDescent="0.25">
      <c r="AG479" s="962">
        <f>'T3'!O167</f>
        <v>0</v>
      </c>
      <c r="AI479" s="962">
        <f t="shared" si="338"/>
        <v>0</v>
      </c>
      <c r="AJ479" s="962">
        <f t="shared" si="339"/>
        <v>0</v>
      </c>
    </row>
    <row r="480" spans="33:36" x14ac:dyDescent="0.25">
      <c r="AG480" s="962">
        <f>'T3'!O168</f>
        <v>0</v>
      </c>
      <c r="AI480" s="962">
        <f t="shared" si="338"/>
        <v>0</v>
      </c>
      <c r="AJ480" s="962">
        <f t="shared" si="339"/>
        <v>0</v>
      </c>
    </row>
    <row r="486" spans="33:36" x14ac:dyDescent="0.25">
      <c r="AG486" s="962">
        <f>'T4'!O6</f>
        <v>0</v>
      </c>
      <c r="AI486" s="962">
        <f>AE486+AI480</f>
        <v>0</v>
      </c>
      <c r="AJ486" s="962">
        <f>AG486+AJ480</f>
        <v>0</v>
      </c>
    </row>
    <row r="487" spans="33:36" x14ac:dyDescent="0.25">
      <c r="AG487" s="962">
        <f>'T4'!O7</f>
        <v>0</v>
      </c>
      <c r="AI487" s="962">
        <f t="shared" ref="AI487:AI492" si="340">AE487+AI486</f>
        <v>0</v>
      </c>
      <c r="AJ487" s="962">
        <f t="shared" ref="AJ487:AJ492" si="341">AG487+AJ486</f>
        <v>0</v>
      </c>
    </row>
    <row r="488" spans="33:36" x14ac:dyDescent="0.25">
      <c r="AG488" s="962">
        <f>'T4'!O8</f>
        <v>0</v>
      </c>
      <c r="AI488" s="962">
        <f t="shared" si="340"/>
        <v>0</v>
      </c>
      <c r="AJ488" s="962">
        <f t="shared" si="341"/>
        <v>0</v>
      </c>
    </row>
    <row r="489" spans="33:36" x14ac:dyDescent="0.25">
      <c r="AG489" s="962">
        <f>'T4'!O9</f>
        <v>0</v>
      </c>
      <c r="AI489" s="962">
        <f t="shared" si="340"/>
        <v>0</v>
      </c>
      <c r="AJ489" s="962">
        <f t="shared" si="341"/>
        <v>0</v>
      </c>
    </row>
    <row r="490" spans="33:36" x14ac:dyDescent="0.25">
      <c r="AG490" s="962">
        <f>'T4'!O10</f>
        <v>0</v>
      </c>
      <c r="AI490" s="962">
        <f t="shared" si="340"/>
        <v>0</v>
      </c>
      <c r="AJ490" s="962">
        <f t="shared" si="341"/>
        <v>0</v>
      </c>
    </row>
    <row r="491" spans="33:36" x14ac:dyDescent="0.25">
      <c r="AG491" s="962">
        <f>'T4'!O11</f>
        <v>0</v>
      </c>
      <c r="AI491" s="962">
        <f t="shared" si="340"/>
        <v>0</v>
      </c>
      <c r="AJ491" s="962">
        <f t="shared" si="341"/>
        <v>0</v>
      </c>
    </row>
    <row r="492" spans="33:36" x14ac:dyDescent="0.25">
      <c r="AG492" s="962">
        <f>'T4'!O12</f>
        <v>0</v>
      </c>
      <c r="AI492" s="962">
        <f t="shared" si="340"/>
        <v>0</v>
      </c>
      <c r="AJ492" s="962">
        <f t="shared" si="341"/>
        <v>0</v>
      </c>
    </row>
    <row r="498" spans="33:36" x14ac:dyDescent="0.25">
      <c r="AG498" s="962">
        <f>'T4'!O18</f>
        <v>0</v>
      </c>
      <c r="AI498" s="962">
        <f>AE498+AI492</f>
        <v>0</v>
      </c>
      <c r="AJ498" s="962">
        <f>AG498+AJ492</f>
        <v>0</v>
      </c>
    </row>
    <row r="499" spans="33:36" x14ac:dyDescent="0.25">
      <c r="AG499" s="962">
        <f>'T4'!O19</f>
        <v>0</v>
      </c>
      <c r="AI499" s="962">
        <f t="shared" ref="AI499:AI504" si="342">AE499+AI498</f>
        <v>0</v>
      </c>
      <c r="AJ499" s="962">
        <f t="shared" ref="AJ499:AJ504" si="343">AG499+AJ498</f>
        <v>0</v>
      </c>
    </row>
    <row r="500" spans="33:36" x14ac:dyDescent="0.25">
      <c r="AG500" s="962">
        <f>'T4'!O20</f>
        <v>0</v>
      </c>
      <c r="AI500" s="962">
        <f t="shared" si="342"/>
        <v>0</v>
      </c>
      <c r="AJ500" s="962">
        <f t="shared" si="343"/>
        <v>0</v>
      </c>
    </row>
    <row r="501" spans="33:36" x14ac:dyDescent="0.25">
      <c r="AG501" s="962">
        <f>'T4'!O21</f>
        <v>0</v>
      </c>
      <c r="AI501" s="962">
        <f t="shared" si="342"/>
        <v>0</v>
      </c>
      <c r="AJ501" s="962">
        <f t="shared" si="343"/>
        <v>0</v>
      </c>
    </row>
    <row r="502" spans="33:36" x14ac:dyDescent="0.25">
      <c r="AG502" s="962">
        <f>'T4'!O22</f>
        <v>0</v>
      </c>
      <c r="AI502" s="962">
        <f t="shared" si="342"/>
        <v>0</v>
      </c>
      <c r="AJ502" s="962">
        <f t="shared" si="343"/>
        <v>0</v>
      </c>
    </row>
    <row r="503" spans="33:36" x14ac:dyDescent="0.25">
      <c r="AG503" s="962">
        <f>'T4'!O23</f>
        <v>0</v>
      </c>
      <c r="AI503" s="962">
        <f t="shared" si="342"/>
        <v>0</v>
      </c>
      <c r="AJ503" s="962">
        <f t="shared" si="343"/>
        <v>0</v>
      </c>
    </row>
    <row r="504" spans="33:36" x14ac:dyDescent="0.25">
      <c r="AG504" s="962">
        <f>'T4'!O24</f>
        <v>0</v>
      </c>
      <c r="AI504" s="962">
        <f t="shared" si="342"/>
        <v>0</v>
      </c>
      <c r="AJ504" s="962">
        <f t="shared" si="343"/>
        <v>0</v>
      </c>
    </row>
    <row r="510" spans="33:36" x14ac:dyDescent="0.25">
      <c r="AG510" s="962">
        <f>'T4'!O30</f>
        <v>0</v>
      </c>
      <c r="AI510" s="962">
        <f>AE510+AI504</f>
        <v>0</v>
      </c>
      <c r="AJ510" s="962">
        <f>AG510+AJ504</f>
        <v>0</v>
      </c>
    </row>
    <row r="511" spans="33:36" x14ac:dyDescent="0.25">
      <c r="AG511" s="962">
        <f>'T4'!O31</f>
        <v>0</v>
      </c>
      <c r="AI511" s="962">
        <f t="shared" ref="AI511:AI516" si="344">AE511+AI510</f>
        <v>0</v>
      </c>
      <c r="AJ511" s="962">
        <f t="shared" ref="AJ511:AJ516" si="345">AG511+AJ510</f>
        <v>0</v>
      </c>
    </row>
    <row r="512" spans="33:36" x14ac:dyDescent="0.25">
      <c r="AG512" s="962">
        <f>'T4'!O32</f>
        <v>0</v>
      </c>
      <c r="AI512" s="962">
        <f t="shared" si="344"/>
        <v>0</v>
      </c>
      <c r="AJ512" s="962">
        <f t="shared" si="345"/>
        <v>0</v>
      </c>
    </row>
    <row r="513" spans="33:36" x14ac:dyDescent="0.25">
      <c r="AG513" s="962">
        <f>'T4'!O33</f>
        <v>0</v>
      </c>
      <c r="AI513" s="962">
        <f t="shared" si="344"/>
        <v>0</v>
      </c>
      <c r="AJ513" s="962">
        <f t="shared" si="345"/>
        <v>0</v>
      </c>
    </row>
    <row r="514" spans="33:36" x14ac:dyDescent="0.25">
      <c r="AG514" s="962">
        <f>'T4'!O34</f>
        <v>0</v>
      </c>
      <c r="AI514" s="962">
        <f t="shared" si="344"/>
        <v>0</v>
      </c>
      <c r="AJ514" s="962">
        <f t="shared" si="345"/>
        <v>0</v>
      </c>
    </row>
    <row r="515" spans="33:36" x14ac:dyDescent="0.25">
      <c r="AG515" s="962">
        <f>'T4'!O35</f>
        <v>0</v>
      </c>
      <c r="AI515" s="962">
        <f t="shared" si="344"/>
        <v>0</v>
      </c>
      <c r="AJ515" s="962">
        <f t="shared" si="345"/>
        <v>0</v>
      </c>
    </row>
    <row r="516" spans="33:36" x14ac:dyDescent="0.25">
      <c r="AG516" s="962">
        <f>'T4'!O36</f>
        <v>0</v>
      </c>
      <c r="AI516" s="962">
        <f t="shared" si="344"/>
        <v>0</v>
      </c>
      <c r="AJ516" s="962">
        <f t="shared" si="345"/>
        <v>0</v>
      </c>
    </row>
    <row r="522" spans="33:36" x14ac:dyDescent="0.25">
      <c r="AG522" s="962">
        <f>'T4'!O42</f>
        <v>0</v>
      </c>
      <c r="AI522" s="962">
        <f>AE522+AI516</f>
        <v>0</v>
      </c>
      <c r="AJ522" s="962">
        <f>AG522+AJ516</f>
        <v>0</v>
      </c>
    </row>
    <row r="523" spans="33:36" x14ac:dyDescent="0.25">
      <c r="AG523" s="962">
        <f>'T4'!O43</f>
        <v>0</v>
      </c>
      <c r="AI523" s="962">
        <f t="shared" ref="AI523:AI528" si="346">AE523+AI522</f>
        <v>0</v>
      </c>
      <c r="AJ523" s="962">
        <f t="shared" ref="AJ523:AJ528" si="347">AG523+AJ522</f>
        <v>0</v>
      </c>
    </row>
    <row r="524" spans="33:36" x14ac:dyDescent="0.25">
      <c r="AG524" s="962">
        <f>'T4'!O44</f>
        <v>0</v>
      </c>
      <c r="AI524" s="962">
        <f t="shared" si="346"/>
        <v>0</v>
      </c>
      <c r="AJ524" s="962">
        <f t="shared" si="347"/>
        <v>0</v>
      </c>
    </row>
    <row r="525" spans="33:36" x14ac:dyDescent="0.25">
      <c r="AG525" s="962">
        <f>'T4'!O45</f>
        <v>0</v>
      </c>
      <c r="AI525" s="962">
        <f t="shared" si="346"/>
        <v>0</v>
      </c>
      <c r="AJ525" s="962">
        <f t="shared" si="347"/>
        <v>0</v>
      </c>
    </row>
    <row r="526" spans="33:36" x14ac:dyDescent="0.25">
      <c r="AG526" s="962">
        <f>'T4'!O46</f>
        <v>0</v>
      </c>
      <c r="AI526" s="962">
        <f t="shared" si="346"/>
        <v>0</v>
      </c>
      <c r="AJ526" s="962">
        <f t="shared" si="347"/>
        <v>0</v>
      </c>
    </row>
    <row r="527" spans="33:36" x14ac:dyDescent="0.25">
      <c r="AG527" s="962">
        <f>'T4'!O47</f>
        <v>0</v>
      </c>
      <c r="AI527" s="962">
        <f t="shared" si="346"/>
        <v>0</v>
      </c>
      <c r="AJ527" s="962">
        <f t="shared" si="347"/>
        <v>0</v>
      </c>
    </row>
    <row r="528" spans="33:36" x14ac:dyDescent="0.25">
      <c r="AG528" s="962">
        <f>'T4'!O48</f>
        <v>0</v>
      </c>
      <c r="AI528" s="962">
        <f t="shared" si="346"/>
        <v>0</v>
      </c>
      <c r="AJ528" s="962">
        <f t="shared" si="347"/>
        <v>0</v>
      </c>
    </row>
    <row r="534" spans="33:36" x14ac:dyDescent="0.25">
      <c r="AG534" s="962">
        <f>'T4'!O54</f>
        <v>0</v>
      </c>
      <c r="AI534" s="962">
        <f>AE534+AI528</f>
        <v>0</v>
      </c>
      <c r="AJ534" s="962">
        <f>AG534+AJ528</f>
        <v>0</v>
      </c>
    </row>
    <row r="535" spans="33:36" x14ac:dyDescent="0.25">
      <c r="AG535" s="962">
        <f>'T4'!O55</f>
        <v>0</v>
      </c>
      <c r="AI535" s="962">
        <f t="shared" ref="AI535:AI540" si="348">AE535+AI534</f>
        <v>0</v>
      </c>
      <c r="AJ535" s="962">
        <f t="shared" ref="AJ535:AJ540" si="349">AG535+AJ534</f>
        <v>0</v>
      </c>
    </row>
    <row r="536" spans="33:36" x14ac:dyDescent="0.25">
      <c r="AG536" s="962">
        <f>'T4'!O56</f>
        <v>0</v>
      </c>
      <c r="AI536" s="962">
        <f t="shared" si="348"/>
        <v>0</v>
      </c>
      <c r="AJ536" s="962">
        <f t="shared" si="349"/>
        <v>0</v>
      </c>
    </row>
    <row r="537" spans="33:36" x14ac:dyDescent="0.25">
      <c r="AG537" s="962">
        <f>'T4'!O57</f>
        <v>0</v>
      </c>
      <c r="AI537" s="962">
        <f t="shared" si="348"/>
        <v>0</v>
      </c>
      <c r="AJ537" s="962">
        <f t="shared" si="349"/>
        <v>0</v>
      </c>
    </row>
    <row r="538" spans="33:36" x14ac:dyDescent="0.25">
      <c r="AG538" s="962">
        <f>'T4'!O58</f>
        <v>0</v>
      </c>
      <c r="AI538" s="962">
        <f t="shared" si="348"/>
        <v>0</v>
      </c>
      <c r="AJ538" s="962">
        <f t="shared" si="349"/>
        <v>0</v>
      </c>
    </row>
    <row r="539" spans="33:36" x14ac:dyDescent="0.25">
      <c r="AG539" s="962">
        <f>'T4'!O59</f>
        <v>0</v>
      </c>
      <c r="AI539" s="962">
        <f t="shared" si="348"/>
        <v>0</v>
      </c>
      <c r="AJ539" s="962">
        <f t="shared" si="349"/>
        <v>0</v>
      </c>
    </row>
    <row r="540" spans="33:36" x14ac:dyDescent="0.25">
      <c r="AG540" s="962">
        <f>'T4'!O60</f>
        <v>0</v>
      </c>
      <c r="AI540" s="962">
        <f t="shared" si="348"/>
        <v>0</v>
      </c>
      <c r="AJ540" s="962">
        <f t="shared" si="349"/>
        <v>0</v>
      </c>
    </row>
    <row r="546" spans="33:36" x14ac:dyDescent="0.25">
      <c r="AG546" s="962">
        <f>'T4'!O66</f>
        <v>0</v>
      </c>
      <c r="AI546" s="962">
        <f>AE546+AI540</f>
        <v>0</v>
      </c>
      <c r="AJ546" s="962">
        <f>AG546+AJ540</f>
        <v>0</v>
      </c>
    </row>
    <row r="547" spans="33:36" x14ac:dyDescent="0.25">
      <c r="AG547" s="962">
        <f>'T4'!O67</f>
        <v>0</v>
      </c>
      <c r="AI547" s="962">
        <f t="shared" ref="AI547:AI552" si="350">AE547+AI546</f>
        <v>0</v>
      </c>
      <c r="AJ547" s="962">
        <f t="shared" ref="AJ547:AJ552" si="351">AG547+AJ546</f>
        <v>0</v>
      </c>
    </row>
    <row r="548" spans="33:36" x14ac:dyDescent="0.25">
      <c r="AG548" s="962">
        <f>'T4'!O68</f>
        <v>0</v>
      </c>
      <c r="AI548" s="962">
        <f t="shared" si="350"/>
        <v>0</v>
      </c>
      <c r="AJ548" s="962">
        <f t="shared" si="351"/>
        <v>0</v>
      </c>
    </row>
    <row r="549" spans="33:36" x14ac:dyDescent="0.25">
      <c r="AG549" s="962">
        <f>'T4'!O69</f>
        <v>0</v>
      </c>
      <c r="AI549" s="962">
        <f t="shared" si="350"/>
        <v>0</v>
      </c>
      <c r="AJ549" s="962">
        <f t="shared" si="351"/>
        <v>0</v>
      </c>
    </row>
    <row r="550" spans="33:36" x14ac:dyDescent="0.25">
      <c r="AG550" s="962">
        <f>'T4'!O70</f>
        <v>0</v>
      </c>
      <c r="AI550" s="962">
        <f t="shared" si="350"/>
        <v>0</v>
      </c>
      <c r="AJ550" s="962">
        <f t="shared" si="351"/>
        <v>0</v>
      </c>
    </row>
    <row r="551" spans="33:36" x14ac:dyDescent="0.25">
      <c r="AG551" s="962">
        <f>'T4'!O71</f>
        <v>0</v>
      </c>
      <c r="AI551" s="962">
        <f t="shared" si="350"/>
        <v>0</v>
      </c>
      <c r="AJ551" s="962">
        <f t="shared" si="351"/>
        <v>0</v>
      </c>
    </row>
    <row r="552" spans="33:36" x14ac:dyDescent="0.25">
      <c r="AG552" s="962">
        <f>'T4'!O72</f>
        <v>0</v>
      </c>
      <c r="AI552" s="962">
        <f t="shared" si="350"/>
        <v>0</v>
      </c>
      <c r="AJ552" s="962">
        <f t="shared" si="351"/>
        <v>0</v>
      </c>
    </row>
    <row r="558" spans="33:36" x14ac:dyDescent="0.25">
      <c r="AG558" s="962">
        <f>'T4'!O78</f>
        <v>0</v>
      </c>
      <c r="AI558" s="962">
        <f>AE558+AI552</f>
        <v>0</v>
      </c>
      <c r="AJ558" s="962">
        <f>AG558+AJ552</f>
        <v>0</v>
      </c>
    </row>
    <row r="559" spans="33:36" x14ac:dyDescent="0.25">
      <c r="AG559" s="962">
        <f>'T4'!O79</f>
        <v>0</v>
      </c>
      <c r="AI559" s="962">
        <f t="shared" ref="AI559:AI564" si="352">AE559+AI558</f>
        <v>0</v>
      </c>
      <c r="AJ559" s="962">
        <f t="shared" ref="AJ559:AJ564" si="353">AG559+AJ558</f>
        <v>0</v>
      </c>
    </row>
    <row r="560" spans="33:36" x14ac:dyDescent="0.25">
      <c r="AG560" s="962">
        <f>'T4'!O80</f>
        <v>0</v>
      </c>
      <c r="AI560" s="962">
        <f t="shared" si="352"/>
        <v>0</v>
      </c>
      <c r="AJ560" s="962">
        <f t="shared" si="353"/>
        <v>0</v>
      </c>
    </row>
    <row r="561" spans="33:36" x14ac:dyDescent="0.25">
      <c r="AG561" s="962">
        <f>'T4'!O81</f>
        <v>0</v>
      </c>
      <c r="AI561" s="962">
        <f t="shared" si="352"/>
        <v>0</v>
      </c>
      <c r="AJ561" s="962">
        <f t="shared" si="353"/>
        <v>0</v>
      </c>
    </row>
    <row r="562" spans="33:36" x14ac:dyDescent="0.25">
      <c r="AG562" s="962">
        <f>'T4'!O82</f>
        <v>0</v>
      </c>
      <c r="AI562" s="962">
        <f t="shared" si="352"/>
        <v>0</v>
      </c>
      <c r="AJ562" s="962">
        <f t="shared" si="353"/>
        <v>0</v>
      </c>
    </row>
    <row r="563" spans="33:36" x14ac:dyDescent="0.25">
      <c r="AG563" s="962">
        <f>'T4'!O83</f>
        <v>0</v>
      </c>
      <c r="AI563" s="962">
        <f t="shared" si="352"/>
        <v>0</v>
      </c>
      <c r="AJ563" s="962">
        <f t="shared" si="353"/>
        <v>0</v>
      </c>
    </row>
    <row r="564" spans="33:36" x14ac:dyDescent="0.25">
      <c r="AG564" s="962">
        <f>'T4'!O84</f>
        <v>0</v>
      </c>
      <c r="AI564" s="962">
        <f t="shared" si="352"/>
        <v>0</v>
      </c>
      <c r="AJ564" s="962">
        <f t="shared" si="353"/>
        <v>0</v>
      </c>
    </row>
    <row r="570" spans="33:36" x14ac:dyDescent="0.25">
      <c r="AG570" s="962">
        <f>'T4'!O90</f>
        <v>0</v>
      </c>
      <c r="AI570" s="962">
        <f>AE570+AI564</f>
        <v>0</v>
      </c>
      <c r="AJ570" s="962">
        <f>AG570+AJ564</f>
        <v>0</v>
      </c>
    </row>
    <row r="571" spans="33:36" x14ac:dyDescent="0.25">
      <c r="AG571" s="962">
        <f>'T4'!O91</f>
        <v>0</v>
      </c>
      <c r="AI571" s="962">
        <f t="shared" ref="AI571:AI576" si="354">AE571+AI570</f>
        <v>0</v>
      </c>
      <c r="AJ571" s="962">
        <f t="shared" ref="AJ571:AJ576" si="355">AG571+AJ570</f>
        <v>0</v>
      </c>
    </row>
    <row r="572" spans="33:36" x14ac:dyDescent="0.25">
      <c r="AG572" s="962">
        <f>'T4'!O92</f>
        <v>0</v>
      </c>
      <c r="AI572" s="962">
        <f t="shared" si="354"/>
        <v>0</v>
      </c>
      <c r="AJ572" s="962">
        <f t="shared" si="355"/>
        <v>0</v>
      </c>
    </row>
    <row r="573" spans="33:36" x14ac:dyDescent="0.25">
      <c r="AG573" s="962">
        <f>'T4'!O93</f>
        <v>0</v>
      </c>
      <c r="AI573" s="962">
        <f t="shared" si="354"/>
        <v>0</v>
      </c>
      <c r="AJ573" s="962">
        <f t="shared" si="355"/>
        <v>0</v>
      </c>
    </row>
    <row r="574" spans="33:36" x14ac:dyDescent="0.25">
      <c r="AG574" s="962">
        <f>'T4'!O94</f>
        <v>0</v>
      </c>
      <c r="AI574" s="962">
        <f t="shared" si="354"/>
        <v>0</v>
      </c>
      <c r="AJ574" s="962">
        <f t="shared" si="355"/>
        <v>0</v>
      </c>
    </row>
    <row r="575" spans="33:36" x14ac:dyDescent="0.25">
      <c r="AG575" s="962">
        <f>'T4'!O95</f>
        <v>0</v>
      </c>
      <c r="AI575" s="962">
        <f t="shared" si="354"/>
        <v>0</v>
      </c>
      <c r="AJ575" s="962">
        <f t="shared" si="355"/>
        <v>0</v>
      </c>
    </row>
    <row r="576" spans="33:36" x14ac:dyDescent="0.25">
      <c r="AG576" s="962">
        <f>'T4'!O96</f>
        <v>0</v>
      </c>
      <c r="AI576" s="962">
        <f t="shared" si="354"/>
        <v>0</v>
      </c>
      <c r="AJ576" s="962">
        <f t="shared" si="355"/>
        <v>0</v>
      </c>
    </row>
    <row r="582" spans="33:36" x14ac:dyDescent="0.25">
      <c r="AG582" s="962">
        <f>'T4'!O102</f>
        <v>0</v>
      </c>
      <c r="AI582" s="962">
        <f>AE582+AI576</f>
        <v>0</v>
      </c>
      <c r="AJ582" s="962">
        <f>AG582+AJ576</f>
        <v>0</v>
      </c>
    </row>
    <row r="583" spans="33:36" x14ac:dyDescent="0.25">
      <c r="AG583" s="962">
        <f>'T4'!O103</f>
        <v>0</v>
      </c>
      <c r="AI583" s="962">
        <f t="shared" ref="AI583:AI588" si="356">AE583+AI582</f>
        <v>0</v>
      </c>
      <c r="AJ583" s="962">
        <f t="shared" ref="AJ583:AJ588" si="357">AG583+AJ582</f>
        <v>0</v>
      </c>
    </row>
    <row r="584" spans="33:36" x14ac:dyDescent="0.25">
      <c r="AG584" s="962">
        <f>'T4'!O104</f>
        <v>0</v>
      </c>
      <c r="AI584" s="962">
        <f t="shared" si="356"/>
        <v>0</v>
      </c>
      <c r="AJ584" s="962">
        <f t="shared" si="357"/>
        <v>0</v>
      </c>
    </row>
    <row r="585" spans="33:36" x14ac:dyDescent="0.25">
      <c r="AG585" s="962">
        <f>'T4'!O105</f>
        <v>0</v>
      </c>
      <c r="AI585" s="962">
        <f t="shared" si="356"/>
        <v>0</v>
      </c>
      <c r="AJ585" s="962">
        <f t="shared" si="357"/>
        <v>0</v>
      </c>
    </row>
    <row r="586" spans="33:36" x14ac:dyDescent="0.25">
      <c r="AG586" s="962">
        <f>'T4'!O106</f>
        <v>0</v>
      </c>
      <c r="AI586" s="962">
        <f t="shared" si="356"/>
        <v>0</v>
      </c>
      <c r="AJ586" s="962">
        <f t="shared" si="357"/>
        <v>0</v>
      </c>
    </row>
    <row r="587" spans="33:36" x14ac:dyDescent="0.25">
      <c r="AG587" s="962">
        <f>'T4'!O107</f>
        <v>0</v>
      </c>
      <c r="AI587" s="962">
        <f t="shared" si="356"/>
        <v>0</v>
      </c>
      <c r="AJ587" s="962">
        <f t="shared" si="357"/>
        <v>0</v>
      </c>
    </row>
    <row r="588" spans="33:36" x14ac:dyDescent="0.25">
      <c r="AG588" s="962">
        <f>'T4'!O108</f>
        <v>0</v>
      </c>
      <c r="AI588" s="962">
        <f t="shared" si="356"/>
        <v>0</v>
      </c>
      <c r="AJ588" s="962">
        <f t="shared" si="357"/>
        <v>0</v>
      </c>
    </row>
    <row r="594" spans="33:36" x14ac:dyDescent="0.25">
      <c r="AG594" s="962">
        <f>'T4'!O114</f>
        <v>0</v>
      </c>
      <c r="AI594" s="962">
        <f>AE594+AI588</f>
        <v>0</v>
      </c>
      <c r="AJ594" s="962">
        <f>AG594+AJ588</f>
        <v>0</v>
      </c>
    </row>
    <row r="595" spans="33:36" x14ac:dyDescent="0.25">
      <c r="AG595" s="962">
        <f>'T4'!O115</f>
        <v>0</v>
      </c>
      <c r="AI595" s="962">
        <f t="shared" ref="AI595:AI600" si="358">AE595+AI594</f>
        <v>0</v>
      </c>
      <c r="AJ595" s="962">
        <f t="shared" ref="AJ595:AJ600" si="359">AG595+AJ594</f>
        <v>0</v>
      </c>
    </row>
    <row r="596" spans="33:36" x14ac:dyDescent="0.25">
      <c r="AG596" s="962">
        <f>'T4'!O116</f>
        <v>0</v>
      </c>
      <c r="AI596" s="962">
        <f t="shared" si="358"/>
        <v>0</v>
      </c>
      <c r="AJ596" s="962">
        <f t="shared" si="359"/>
        <v>0</v>
      </c>
    </row>
    <row r="597" spans="33:36" x14ac:dyDescent="0.25">
      <c r="AG597" s="962">
        <f>'T4'!O117</f>
        <v>0</v>
      </c>
      <c r="AI597" s="962">
        <f t="shared" si="358"/>
        <v>0</v>
      </c>
      <c r="AJ597" s="962">
        <f t="shared" si="359"/>
        <v>0</v>
      </c>
    </row>
    <row r="598" spans="33:36" x14ac:dyDescent="0.25">
      <c r="AG598" s="962">
        <f>'T4'!O118</f>
        <v>0</v>
      </c>
      <c r="AI598" s="962">
        <f t="shared" si="358"/>
        <v>0</v>
      </c>
      <c r="AJ598" s="962">
        <f t="shared" si="359"/>
        <v>0</v>
      </c>
    </row>
    <row r="599" spans="33:36" x14ac:dyDescent="0.25">
      <c r="AG599" s="962">
        <f>'T4'!O119</f>
        <v>0</v>
      </c>
      <c r="AI599" s="962">
        <f t="shared" si="358"/>
        <v>0</v>
      </c>
      <c r="AJ599" s="962">
        <f t="shared" si="359"/>
        <v>0</v>
      </c>
    </row>
    <row r="600" spans="33:36" x14ac:dyDescent="0.25">
      <c r="AG600" s="962">
        <f>'T4'!O120</f>
        <v>0</v>
      </c>
      <c r="AI600" s="962">
        <f t="shared" si="358"/>
        <v>0</v>
      </c>
      <c r="AJ600" s="962">
        <f t="shared" si="359"/>
        <v>0</v>
      </c>
    </row>
    <row r="606" spans="33:36" x14ac:dyDescent="0.25">
      <c r="AG606" s="962">
        <f>'T4'!O126</f>
        <v>0</v>
      </c>
      <c r="AI606" s="962">
        <f>AE606+AI600</f>
        <v>0</v>
      </c>
      <c r="AJ606" s="962">
        <f>AG606+AJ600</f>
        <v>0</v>
      </c>
    </row>
    <row r="607" spans="33:36" x14ac:dyDescent="0.25">
      <c r="AG607" s="962">
        <f>'T4'!O127</f>
        <v>0</v>
      </c>
      <c r="AI607" s="962">
        <f t="shared" ref="AI607:AI612" si="360">AE607+AI606</f>
        <v>0</v>
      </c>
      <c r="AJ607" s="962">
        <f t="shared" ref="AJ607:AJ612" si="361">AG607+AJ606</f>
        <v>0</v>
      </c>
    </row>
    <row r="608" spans="33:36" x14ac:dyDescent="0.25">
      <c r="AG608" s="962">
        <f>'T4'!O128</f>
        <v>0</v>
      </c>
      <c r="AI608" s="962">
        <f t="shared" si="360"/>
        <v>0</v>
      </c>
      <c r="AJ608" s="962">
        <f t="shared" si="361"/>
        <v>0</v>
      </c>
    </row>
    <row r="609" spans="33:36" x14ac:dyDescent="0.25">
      <c r="AG609" s="962">
        <f>'T4'!O129</f>
        <v>0</v>
      </c>
      <c r="AI609" s="962">
        <f t="shared" si="360"/>
        <v>0</v>
      </c>
      <c r="AJ609" s="962">
        <f t="shared" si="361"/>
        <v>0</v>
      </c>
    </row>
    <row r="610" spans="33:36" x14ac:dyDescent="0.25">
      <c r="AG610" s="962">
        <f>'T4'!O130</f>
        <v>0</v>
      </c>
      <c r="AI610" s="962">
        <f t="shared" si="360"/>
        <v>0</v>
      </c>
      <c r="AJ610" s="962">
        <f t="shared" si="361"/>
        <v>0</v>
      </c>
    </row>
    <row r="611" spans="33:36" x14ac:dyDescent="0.25">
      <c r="AG611" s="962">
        <f>'T4'!O131</f>
        <v>0</v>
      </c>
      <c r="AI611" s="962">
        <f t="shared" si="360"/>
        <v>0</v>
      </c>
      <c r="AJ611" s="962">
        <f t="shared" si="361"/>
        <v>0</v>
      </c>
    </row>
    <row r="612" spans="33:36" x14ac:dyDescent="0.25">
      <c r="AG612" s="962">
        <f>'T4'!O132</f>
        <v>0</v>
      </c>
      <c r="AI612" s="962">
        <f t="shared" si="360"/>
        <v>0</v>
      </c>
      <c r="AJ612" s="962">
        <f t="shared" si="361"/>
        <v>0</v>
      </c>
    </row>
    <row r="618" spans="33:36" x14ac:dyDescent="0.25">
      <c r="AG618" s="962">
        <f>'T4'!O138</f>
        <v>0</v>
      </c>
      <c r="AI618" s="962">
        <f>AE618+AI612</f>
        <v>0</v>
      </c>
      <c r="AJ618" s="962">
        <f>AG618+AJ612</f>
        <v>0</v>
      </c>
    </row>
    <row r="619" spans="33:36" x14ac:dyDescent="0.25">
      <c r="AG619" s="962">
        <f>'T4'!O139</f>
        <v>0</v>
      </c>
      <c r="AI619" s="962">
        <f t="shared" ref="AI619:AI624" si="362">AE619+AI618</f>
        <v>0</v>
      </c>
      <c r="AJ619" s="962">
        <f t="shared" ref="AJ619:AJ624" si="363">AG619+AJ618</f>
        <v>0</v>
      </c>
    </row>
    <row r="620" spans="33:36" x14ac:dyDescent="0.25">
      <c r="AG620" s="962">
        <f>'T4'!O140</f>
        <v>0</v>
      </c>
      <c r="AI620" s="962">
        <f t="shared" si="362"/>
        <v>0</v>
      </c>
      <c r="AJ620" s="962">
        <f t="shared" si="363"/>
        <v>0</v>
      </c>
    </row>
    <row r="621" spans="33:36" x14ac:dyDescent="0.25">
      <c r="AG621" s="962">
        <f>'T4'!O141</f>
        <v>0</v>
      </c>
      <c r="AI621" s="962">
        <f t="shared" si="362"/>
        <v>0</v>
      </c>
      <c r="AJ621" s="962">
        <f t="shared" si="363"/>
        <v>0</v>
      </c>
    </row>
    <row r="622" spans="33:36" x14ac:dyDescent="0.25">
      <c r="AG622" s="962">
        <f>'T4'!O142</f>
        <v>0</v>
      </c>
      <c r="AI622" s="962">
        <f t="shared" si="362"/>
        <v>0</v>
      </c>
      <c r="AJ622" s="962">
        <f t="shared" si="363"/>
        <v>0</v>
      </c>
    </row>
    <row r="623" spans="33:36" x14ac:dyDescent="0.25">
      <c r="AG623" s="962">
        <f>'T4'!O143</f>
        <v>0</v>
      </c>
      <c r="AI623" s="962">
        <f t="shared" si="362"/>
        <v>0</v>
      </c>
      <c r="AJ623" s="962">
        <f t="shared" si="363"/>
        <v>0</v>
      </c>
    </row>
    <row r="624" spans="33:36" x14ac:dyDescent="0.25">
      <c r="AG624" s="962">
        <f>'T4'!O144</f>
        <v>0</v>
      </c>
      <c r="AI624" s="962">
        <f t="shared" si="362"/>
        <v>0</v>
      </c>
      <c r="AJ624" s="962">
        <f t="shared" si="363"/>
        <v>0</v>
      </c>
    </row>
    <row r="630" spans="33:36" x14ac:dyDescent="0.25">
      <c r="AG630" s="962">
        <f>'T4'!O150</f>
        <v>0</v>
      </c>
      <c r="AI630" s="962">
        <f>AE630+AI624</f>
        <v>0</v>
      </c>
      <c r="AJ630" s="962">
        <f>AG630+AJ624</f>
        <v>0</v>
      </c>
    </row>
    <row r="631" spans="33:36" x14ac:dyDescent="0.25">
      <c r="AG631" s="962">
        <f>'T4'!O151</f>
        <v>0</v>
      </c>
      <c r="AI631" s="962">
        <f t="shared" ref="AI631:AI636" si="364">AE631+AI630</f>
        <v>0</v>
      </c>
      <c r="AJ631" s="962">
        <f t="shared" ref="AJ631:AJ636" si="365">AG631+AJ630</f>
        <v>0</v>
      </c>
    </row>
    <row r="632" spans="33:36" x14ac:dyDescent="0.25">
      <c r="AG632" s="962">
        <f>'T4'!O152</f>
        <v>0</v>
      </c>
      <c r="AI632" s="962">
        <f t="shared" si="364"/>
        <v>0</v>
      </c>
      <c r="AJ632" s="962">
        <f t="shared" si="365"/>
        <v>0</v>
      </c>
    </row>
    <row r="633" spans="33:36" x14ac:dyDescent="0.25">
      <c r="AG633" s="962">
        <f>'T4'!O153</f>
        <v>0</v>
      </c>
      <c r="AI633" s="962">
        <f t="shared" si="364"/>
        <v>0</v>
      </c>
      <c r="AJ633" s="962">
        <f t="shared" si="365"/>
        <v>0</v>
      </c>
    </row>
    <row r="634" spans="33:36" x14ac:dyDescent="0.25">
      <c r="AG634" s="962">
        <f>'T4'!O154</f>
        <v>0</v>
      </c>
      <c r="AI634" s="962">
        <f t="shared" si="364"/>
        <v>0</v>
      </c>
      <c r="AJ634" s="962">
        <f t="shared" si="365"/>
        <v>0</v>
      </c>
    </row>
    <row r="635" spans="33:36" x14ac:dyDescent="0.25">
      <c r="AG635" s="962">
        <f>'T4'!O155</f>
        <v>0</v>
      </c>
      <c r="AI635" s="962">
        <f t="shared" si="364"/>
        <v>0</v>
      </c>
      <c r="AJ635" s="962">
        <f t="shared" si="365"/>
        <v>0</v>
      </c>
    </row>
    <row r="636" spans="33:36" x14ac:dyDescent="0.25">
      <c r="AG636" s="962">
        <f>'T4'!O156</f>
        <v>0</v>
      </c>
      <c r="AI636" s="962">
        <f t="shared" si="364"/>
        <v>0</v>
      </c>
      <c r="AJ636" s="962">
        <f t="shared" si="365"/>
        <v>0</v>
      </c>
    </row>
  </sheetData>
  <sheetProtection algorithmName="SHA-512" hashValue="/s9gFRayt+Erdrk4Jz6aUFur+p9Hg4LmH6b2PTIrCOv8tTFoo1wKl/CdKyLKtp8Vgi02Kalbnf5jlSMu0KHwyA==" saltValue="owYm4+onPQs4Iul3mhGJCQ==" spinCount="100000" sheet="1" objects="1" scenarios="1" selectLockedCells="1"/>
  <mergeCells count="388">
    <mergeCell ref="AG4:AG5"/>
    <mergeCell ref="AI4:AI5"/>
    <mergeCell ref="AJ4:AJ5"/>
    <mergeCell ref="AL4:AL5"/>
    <mergeCell ref="S112:S113"/>
    <mergeCell ref="S124:S125"/>
    <mergeCell ref="S136:S137"/>
    <mergeCell ref="T88:T89"/>
    <mergeCell ref="T112:T113"/>
    <mergeCell ref="Z120:AA120"/>
    <mergeCell ref="Z114:AA114"/>
    <mergeCell ref="Z115:AA115"/>
    <mergeCell ref="Z118:AA118"/>
    <mergeCell ref="Z119:AA119"/>
    <mergeCell ref="Z117:AA117"/>
    <mergeCell ref="Z116:AA116"/>
    <mergeCell ref="Z102:AA102"/>
    <mergeCell ref="Z103:AA103"/>
    <mergeCell ref="Z105:AA105"/>
    <mergeCell ref="Z104:AA104"/>
    <mergeCell ref="Z112:AA113"/>
    <mergeCell ref="U112:Y112"/>
    <mergeCell ref="Z100:AA101"/>
    <mergeCell ref="Z82:AA82"/>
    <mergeCell ref="Q171:R172"/>
    <mergeCell ref="P173:P174"/>
    <mergeCell ref="Q173:R174"/>
    <mergeCell ref="S162:Y164"/>
    <mergeCell ref="F161:G161"/>
    <mergeCell ref="F160:G160"/>
    <mergeCell ref="F159:G159"/>
    <mergeCell ref="F166:G166"/>
    <mergeCell ref="Q162:R164"/>
    <mergeCell ref="F165:G165"/>
    <mergeCell ref="D172:G173"/>
    <mergeCell ref="A170:G170"/>
    <mergeCell ref="Q148:Q149"/>
    <mergeCell ref="P148:P149"/>
    <mergeCell ref="F162:G162"/>
    <mergeCell ref="R100:R101"/>
    <mergeCell ref="R112:R113"/>
    <mergeCell ref="P112:P113"/>
    <mergeCell ref="O100:O101"/>
    <mergeCell ref="J124:K124"/>
    <mergeCell ref="J112:K112"/>
    <mergeCell ref="I123:J123"/>
    <mergeCell ref="F148:G148"/>
    <mergeCell ref="H148:I148"/>
    <mergeCell ref="P100:P101"/>
    <mergeCell ref="B148:C148"/>
    <mergeCell ref="D148:E148"/>
    <mergeCell ref="D124:E124"/>
    <mergeCell ref="F124:G124"/>
    <mergeCell ref="H124:I124"/>
    <mergeCell ref="O136:O137"/>
    <mergeCell ref="N124:N125"/>
    <mergeCell ref="O124:O125"/>
    <mergeCell ref="P183:P184"/>
    <mergeCell ref="P175:P176"/>
    <mergeCell ref="F147:G147"/>
    <mergeCell ref="I147:J147"/>
    <mergeCell ref="J148:K148"/>
    <mergeCell ref="P136:P137"/>
    <mergeCell ref="A172:C173"/>
    <mergeCell ref="P171:P172"/>
    <mergeCell ref="P189:P190"/>
    <mergeCell ref="P185:P186"/>
    <mergeCell ref="P187:P188"/>
    <mergeCell ref="P177:P178"/>
    <mergeCell ref="Q177:R178"/>
    <mergeCell ref="P179:P180"/>
    <mergeCell ref="Q179:R180"/>
    <mergeCell ref="P181:P182"/>
    <mergeCell ref="Q181:R182"/>
    <mergeCell ref="Q175:R176"/>
    <mergeCell ref="Q189:R190"/>
    <mergeCell ref="Q187:R188"/>
    <mergeCell ref="Q185:R186"/>
    <mergeCell ref="Q183:R184"/>
    <mergeCell ref="Z189:AA190"/>
    <mergeCell ref="P165:P166"/>
    <mergeCell ref="Q165:R166"/>
    <mergeCell ref="P167:P168"/>
    <mergeCell ref="Q167:R168"/>
    <mergeCell ref="P169:P170"/>
    <mergeCell ref="Q169:R170"/>
    <mergeCell ref="Z181:AA182"/>
    <mergeCell ref="Z183:AA184"/>
    <mergeCell ref="Z185:AA186"/>
    <mergeCell ref="Z175:AA176"/>
    <mergeCell ref="Z177:AA178"/>
    <mergeCell ref="Z179:AA180"/>
    <mergeCell ref="Z169:AA170"/>
    <mergeCell ref="Z171:AA172"/>
    <mergeCell ref="Z173:AA174"/>
    <mergeCell ref="S167:Y168"/>
    <mergeCell ref="S189:Y190"/>
    <mergeCell ref="S187:Y188"/>
    <mergeCell ref="S185:Y186"/>
    <mergeCell ref="S183:Y184"/>
    <mergeCell ref="S181:Y182"/>
    <mergeCell ref="S179:Y180"/>
    <mergeCell ref="S177:Y178"/>
    <mergeCell ref="Z167:AA168"/>
    <mergeCell ref="S165:Y166"/>
    <mergeCell ref="Z187:AA188"/>
    <mergeCell ref="S175:Y176"/>
    <mergeCell ref="S173:Y174"/>
    <mergeCell ref="S171:Y172"/>
    <mergeCell ref="S169:Y170"/>
    <mergeCell ref="Z165:AA166"/>
    <mergeCell ref="Z150:AA150"/>
    <mergeCell ref="Z156:AA156"/>
    <mergeCell ref="R160:AA160"/>
    <mergeCell ref="Z130:AA130"/>
    <mergeCell ref="Z126:AA126"/>
    <mergeCell ref="Z127:AA127"/>
    <mergeCell ref="Z132:AA132"/>
    <mergeCell ref="U124:Y124"/>
    <mergeCell ref="Z138:AA138"/>
    <mergeCell ref="S148:S149"/>
    <mergeCell ref="R124:R125"/>
    <mergeCell ref="Z128:AA128"/>
    <mergeCell ref="Z129:AA129"/>
    <mergeCell ref="Z143:AA143"/>
    <mergeCell ref="Z124:AA125"/>
    <mergeCell ref="Z154:AA154"/>
    <mergeCell ref="Z152:AA152"/>
    <mergeCell ref="Z153:AA153"/>
    <mergeCell ref="Z144:AA144"/>
    <mergeCell ref="Z140:AA140"/>
    <mergeCell ref="Z141:AA141"/>
    <mergeCell ref="Z142:AA142"/>
    <mergeCell ref="Z131:AA131"/>
    <mergeCell ref="Z139:AA139"/>
    <mergeCell ref="A1:AA1"/>
    <mergeCell ref="B136:C136"/>
    <mergeCell ref="D136:E136"/>
    <mergeCell ref="F136:G136"/>
    <mergeCell ref="T136:T137"/>
    <mergeCell ref="R136:R137"/>
    <mergeCell ref="T124:T125"/>
    <mergeCell ref="Q136:Q137"/>
    <mergeCell ref="J136:K136"/>
    <mergeCell ref="L136:M136"/>
    <mergeCell ref="N136:N137"/>
    <mergeCell ref="Z67:AA67"/>
    <mergeCell ref="Z84:AA84"/>
    <mergeCell ref="T76:T77"/>
    <mergeCell ref="U76:Y76"/>
    <mergeCell ref="Z76:AA77"/>
    <mergeCell ref="T100:T101"/>
    <mergeCell ref="U100:Y100"/>
    <mergeCell ref="Z93:AA93"/>
    <mergeCell ref="Z96:AA96"/>
    <mergeCell ref="Z88:AA89"/>
    <mergeCell ref="U88:Y88"/>
    <mergeCell ref="F87:G87"/>
    <mergeCell ref="S76:S77"/>
    <mergeCell ref="Z162:AA164"/>
    <mergeCell ref="Z83:AA83"/>
    <mergeCell ref="Z78:AA78"/>
    <mergeCell ref="Z79:AA79"/>
    <mergeCell ref="Z80:AA80"/>
    <mergeCell ref="Z81:AA81"/>
    <mergeCell ref="A192:AA193"/>
    <mergeCell ref="F135:G135"/>
    <mergeCell ref="I135:J135"/>
    <mergeCell ref="U136:Y136"/>
    <mergeCell ref="T148:T149"/>
    <mergeCell ref="H136:I136"/>
    <mergeCell ref="Z155:AA155"/>
    <mergeCell ref="Z148:AA149"/>
    <mergeCell ref="U148:Y148"/>
    <mergeCell ref="F164:G164"/>
    <mergeCell ref="F163:G163"/>
    <mergeCell ref="H163:I163"/>
    <mergeCell ref="J163:K163"/>
    <mergeCell ref="R148:R149"/>
    <mergeCell ref="O148:O149"/>
    <mergeCell ref="N148:N149"/>
    <mergeCell ref="Z151:AA151"/>
    <mergeCell ref="L148:M148"/>
    <mergeCell ref="Z136:AA137"/>
    <mergeCell ref="S100:S101"/>
    <mergeCell ref="Q100:Q101"/>
    <mergeCell ref="R88:R89"/>
    <mergeCell ref="Z91:AA91"/>
    <mergeCell ref="Z92:AA92"/>
    <mergeCell ref="Z106:AA106"/>
    <mergeCell ref="Z94:AA94"/>
    <mergeCell ref="Z95:AA95"/>
    <mergeCell ref="Z90:AA90"/>
    <mergeCell ref="Z107:AA107"/>
    <mergeCell ref="Z108:AA108"/>
    <mergeCell ref="S88:S89"/>
    <mergeCell ref="Q88:Q89"/>
    <mergeCell ref="B76:C76"/>
    <mergeCell ref="D76:E76"/>
    <mergeCell ref="F76:G76"/>
    <mergeCell ref="H76:I76"/>
    <mergeCell ref="F99:G99"/>
    <mergeCell ref="O76:O77"/>
    <mergeCell ref="N76:N77"/>
    <mergeCell ref="H100:I100"/>
    <mergeCell ref="L100:M100"/>
    <mergeCell ref="N100:N101"/>
    <mergeCell ref="J100:K100"/>
    <mergeCell ref="L88:M88"/>
    <mergeCell ref="J88:K88"/>
    <mergeCell ref="I87:J87"/>
    <mergeCell ref="N88:N89"/>
    <mergeCell ref="D100:E100"/>
    <mergeCell ref="Q76:Q77"/>
    <mergeCell ref="P76:P77"/>
    <mergeCell ref="B124:C124"/>
    <mergeCell ref="B88:C88"/>
    <mergeCell ref="D88:E88"/>
    <mergeCell ref="Q124:Q125"/>
    <mergeCell ref="F88:G88"/>
    <mergeCell ref="B100:C100"/>
    <mergeCell ref="F100:G100"/>
    <mergeCell ref="B112:C112"/>
    <mergeCell ref="D112:E112"/>
    <mergeCell ref="F111:G111"/>
    <mergeCell ref="I111:J111"/>
    <mergeCell ref="I99:J99"/>
    <mergeCell ref="Q112:Q113"/>
    <mergeCell ref="P124:P125"/>
    <mergeCell ref="H112:I112"/>
    <mergeCell ref="F123:G123"/>
    <mergeCell ref="L124:M124"/>
    <mergeCell ref="L112:M112"/>
    <mergeCell ref="N112:N113"/>
    <mergeCell ref="O112:O113"/>
    <mergeCell ref="F112:G112"/>
    <mergeCell ref="O88:O89"/>
    <mergeCell ref="P88:P89"/>
    <mergeCell ref="Z72:AA72"/>
    <mergeCell ref="Z58:AA58"/>
    <mergeCell ref="R52:R53"/>
    <mergeCell ref="T52:T53"/>
    <mergeCell ref="U52:Y52"/>
    <mergeCell ref="Z52:AA53"/>
    <mergeCell ref="R76:R77"/>
    <mergeCell ref="B28:C28"/>
    <mergeCell ref="D28:E28"/>
    <mergeCell ref="F28:G28"/>
    <mergeCell ref="H28:I28"/>
    <mergeCell ref="B40:C40"/>
    <mergeCell ref="D40:E40"/>
    <mergeCell ref="F40:G40"/>
    <mergeCell ref="H40:I40"/>
    <mergeCell ref="F51:G51"/>
    <mergeCell ref="F75:G75"/>
    <mergeCell ref="O52:O53"/>
    <mergeCell ref="P52:P53"/>
    <mergeCell ref="N52:N53"/>
    <mergeCell ref="Z31:AA31"/>
    <mergeCell ref="Z43:AA43"/>
    <mergeCell ref="Z48:AA48"/>
    <mergeCell ref="F39:G39"/>
    <mergeCell ref="I3:J3"/>
    <mergeCell ref="Z23:AA23"/>
    <mergeCell ref="F27:G27"/>
    <mergeCell ref="I27:J27"/>
    <mergeCell ref="Z20:AA20"/>
    <mergeCell ref="F3:G3"/>
    <mergeCell ref="Z57:AA57"/>
    <mergeCell ref="P40:P41"/>
    <mergeCell ref="N40:N41"/>
    <mergeCell ref="O40:O41"/>
    <mergeCell ref="R40:R41"/>
    <mergeCell ref="Q40:Q41"/>
    <mergeCell ref="Z54:AA54"/>
    <mergeCell ref="Z32:AA32"/>
    <mergeCell ref="Z42:AA42"/>
    <mergeCell ref="Z33:AA33"/>
    <mergeCell ref="U40:Y40"/>
    <mergeCell ref="Z30:AA30"/>
    <mergeCell ref="N28:N29"/>
    <mergeCell ref="Z28:AA29"/>
    <mergeCell ref="U28:Y28"/>
    <mergeCell ref="R28:R29"/>
    <mergeCell ref="O28:O29"/>
    <mergeCell ref="P28:P29"/>
    <mergeCell ref="Z34:AA34"/>
    <mergeCell ref="Z35:AA35"/>
    <mergeCell ref="Z36:AA36"/>
    <mergeCell ref="Z40:AA41"/>
    <mergeCell ref="Z44:AA44"/>
    <mergeCell ref="T40:T41"/>
    <mergeCell ref="O16:O17"/>
    <mergeCell ref="P16:P17"/>
    <mergeCell ref="Z24:AA24"/>
    <mergeCell ref="Z21:AA21"/>
    <mergeCell ref="Z18:AA18"/>
    <mergeCell ref="Z19:AA19"/>
    <mergeCell ref="Z22:AA22"/>
    <mergeCell ref="Q28:Q29"/>
    <mergeCell ref="T28:T29"/>
    <mergeCell ref="S16:S17"/>
    <mergeCell ref="S28:S29"/>
    <mergeCell ref="P64:P65"/>
    <mergeCell ref="R64:R65"/>
    <mergeCell ref="J40:K40"/>
    <mergeCell ref="U64:Y64"/>
    <mergeCell ref="Q64:Q65"/>
    <mergeCell ref="S40:S41"/>
    <mergeCell ref="S52:S53"/>
    <mergeCell ref="S64:S65"/>
    <mergeCell ref="Z60:AA60"/>
    <mergeCell ref="Z55:AA55"/>
    <mergeCell ref="Z56:AA56"/>
    <mergeCell ref="Q52:Q53"/>
    <mergeCell ref="B52:C52"/>
    <mergeCell ref="D52:E52"/>
    <mergeCell ref="L52:M52"/>
    <mergeCell ref="J52:K52"/>
    <mergeCell ref="N64:N65"/>
    <mergeCell ref="F52:G52"/>
    <mergeCell ref="H52:I52"/>
    <mergeCell ref="F63:G63"/>
    <mergeCell ref="F64:G64"/>
    <mergeCell ref="B64:C64"/>
    <mergeCell ref="D64:E64"/>
    <mergeCell ref="J64:K64"/>
    <mergeCell ref="L64:M64"/>
    <mergeCell ref="B16:C16"/>
    <mergeCell ref="D16:E16"/>
    <mergeCell ref="F16:G16"/>
    <mergeCell ref="H16:I16"/>
    <mergeCell ref="J16:K16"/>
    <mergeCell ref="L16:M16"/>
    <mergeCell ref="Z11:AA11"/>
    <mergeCell ref="Z12:AA12"/>
    <mergeCell ref="Z7:AA7"/>
    <mergeCell ref="Z8:AA8"/>
    <mergeCell ref="T16:T17"/>
    <mergeCell ref="U16:Y16"/>
    <mergeCell ref="Z16:AA17"/>
    <mergeCell ref="N16:N17"/>
    <mergeCell ref="Q16:Q17"/>
    <mergeCell ref="R16:R17"/>
    <mergeCell ref="I15:J15"/>
    <mergeCell ref="F15:G15"/>
    <mergeCell ref="B4:C4"/>
    <mergeCell ref="D4:E4"/>
    <mergeCell ref="F4:G4"/>
    <mergeCell ref="H4:I4"/>
    <mergeCell ref="J4:K4"/>
    <mergeCell ref="Z10:AA10"/>
    <mergeCell ref="L4:M4"/>
    <mergeCell ref="N4:N5"/>
    <mergeCell ref="Z4:AA5"/>
    <mergeCell ref="Z6:AA6"/>
    <mergeCell ref="O4:O5"/>
    <mergeCell ref="P4:P5"/>
    <mergeCell ref="T4:T5"/>
    <mergeCell ref="U4:Y4"/>
    <mergeCell ref="Q4:Q5"/>
    <mergeCell ref="R4:R5"/>
    <mergeCell ref="Z9:AA9"/>
    <mergeCell ref="S4:S5"/>
    <mergeCell ref="Z2:AA2"/>
    <mergeCell ref="L28:M28"/>
    <mergeCell ref="I39:J39"/>
    <mergeCell ref="L40:M40"/>
    <mergeCell ref="J28:K28"/>
    <mergeCell ref="I51:J51"/>
    <mergeCell ref="H88:I88"/>
    <mergeCell ref="J76:K76"/>
    <mergeCell ref="L76:M76"/>
    <mergeCell ref="I63:J63"/>
    <mergeCell ref="H64:I64"/>
    <mergeCell ref="I75:J75"/>
    <mergeCell ref="Z71:AA71"/>
    <mergeCell ref="Z59:AA59"/>
    <mergeCell ref="Z68:AA68"/>
    <mergeCell ref="Z69:AA69"/>
    <mergeCell ref="Z70:AA70"/>
    <mergeCell ref="Z64:AA65"/>
    <mergeCell ref="T64:T65"/>
    <mergeCell ref="Z66:AA66"/>
    <mergeCell ref="Z45:AA45"/>
    <mergeCell ref="Z47:AA47"/>
    <mergeCell ref="Z46:AA46"/>
    <mergeCell ref="O64:O65"/>
  </mergeCells>
  <phoneticPr fontId="34" type="noConversion"/>
  <conditionalFormatting sqref="A7 A19 A31 A43 A55 A67 A79 A91 A103 A115 A127 A139 A151">
    <cfRule type="expression" dxfId="1362" priority="5940" stopIfTrue="1">
      <formula>COUNTIF(tab_vacances,F3+1)&gt;=1</formula>
    </cfRule>
  </conditionalFormatting>
  <conditionalFormatting sqref="A6 A18 A30 A42 A54 A78 A90 A102 A114 A126 A138 A150">
    <cfRule type="expression" dxfId="1361" priority="5941" stopIfTrue="1">
      <formula>COUNTIF(tab_vacances,F3)&gt;=1</formula>
    </cfRule>
  </conditionalFormatting>
  <conditionalFormatting sqref="A8 A20 A32 A44 A56 A68 A80 A92 A104 A116 A128 A140 A152">
    <cfRule type="expression" dxfId="1360" priority="5942" stopIfTrue="1">
      <formula>COUNTIF(tab_vacances,F3+2)&gt;=1</formula>
    </cfRule>
  </conditionalFormatting>
  <conditionalFormatting sqref="A9 A21 A33 A45 A57 A69 A81 A93 A105 A117 A129 A141 A153">
    <cfRule type="expression" dxfId="1359" priority="5943" stopIfTrue="1">
      <formula>COUNTIF(tab_vacances,F3+3)&gt;=1</formula>
    </cfRule>
  </conditionalFormatting>
  <conditionalFormatting sqref="A10 A22 A34 A46 A58 A70 A82 A94 A106 A118 A130 A142 A154">
    <cfRule type="expression" dxfId="1358" priority="5944" stopIfTrue="1">
      <formula>COUNTIF(tab_vacances,F3+4)&gt;=1</formula>
    </cfRule>
  </conditionalFormatting>
  <conditionalFormatting sqref="U159:W159 U192:Y193 Y191 U191:W191 Y159 U61:Y62 U73:Y73 U85:Y85 U97:Y97 U109:Y109 U133:Y134 U145:Y145 U157:Y157 U121:Y121 U3:Y3 U37:Y39 U49:Y51 U13:Y15 U25:Y27">
    <cfRule type="containsText" dxfId="1357" priority="5930" operator="containsText" text="PB">
      <formula>NOT(ISERROR(SEARCH("PB",U3)))</formula>
    </cfRule>
  </conditionalFormatting>
  <conditionalFormatting sqref="O62 O14 O26 O38 O50 O134">
    <cfRule type="cellIs" dxfId="1356" priority="4991" operator="greaterThan">
      <formula>48/24</formula>
    </cfRule>
  </conditionalFormatting>
  <conditionalFormatting sqref="AA74:AA75 AA86:AA87 AA98:AA99 AA110:AA111 AA122:AA123 AA62:AA63 AA3 AA14:AA15 AA26:AA27 AA38:AA39 AA50:AA51 AA134 AA146:AA147 AA158">
    <cfRule type="cellIs" dxfId="1355" priority="4912" operator="greaterThan">
      <formula>44/24</formula>
    </cfRule>
  </conditionalFormatting>
  <conditionalFormatting sqref="Z6:AA156">
    <cfRule type="expression" dxfId="1354" priority="2695" stopIfTrue="1">
      <formula>OR(C6="aa",C6="m",C6="css")</formula>
    </cfRule>
  </conditionalFormatting>
  <conditionalFormatting sqref="Y4:Y5 U4:W5">
    <cfRule type="containsText" dxfId="1353" priority="1903" operator="containsText" text="PB">
      <formula>NOT(ISERROR(SEARCH("PB",U4)))</formula>
    </cfRule>
  </conditionalFormatting>
  <conditionalFormatting sqref="Y16:Y17 U16:W17">
    <cfRule type="containsText" dxfId="1352" priority="1902" operator="containsText" text="PB">
      <formula>NOT(ISERROR(SEARCH("PB",U16)))</formula>
    </cfRule>
  </conditionalFormatting>
  <conditionalFormatting sqref="Y28:Y29 U28:W29">
    <cfRule type="containsText" dxfId="1351" priority="1901" operator="containsText" text="PB">
      <formula>NOT(ISERROR(SEARCH("PB",U28)))</formula>
    </cfRule>
  </conditionalFormatting>
  <conditionalFormatting sqref="Y40:Y41 U40:W41">
    <cfRule type="containsText" dxfId="1350" priority="1900" operator="containsText" text="PB">
      <formula>NOT(ISERROR(SEARCH("PB",U40)))</formula>
    </cfRule>
  </conditionalFormatting>
  <conditionalFormatting sqref="Y52:Y53 U52:W53">
    <cfRule type="containsText" dxfId="1349" priority="1899" operator="containsText" text="PB">
      <formula>NOT(ISERROR(SEARCH("PB",U52)))</formula>
    </cfRule>
  </conditionalFormatting>
  <conditionalFormatting sqref="Y64:Y65 U64:W65">
    <cfRule type="containsText" dxfId="1348" priority="1898" operator="containsText" text="PB">
      <formula>NOT(ISERROR(SEARCH("PB",U64)))</formula>
    </cfRule>
  </conditionalFormatting>
  <conditionalFormatting sqref="Y76:Y77 U76:W77">
    <cfRule type="containsText" dxfId="1347" priority="1897" operator="containsText" text="PB">
      <formula>NOT(ISERROR(SEARCH("PB",U76)))</formula>
    </cfRule>
  </conditionalFormatting>
  <conditionalFormatting sqref="Y88:Y89 U88:W89">
    <cfRule type="containsText" dxfId="1346" priority="1896" operator="containsText" text="PB">
      <formula>NOT(ISERROR(SEARCH("PB",U88)))</formula>
    </cfRule>
  </conditionalFormatting>
  <conditionalFormatting sqref="Y100:Y101 U100:W101">
    <cfRule type="containsText" dxfId="1345" priority="1895" operator="containsText" text="PB">
      <formula>NOT(ISERROR(SEARCH("PB",U100)))</formula>
    </cfRule>
  </conditionalFormatting>
  <conditionalFormatting sqref="Y112:Y113 U112:W113">
    <cfRule type="containsText" dxfId="1344" priority="1894" operator="containsText" text="PB">
      <formula>NOT(ISERROR(SEARCH("PB",U112)))</formula>
    </cfRule>
  </conditionalFormatting>
  <conditionalFormatting sqref="Y124:Y125 U124:W125">
    <cfRule type="containsText" dxfId="1343" priority="1893" operator="containsText" text="PB">
      <formula>NOT(ISERROR(SEARCH("PB",U124)))</formula>
    </cfRule>
  </conditionalFormatting>
  <conditionalFormatting sqref="Y136:Y137 U136:W137">
    <cfRule type="containsText" dxfId="1342" priority="1892" operator="containsText" text="PB">
      <formula>NOT(ISERROR(SEARCH("PB",U136)))</formula>
    </cfRule>
  </conditionalFormatting>
  <conditionalFormatting sqref="Y148:Y149 U148:W149">
    <cfRule type="containsText" dxfId="1341" priority="1891" operator="containsText" text="PB">
      <formula>NOT(ISERROR(SEARCH("PB",U148)))</formula>
    </cfRule>
  </conditionalFormatting>
  <conditionalFormatting sqref="C6:C168">
    <cfRule type="expression" dxfId="1340" priority="1439" stopIfTrue="1">
      <formula>OR(C6="cp",C6="jc",C6="css")</formula>
    </cfRule>
  </conditionalFormatting>
  <conditionalFormatting sqref="C6:C156">
    <cfRule type="expression" dxfId="1339" priority="1436" stopIfTrue="1">
      <formula>OR(C6="aa",C6="m")</formula>
    </cfRule>
  </conditionalFormatting>
  <conditionalFormatting sqref="O13 O25 O37 O49 O61 O73 O85 O97 O109 O121 O133 O145 O157">
    <cfRule type="cellIs" dxfId="1338" priority="1180" stopIfTrue="1" operator="greaterThan">
      <formula>48/24</formula>
    </cfRule>
  </conditionalFormatting>
  <conditionalFormatting sqref="O25">
    <cfRule type="cellIs" dxfId="1337" priority="1176" stopIfTrue="1" operator="greaterThan">
      <formula>48/24</formula>
    </cfRule>
  </conditionalFormatting>
  <conditionalFormatting sqref="O49">
    <cfRule type="cellIs" dxfId="1336" priority="1168" stopIfTrue="1" operator="greaterThan">
      <formula>48/24</formula>
    </cfRule>
  </conditionalFormatting>
  <conditionalFormatting sqref="O61">
    <cfRule type="cellIs" dxfId="1335" priority="1164" stopIfTrue="1" operator="greaterThan">
      <formula>48/24</formula>
    </cfRule>
  </conditionalFormatting>
  <conditionalFormatting sqref="O73">
    <cfRule type="cellIs" dxfId="1334" priority="1160" stopIfTrue="1" operator="greaterThan">
      <formula>48/24</formula>
    </cfRule>
  </conditionalFormatting>
  <conditionalFormatting sqref="O85">
    <cfRule type="cellIs" dxfId="1333" priority="1156" stopIfTrue="1" operator="greaterThan">
      <formula>48/24</formula>
    </cfRule>
  </conditionalFormatting>
  <conditionalFormatting sqref="O97">
    <cfRule type="cellIs" dxfId="1332" priority="1152" stopIfTrue="1" operator="greaterThan">
      <formula>48/24</formula>
    </cfRule>
  </conditionalFormatting>
  <conditionalFormatting sqref="O109">
    <cfRule type="cellIs" dxfId="1331" priority="1148" stopIfTrue="1" operator="greaterThan">
      <formula>48/24</formula>
    </cfRule>
  </conditionalFormatting>
  <conditionalFormatting sqref="O121">
    <cfRule type="cellIs" dxfId="1330" priority="1144" stopIfTrue="1" operator="greaterThan">
      <formula>48/24</formula>
    </cfRule>
  </conditionalFormatting>
  <conditionalFormatting sqref="O133">
    <cfRule type="cellIs" dxfId="1329" priority="1140" stopIfTrue="1" operator="greaterThan">
      <formula>48/24</formula>
    </cfRule>
  </conditionalFormatting>
  <conditionalFormatting sqref="O145">
    <cfRule type="cellIs" dxfId="1328" priority="1136" stopIfTrue="1" operator="greaterThan">
      <formula>48/24</formula>
    </cfRule>
  </conditionalFormatting>
  <conditionalFormatting sqref="O157">
    <cfRule type="cellIs" dxfId="1327" priority="1132" stopIfTrue="1" operator="greaterThan">
      <formula>48/24</formula>
    </cfRule>
  </conditionalFormatting>
  <conditionalFormatting sqref="N25">
    <cfRule type="cellIs" dxfId="1326" priority="1112" stopIfTrue="1" operator="greaterThan">
      <formula>48/24</formula>
    </cfRule>
  </conditionalFormatting>
  <conditionalFormatting sqref="N13">
    <cfRule type="cellIs" dxfId="1325" priority="1108" stopIfTrue="1" operator="greaterThan">
      <formula>48/24</formula>
    </cfRule>
  </conditionalFormatting>
  <conditionalFormatting sqref="N37">
    <cfRule type="cellIs" dxfId="1324" priority="1104" stopIfTrue="1" operator="greaterThan">
      <formula>48/24</formula>
    </cfRule>
  </conditionalFormatting>
  <conditionalFormatting sqref="N49">
    <cfRule type="cellIs" dxfId="1323" priority="1100" stopIfTrue="1" operator="greaterThan">
      <formula>48/24</formula>
    </cfRule>
  </conditionalFormatting>
  <conditionalFormatting sqref="N61">
    <cfRule type="cellIs" dxfId="1322" priority="1096" stopIfTrue="1" operator="greaterThan">
      <formula>48/24</formula>
    </cfRule>
  </conditionalFormatting>
  <conditionalFormatting sqref="N73">
    <cfRule type="cellIs" dxfId="1321" priority="1092" stopIfTrue="1" operator="greaterThan">
      <formula>48/24</formula>
    </cfRule>
  </conditionalFormatting>
  <conditionalFormatting sqref="N85">
    <cfRule type="cellIs" dxfId="1320" priority="1088" stopIfTrue="1" operator="greaterThan">
      <formula>48/24</formula>
    </cfRule>
  </conditionalFormatting>
  <conditionalFormatting sqref="N97">
    <cfRule type="cellIs" dxfId="1319" priority="1084" stopIfTrue="1" operator="greaterThan">
      <formula>48/24</formula>
    </cfRule>
  </conditionalFormatting>
  <conditionalFormatting sqref="N109">
    <cfRule type="cellIs" dxfId="1318" priority="1080" stopIfTrue="1" operator="greaterThan">
      <formula>48/24</formula>
    </cfRule>
  </conditionalFormatting>
  <conditionalFormatting sqref="N121">
    <cfRule type="cellIs" dxfId="1317" priority="1076" stopIfTrue="1" operator="greaterThan">
      <formula>48/24</formula>
    </cfRule>
  </conditionalFormatting>
  <conditionalFormatting sqref="N133">
    <cfRule type="cellIs" dxfId="1316" priority="1072" stopIfTrue="1" operator="greaterThan">
      <formula>48/24</formula>
    </cfRule>
  </conditionalFormatting>
  <conditionalFormatting sqref="N145">
    <cfRule type="cellIs" dxfId="1315" priority="1068" stopIfTrue="1" operator="greaterThan">
      <formula>48/24</formula>
    </cfRule>
  </conditionalFormatting>
  <conditionalFormatting sqref="N157">
    <cfRule type="cellIs" dxfId="1314" priority="1064" stopIfTrue="1" operator="greaterThan">
      <formula>48/24</formula>
    </cfRule>
  </conditionalFormatting>
  <conditionalFormatting sqref="A66">
    <cfRule type="expression" dxfId="1313" priority="1060" stopIfTrue="1">
      <formula>COUNTIF(tab_vacances,F63)&gt;=1</formula>
    </cfRule>
  </conditionalFormatting>
  <conditionalFormatting sqref="B8:M8 B20:M20 B32:M32 B44:M44 B56:M56 B68:M68 B80:M80 B92:M92 B104:M104 B116:M116 B128:M128 B140:M140 B152:M152">
    <cfRule type="expression" dxfId="1312" priority="1017" stopIfTrue="1">
      <formula>COUNTIF(tab_ferie,$F3+2)&gt;=1</formula>
    </cfRule>
  </conditionalFormatting>
  <conditionalFormatting sqref="B9:M9 B21:M21 B33:M33 B45:M45 B57:M57 B69:M69 B81:M81 B93:M93 B105:M105 B117:M117 B129:M129 B141:M141 B153:M153">
    <cfRule type="expression" dxfId="1311" priority="1018" stopIfTrue="1">
      <formula>COUNTIF(tab_ferie,$F3+3)&gt;=1</formula>
    </cfRule>
  </conditionalFormatting>
  <conditionalFormatting sqref="B10:M10 B22:M22 B34:M34 B46:M46 B58:M58 B70:M70 B82:M82 B94:M94 B106:M106 B118:M118 B130:M130 B142:M142 B154:M154">
    <cfRule type="expression" dxfId="1310" priority="1019" stopIfTrue="1">
      <formula>COUNTIF(tab_ferie,$F3+4)&gt;=1</formula>
    </cfRule>
  </conditionalFormatting>
  <conditionalFormatting sqref="B11:M11 B23:M23 B35:M35 B47:M47 B59:M59 B71:M71 B83:M83 B95:M95 B107:M107 B119:M119 B131:M131 B143:M143 B155:M155">
    <cfRule type="expression" dxfId="1309" priority="1020" stopIfTrue="1">
      <formula>COUNTIF(tab_ferie,$F3+5)&gt;=1</formula>
    </cfRule>
  </conditionalFormatting>
  <conditionalFormatting sqref="B12:M12 B24:M24 B36:M36 B48:M48 B59:M59 B60:M60 B72:M72 B84:M84 B96:M96 B108:M108 B120:M120 B132:M132 B144:M144 B156:M156">
    <cfRule type="expression" dxfId="1308" priority="1021">
      <formula>COUNTIF(tab_ferie,$F3+6)&gt;=1</formula>
    </cfRule>
  </conditionalFormatting>
  <conditionalFormatting sqref="B6:M6 B18:M18 B30:M30 B42:M42 B54:M54 B66:M66 B78:M78 B90:M90 B102:M102 B114:M114 B126:M126 B138:M138 B150:M150">
    <cfRule type="expression" dxfId="1307" priority="1015" stopIfTrue="1">
      <formula>COUNTIF(tab_ferie,$F3)&gt;=1</formula>
    </cfRule>
  </conditionalFormatting>
  <conditionalFormatting sqref="B7:M7 B19:M19 B31:M31 B43:M43 B55:M55 B67:M67 B79:M79 B91:M91 B103:M103 B115:M115 B127:M127 B139:M139 B151:M151">
    <cfRule type="expression" dxfId="1306" priority="1016" stopIfTrue="1">
      <formula>COUNTIF(tab_ferie,$F3+1)&gt;=1</formula>
    </cfRule>
  </conditionalFormatting>
  <conditionalFormatting sqref="R9 R12">
    <cfRule type="cellIs" dxfId="1305" priority="481" operator="greaterThan">
      <formula>12/24</formula>
    </cfRule>
  </conditionalFormatting>
  <conditionalFormatting sqref="O11:O12">
    <cfRule type="cellIs" dxfId="1304" priority="482" operator="greaterThan">
      <formula>10/24</formula>
    </cfRule>
  </conditionalFormatting>
  <conditionalFormatting sqref="S9 S11:S12">
    <cfRule type="cellIs" dxfId="1303" priority="480" stopIfTrue="1" operator="equal">
      <formula>"n"</formula>
    </cfRule>
  </conditionalFormatting>
  <conditionalFormatting sqref="U9 W9 W11:W12 U11:U12">
    <cfRule type="containsText" dxfId="1302" priority="479" operator="containsText" text="PB">
      <formula>NOT(ISERROR(SEARCH("PB",U9)))</formula>
    </cfRule>
  </conditionalFormatting>
  <conditionalFormatting sqref="V9 V11:V12">
    <cfRule type="containsText" dxfId="1301" priority="478" operator="containsText" text="PB">
      <formula>NOT(ISERROR(SEARCH("PB",V9)))</formula>
    </cfRule>
  </conditionalFormatting>
  <conditionalFormatting sqref="Y9 Y11:Y12">
    <cfRule type="containsText" dxfId="1300" priority="477" operator="containsText" text="PB">
      <formula>NOT(ISERROR(SEARCH("PB",Y9)))</formula>
    </cfRule>
  </conditionalFormatting>
  <conditionalFormatting sqref="X9 X12">
    <cfRule type="expression" priority="474" stopIfTrue="1">
      <formula>IF(OR(C9="aa",C9="cp",C9="f",C9="jc",C9="m"),TRUE,FALSE)</formula>
    </cfRule>
    <cfRule type="expression" dxfId="1299" priority="475" stopIfTrue="1">
      <formula>IF(OR(E9-C9&gt;6/24,I9-G9&gt;6/24,M9-K9&gt;6/24),TRUE,FALSE)</formula>
    </cfRule>
    <cfRule type="expression" dxfId="1298" priority="476" stopIfTrue="1">
      <formula>IF(OR(D9-B9&gt;6/24,H9-F9&gt;6/24,L9-J9&gt;6/24),TRUE,FALSE)</formula>
    </cfRule>
  </conditionalFormatting>
  <conditionalFormatting sqref="N9">
    <cfRule type="cellIs" dxfId="1297" priority="473" stopIfTrue="1" operator="greaterThan">
      <formula>10/24</formula>
    </cfRule>
  </conditionalFormatting>
  <conditionalFormatting sqref="N11">
    <cfRule type="cellIs" dxfId="1296" priority="472" stopIfTrue="1" operator="greaterThan">
      <formula>10/24</formula>
    </cfRule>
  </conditionalFormatting>
  <conditionalFormatting sqref="N12">
    <cfRule type="cellIs" dxfId="1295" priority="471" operator="greaterThan">
      <formula>10/24</formula>
    </cfRule>
  </conditionalFormatting>
  <conditionalFormatting sqref="O9">
    <cfRule type="cellIs" dxfId="1294" priority="470" operator="greaterThan">
      <formula>10/24</formula>
    </cfRule>
  </conditionalFormatting>
  <conditionalFormatting sqref="R6:R8">
    <cfRule type="cellIs" dxfId="1293" priority="469" operator="greaterThan">
      <formula>12/24</formula>
    </cfRule>
  </conditionalFormatting>
  <conditionalFormatting sqref="S6:S8">
    <cfRule type="cellIs" dxfId="1292" priority="468" stopIfTrue="1" operator="equal">
      <formula>"n"</formula>
    </cfRule>
  </conditionalFormatting>
  <conditionalFormatting sqref="U6:U8 W6:W8">
    <cfRule type="containsText" dxfId="1291" priority="467" operator="containsText" text="PB">
      <formula>NOT(ISERROR(SEARCH("PB",U6)))</formula>
    </cfRule>
  </conditionalFormatting>
  <conditionalFormatting sqref="V6:V8">
    <cfRule type="containsText" dxfId="1290" priority="466" operator="containsText" text="PB">
      <formula>NOT(ISERROR(SEARCH("PB",V6)))</formula>
    </cfRule>
  </conditionalFormatting>
  <conditionalFormatting sqref="Y6:Y8">
    <cfRule type="containsText" dxfId="1289" priority="465" operator="containsText" text="PB">
      <formula>NOT(ISERROR(SEARCH("PB",Y6)))</formula>
    </cfRule>
  </conditionalFormatting>
  <conditionalFormatting sqref="X6:X8">
    <cfRule type="expression" priority="462" stopIfTrue="1">
      <formula>IF(OR(C6="aa",C6="cp",C6="f",C6="jc",C6="m"),TRUE,FALSE)</formula>
    </cfRule>
    <cfRule type="expression" dxfId="1288" priority="463" stopIfTrue="1">
      <formula>IF(OR(E6-C6&gt;6/24,I6-G6&gt;6/24,M6-K6&gt;6/24),TRUE,FALSE)</formula>
    </cfRule>
    <cfRule type="expression" dxfId="1287" priority="464" stopIfTrue="1">
      <formula>IF(OR(D6-B6&gt;6/24,H6-F6&gt;6/24,L6-J6&gt;6/24),TRUE,FALSE)</formula>
    </cfRule>
  </conditionalFormatting>
  <conditionalFormatting sqref="N6:N8">
    <cfRule type="cellIs" dxfId="1286" priority="461" stopIfTrue="1" operator="greaterThan">
      <formula>10/24</formula>
    </cfRule>
  </conditionalFormatting>
  <conditionalFormatting sqref="O6:O8">
    <cfRule type="cellIs" dxfId="1285" priority="460" operator="greaterThan">
      <formula>10/24</formula>
    </cfRule>
  </conditionalFormatting>
  <conditionalFormatting sqref="R10">
    <cfRule type="cellIs" dxfId="1284" priority="459" operator="greaterThan">
      <formula>12/24</formula>
    </cfRule>
  </conditionalFormatting>
  <conditionalFormatting sqref="S10">
    <cfRule type="cellIs" dxfId="1283" priority="458" stopIfTrue="1" operator="equal">
      <formula>"n"</formula>
    </cfRule>
  </conditionalFormatting>
  <conditionalFormatting sqref="U10 W10">
    <cfRule type="containsText" dxfId="1282" priority="457" operator="containsText" text="PB">
      <formula>NOT(ISERROR(SEARCH("PB",U10)))</formula>
    </cfRule>
  </conditionalFormatting>
  <conditionalFormatting sqref="V10">
    <cfRule type="containsText" dxfId="1281" priority="456" operator="containsText" text="PB">
      <formula>NOT(ISERROR(SEARCH("PB",V10)))</formula>
    </cfRule>
  </conditionalFormatting>
  <conditionalFormatting sqref="Y10">
    <cfRule type="containsText" dxfId="1280" priority="455" operator="containsText" text="PB">
      <formula>NOT(ISERROR(SEARCH("PB",Y10)))</formula>
    </cfRule>
  </conditionalFormatting>
  <conditionalFormatting sqref="X10">
    <cfRule type="expression" priority="452" stopIfTrue="1">
      <formula>IF(OR(C10="aa",C10="cp",C10="f",C10="jc",C10="m"),TRUE,FALSE)</formula>
    </cfRule>
    <cfRule type="expression" dxfId="1279" priority="453" stopIfTrue="1">
      <formula>IF(OR(E10-C10&gt;6/24,I10-G10&gt;6/24,M10-K10&gt;6/24),TRUE,FALSE)</formula>
    </cfRule>
    <cfRule type="expression" dxfId="1278" priority="454" stopIfTrue="1">
      <formula>IF(OR(D10-B10&gt;6/24,H10-F10&gt;6/24,L10-J10&gt;6/24),TRUE,FALSE)</formula>
    </cfRule>
  </conditionalFormatting>
  <conditionalFormatting sqref="N10">
    <cfRule type="cellIs" dxfId="1277" priority="451" stopIfTrue="1" operator="greaterThan">
      <formula>10/24</formula>
    </cfRule>
  </conditionalFormatting>
  <conditionalFormatting sqref="O10">
    <cfRule type="cellIs" dxfId="1276" priority="450" operator="greaterThan">
      <formula>10/24</formula>
    </cfRule>
  </conditionalFormatting>
  <conditionalFormatting sqref="R11">
    <cfRule type="cellIs" dxfId="1275" priority="449" operator="greaterThan">
      <formula>12/24</formula>
    </cfRule>
  </conditionalFormatting>
  <conditionalFormatting sqref="X11">
    <cfRule type="expression" priority="446" stopIfTrue="1">
      <formula>IF(OR(C11="aa",C11="cp",C11="f",C11="jc",C11="m"),TRUE,FALSE)</formula>
    </cfRule>
    <cfRule type="expression" dxfId="1274" priority="447" stopIfTrue="1">
      <formula>IF(OR(E11-C11&gt;6/24,I11-G11&gt;6/24,M11-K11&gt;6/24),TRUE,FALSE)</formula>
    </cfRule>
    <cfRule type="expression" dxfId="1273" priority="448" stopIfTrue="1">
      <formula>IF(OR(D11-B11&gt;6/24,H11-F11&gt;6/24,L11-J11&gt;6/24),TRUE,FALSE)</formula>
    </cfRule>
  </conditionalFormatting>
  <conditionalFormatting sqref="R21 R24">
    <cfRule type="cellIs" dxfId="1272" priority="444" operator="greaterThan">
      <formula>12/24</formula>
    </cfRule>
  </conditionalFormatting>
  <conditionalFormatting sqref="O23:O24">
    <cfRule type="cellIs" dxfId="1271" priority="445" operator="greaterThan">
      <formula>10/24</formula>
    </cfRule>
  </conditionalFormatting>
  <conditionalFormatting sqref="S21 S23:S24">
    <cfRule type="cellIs" dxfId="1270" priority="443" stopIfTrue="1" operator="equal">
      <formula>"n"</formula>
    </cfRule>
  </conditionalFormatting>
  <conditionalFormatting sqref="U21 W21 W23:W24 U23:U24">
    <cfRule type="containsText" dxfId="1269" priority="442" operator="containsText" text="PB">
      <formula>NOT(ISERROR(SEARCH("PB",U21)))</formula>
    </cfRule>
  </conditionalFormatting>
  <conditionalFormatting sqref="V21 V23:V24">
    <cfRule type="containsText" dxfId="1268" priority="441" operator="containsText" text="PB">
      <formula>NOT(ISERROR(SEARCH("PB",V21)))</formula>
    </cfRule>
  </conditionalFormatting>
  <conditionalFormatting sqref="Y21 Y23:Y24">
    <cfRule type="containsText" dxfId="1267" priority="440" operator="containsText" text="PB">
      <formula>NOT(ISERROR(SEARCH("PB",Y21)))</formula>
    </cfRule>
  </conditionalFormatting>
  <conditionalFormatting sqref="X21 X24">
    <cfRule type="expression" priority="437" stopIfTrue="1">
      <formula>IF(OR(C21="aa",C21="cp",C21="f",C21="jc",C21="m"),TRUE,FALSE)</formula>
    </cfRule>
    <cfRule type="expression" dxfId="1266" priority="438" stopIfTrue="1">
      <formula>IF(OR(E21-C21&gt;6/24,I21-G21&gt;6/24,M21-K21&gt;6/24),TRUE,FALSE)</formula>
    </cfRule>
    <cfRule type="expression" dxfId="1265" priority="439" stopIfTrue="1">
      <formula>IF(OR(D21-B21&gt;6/24,H21-F21&gt;6/24,L21-J21&gt;6/24),TRUE,FALSE)</formula>
    </cfRule>
  </conditionalFormatting>
  <conditionalFormatting sqref="N21">
    <cfRule type="cellIs" dxfId="1264" priority="436" stopIfTrue="1" operator="greaterThan">
      <formula>10/24</formula>
    </cfRule>
  </conditionalFormatting>
  <conditionalFormatting sqref="N23">
    <cfRule type="cellIs" dxfId="1263" priority="435" stopIfTrue="1" operator="greaterThan">
      <formula>10/24</formula>
    </cfRule>
  </conditionalFormatting>
  <conditionalFormatting sqref="N24">
    <cfRule type="cellIs" dxfId="1262" priority="434" operator="greaterThan">
      <formula>10/24</formula>
    </cfRule>
  </conditionalFormatting>
  <conditionalFormatting sqref="O21">
    <cfRule type="cellIs" dxfId="1261" priority="433" operator="greaterThan">
      <formula>10/24</formula>
    </cfRule>
  </conditionalFormatting>
  <conditionalFormatting sqref="R18:R20">
    <cfRule type="cellIs" dxfId="1260" priority="432" operator="greaterThan">
      <formula>12/24</formula>
    </cfRule>
  </conditionalFormatting>
  <conditionalFormatting sqref="S18:S20">
    <cfRule type="cellIs" dxfId="1259" priority="431" stopIfTrue="1" operator="equal">
      <formula>"n"</formula>
    </cfRule>
  </conditionalFormatting>
  <conditionalFormatting sqref="U18:U20 W18:W20">
    <cfRule type="containsText" dxfId="1258" priority="430" operator="containsText" text="PB">
      <formula>NOT(ISERROR(SEARCH("PB",U18)))</formula>
    </cfRule>
  </conditionalFormatting>
  <conditionalFormatting sqref="V18:V20">
    <cfRule type="containsText" dxfId="1257" priority="429" operator="containsText" text="PB">
      <formula>NOT(ISERROR(SEARCH("PB",V18)))</formula>
    </cfRule>
  </conditionalFormatting>
  <conditionalFormatting sqref="Y18:Y20">
    <cfRule type="containsText" dxfId="1256" priority="428" operator="containsText" text="PB">
      <formula>NOT(ISERROR(SEARCH("PB",Y18)))</formula>
    </cfRule>
  </conditionalFormatting>
  <conditionalFormatting sqref="X18:X20">
    <cfRule type="expression" priority="425" stopIfTrue="1">
      <formula>IF(OR(C18="aa",C18="cp",C18="f",C18="jc",C18="m"),TRUE,FALSE)</formula>
    </cfRule>
    <cfRule type="expression" dxfId="1255" priority="426" stopIfTrue="1">
      <formula>IF(OR(E18-C18&gt;6/24,I18-G18&gt;6/24,M18-K18&gt;6/24),TRUE,FALSE)</formula>
    </cfRule>
    <cfRule type="expression" dxfId="1254" priority="427" stopIfTrue="1">
      <formula>IF(OR(D18-B18&gt;6/24,H18-F18&gt;6/24,L18-J18&gt;6/24),TRUE,FALSE)</formula>
    </cfRule>
  </conditionalFormatting>
  <conditionalFormatting sqref="N18:N20">
    <cfRule type="cellIs" dxfId="1253" priority="424" stopIfTrue="1" operator="greaterThan">
      <formula>10/24</formula>
    </cfRule>
  </conditionalFormatting>
  <conditionalFormatting sqref="O18:O20">
    <cfRule type="cellIs" dxfId="1252" priority="423" operator="greaterThan">
      <formula>10/24</formula>
    </cfRule>
  </conditionalFormatting>
  <conditionalFormatting sqref="R22">
    <cfRule type="cellIs" dxfId="1251" priority="422" operator="greaterThan">
      <formula>12/24</formula>
    </cfRule>
  </conditionalFormatting>
  <conditionalFormatting sqref="S22">
    <cfRule type="cellIs" dxfId="1250" priority="421" stopIfTrue="1" operator="equal">
      <formula>"n"</formula>
    </cfRule>
  </conditionalFormatting>
  <conditionalFormatting sqref="U22 W22">
    <cfRule type="containsText" dxfId="1249" priority="420" operator="containsText" text="PB">
      <formula>NOT(ISERROR(SEARCH("PB",U22)))</formula>
    </cfRule>
  </conditionalFormatting>
  <conditionalFormatting sqref="V22">
    <cfRule type="containsText" dxfId="1248" priority="419" operator="containsText" text="PB">
      <formula>NOT(ISERROR(SEARCH("PB",V22)))</formula>
    </cfRule>
  </conditionalFormatting>
  <conditionalFormatting sqref="Y22">
    <cfRule type="containsText" dxfId="1247" priority="418" operator="containsText" text="PB">
      <formula>NOT(ISERROR(SEARCH("PB",Y22)))</formula>
    </cfRule>
  </conditionalFormatting>
  <conditionalFormatting sqref="X22">
    <cfRule type="expression" priority="415" stopIfTrue="1">
      <formula>IF(OR(C22="aa",C22="cp",C22="f",C22="jc",C22="m"),TRUE,FALSE)</formula>
    </cfRule>
    <cfRule type="expression" dxfId="1246" priority="416" stopIfTrue="1">
      <formula>IF(OR(E22-C22&gt;6/24,I22-G22&gt;6/24,M22-K22&gt;6/24),TRUE,FALSE)</formula>
    </cfRule>
    <cfRule type="expression" dxfId="1245" priority="417" stopIfTrue="1">
      <formula>IF(OR(D22-B22&gt;6/24,H22-F22&gt;6/24,L22-J22&gt;6/24),TRUE,FALSE)</formula>
    </cfRule>
  </conditionalFormatting>
  <conditionalFormatting sqref="N22">
    <cfRule type="cellIs" dxfId="1244" priority="414" stopIfTrue="1" operator="greaterThan">
      <formula>10/24</formula>
    </cfRule>
  </conditionalFormatting>
  <conditionalFormatting sqref="O22">
    <cfRule type="cellIs" dxfId="1243" priority="413" operator="greaterThan">
      <formula>10/24</formula>
    </cfRule>
  </conditionalFormatting>
  <conditionalFormatting sqref="R23">
    <cfRule type="cellIs" dxfId="1242" priority="412" operator="greaterThan">
      <formula>12/24</formula>
    </cfRule>
  </conditionalFormatting>
  <conditionalFormatting sqref="X23">
    <cfRule type="expression" priority="409" stopIfTrue="1">
      <formula>IF(OR(C23="aa",C23="cp",C23="f",C23="jc",C23="m"),TRUE,FALSE)</formula>
    </cfRule>
    <cfRule type="expression" dxfId="1241" priority="410" stopIfTrue="1">
      <formula>IF(OR(E23-C23&gt;6/24,I23-G23&gt;6/24,M23-K23&gt;6/24),TRUE,FALSE)</formula>
    </cfRule>
    <cfRule type="expression" dxfId="1240" priority="411" stopIfTrue="1">
      <formula>IF(OR(D23-B23&gt;6/24,H23-F23&gt;6/24,L23-J23&gt;6/24),TRUE,FALSE)</formula>
    </cfRule>
  </conditionalFormatting>
  <conditionalFormatting sqref="R33 R36">
    <cfRule type="cellIs" dxfId="1239" priority="407" operator="greaterThan">
      <formula>12/24</formula>
    </cfRule>
  </conditionalFormatting>
  <conditionalFormatting sqref="O35:O36">
    <cfRule type="cellIs" dxfId="1238" priority="408" operator="greaterThan">
      <formula>10/24</formula>
    </cfRule>
  </conditionalFormatting>
  <conditionalFormatting sqref="S33 S35:S36">
    <cfRule type="cellIs" dxfId="1237" priority="406" stopIfTrue="1" operator="equal">
      <formula>"n"</formula>
    </cfRule>
  </conditionalFormatting>
  <conditionalFormatting sqref="U33 W33 W35:W36 U35:U36">
    <cfRule type="containsText" dxfId="1236" priority="405" operator="containsText" text="PB">
      <formula>NOT(ISERROR(SEARCH("PB",U33)))</formula>
    </cfRule>
  </conditionalFormatting>
  <conditionalFormatting sqref="V33 V35:V36">
    <cfRule type="containsText" dxfId="1235" priority="404" operator="containsText" text="PB">
      <formula>NOT(ISERROR(SEARCH("PB",V33)))</formula>
    </cfRule>
  </conditionalFormatting>
  <conditionalFormatting sqref="Y33 Y35:Y36">
    <cfRule type="containsText" dxfId="1234" priority="403" operator="containsText" text="PB">
      <formula>NOT(ISERROR(SEARCH("PB",Y33)))</formula>
    </cfRule>
  </conditionalFormatting>
  <conditionalFormatting sqref="X33 X36">
    <cfRule type="expression" priority="400" stopIfTrue="1">
      <formula>IF(OR(C33="aa",C33="cp",C33="f",C33="jc",C33="m"),TRUE,FALSE)</formula>
    </cfRule>
    <cfRule type="expression" dxfId="1233" priority="401" stopIfTrue="1">
      <formula>IF(OR(E33-C33&gt;6/24,I33-G33&gt;6/24,M33-K33&gt;6/24),TRUE,FALSE)</formula>
    </cfRule>
    <cfRule type="expression" dxfId="1232" priority="402" stopIfTrue="1">
      <formula>IF(OR(D33-B33&gt;6/24,H33-F33&gt;6/24,L33-J33&gt;6/24),TRUE,FALSE)</formula>
    </cfRule>
  </conditionalFormatting>
  <conditionalFormatting sqref="N33">
    <cfRule type="cellIs" dxfId="1231" priority="399" stopIfTrue="1" operator="greaterThan">
      <formula>10/24</formula>
    </cfRule>
  </conditionalFormatting>
  <conditionalFormatting sqref="N35">
    <cfRule type="cellIs" dxfId="1230" priority="398" stopIfTrue="1" operator="greaterThan">
      <formula>10/24</formula>
    </cfRule>
  </conditionalFormatting>
  <conditionalFormatting sqref="N36">
    <cfRule type="cellIs" dxfId="1229" priority="397" operator="greaterThan">
      <formula>10/24</formula>
    </cfRule>
  </conditionalFormatting>
  <conditionalFormatting sqref="O33">
    <cfRule type="cellIs" dxfId="1228" priority="396" operator="greaterThan">
      <formula>10/24</formula>
    </cfRule>
  </conditionalFormatting>
  <conditionalFormatting sqref="R30:R32">
    <cfRule type="cellIs" dxfId="1227" priority="395" operator="greaterThan">
      <formula>12/24</formula>
    </cfRule>
  </conditionalFormatting>
  <conditionalFormatting sqref="S30:S32">
    <cfRule type="cellIs" dxfId="1226" priority="394" stopIfTrue="1" operator="equal">
      <formula>"n"</formula>
    </cfRule>
  </conditionalFormatting>
  <conditionalFormatting sqref="U30:U32 W30:W32">
    <cfRule type="containsText" dxfId="1225" priority="393" operator="containsText" text="PB">
      <formula>NOT(ISERROR(SEARCH("PB",U30)))</formula>
    </cfRule>
  </conditionalFormatting>
  <conditionalFormatting sqref="V30:V32">
    <cfRule type="containsText" dxfId="1224" priority="392" operator="containsText" text="PB">
      <formula>NOT(ISERROR(SEARCH("PB",V30)))</formula>
    </cfRule>
  </conditionalFormatting>
  <conditionalFormatting sqref="Y30:Y32">
    <cfRule type="containsText" dxfId="1223" priority="391" operator="containsText" text="PB">
      <formula>NOT(ISERROR(SEARCH("PB",Y30)))</formula>
    </cfRule>
  </conditionalFormatting>
  <conditionalFormatting sqref="X30:X32">
    <cfRule type="expression" priority="388" stopIfTrue="1">
      <formula>IF(OR(C30="aa",C30="cp",C30="f",C30="jc",C30="m"),TRUE,FALSE)</formula>
    </cfRule>
    <cfRule type="expression" dxfId="1222" priority="389" stopIfTrue="1">
      <formula>IF(OR(E30-C30&gt;6/24,I30-G30&gt;6/24,M30-K30&gt;6/24),TRUE,FALSE)</formula>
    </cfRule>
    <cfRule type="expression" dxfId="1221" priority="390" stopIfTrue="1">
      <formula>IF(OR(D30-B30&gt;6/24,H30-F30&gt;6/24,L30-J30&gt;6/24),TRUE,FALSE)</formula>
    </cfRule>
  </conditionalFormatting>
  <conditionalFormatting sqref="N30:N32">
    <cfRule type="cellIs" dxfId="1220" priority="387" stopIfTrue="1" operator="greaterThan">
      <formula>10/24</formula>
    </cfRule>
  </conditionalFormatting>
  <conditionalFormatting sqref="O30:O32">
    <cfRule type="cellIs" dxfId="1219" priority="386" operator="greaterThan">
      <formula>10/24</formula>
    </cfRule>
  </conditionalFormatting>
  <conditionalFormatting sqref="R34">
    <cfRule type="cellIs" dxfId="1218" priority="385" operator="greaterThan">
      <formula>12/24</formula>
    </cfRule>
  </conditionalFormatting>
  <conditionalFormatting sqref="S34">
    <cfRule type="cellIs" dxfId="1217" priority="384" stopIfTrue="1" operator="equal">
      <formula>"n"</formula>
    </cfRule>
  </conditionalFormatting>
  <conditionalFormatting sqref="U34 W34">
    <cfRule type="containsText" dxfId="1216" priority="383" operator="containsText" text="PB">
      <formula>NOT(ISERROR(SEARCH("PB",U34)))</formula>
    </cfRule>
  </conditionalFormatting>
  <conditionalFormatting sqref="V34">
    <cfRule type="containsText" dxfId="1215" priority="382" operator="containsText" text="PB">
      <formula>NOT(ISERROR(SEARCH("PB",V34)))</formula>
    </cfRule>
  </conditionalFormatting>
  <conditionalFormatting sqref="Y34">
    <cfRule type="containsText" dxfId="1214" priority="381" operator="containsText" text="PB">
      <formula>NOT(ISERROR(SEARCH("PB",Y34)))</formula>
    </cfRule>
  </conditionalFormatting>
  <conditionalFormatting sqref="X34">
    <cfRule type="expression" priority="378" stopIfTrue="1">
      <formula>IF(OR(C34="aa",C34="cp",C34="f",C34="jc",C34="m"),TRUE,FALSE)</formula>
    </cfRule>
    <cfRule type="expression" dxfId="1213" priority="379" stopIfTrue="1">
      <formula>IF(OR(E34-C34&gt;6/24,I34-G34&gt;6/24,M34-K34&gt;6/24),TRUE,FALSE)</formula>
    </cfRule>
    <cfRule type="expression" dxfId="1212" priority="380" stopIfTrue="1">
      <formula>IF(OR(D34-B34&gt;6/24,H34-F34&gt;6/24,L34-J34&gt;6/24),TRUE,FALSE)</formula>
    </cfRule>
  </conditionalFormatting>
  <conditionalFormatting sqref="N34">
    <cfRule type="cellIs" dxfId="1211" priority="377" stopIfTrue="1" operator="greaterThan">
      <formula>10/24</formula>
    </cfRule>
  </conditionalFormatting>
  <conditionalFormatting sqref="O34">
    <cfRule type="cellIs" dxfId="1210" priority="376" operator="greaterThan">
      <formula>10/24</formula>
    </cfRule>
  </conditionalFormatting>
  <conditionalFormatting sqref="R35">
    <cfRule type="cellIs" dxfId="1209" priority="375" operator="greaterThan">
      <formula>12/24</formula>
    </cfRule>
  </conditionalFormatting>
  <conditionalFormatting sqref="X35">
    <cfRule type="expression" priority="372" stopIfTrue="1">
      <formula>IF(OR(C35="aa",C35="cp",C35="f",C35="jc",C35="m"),TRUE,FALSE)</formula>
    </cfRule>
    <cfRule type="expression" dxfId="1208" priority="373" stopIfTrue="1">
      <formula>IF(OR(E35-C35&gt;6/24,I35-G35&gt;6/24,M35-K35&gt;6/24),TRUE,FALSE)</formula>
    </cfRule>
    <cfRule type="expression" dxfId="1207" priority="374" stopIfTrue="1">
      <formula>IF(OR(D35-B35&gt;6/24,H35-F35&gt;6/24,L35-J35&gt;6/24),TRUE,FALSE)</formula>
    </cfRule>
  </conditionalFormatting>
  <conditionalFormatting sqref="R45 R48">
    <cfRule type="cellIs" dxfId="1206" priority="370" operator="greaterThan">
      <formula>12/24</formula>
    </cfRule>
  </conditionalFormatting>
  <conditionalFormatting sqref="O47:O48">
    <cfRule type="cellIs" dxfId="1205" priority="371" operator="greaterThan">
      <formula>10/24</formula>
    </cfRule>
  </conditionalFormatting>
  <conditionalFormatting sqref="S45 S47:S48">
    <cfRule type="cellIs" dxfId="1204" priority="369" stopIfTrue="1" operator="equal">
      <formula>"n"</formula>
    </cfRule>
  </conditionalFormatting>
  <conditionalFormatting sqref="U45 W45 W47:W48 U47:U48">
    <cfRule type="containsText" dxfId="1203" priority="368" operator="containsText" text="PB">
      <formula>NOT(ISERROR(SEARCH("PB",U45)))</formula>
    </cfRule>
  </conditionalFormatting>
  <conditionalFormatting sqref="V45 V47:V48">
    <cfRule type="containsText" dxfId="1202" priority="367" operator="containsText" text="PB">
      <formula>NOT(ISERROR(SEARCH("PB",V45)))</formula>
    </cfRule>
  </conditionalFormatting>
  <conditionalFormatting sqref="Y45 Y47:Y48">
    <cfRule type="containsText" dxfId="1201" priority="366" operator="containsText" text="PB">
      <formula>NOT(ISERROR(SEARCH("PB",Y45)))</formula>
    </cfRule>
  </conditionalFormatting>
  <conditionalFormatting sqref="X45 X48">
    <cfRule type="expression" priority="363" stopIfTrue="1">
      <formula>IF(OR(C45="aa",C45="cp",C45="f",C45="jc",C45="m"),TRUE,FALSE)</formula>
    </cfRule>
    <cfRule type="expression" dxfId="1200" priority="364" stopIfTrue="1">
      <formula>IF(OR(E45-C45&gt;6/24,I45-G45&gt;6/24,M45-K45&gt;6/24),TRUE,FALSE)</formula>
    </cfRule>
    <cfRule type="expression" dxfId="1199" priority="365" stopIfTrue="1">
      <formula>IF(OR(D45-B45&gt;6/24,H45-F45&gt;6/24,L45-J45&gt;6/24),TRUE,FALSE)</formula>
    </cfRule>
  </conditionalFormatting>
  <conditionalFormatting sqref="N45">
    <cfRule type="cellIs" dxfId="1198" priority="362" stopIfTrue="1" operator="greaterThan">
      <formula>10/24</formula>
    </cfRule>
  </conditionalFormatting>
  <conditionalFormatting sqref="N47">
    <cfRule type="cellIs" dxfId="1197" priority="361" stopIfTrue="1" operator="greaterThan">
      <formula>10/24</formula>
    </cfRule>
  </conditionalFormatting>
  <conditionalFormatting sqref="N48">
    <cfRule type="cellIs" dxfId="1196" priority="360" operator="greaterThan">
      <formula>10/24</formula>
    </cfRule>
  </conditionalFormatting>
  <conditionalFormatting sqref="O45">
    <cfRule type="cellIs" dxfId="1195" priority="359" operator="greaterThan">
      <formula>10/24</formula>
    </cfRule>
  </conditionalFormatting>
  <conditionalFormatting sqref="R42:R44">
    <cfRule type="cellIs" dxfId="1194" priority="358" operator="greaterThan">
      <formula>12/24</formula>
    </cfRule>
  </conditionalFormatting>
  <conditionalFormatting sqref="S42:S44">
    <cfRule type="cellIs" dxfId="1193" priority="357" stopIfTrue="1" operator="equal">
      <formula>"n"</formula>
    </cfRule>
  </conditionalFormatting>
  <conditionalFormatting sqref="U42:U44 W42:W44">
    <cfRule type="containsText" dxfId="1192" priority="356" operator="containsText" text="PB">
      <formula>NOT(ISERROR(SEARCH("PB",U42)))</formula>
    </cfRule>
  </conditionalFormatting>
  <conditionalFormatting sqref="V42:V44">
    <cfRule type="containsText" dxfId="1191" priority="355" operator="containsText" text="PB">
      <formula>NOT(ISERROR(SEARCH("PB",V42)))</formula>
    </cfRule>
  </conditionalFormatting>
  <conditionalFormatting sqref="Y42:Y44">
    <cfRule type="containsText" dxfId="1190" priority="354" operator="containsText" text="PB">
      <formula>NOT(ISERROR(SEARCH("PB",Y42)))</formula>
    </cfRule>
  </conditionalFormatting>
  <conditionalFormatting sqref="X42:X44">
    <cfRule type="expression" priority="351" stopIfTrue="1">
      <formula>IF(OR(C42="aa",C42="cp",C42="f",C42="jc",C42="m"),TRUE,FALSE)</formula>
    </cfRule>
    <cfRule type="expression" dxfId="1189" priority="352" stopIfTrue="1">
      <formula>IF(OR(E42-C42&gt;6/24,I42-G42&gt;6/24,M42-K42&gt;6/24),TRUE,FALSE)</formula>
    </cfRule>
    <cfRule type="expression" dxfId="1188" priority="353" stopIfTrue="1">
      <formula>IF(OR(D42-B42&gt;6/24,H42-F42&gt;6/24,L42-J42&gt;6/24),TRUE,FALSE)</formula>
    </cfRule>
  </conditionalFormatting>
  <conditionalFormatting sqref="N42:N44">
    <cfRule type="cellIs" dxfId="1187" priority="350" stopIfTrue="1" operator="greaterThan">
      <formula>10/24</formula>
    </cfRule>
  </conditionalFormatting>
  <conditionalFormatting sqref="O42:O44">
    <cfRule type="cellIs" dxfId="1186" priority="349" operator="greaterThan">
      <formula>10/24</formula>
    </cfRule>
  </conditionalFormatting>
  <conditionalFormatting sqref="R46">
    <cfRule type="cellIs" dxfId="1185" priority="348" operator="greaterThan">
      <formula>12/24</formula>
    </cfRule>
  </conditionalFormatting>
  <conditionalFormatting sqref="S46">
    <cfRule type="cellIs" dxfId="1184" priority="347" stopIfTrue="1" operator="equal">
      <formula>"n"</formula>
    </cfRule>
  </conditionalFormatting>
  <conditionalFormatting sqref="U46 W46">
    <cfRule type="containsText" dxfId="1183" priority="346" operator="containsText" text="PB">
      <formula>NOT(ISERROR(SEARCH("PB",U46)))</formula>
    </cfRule>
  </conditionalFormatting>
  <conditionalFormatting sqref="V46">
    <cfRule type="containsText" dxfId="1182" priority="345" operator="containsText" text="PB">
      <formula>NOT(ISERROR(SEARCH("PB",V46)))</formula>
    </cfRule>
  </conditionalFormatting>
  <conditionalFormatting sqref="Y46">
    <cfRule type="containsText" dxfId="1181" priority="344" operator="containsText" text="PB">
      <formula>NOT(ISERROR(SEARCH("PB",Y46)))</formula>
    </cfRule>
  </conditionalFormatting>
  <conditionalFormatting sqref="X46">
    <cfRule type="expression" priority="341" stopIfTrue="1">
      <formula>IF(OR(C46="aa",C46="cp",C46="f",C46="jc",C46="m"),TRUE,FALSE)</formula>
    </cfRule>
    <cfRule type="expression" dxfId="1180" priority="342" stopIfTrue="1">
      <formula>IF(OR(E46-C46&gt;6/24,I46-G46&gt;6/24,M46-K46&gt;6/24),TRUE,FALSE)</formula>
    </cfRule>
    <cfRule type="expression" dxfId="1179" priority="343" stopIfTrue="1">
      <formula>IF(OR(D46-B46&gt;6/24,H46-F46&gt;6/24,L46-J46&gt;6/24),TRUE,FALSE)</formula>
    </cfRule>
  </conditionalFormatting>
  <conditionalFormatting sqref="N46">
    <cfRule type="cellIs" dxfId="1178" priority="340" stopIfTrue="1" operator="greaterThan">
      <formula>10/24</formula>
    </cfRule>
  </conditionalFormatting>
  <conditionalFormatting sqref="O46">
    <cfRule type="cellIs" dxfId="1177" priority="339" operator="greaterThan">
      <formula>10/24</formula>
    </cfRule>
  </conditionalFormatting>
  <conditionalFormatting sqref="R47">
    <cfRule type="cellIs" dxfId="1176" priority="338" operator="greaterThan">
      <formula>12/24</formula>
    </cfRule>
  </conditionalFormatting>
  <conditionalFormatting sqref="X47">
    <cfRule type="expression" priority="335" stopIfTrue="1">
      <formula>IF(OR(C47="aa",C47="cp",C47="f",C47="jc",C47="m"),TRUE,FALSE)</formula>
    </cfRule>
    <cfRule type="expression" dxfId="1175" priority="336" stopIfTrue="1">
      <formula>IF(OR(E47-C47&gt;6/24,I47-G47&gt;6/24,M47-K47&gt;6/24),TRUE,FALSE)</formula>
    </cfRule>
    <cfRule type="expression" dxfId="1174" priority="337" stopIfTrue="1">
      <formula>IF(OR(D47-B47&gt;6/24,H47-F47&gt;6/24,L47-J47&gt;6/24),TRUE,FALSE)</formula>
    </cfRule>
  </conditionalFormatting>
  <conditionalFormatting sqref="R57 R60">
    <cfRule type="cellIs" dxfId="1173" priority="333" operator="greaterThan">
      <formula>12/24</formula>
    </cfRule>
  </conditionalFormatting>
  <conditionalFormatting sqref="O59:O60">
    <cfRule type="cellIs" dxfId="1172" priority="334" operator="greaterThan">
      <formula>10/24</formula>
    </cfRule>
  </conditionalFormatting>
  <conditionalFormatting sqref="S57 S59:S60">
    <cfRule type="cellIs" dxfId="1171" priority="332" stopIfTrue="1" operator="equal">
      <formula>"n"</formula>
    </cfRule>
  </conditionalFormatting>
  <conditionalFormatting sqref="U57 W57 W59:W60 U59:U60">
    <cfRule type="containsText" dxfId="1170" priority="331" operator="containsText" text="PB">
      <formula>NOT(ISERROR(SEARCH("PB",U57)))</formula>
    </cfRule>
  </conditionalFormatting>
  <conditionalFormatting sqref="V57 V59:V60">
    <cfRule type="containsText" dxfId="1169" priority="330" operator="containsText" text="PB">
      <formula>NOT(ISERROR(SEARCH("PB",V57)))</formula>
    </cfRule>
  </conditionalFormatting>
  <conditionalFormatting sqref="Y57 Y59:Y60">
    <cfRule type="containsText" dxfId="1168" priority="329" operator="containsText" text="PB">
      <formula>NOT(ISERROR(SEARCH("PB",Y57)))</formula>
    </cfRule>
  </conditionalFormatting>
  <conditionalFormatting sqref="X57 X60">
    <cfRule type="expression" priority="326" stopIfTrue="1">
      <formula>IF(OR(C57="aa",C57="cp",C57="f",C57="jc",C57="m"),TRUE,FALSE)</formula>
    </cfRule>
    <cfRule type="expression" dxfId="1167" priority="327" stopIfTrue="1">
      <formula>IF(OR(E57-C57&gt;6/24,I57-G57&gt;6/24,M57-K57&gt;6/24),TRUE,FALSE)</formula>
    </cfRule>
    <cfRule type="expression" dxfId="1166" priority="328" stopIfTrue="1">
      <formula>IF(OR(D57-B57&gt;6/24,H57-F57&gt;6/24,L57-J57&gt;6/24),TRUE,FALSE)</formula>
    </cfRule>
  </conditionalFormatting>
  <conditionalFormatting sqref="N57">
    <cfRule type="cellIs" dxfId="1165" priority="325" stopIfTrue="1" operator="greaterThan">
      <formula>10/24</formula>
    </cfRule>
  </conditionalFormatting>
  <conditionalFormatting sqref="N59">
    <cfRule type="cellIs" dxfId="1164" priority="324" stopIfTrue="1" operator="greaterThan">
      <formula>10/24</formula>
    </cfRule>
  </conditionalFormatting>
  <conditionalFormatting sqref="N60">
    <cfRule type="cellIs" dxfId="1163" priority="323" operator="greaterThan">
      <formula>10/24</formula>
    </cfRule>
  </conditionalFormatting>
  <conditionalFormatting sqref="O57">
    <cfRule type="cellIs" dxfId="1162" priority="322" operator="greaterThan">
      <formula>10/24</formula>
    </cfRule>
  </conditionalFormatting>
  <conditionalFormatting sqref="R54:R56">
    <cfRule type="cellIs" dxfId="1161" priority="321" operator="greaterThan">
      <formula>12/24</formula>
    </cfRule>
  </conditionalFormatting>
  <conditionalFormatting sqref="S54:S56">
    <cfRule type="cellIs" dxfId="1160" priority="320" stopIfTrue="1" operator="equal">
      <formula>"n"</formula>
    </cfRule>
  </conditionalFormatting>
  <conditionalFormatting sqref="U54:U56 W54:W56">
    <cfRule type="containsText" dxfId="1159" priority="319" operator="containsText" text="PB">
      <formula>NOT(ISERROR(SEARCH("PB",U54)))</formula>
    </cfRule>
  </conditionalFormatting>
  <conditionalFormatting sqref="V54:V56">
    <cfRule type="containsText" dxfId="1158" priority="318" operator="containsText" text="PB">
      <formula>NOT(ISERROR(SEARCH("PB",V54)))</formula>
    </cfRule>
  </conditionalFormatting>
  <conditionalFormatting sqref="Y54:Y56">
    <cfRule type="containsText" dxfId="1157" priority="317" operator="containsText" text="PB">
      <formula>NOT(ISERROR(SEARCH("PB",Y54)))</formula>
    </cfRule>
  </conditionalFormatting>
  <conditionalFormatting sqref="X54:X56">
    <cfRule type="expression" priority="314" stopIfTrue="1">
      <formula>IF(OR(C54="aa",C54="cp",C54="f",C54="jc",C54="m"),TRUE,FALSE)</formula>
    </cfRule>
    <cfRule type="expression" dxfId="1156" priority="315" stopIfTrue="1">
      <formula>IF(OR(E54-C54&gt;6/24,I54-G54&gt;6/24,M54-K54&gt;6/24),TRUE,FALSE)</formula>
    </cfRule>
    <cfRule type="expression" dxfId="1155" priority="316" stopIfTrue="1">
      <formula>IF(OR(D54-B54&gt;6/24,H54-F54&gt;6/24,L54-J54&gt;6/24),TRUE,FALSE)</formula>
    </cfRule>
  </conditionalFormatting>
  <conditionalFormatting sqref="N54:N56">
    <cfRule type="cellIs" dxfId="1154" priority="313" stopIfTrue="1" operator="greaterThan">
      <formula>10/24</formula>
    </cfRule>
  </conditionalFormatting>
  <conditionalFormatting sqref="O54:O56">
    <cfRule type="cellIs" dxfId="1153" priority="312" operator="greaterThan">
      <formula>10/24</formula>
    </cfRule>
  </conditionalFormatting>
  <conditionalFormatting sqref="R58">
    <cfRule type="cellIs" dxfId="1152" priority="311" operator="greaterThan">
      <formula>12/24</formula>
    </cfRule>
  </conditionalFormatting>
  <conditionalFormatting sqref="S58">
    <cfRule type="cellIs" dxfId="1151" priority="310" stopIfTrue="1" operator="equal">
      <formula>"n"</formula>
    </cfRule>
  </conditionalFormatting>
  <conditionalFormatting sqref="U58 W58">
    <cfRule type="containsText" dxfId="1150" priority="309" operator="containsText" text="PB">
      <formula>NOT(ISERROR(SEARCH("PB",U58)))</formula>
    </cfRule>
  </conditionalFormatting>
  <conditionalFormatting sqref="V58">
    <cfRule type="containsText" dxfId="1149" priority="308" operator="containsText" text="PB">
      <formula>NOT(ISERROR(SEARCH("PB",V58)))</formula>
    </cfRule>
  </conditionalFormatting>
  <conditionalFormatting sqref="Y58">
    <cfRule type="containsText" dxfId="1148" priority="307" operator="containsText" text="PB">
      <formula>NOT(ISERROR(SEARCH("PB",Y58)))</formula>
    </cfRule>
  </conditionalFormatting>
  <conditionalFormatting sqref="X58">
    <cfRule type="expression" priority="304" stopIfTrue="1">
      <formula>IF(OR(C58="aa",C58="cp",C58="f",C58="jc",C58="m"),TRUE,FALSE)</formula>
    </cfRule>
    <cfRule type="expression" dxfId="1147" priority="305" stopIfTrue="1">
      <formula>IF(OR(E58-C58&gt;6/24,I58-G58&gt;6/24,M58-K58&gt;6/24),TRUE,FALSE)</formula>
    </cfRule>
    <cfRule type="expression" dxfId="1146" priority="306" stopIfTrue="1">
      <formula>IF(OR(D58-B58&gt;6/24,H58-F58&gt;6/24,L58-J58&gt;6/24),TRUE,FALSE)</formula>
    </cfRule>
  </conditionalFormatting>
  <conditionalFormatting sqref="N58">
    <cfRule type="cellIs" dxfId="1145" priority="303" stopIfTrue="1" operator="greaterThan">
      <formula>10/24</formula>
    </cfRule>
  </conditionalFormatting>
  <conditionalFormatting sqref="O58">
    <cfRule type="cellIs" dxfId="1144" priority="302" operator="greaterThan">
      <formula>10/24</formula>
    </cfRule>
  </conditionalFormatting>
  <conditionalFormatting sqref="R59">
    <cfRule type="cellIs" dxfId="1143" priority="301" operator="greaterThan">
      <formula>12/24</formula>
    </cfRule>
  </conditionalFormatting>
  <conditionalFormatting sqref="X59">
    <cfRule type="expression" priority="298" stopIfTrue="1">
      <formula>IF(OR(C59="aa",C59="cp",C59="f",C59="jc",C59="m"),TRUE,FALSE)</formula>
    </cfRule>
    <cfRule type="expression" dxfId="1142" priority="299" stopIfTrue="1">
      <formula>IF(OR(E59-C59&gt;6/24,I59-G59&gt;6/24,M59-K59&gt;6/24),TRUE,FALSE)</formula>
    </cfRule>
    <cfRule type="expression" dxfId="1141" priority="300" stopIfTrue="1">
      <formula>IF(OR(D59-B59&gt;6/24,H59-F59&gt;6/24,L59-J59&gt;6/24),TRUE,FALSE)</formula>
    </cfRule>
  </conditionalFormatting>
  <conditionalFormatting sqref="R69 R72">
    <cfRule type="cellIs" dxfId="1140" priority="296" operator="greaterThan">
      <formula>12/24</formula>
    </cfRule>
  </conditionalFormatting>
  <conditionalFormatting sqref="O71:O72">
    <cfRule type="cellIs" dxfId="1139" priority="297" operator="greaterThan">
      <formula>10/24</formula>
    </cfRule>
  </conditionalFormatting>
  <conditionalFormatting sqref="S69 S71:S72">
    <cfRule type="cellIs" dxfId="1138" priority="295" stopIfTrue="1" operator="equal">
      <formula>"n"</formula>
    </cfRule>
  </conditionalFormatting>
  <conditionalFormatting sqref="U69 W69 W71:W72 U71:U72">
    <cfRule type="containsText" dxfId="1137" priority="294" operator="containsText" text="PB">
      <formula>NOT(ISERROR(SEARCH("PB",U69)))</formula>
    </cfRule>
  </conditionalFormatting>
  <conditionalFormatting sqref="V69 V71:V72">
    <cfRule type="containsText" dxfId="1136" priority="293" operator="containsText" text="PB">
      <formula>NOT(ISERROR(SEARCH("PB",V69)))</formula>
    </cfRule>
  </conditionalFormatting>
  <conditionalFormatting sqref="Y69 Y71:Y72">
    <cfRule type="containsText" dxfId="1135" priority="292" operator="containsText" text="PB">
      <formula>NOT(ISERROR(SEARCH("PB",Y69)))</formula>
    </cfRule>
  </conditionalFormatting>
  <conditionalFormatting sqref="X69 X72">
    <cfRule type="expression" priority="289" stopIfTrue="1">
      <formula>IF(OR(C69="aa",C69="cp",C69="f",C69="jc",C69="m"),TRUE,FALSE)</formula>
    </cfRule>
    <cfRule type="expression" dxfId="1134" priority="290" stopIfTrue="1">
      <formula>IF(OR(E69-C69&gt;6/24,I69-G69&gt;6/24,M69-K69&gt;6/24),TRUE,FALSE)</formula>
    </cfRule>
    <cfRule type="expression" dxfId="1133" priority="291" stopIfTrue="1">
      <formula>IF(OR(D69-B69&gt;6/24,H69-F69&gt;6/24,L69-J69&gt;6/24),TRUE,FALSE)</formula>
    </cfRule>
  </conditionalFormatting>
  <conditionalFormatting sqref="N69">
    <cfRule type="cellIs" dxfId="1132" priority="288" stopIfTrue="1" operator="greaterThan">
      <formula>10/24</formula>
    </cfRule>
  </conditionalFormatting>
  <conditionalFormatting sqref="N71">
    <cfRule type="cellIs" dxfId="1131" priority="287" stopIfTrue="1" operator="greaterThan">
      <formula>10/24</formula>
    </cfRule>
  </conditionalFormatting>
  <conditionalFormatting sqref="N72">
    <cfRule type="cellIs" dxfId="1130" priority="286" operator="greaterThan">
      <formula>10/24</formula>
    </cfRule>
  </conditionalFormatting>
  <conditionalFormatting sqref="O69">
    <cfRule type="cellIs" dxfId="1129" priority="285" operator="greaterThan">
      <formula>10/24</formula>
    </cfRule>
  </conditionalFormatting>
  <conditionalFormatting sqref="R66:R68">
    <cfRule type="cellIs" dxfId="1128" priority="284" operator="greaterThan">
      <formula>12/24</formula>
    </cfRule>
  </conditionalFormatting>
  <conditionalFormatting sqref="S66:S68">
    <cfRule type="cellIs" dxfId="1127" priority="283" stopIfTrue="1" operator="equal">
      <formula>"n"</formula>
    </cfRule>
  </conditionalFormatting>
  <conditionalFormatting sqref="U66:U68 W66:W68">
    <cfRule type="containsText" dxfId="1126" priority="282" operator="containsText" text="PB">
      <formula>NOT(ISERROR(SEARCH("PB",U66)))</formula>
    </cfRule>
  </conditionalFormatting>
  <conditionalFormatting sqref="V66:V68">
    <cfRule type="containsText" dxfId="1125" priority="281" operator="containsText" text="PB">
      <formula>NOT(ISERROR(SEARCH("PB",V66)))</formula>
    </cfRule>
  </conditionalFormatting>
  <conditionalFormatting sqref="Y66:Y68">
    <cfRule type="containsText" dxfId="1124" priority="280" operator="containsText" text="PB">
      <formula>NOT(ISERROR(SEARCH("PB",Y66)))</formula>
    </cfRule>
  </conditionalFormatting>
  <conditionalFormatting sqref="X66:X68">
    <cfRule type="expression" priority="277" stopIfTrue="1">
      <formula>IF(OR(C66="aa",C66="cp",C66="f",C66="jc",C66="m"),TRUE,FALSE)</formula>
    </cfRule>
    <cfRule type="expression" dxfId="1123" priority="278" stopIfTrue="1">
      <formula>IF(OR(E66-C66&gt;6/24,I66-G66&gt;6/24,M66-K66&gt;6/24),TRUE,FALSE)</formula>
    </cfRule>
    <cfRule type="expression" dxfId="1122" priority="279" stopIfTrue="1">
      <formula>IF(OR(D66-B66&gt;6/24,H66-F66&gt;6/24,L66-J66&gt;6/24),TRUE,FALSE)</formula>
    </cfRule>
  </conditionalFormatting>
  <conditionalFormatting sqref="N66:N68">
    <cfRule type="cellIs" dxfId="1121" priority="276" stopIfTrue="1" operator="greaterThan">
      <formula>10/24</formula>
    </cfRule>
  </conditionalFormatting>
  <conditionalFormatting sqref="O66:O68">
    <cfRule type="cellIs" dxfId="1120" priority="275" operator="greaterThan">
      <formula>10/24</formula>
    </cfRule>
  </conditionalFormatting>
  <conditionalFormatting sqref="R70">
    <cfRule type="cellIs" dxfId="1119" priority="274" operator="greaterThan">
      <formula>12/24</formula>
    </cfRule>
  </conditionalFormatting>
  <conditionalFormatting sqref="S70">
    <cfRule type="cellIs" dxfId="1118" priority="273" stopIfTrue="1" operator="equal">
      <formula>"n"</formula>
    </cfRule>
  </conditionalFormatting>
  <conditionalFormatting sqref="U70 W70">
    <cfRule type="containsText" dxfId="1117" priority="272" operator="containsText" text="PB">
      <formula>NOT(ISERROR(SEARCH("PB",U70)))</formula>
    </cfRule>
  </conditionalFormatting>
  <conditionalFormatting sqref="V70">
    <cfRule type="containsText" dxfId="1116" priority="271" operator="containsText" text="PB">
      <formula>NOT(ISERROR(SEARCH("PB",V70)))</formula>
    </cfRule>
  </conditionalFormatting>
  <conditionalFormatting sqref="Y70">
    <cfRule type="containsText" dxfId="1115" priority="270" operator="containsText" text="PB">
      <formula>NOT(ISERROR(SEARCH("PB",Y70)))</formula>
    </cfRule>
  </conditionalFormatting>
  <conditionalFormatting sqref="X70">
    <cfRule type="expression" priority="267" stopIfTrue="1">
      <formula>IF(OR(C70="aa",C70="cp",C70="f",C70="jc",C70="m"),TRUE,FALSE)</formula>
    </cfRule>
    <cfRule type="expression" dxfId="1114" priority="268" stopIfTrue="1">
      <formula>IF(OR(E70-C70&gt;6/24,I70-G70&gt;6/24,M70-K70&gt;6/24),TRUE,FALSE)</formula>
    </cfRule>
    <cfRule type="expression" dxfId="1113" priority="269" stopIfTrue="1">
      <formula>IF(OR(D70-B70&gt;6/24,H70-F70&gt;6/24,L70-J70&gt;6/24),TRUE,FALSE)</formula>
    </cfRule>
  </conditionalFormatting>
  <conditionalFormatting sqref="N70">
    <cfRule type="cellIs" dxfId="1112" priority="266" stopIfTrue="1" operator="greaterThan">
      <formula>10/24</formula>
    </cfRule>
  </conditionalFormatting>
  <conditionalFormatting sqref="O70">
    <cfRule type="cellIs" dxfId="1111" priority="265" operator="greaterThan">
      <formula>10/24</formula>
    </cfRule>
  </conditionalFormatting>
  <conditionalFormatting sqref="R71">
    <cfRule type="cellIs" dxfId="1110" priority="264" operator="greaterThan">
      <formula>12/24</formula>
    </cfRule>
  </conditionalFormatting>
  <conditionalFormatting sqref="X71">
    <cfRule type="expression" priority="261" stopIfTrue="1">
      <formula>IF(OR(C71="aa",C71="cp",C71="f",C71="jc",C71="m"),TRUE,FALSE)</formula>
    </cfRule>
    <cfRule type="expression" dxfId="1109" priority="262" stopIfTrue="1">
      <formula>IF(OR(E71-C71&gt;6/24,I71-G71&gt;6/24,M71-K71&gt;6/24),TRUE,FALSE)</formula>
    </cfRule>
    <cfRule type="expression" dxfId="1108" priority="263" stopIfTrue="1">
      <formula>IF(OR(D71-B71&gt;6/24,H71-F71&gt;6/24,L71-J71&gt;6/24),TRUE,FALSE)</formula>
    </cfRule>
  </conditionalFormatting>
  <conditionalFormatting sqref="R81 R84">
    <cfRule type="cellIs" dxfId="1107" priority="259" operator="greaterThan">
      <formula>12/24</formula>
    </cfRule>
  </conditionalFormatting>
  <conditionalFormatting sqref="O83:O84">
    <cfRule type="cellIs" dxfId="1106" priority="260" operator="greaterThan">
      <formula>10/24</formula>
    </cfRule>
  </conditionalFormatting>
  <conditionalFormatting sqref="S81 S83:S84">
    <cfRule type="cellIs" dxfId="1105" priority="258" stopIfTrue="1" operator="equal">
      <formula>"n"</formula>
    </cfRule>
  </conditionalFormatting>
  <conditionalFormatting sqref="U81 W81 W83:W84 U83:U84">
    <cfRule type="containsText" dxfId="1104" priority="257" operator="containsText" text="PB">
      <formula>NOT(ISERROR(SEARCH("PB",U81)))</formula>
    </cfRule>
  </conditionalFormatting>
  <conditionalFormatting sqref="V81 V83:V84">
    <cfRule type="containsText" dxfId="1103" priority="256" operator="containsText" text="PB">
      <formula>NOT(ISERROR(SEARCH("PB",V81)))</formula>
    </cfRule>
  </conditionalFormatting>
  <conditionalFormatting sqref="Y81 Y83:Y84">
    <cfRule type="containsText" dxfId="1102" priority="255" operator="containsText" text="PB">
      <formula>NOT(ISERROR(SEARCH("PB",Y81)))</formula>
    </cfRule>
  </conditionalFormatting>
  <conditionalFormatting sqref="X81 X84">
    <cfRule type="expression" priority="252" stopIfTrue="1">
      <formula>IF(OR(C81="aa",C81="cp",C81="f",C81="jc",C81="m"),TRUE,FALSE)</formula>
    </cfRule>
    <cfRule type="expression" dxfId="1101" priority="253" stopIfTrue="1">
      <formula>IF(OR(E81-C81&gt;6/24,I81-G81&gt;6/24,M81-K81&gt;6/24),TRUE,FALSE)</formula>
    </cfRule>
    <cfRule type="expression" dxfId="1100" priority="254" stopIfTrue="1">
      <formula>IF(OR(D81-B81&gt;6/24,H81-F81&gt;6/24,L81-J81&gt;6/24),TRUE,FALSE)</formula>
    </cfRule>
  </conditionalFormatting>
  <conditionalFormatting sqref="N81">
    <cfRule type="cellIs" dxfId="1099" priority="251" stopIfTrue="1" operator="greaterThan">
      <formula>10/24</formula>
    </cfRule>
  </conditionalFormatting>
  <conditionalFormatting sqref="N83">
    <cfRule type="cellIs" dxfId="1098" priority="250" stopIfTrue="1" operator="greaterThan">
      <formula>10/24</formula>
    </cfRule>
  </conditionalFormatting>
  <conditionalFormatting sqref="N84">
    <cfRule type="cellIs" dxfId="1097" priority="249" operator="greaterThan">
      <formula>10/24</formula>
    </cfRule>
  </conditionalFormatting>
  <conditionalFormatting sqref="O81">
    <cfRule type="cellIs" dxfId="1096" priority="248" operator="greaterThan">
      <formula>10/24</formula>
    </cfRule>
  </conditionalFormatting>
  <conditionalFormatting sqref="R78:R80">
    <cfRule type="cellIs" dxfId="1095" priority="247" operator="greaterThan">
      <formula>12/24</formula>
    </cfRule>
  </conditionalFormatting>
  <conditionalFormatting sqref="S78:S80">
    <cfRule type="cellIs" dxfId="1094" priority="246" stopIfTrue="1" operator="equal">
      <formula>"n"</formula>
    </cfRule>
  </conditionalFormatting>
  <conditionalFormatting sqref="U78:U80 W78:W80">
    <cfRule type="containsText" dxfId="1093" priority="245" operator="containsText" text="PB">
      <formula>NOT(ISERROR(SEARCH("PB",U78)))</formula>
    </cfRule>
  </conditionalFormatting>
  <conditionalFormatting sqref="V78:V80">
    <cfRule type="containsText" dxfId="1092" priority="244" operator="containsText" text="PB">
      <formula>NOT(ISERROR(SEARCH("PB",V78)))</formula>
    </cfRule>
  </conditionalFormatting>
  <conditionalFormatting sqref="Y78:Y80">
    <cfRule type="containsText" dxfId="1091" priority="243" operator="containsText" text="PB">
      <formula>NOT(ISERROR(SEARCH("PB",Y78)))</formula>
    </cfRule>
  </conditionalFormatting>
  <conditionalFormatting sqref="X78:X80">
    <cfRule type="expression" priority="240" stopIfTrue="1">
      <formula>IF(OR(C78="aa",C78="cp",C78="f",C78="jc",C78="m"),TRUE,FALSE)</formula>
    </cfRule>
    <cfRule type="expression" dxfId="1090" priority="241" stopIfTrue="1">
      <formula>IF(OR(E78-C78&gt;6/24,I78-G78&gt;6/24,M78-K78&gt;6/24),TRUE,FALSE)</formula>
    </cfRule>
    <cfRule type="expression" dxfId="1089" priority="242" stopIfTrue="1">
      <formula>IF(OR(D78-B78&gt;6/24,H78-F78&gt;6/24,L78-J78&gt;6/24),TRUE,FALSE)</formula>
    </cfRule>
  </conditionalFormatting>
  <conditionalFormatting sqref="N78:N80">
    <cfRule type="cellIs" dxfId="1088" priority="239" stopIfTrue="1" operator="greaterThan">
      <formula>10/24</formula>
    </cfRule>
  </conditionalFormatting>
  <conditionalFormatting sqref="O78:O80">
    <cfRule type="cellIs" dxfId="1087" priority="238" operator="greaterThan">
      <formula>10/24</formula>
    </cfRule>
  </conditionalFormatting>
  <conditionalFormatting sqref="R82">
    <cfRule type="cellIs" dxfId="1086" priority="237" operator="greaterThan">
      <formula>12/24</formula>
    </cfRule>
  </conditionalFormatting>
  <conditionalFormatting sqref="S82">
    <cfRule type="cellIs" dxfId="1085" priority="236" stopIfTrue="1" operator="equal">
      <formula>"n"</formula>
    </cfRule>
  </conditionalFormatting>
  <conditionalFormatting sqref="U82 W82">
    <cfRule type="containsText" dxfId="1084" priority="235" operator="containsText" text="PB">
      <formula>NOT(ISERROR(SEARCH("PB",U82)))</formula>
    </cfRule>
  </conditionalFormatting>
  <conditionalFormatting sqref="V82">
    <cfRule type="containsText" dxfId="1083" priority="234" operator="containsText" text="PB">
      <formula>NOT(ISERROR(SEARCH("PB",V82)))</formula>
    </cfRule>
  </conditionalFormatting>
  <conditionalFormatting sqref="Y82">
    <cfRule type="containsText" dxfId="1082" priority="233" operator="containsText" text="PB">
      <formula>NOT(ISERROR(SEARCH("PB",Y82)))</formula>
    </cfRule>
  </conditionalFormatting>
  <conditionalFormatting sqref="X82">
    <cfRule type="expression" priority="230" stopIfTrue="1">
      <formula>IF(OR(C82="aa",C82="cp",C82="f",C82="jc",C82="m"),TRUE,FALSE)</formula>
    </cfRule>
    <cfRule type="expression" dxfId="1081" priority="231" stopIfTrue="1">
      <formula>IF(OR(E82-C82&gt;6/24,I82-G82&gt;6/24,M82-K82&gt;6/24),TRUE,FALSE)</formula>
    </cfRule>
    <cfRule type="expression" dxfId="1080" priority="232" stopIfTrue="1">
      <formula>IF(OR(D82-B82&gt;6/24,H82-F82&gt;6/24,L82-J82&gt;6/24),TRUE,FALSE)</formula>
    </cfRule>
  </conditionalFormatting>
  <conditionalFormatting sqref="N82">
    <cfRule type="cellIs" dxfId="1079" priority="229" stopIfTrue="1" operator="greaterThan">
      <formula>10/24</formula>
    </cfRule>
  </conditionalFormatting>
  <conditionalFormatting sqref="O82">
    <cfRule type="cellIs" dxfId="1078" priority="228" operator="greaterThan">
      <formula>10/24</formula>
    </cfRule>
  </conditionalFormatting>
  <conditionalFormatting sqref="R83">
    <cfRule type="cellIs" dxfId="1077" priority="227" operator="greaterThan">
      <formula>12/24</formula>
    </cfRule>
  </conditionalFormatting>
  <conditionalFormatting sqref="X83">
    <cfRule type="expression" priority="224" stopIfTrue="1">
      <formula>IF(OR(C83="aa",C83="cp",C83="f",C83="jc",C83="m"),TRUE,FALSE)</formula>
    </cfRule>
    <cfRule type="expression" dxfId="1076" priority="225" stopIfTrue="1">
      <formula>IF(OR(E83-C83&gt;6/24,I83-G83&gt;6/24,M83-K83&gt;6/24),TRUE,FALSE)</formula>
    </cfRule>
    <cfRule type="expression" dxfId="1075" priority="226" stopIfTrue="1">
      <formula>IF(OR(D83-B83&gt;6/24,H83-F83&gt;6/24,L83-J83&gt;6/24),TRUE,FALSE)</formula>
    </cfRule>
  </conditionalFormatting>
  <conditionalFormatting sqref="R93 R96">
    <cfRule type="cellIs" dxfId="1074" priority="222" operator="greaterThan">
      <formula>12/24</formula>
    </cfRule>
  </conditionalFormatting>
  <conditionalFormatting sqref="O95:O96">
    <cfRule type="cellIs" dxfId="1073" priority="223" operator="greaterThan">
      <formula>10/24</formula>
    </cfRule>
  </conditionalFormatting>
  <conditionalFormatting sqref="S93 S95:S96">
    <cfRule type="cellIs" dxfId="1072" priority="221" stopIfTrue="1" operator="equal">
      <formula>"n"</formula>
    </cfRule>
  </conditionalFormatting>
  <conditionalFormatting sqref="U93 W93 W95:W96 U95:U96">
    <cfRule type="containsText" dxfId="1071" priority="220" operator="containsText" text="PB">
      <formula>NOT(ISERROR(SEARCH("PB",U93)))</formula>
    </cfRule>
  </conditionalFormatting>
  <conditionalFormatting sqref="V93 V95:V96">
    <cfRule type="containsText" dxfId="1070" priority="219" operator="containsText" text="PB">
      <formula>NOT(ISERROR(SEARCH("PB",V93)))</formula>
    </cfRule>
  </conditionalFormatting>
  <conditionalFormatting sqref="Y93 Y95:Y96">
    <cfRule type="containsText" dxfId="1069" priority="218" operator="containsText" text="PB">
      <formula>NOT(ISERROR(SEARCH("PB",Y93)))</formula>
    </cfRule>
  </conditionalFormatting>
  <conditionalFormatting sqref="X93 X96">
    <cfRule type="expression" priority="215" stopIfTrue="1">
      <formula>IF(OR(C93="aa",C93="cp",C93="f",C93="jc",C93="m"),TRUE,FALSE)</formula>
    </cfRule>
    <cfRule type="expression" dxfId="1068" priority="216" stopIfTrue="1">
      <formula>IF(OR(E93-C93&gt;6/24,I93-G93&gt;6/24,M93-K93&gt;6/24),TRUE,FALSE)</formula>
    </cfRule>
    <cfRule type="expression" dxfId="1067" priority="217" stopIfTrue="1">
      <formula>IF(OR(D93-B93&gt;6/24,H93-F93&gt;6/24,L93-J93&gt;6/24),TRUE,FALSE)</formula>
    </cfRule>
  </conditionalFormatting>
  <conditionalFormatting sqref="N93">
    <cfRule type="cellIs" dxfId="1066" priority="214" stopIfTrue="1" operator="greaterThan">
      <formula>10/24</formula>
    </cfRule>
  </conditionalFormatting>
  <conditionalFormatting sqref="N95">
    <cfRule type="cellIs" dxfId="1065" priority="213" stopIfTrue="1" operator="greaterThan">
      <formula>10/24</formula>
    </cfRule>
  </conditionalFormatting>
  <conditionalFormatting sqref="N96">
    <cfRule type="cellIs" dxfId="1064" priority="212" operator="greaterThan">
      <formula>10/24</formula>
    </cfRule>
  </conditionalFormatting>
  <conditionalFormatting sqref="O93">
    <cfRule type="cellIs" dxfId="1063" priority="211" operator="greaterThan">
      <formula>10/24</formula>
    </cfRule>
  </conditionalFormatting>
  <conditionalFormatting sqref="R90:R92">
    <cfRule type="cellIs" dxfId="1062" priority="210" operator="greaterThan">
      <formula>12/24</formula>
    </cfRule>
  </conditionalFormatting>
  <conditionalFormatting sqref="S90:S92">
    <cfRule type="cellIs" dxfId="1061" priority="209" stopIfTrue="1" operator="equal">
      <formula>"n"</formula>
    </cfRule>
  </conditionalFormatting>
  <conditionalFormatting sqref="U90:U92 W90:W92">
    <cfRule type="containsText" dxfId="1060" priority="208" operator="containsText" text="PB">
      <formula>NOT(ISERROR(SEARCH("PB",U90)))</formula>
    </cfRule>
  </conditionalFormatting>
  <conditionalFormatting sqref="V90:V92">
    <cfRule type="containsText" dxfId="1059" priority="207" operator="containsText" text="PB">
      <formula>NOT(ISERROR(SEARCH("PB",V90)))</formula>
    </cfRule>
  </conditionalFormatting>
  <conditionalFormatting sqref="Y90:Y92">
    <cfRule type="containsText" dxfId="1058" priority="206" operator="containsText" text="PB">
      <formula>NOT(ISERROR(SEARCH("PB",Y90)))</formula>
    </cfRule>
  </conditionalFormatting>
  <conditionalFormatting sqref="X90:X92">
    <cfRule type="expression" priority="203" stopIfTrue="1">
      <formula>IF(OR(C90="aa",C90="cp",C90="f",C90="jc",C90="m"),TRUE,FALSE)</formula>
    </cfRule>
    <cfRule type="expression" dxfId="1057" priority="204" stopIfTrue="1">
      <formula>IF(OR(E90-C90&gt;6/24,I90-G90&gt;6/24,M90-K90&gt;6/24),TRUE,FALSE)</formula>
    </cfRule>
    <cfRule type="expression" dxfId="1056" priority="205" stopIfTrue="1">
      <formula>IF(OR(D90-B90&gt;6/24,H90-F90&gt;6/24,L90-J90&gt;6/24),TRUE,FALSE)</formula>
    </cfRule>
  </conditionalFormatting>
  <conditionalFormatting sqref="N90:N92">
    <cfRule type="cellIs" dxfId="1055" priority="202" stopIfTrue="1" operator="greaterThan">
      <formula>10/24</formula>
    </cfRule>
  </conditionalFormatting>
  <conditionalFormatting sqref="O90:O92">
    <cfRule type="cellIs" dxfId="1054" priority="201" operator="greaterThan">
      <formula>10/24</formula>
    </cfRule>
  </conditionalFormatting>
  <conditionalFormatting sqref="R94">
    <cfRule type="cellIs" dxfId="1053" priority="200" operator="greaterThan">
      <formula>12/24</formula>
    </cfRule>
  </conditionalFormatting>
  <conditionalFormatting sqref="S94">
    <cfRule type="cellIs" dxfId="1052" priority="199" stopIfTrue="1" operator="equal">
      <formula>"n"</formula>
    </cfRule>
  </conditionalFormatting>
  <conditionalFormatting sqref="U94 W94">
    <cfRule type="containsText" dxfId="1051" priority="198" operator="containsText" text="PB">
      <formula>NOT(ISERROR(SEARCH("PB",U94)))</formula>
    </cfRule>
  </conditionalFormatting>
  <conditionalFormatting sqref="V94">
    <cfRule type="containsText" dxfId="1050" priority="197" operator="containsText" text="PB">
      <formula>NOT(ISERROR(SEARCH("PB",V94)))</formula>
    </cfRule>
  </conditionalFormatting>
  <conditionalFormatting sqref="Y94">
    <cfRule type="containsText" dxfId="1049" priority="196" operator="containsText" text="PB">
      <formula>NOT(ISERROR(SEARCH("PB",Y94)))</formula>
    </cfRule>
  </conditionalFormatting>
  <conditionalFormatting sqref="X94">
    <cfRule type="expression" priority="193" stopIfTrue="1">
      <formula>IF(OR(C94="aa",C94="cp",C94="f",C94="jc",C94="m"),TRUE,FALSE)</formula>
    </cfRule>
    <cfRule type="expression" dxfId="1048" priority="194" stopIfTrue="1">
      <formula>IF(OR(E94-C94&gt;6/24,I94-G94&gt;6/24,M94-K94&gt;6/24),TRUE,FALSE)</formula>
    </cfRule>
    <cfRule type="expression" dxfId="1047" priority="195" stopIfTrue="1">
      <formula>IF(OR(D94-B94&gt;6/24,H94-F94&gt;6/24,L94-J94&gt;6/24),TRUE,FALSE)</formula>
    </cfRule>
  </conditionalFormatting>
  <conditionalFormatting sqref="N94">
    <cfRule type="cellIs" dxfId="1046" priority="192" stopIfTrue="1" operator="greaterThan">
      <formula>10/24</formula>
    </cfRule>
  </conditionalFormatting>
  <conditionalFormatting sqref="O94">
    <cfRule type="cellIs" dxfId="1045" priority="191" operator="greaterThan">
      <formula>10/24</formula>
    </cfRule>
  </conditionalFormatting>
  <conditionalFormatting sqref="R95">
    <cfRule type="cellIs" dxfId="1044" priority="190" operator="greaterThan">
      <formula>12/24</formula>
    </cfRule>
  </conditionalFormatting>
  <conditionalFormatting sqref="X95">
    <cfRule type="expression" priority="187" stopIfTrue="1">
      <formula>IF(OR(C95="aa",C95="cp",C95="f",C95="jc",C95="m"),TRUE,FALSE)</formula>
    </cfRule>
    <cfRule type="expression" dxfId="1043" priority="188" stopIfTrue="1">
      <formula>IF(OR(E95-C95&gt;6/24,I95-G95&gt;6/24,M95-K95&gt;6/24),TRUE,FALSE)</formula>
    </cfRule>
    <cfRule type="expression" dxfId="1042" priority="189" stopIfTrue="1">
      <formula>IF(OR(D95-B95&gt;6/24,H95-F95&gt;6/24,L95-J95&gt;6/24),TRUE,FALSE)</formula>
    </cfRule>
  </conditionalFormatting>
  <conditionalFormatting sqref="R105 R108">
    <cfRule type="cellIs" dxfId="1041" priority="185" operator="greaterThan">
      <formula>12/24</formula>
    </cfRule>
  </conditionalFormatting>
  <conditionalFormatting sqref="O107:O108">
    <cfRule type="cellIs" dxfId="1040" priority="186" operator="greaterThan">
      <formula>10/24</formula>
    </cfRule>
  </conditionalFormatting>
  <conditionalFormatting sqref="S105 S107:S108">
    <cfRule type="cellIs" dxfId="1039" priority="184" stopIfTrue="1" operator="equal">
      <formula>"n"</formula>
    </cfRule>
  </conditionalFormatting>
  <conditionalFormatting sqref="U105 W105 W107:W108 U107:U108">
    <cfRule type="containsText" dxfId="1038" priority="183" operator="containsText" text="PB">
      <formula>NOT(ISERROR(SEARCH("PB",U105)))</formula>
    </cfRule>
  </conditionalFormatting>
  <conditionalFormatting sqref="V105 V107:V108">
    <cfRule type="containsText" dxfId="1037" priority="182" operator="containsText" text="PB">
      <formula>NOT(ISERROR(SEARCH("PB",V105)))</formula>
    </cfRule>
  </conditionalFormatting>
  <conditionalFormatting sqref="Y105 Y107:Y108">
    <cfRule type="containsText" dxfId="1036" priority="181" operator="containsText" text="PB">
      <formula>NOT(ISERROR(SEARCH("PB",Y105)))</formula>
    </cfRule>
  </conditionalFormatting>
  <conditionalFormatting sqref="X105 X108">
    <cfRule type="expression" priority="178" stopIfTrue="1">
      <formula>IF(OR(C105="aa",C105="cp",C105="f",C105="jc",C105="m"),TRUE,FALSE)</formula>
    </cfRule>
    <cfRule type="expression" dxfId="1035" priority="179" stopIfTrue="1">
      <formula>IF(OR(E105-C105&gt;6/24,I105-G105&gt;6/24,M105-K105&gt;6/24),TRUE,FALSE)</formula>
    </cfRule>
    <cfRule type="expression" dxfId="1034" priority="180" stopIfTrue="1">
      <formula>IF(OR(D105-B105&gt;6/24,H105-F105&gt;6/24,L105-J105&gt;6/24),TRUE,FALSE)</formula>
    </cfRule>
  </conditionalFormatting>
  <conditionalFormatting sqref="N105">
    <cfRule type="cellIs" dxfId="1033" priority="177" stopIfTrue="1" operator="greaterThan">
      <formula>10/24</formula>
    </cfRule>
  </conditionalFormatting>
  <conditionalFormatting sqref="N107">
    <cfRule type="cellIs" dxfId="1032" priority="176" stopIfTrue="1" operator="greaterThan">
      <formula>10/24</formula>
    </cfRule>
  </conditionalFormatting>
  <conditionalFormatting sqref="N108">
    <cfRule type="cellIs" dxfId="1031" priority="175" operator="greaterThan">
      <formula>10/24</formula>
    </cfRule>
  </conditionalFormatting>
  <conditionalFormatting sqref="O105">
    <cfRule type="cellIs" dxfId="1030" priority="174" operator="greaterThan">
      <formula>10/24</formula>
    </cfRule>
  </conditionalFormatting>
  <conditionalFormatting sqref="R102:R104">
    <cfRule type="cellIs" dxfId="1029" priority="173" operator="greaterThan">
      <formula>12/24</formula>
    </cfRule>
  </conditionalFormatting>
  <conditionalFormatting sqref="S102:S104">
    <cfRule type="cellIs" dxfId="1028" priority="172" stopIfTrue="1" operator="equal">
      <formula>"n"</formula>
    </cfRule>
  </conditionalFormatting>
  <conditionalFormatting sqref="U102:U104 W102:W104">
    <cfRule type="containsText" dxfId="1027" priority="171" operator="containsText" text="PB">
      <formula>NOT(ISERROR(SEARCH("PB",U102)))</formula>
    </cfRule>
  </conditionalFormatting>
  <conditionalFormatting sqref="V102:V104">
    <cfRule type="containsText" dxfId="1026" priority="170" operator="containsText" text="PB">
      <formula>NOT(ISERROR(SEARCH("PB",V102)))</formula>
    </cfRule>
  </conditionalFormatting>
  <conditionalFormatting sqref="Y102:Y104">
    <cfRule type="containsText" dxfId="1025" priority="169" operator="containsText" text="PB">
      <formula>NOT(ISERROR(SEARCH("PB",Y102)))</formula>
    </cfRule>
  </conditionalFormatting>
  <conditionalFormatting sqref="X102:X104">
    <cfRule type="expression" priority="166" stopIfTrue="1">
      <formula>IF(OR(C102="aa",C102="cp",C102="f",C102="jc",C102="m"),TRUE,FALSE)</formula>
    </cfRule>
    <cfRule type="expression" dxfId="1024" priority="167" stopIfTrue="1">
      <formula>IF(OR(E102-C102&gt;6/24,I102-G102&gt;6/24,M102-K102&gt;6/24),TRUE,FALSE)</formula>
    </cfRule>
    <cfRule type="expression" dxfId="1023" priority="168" stopIfTrue="1">
      <formula>IF(OR(D102-B102&gt;6/24,H102-F102&gt;6/24,L102-J102&gt;6/24),TRUE,FALSE)</formula>
    </cfRule>
  </conditionalFormatting>
  <conditionalFormatting sqref="N102:N104">
    <cfRule type="cellIs" dxfId="1022" priority="165" stopIfTrue="1" operator="greaterThan">
      <formula>10/24</formula>
    </cfRule>
  </conditionalFormatting>
  <conditionalFormatting sqref="O102:O104">
    <cfRule type="cellIs" dxfId="1021" priority="164" operator="greaterThan">
      <formula>10/24</formula>
    </cfRule>
  </conditionalFormatting>
  <conditionalFormatting sqref="R106">
    <cfRule type="cellIs" dxfId="1020" priority="163" operator="greaterThan">
      <formula>12/24</formula>
    </cfRule>
  </conditionalFormatting>
  <conditionalFormatting sqref="S106">
    <cfRule type="cellIs" dxfId="1019" priority="162" stopIfTrue="1" operator="equal">
      <formula>"n"</formula>
    </cfRule>
  </conditionalFormatting>
  <conditionalFormatting sqref="U106 W106">
    <cfRule type="containsText" dxfId="1018" priority="161" operator="containsText" text="PB">
      <formula>NOT(ISERROR(SEARCH("PB",U106)))</formula>
    </cfRule>
  </conditionalFormatting>
  <conditionalFormatting sqref="V106">
    <cfRule type="containsText" dxfId="1017" priority="160" operator="containsText" text="PB">
      <formula>NOT(ISERROR(SEARCH("PB",V106)))</formula>
    </cfRule>
  </conditionalFormatting>
  <conditionalFormatting sqref="Y106">
    <cfRule type="containsText" dxfId="1016" priority="159" operator="containsText" text="PB">
      <formula>NOT(ISERROR(SEARCH("PB",Y106)))</formula>
    </cfRule>
  </conditionalFormatting>
  <conditionalFormatting sqref="X106">
    <cfRule type="expression" priority="156" stopIfTrue="1">
      <formula>IF(OR(C106="aa",C106="cp",C106="f",C106="jc",C106="m"),TRUE,FALSE)</formula>
    </cfRule>
    <cfRule type="expression" dxfId="1015" priority="157" stopIfTrue="1">
      <formula>IF(OR(E106-C106&gt;6/24,I106-G106&gt;6/24,M106-K106&gt;6/24),TRUE,FALSE)</formula>
    </cfRule>
    <cfRule type="expression" dxfId="1014" priority="158" stopIfTrue="1">
      <formula>IF(OR(D106-B106&gt;6/24,H106-F106&gt;6/24,L106-J106&gt;6/24),TRUE,FALSE)</formula>
    </cfRule>
  </conditionalFormatting>
  <conditionalFormatting sqref="N106">
    <cfRule type="cellIs" dxfId="1013" priority="155" stopIfTrue="1" operator="greaterThan">
      <formula>10/24</formula>
    </cfRule>
  </conditionalFormatting>
  <conditionalFormatting sqref="O106">
    <cfRule type="cellIs" dxfId="1012" priority="154" operator="greaterThan">
      <formula>10/24</formula>
    </cfRule>
  </conditionalFormatting>
  <conditionalFormatting sqref="R107">
    <cfRule type="cellIs" dxfId="1011" priority="153" operator="greaterThan">
      <formula>12/24</formula>
    </cfRule>
  </conditionalFormatting>
  <conditionalFormatting sqref="X107">
    <cfRule type="expression" priority="150" stopIfTrue="1">
      <formula>IF(OR(C107="aa",C107="cp",C107="f",C107="jc",C107="m"),TRUE,FALSE)</formula>
    </cfRule>
    <cfRule type="expression" dxfId="1010" priority="151" stopIfTrue="1">
      <formula>IF(OR(E107-C107&gt;6/24,I107-G107&gt;6/24,M107-K107&gt;6/24),TRUE,FALSE)</formula>
    </cfRule>
    <cfRule type="expression" dxfId="1009" priority="152" stopIfTrue="1">
      <formula>IF(OR(D107-B107&gt;6/24,H107-F107&gt;6/24,L107-J107&gt;6/24),TRUE,FALSE)</formula>
    </cfRule>
  </conditionalFormatting>
  <conditionalFormatting sqref="R117 R120">
    <cfRule type="cellIs" dxfId="1008" priority="148" operator="greaterThan">
      <formula>12/24</formula>
    </cfRule>
  </conditionalFormatting>
  <conditionalFormatting sqref="O119:O120">
    <cfRule type="cellIs" dxfId="1007" priority="149" operator="greaterThan">
      <formula>10/24</formula>
    </cfRule>
  </conditionalFormatting>
  <conditionalFormatting sqref="S117 S119:S120">
    <cfRule type="cellIs" dxfId="1006" priority="147" stopIfTrue="1" operator="equal">
      <formula>"n"</formula>
    </cfRule>
  </conditionalFormatting>
  <conditionalFormatting sqref="U117 W117 W119:W120 U119:U120">
    <cfRule type="containsText" dxfId="1005" priority="146" operator="containsText" text="PB">
      <formula>NOT(ISERROR(SEARCH("PB",U117)))</formula>
    </cfRule>
  </conditionalFormatting>
  <conditionalFormatting sqref="V117 V119:V120">
    <cfRule type="containsText" dxfId="1004" priority="145" operator="containsText" text="PB">
      <formula>NOT(ISERROR(SEARCH("PB",V117)))</formula>
    </cfRule>
  </conditionalFormatting>
  <conditionalFormatting sqref="Y117 Y119:Y120">
    <cfRule type="containsText" dxfId="1003" priority="144" operator="containsText" text="PB">
      <formula>NOT(ISERROR(SEARCH("PB",Y117)))</formula>
    </cfRule>
  </conditionalFormatting>
  <conditionalFormatting sqref="X117 X120">
    <cfRule type="expression" priority="141" stopIfTrue="1">
      <formula>IF(OR(C117="aa",C117="cp",C117="f",C117="jc",C117="m"),TRUE,FALSE)</formula>
    </cfRule>
    <cfRule type="expression" dxfId="1002" priority="142" stopIfTrue="1">
      <formula>IF(OR(E117-C117&gt;6/24,I117-G117&gt;6/24,M117-K117&gt;6/24),TRUE,FALSE)</formula>
    </cfRule>
    <cfRule type="expression" dxfId="1001" priority="143" stopIfTrue="1">
      <formula>IF(OR(D117-B117&gt;6/24,H117-F117&gt;6/24,L117-J117&gt;6/24),TRUE,FALSE)</formula>
    </cfRule>
  </conditionalFormatting>
  <conditionalFormatting sqref="N117">
    <cfRule type="cellIs" dxfId="1000" priority="140" stopIfTrue="1" operator="greaterThan">
      <formula>10/24</formula>
    </cfRule>
  </conditionalFormatting>
  <conditionalFormatting sqref="N119">
    <cfRule type="cellIs" dxfId="999" priority="139" stopIfTrue="1" operator="greaterThan">
      <formula>10/24</formula>
    </cfRule>
  </conditionalFormatting>
  <conditionalFormatting sqref="N120">
    <cfRule type="cellIs" dxfId="998" priority="138" operator="greaterThan">
      <formula>10/24</formula>
    </cfRule>
  </conditionalFormatting>
  <conditionalFormatting sqref="O117">
    <cfRule type="cellIs" dxfId="997" priority="137" operator="greaterThan">
      <formula>10/24</formula>
    </cfRule>
  </conditionalFormatting>
  <conditionalFormatting sqref="R114:R116">
    <cfRule type="cellIs" dxfId="996" priority="136" operator="greaterThan">
      <formula>12/24</formula>
    </cfRule>
  </conditionalFormatting>
  <conditionalFormatting sqref="S114:S116">
    <cfRule type="cellIs" dxfId="995" priority="135" stopIfTrue="1" operator="equal">
      <formula>"n"</formula>
    </cfRule>
  </conditionalFormatting>
  <conditionalFormatting sqref="U114:U116 W114:W116">
    <cfRule type="containsText" dxfId="994" priority="134" operator="containsText" text="PB">
      <formula>NOT(ISERROR(SEARCH("PB",U114)))</formula>
    </cfRule>
  </conditionalFormatting>
  <conditionalFormatting sqref="V114:V116">
    <cfRule type="containsText" dxfId="993" priority="133" operator="containsText" text="PB">
      <formula>NOT(ISERROR(SEARCH("PB",V114)))</formula>
    </cfRule>
  </conditionalFormatting>
  <conditionalFormatting sqref="Y114:Y116">
    <cfRule type="containsText" dxfId="992" priority="132" operator="containsText" text="PB">
      <formula>NOT(ISERROR(SEARCH("PB",Y114)))</formula>
    </cfRule>
  </conditionalFormatting>
  <conditionalFormatting sqref="X114:X116">
    <cfRule type="expression" priority="129" stopIfTrue="1">
      <formula>IF(OR(C114="aa",C114="cp",C114="f",C114="jc",C114="m"),TRUE,FALSE)</formula>
    </cfRule>
    <cfRule type="expression" dxfId="991" priority="130" stopIfTrue="1">
      <formula>IF(OR(E114-C114&gt;6/24,I114-G114&gt;6/24,M114-K114&gt;6/24),TRUE,FALSE)</formula>
    </cfRule>
    <cfRule type="expression" dxfId="990" priority="131" stopIfTrue="1">
      <formula>IF(OR(D114-B114&gt;6/24,H114-F114&gt;6/24,L114-J114&gt;6/24),TRUE,FALSE)</formula>
    </cfRule>
  </conditionalFormatting>
  <conditionalFormatting sqref="N114:N116">
    <cfRule type="cellIs" dxfId="989" priority="128" stopIfTrue="1" operator="greaterThan">
      <formula>10/24</formula>
    </cfRule>
  </conditionalFormatting>
  <conditionalFormatting sqref="O114:O116">
    <cfRule type="cellIs" dxfId="988" priority="127" operator="greaterThan">
      <formula>10/24</formula>
    </cfRule>
  </conditionalFormatting>
  <conditionalFormatting sqref="R118">
    <cfRule type="cellIs" dxfId="987" priority="126" operator="greaterThan">
      <formula>12/24</formula>
    </cfRule>
  </conditionalFormatting>
  <conditionalFormatting sqref="S118">
    <cfRule type="cellIs" dxfId="986" priority="125" stopIfTrue="1" operator="equal">
      <formula>"n"</formula>
    </cfRule>
  </conditionalFormatting>
  <conditionalFormatting sqref="U118 W118">
    <cfRule type="containsText" dxfId="985" priority="124" operator="containsText" text="PB">
      <formula>NOT(ISERROR(SEARCH("PB",U118)))</formula>
    </cfRule>
  </conditionalFormatting>
  <conditionalFormatting sqref="V118">
    <cfRule type="containsText" dxfId="984" priority="123" operator="containsText" text="PB">
      <formula>NOT(ISERROR(SEARCH("PB",V118)))</formula>
    </cfRule>
  </conditionalFormatting>
  <conditionalFormatting sqref="Y118">
    <cfRule type="containsText" dxfId="983" priority="122" operator="containsText" text="PB">
      <formula>NOT(ISERROR(SEARCH("PB",Y118)))</formula>
    </cfRule>
  </conditionalFormatting>
  <conditionalFormatting sqref="X118">
    <cfRule type="expression" priority="119" stopIfTrue="1">
      <formula>IF(OR(C118="aa",C118="cp",C118="f",C118="jc",C118="m"),TRUE,FALSE)</formula>
    </cfRule>
    <cfRule type="expression" dxfId="982" priority="120" stopIfTrue="1">
      <formula>IF(OR(E118-C118&gt;6/24,I118-G118&gt;6/24,M118-K118&gt;6/24),TRUE,FALSE)</formula>
    </cfRule>
    <cfRule type="expression" dxfId="981" priority="121" stopIfTrue="1">
      <formula>IF(OR(D118-B118&gt;6/24,H118-F118&gt;6/24,L118-J118&gt;6/24),TRUE,FALSE)</formula>
    </cfRule>
  </conditionalFormatting>
  <conditionalFormatting sqref="N118">
    <cfRule type="cellIs" dxfId="980" priority="118" stopIfTrue="1" operator="greaterThan">
      <formula>10/24</formula>
    </cfRule>
  </conditionalFormatting>
  <conditionalFormatting sqref="O118">
    <cfRule type="cellIs" dxfId="979" priority="117" operator="greaterThan">
      <formula>10/24</formula>
    </cfRule>
  </conditionalFormatting>
  <conditionalFormatting sqref="R119">
    <cfRule type="cellIs" dxfId="978" priority="116" operator="greaterThan">
      <formula>12/24</formula>
    </cfRule>
  </conditionalFormatting>
  <conditionalFormatting sqref="X119">
    <cfRule type="expression" priority="113" stopIfTrue="1">
      <formula>IF(OR(C119="aa",C119="cp",C119="f",C119="jc",C119="m"),TRUE,FALSE)</formula>
    </cfRule>
    <cfRule type="expression" dxfId="977" priority="114" stopIfTrue="1">
      <formula>IF(OR(E119-C119&gt;6/24,I119-G119&gt;6/24,M119-K119&gt;6/24),TRUE,FALSE)</formula>
    </cfRule>
    <cfRule type="expression" dxfId="976" priority="115" stopIfTrue="1">
      <formula>IF(OR(D119-B119&gt;6/24,H119-F119&gt;6/24,L119-J119&gt;6/24),TRUE,FALSE)</formula>
    </cfRule>
  </conditionalFormatting>
  <conditionalFormatting sqref="R129 R132">
    <cfRule type="cellIs" dxfId="975" priority="111" operator="greaterThan">
      <formula>12/24</formula>
    </cfRule>
  </conditionalFormatting>
  <conditionalFormatting sqref="O131:O132">
    <cfRule type="cellIs" dxfId="974" priority="112" operator="greaterThan">
      <formula>10/24</formula>
    </cfRule>
  </conditionalFormatting>
  <conditionalFormatting sqref="S129 S131:S132">
    <cfRule type="cellIs" dxfId="973" priority="110" stopIfTrue="1" operator="equal">
      <formula>"n"</formula>
    </cfRule>
  </conditionalFormatting>
  <conditionalFormatting sqref="U129 W129 W131:W132 U131:U132">
    <cfRule type="containsText" dxfId="972" priority="109" operator="containsText" text="PB">
      <formula>NOT(ISERROR(SEARCH("PB",U129)))</formula>
    </cfRule>
  </conditionalFormatting>
  <conditionalFormatting sqref="V129 V131:V132">
    <cfRule type="containsText" dxfId="971" priority="108" operator="containsText" text="PB">
      <formula>NOT(ISERROR(SEARCH("PB",V129)))</formula>
    </cfRule>
  </conditionalFormatting>
  <conditionalFormatting sqref="Y129 Y131:Y132">
    <cfRule type="containsText" dxfId="970" priority="107" operator="containsText" text="PB">
      <formula>NOT(ISERROR(SEARCH("PB",Y129)))</formula>
    </cfRule>
  </conditionalFormatting>
  <conditionalFormatting sqref="X129 X132">
    <cfRule type="expression" priority="104" stopIfTrue="1">
      <formula>IF(OR(C129="aa",C129="cp",C129="f",C129="jc",C129="m"),TRUE,FALSE)</formula>
    </cfRule>
    <cfRule type="expression" dxfId="969" priority="105" stopIfTrue="1">
      <formula>IF(OR(E129-C129&gt;6/24,I129-G129&gt;6/24,M129-K129&gt;6/24),TRUE,FALSE)</formula>
    </cfRule>
    <cfRule type="expression" dxfId="968" priority="106" stopIfTrue="1">
      <formula>IF(OR(D129-B129&gt;6/24,H129-F129&gt;6/24,L129-J129&gt;6/24),TRUE,FALSE)</formula>
    </cfRule>
  </conditionalFormatting>
  <conditionalFormatting sqref="N129">
    <cfRule type="cellIs" dxfId="967" priority="103" stopIfTrue="1" operator="greaterThan">
      <formula>10/24</formula>
    </cfRule>
  </conditionalFormatting>
  <conditionalFormatting sqref="N131">
    <cfRule type="cellIs" dxfId="966" priority="102" stopIfTrue="1" operator="greaterThan">
      <formula>10/24</formula>
    </cfRule>
  </conditionalFormatting>
  <conditionalFormatting sqref="N132">
    <cfRule type="cellIs" dxfId="965" priority="101" operator="greaterThan">
      <formula>10/24</formula>
    </cfRule>
  </conditionalFormatting>
  <conditionalFormatting sqref="O129">
    <cfRule type="cellIs" dxfId="964" priority="100" operator="greaterThan">
      <formula>10/24</formula>
    </cfRule>
  </conditionalFormatting>
  <conditionalFormatting sqref="R126:R128">
    <cfRule type="cellIs" dxfId="963" priority="99" operator="greaterThan">
      <formula>12/24</formula>
    </cfRule>
  </conditionalFormatting>
  <conditionalFormatting sqref="S126:S128">
    <cfRule type="cellIs" dxfId="962" priority="98" stopIfTrue="1" operator="equal">
      <formula>"n"</formula>
    </cfRule>
  </conditionalFormatting>
  <conditionalFormatting sqref="U126:U128 W126:W128">
    <cfRule type="containsText" dxfId="961" priority="97" operator="containsText" text="PB">
      <formula>NOT(ISERROR(SEARCH("PB",U126)))</formula>
    </cfRule>
  </conditionalFormatting>
  <conditionalFormatting sqref="V126:V128">
    <cfRule type="containsText" dxfId="960" priority="96" operator="containsText" text="PB">
      <formula>NOT(ISERROR(SEARCH("PB",V126)))</formula>
    </cfRule>
  </conditionalFormatting>
  <conditionalFormatting sqref="Y126:Y128">
    <cfRule type="containsText" dxfId="959" priority="95" operator="containsText" text="PB">
      <formula>NOT(ISERROR(SEARCH("PB",Y126)))</formula>
    </cfRule>
  </conditionalFormatting>
  <conditionalFormatting sqref="X126:X128">
    <cfRule type="expression" priority="92" stopIfTrue="1">
      <formula>IF(OR(C126="aa",C126="cp",C126="f",C126="jc",C126="m"),TRUE,FALSE)</formula>
    </cfRule>
    <cfRule type="expression" dxfId="958" priority="93" stopIfTrue="1">
      <formula>IF(OR(E126-C126&gt;6/24,I126-G126&gt;6/24,M126-K126&gt;6/24),TRUE,FALSE)</formula>
    </cfRule>
    <cfRule type="expression" dxfId="957" priority="94" stopIfTrue="1">
      <formula>IF(OR(D126-B126&gt;6/24,H126-F126&gt;6/24,L126-J126&gt;6/24),TRUE,FALSE)</formula>
    </cfRule>
  </conditionalFormatting>
  <conditionalFormatting sqref="N126:N128">
    <cfRule type="cellIs" dxfId="956" priority="91" stopIfTrue="1" operator="greaterThan">
      <formula>10/24</formula>
    </cfRule>
  </conditionalFormatting>
  <conditionalFormatting sqref="O126:O128">
    <cfRule type="cellIs" dxfId="955" priority="90" operator="greaterThan">
      <formula>10/24</formula>
    </cfRule>
  </conditionalFormatting>
  <conditionalFormatting sqref="R130">
    <cfRule type="cellIs" dxfId="954" priority="89" operator="greaterThan">
      <formula>12/24</formula>
    </cfRule>
  </conditionalFormatting>
  <conditionalFormatting sqref="S130">
    <cfRule type="cellIs" dxfId="953" priority="88" stopIfTrue="1" operator="equal">
      <formula>"n"</formula>
    </cfRule>
  </conditionalFormatting>
  <conditionalFormatting sqref="U130 W130">
    <cfRule type="containsText" dxfId="952" priority="87" operator="containsText" text="PB">
      <formula>NOT(ISERROR(SEARCH("PB",U130)))</formula>
    </cfRule>
  </conditionalFormatting>
  <conditionalFormatting sqref="V130">
    <cfRule type="containsText" dxfId="951" priority="86" operator="containsText" text="PB">
      <formula>NOT(ISERROR(SEARCH("PB",V130)))</formula>
    </cfRule>
  </conditionalFormatting>
  <conditionalFormatting sqref="Y130">
    <cfRule type="containsText" dxfId="950" priority="85" operator="containsText" text="PB">
      <formula>NOT(ISERROR(SEARCH("PB",Y130)))</formula>
    </cfRule>
  </conditionalFormatting>
  <conditionalFormatting sqref="X130">
    <cfRule type="expression" priority="82" stopIfTrue="1">
      <formula>IF(OR(C130="aa",C130="cp",C130="f",C130="jc",C130="m"),TRUE,FALSE)</formula>
    </cfRule>
    <cfRule type="expression" dxfId="949" priority="83" stopIfTrue="1">
      <formula>IF(OR(E130-C130&gt;6/24,I130-G130&gt;6/24,M130-K130&gt;6/24),TRUE,FALSE)</formula>
    </cfRule>
    <cfRule type="expression" dxfId="948" priority="84" stopIfTrue="1">
      <formula>IF(OR(D130-B130&gt;6/24,H130-F130&gt;6/24,L130-J130&gt;6/24),TRUE,FALSE)</formula>
    </cfRule>
  </conditionalFormatting>
  <conditionalFormatting sqref="N130">
    <cfRule type="cellIs" dxfId="947" priority="81" stopIfTrue="1" operator="greaterThan">
      <formula>10/24</formula>
    </cfRule>
  </conditionalFormatting>
  <conditionalFormatting sqref="O130">
    <cfRule type="cellIs" dxfId="946" priority="80" operator="greaterThan">
      <formula>10/24</formula>
    </cfRule>
  </conditionalFormatting>
  <conditionalFormatting sqref="R131">
    <cfRule type="cellIs" dxfId="945" priority="79" operator="greaterThan">
      <formula>12/24</formula>
    </cfRule>
  </conditionalFormatting>
  <conditionalFormatting sqref="X131">
    <cfRule type="expression" priority="76" stopIfTrue="1">
      <formula>IF(OR(C131="aa",C131="cp",C131="f",C131="jc",C131="m"),TRUE,FALSE)</formula>
    </cfRule>
    <cfRule type="expression" dxfId="944" priority="77" stopIfTrue="1">
      <formula>IF(OR(E131-C131&gt;6/24,I131-G131&gt;6/24,M131-K131&gt;6/24),TRUE,FALSE)</formula>
    </cfRule>
    <cfRule type="expression" dxfId="943" priority="78" stopIfTrue="1">
      <formula>IF(OR(D131-B131&gt;6/24,H131-F131&gt;6/24,L131-J131&gt;6/24),TRUE,FALSE)</formula>
    </cfRule>
  </conditionalFormatting>
  <conditionalFormatting sqref="R141 R144">
    <cfRule type="cellIs" dxfId="942" priority="74" operator="greaterThan">
      <formula>12/24</formula>
    </cfRule>
  </conditionalFormatting>
  <conditionalFormatting sqref="O143:O144">
    <cfRule type="cellIs" dxfId="941" priority="75" operator="greaterThan">
      <formula>10/24</formula>
    </cfRule>
  </conditionalFormatting>
  <conditionalFormatting sqref="S141 S143:S144">
    <cfRule type="cellIs" dxfId="940" priority="73" stopIfTrue="1" operator="equal">
      <formula>"n"</formula>
    </cfRule>
  </conditionalFormatting>
  <conditionalFormatting sqref="U141 W141 W143:W144 U143:U144">
    <cfRule type="containsText" dxfId="939" priority="72" operator="containsText" text="PB">
      <formula>NOT(ISERROR(SEARCH("PB",U141)))</formula>
    </cfRule>
  </conditionalFormatting>
  <conditionalFormatting sqref="V141 V143:V144">
    <cfRule type="containsText" dxfId="938" priority="71" operator="containsText" text="PB">
      <formula>NOT(ISERROR(SEARCH("PB",V141)))</formula>
    </cfRule>
  </conditionalFormatting>
  <conditionalFormatting sqref="Y141 Y143:Y144">
    <cfRule type="containsText" dxfId="937" priority="70" operator="containsText" text="PB">
      <formula>NOT(ISERROR(SEARCH("PB",Y141)))</formula>
    </cfRule>
  </conditionalFormatting>
  <conditionalFormatting sqref="X141 X144">
    <cfRule type="expression" priority="67" stopIfTrue="1">
      <formula>IF(OR(C141="aa",C141="cp",C141="f",C141="jc",C141="m"),TRUE,FALSE)</formula>
    </cfRule>
    <cfRule type="expression" dxfId="936" priority="68" stopIfTrue="1">
      <formula>IF(OR(E141-C141&gt;6/24,I141-G141&gt;6/24,M141-K141&gt;6/24),TRUE,FALSE)</formula>
    </cfRule>
    <cfRule type="expression" dxfId="935" priority="69" stopIfTrue="1">
      <formula>IF(OR(D141-B141&gt;6/24,H141-F141&gt;6/24,L141-J141&gt;6/24),TRUE,FALSE)</formula>
    </cfRule>
  </conditionalFormatting>
  <conditionalFormatting sqref="N141">
    <cfRule type="cellIs" dxfId="934" priority="66" stopIfTrue="1" operator="greaterThan">
      <formula>10/24</formula>
    </cfRule>
  </conditionalFormatting>
  <conditionalFormatting sqref="N143">
    <cfRule type="cellIs" dxfId="933" priority="65" stopIfTrue="1" operator="greaterThan">
      <formula>10/24</formula>
    </cfRule>
  </conditionalFormatting>
  <conditionalFormatting sqref="N144">
    <cfRule type="cellIs" dxfId="932" priority="64" operator="greaterThan">
      <formula>10/24</formula>
    </cfRule>
  </conditionalFormatting>
  <conditionalFormatting sqref="O141">
    <cfRule type="cellIs" dxfId="931" priority="63" operator="greaterThan">
      <formula>10/24</formula>
    </cfRule>
  </conditionalFormatting>
  <conditionalFormatting sqref="R138:R140">
    <cfRule type="cellIs" dxfId="930" priority="62" operator="greaterThan">
      <formula>12/24</formula>
    </cfRule>
  </conditionalFormatting>
  <conditionalFormatting sqref="S138:S140">
    <cfRule type="cellIs" dxfId="929" priority="61" stopIfTrue="1" operator="equal">
      <formula>"n"</formula>
    </cfRule>
  </conditionalFormatting>
  <conditionalFormatting sqref="U138:U140 W138:W140">
    <cfRule type="containsText" dxfId="928" priority="60" operator="containsText" text="PB">
      <formula>NOT(ISERROR(SEARCH("PB",U138)))</formula>
    </cfRule>
  </conditionalFormatting>
  <conditionalFormatting sqref="V138:V140">
    <cfRule type="containsText" dxfId="927" priority="59" operator="containsText" text="PB">
      <formula>NOT(ISERROR(SEARCH("PB",V138)))</formula>
    </cfRule>
  </conditionalFormatting>
  <conditionalFormatting sqref="Y138:Y140">
    <cfRule type="containsText" dxfId="926" priority="58" operator="containsText" text="PB">
      <formula>NOT(ISERROR(SEARCH("PB",Y138)))</formula>
    </cfRule>
  </conditionalFormatting>
  <conditionalFormatting sqref="X138:X140">
    <cfRule type="expression" priority="55" stopIfTrue="1">
      <formula>IF(OR(C138="aa",C138="cp",C138="f",C138="jc",C138="m"),TRUE,FALSE)</formula>
    </cfRule>
    <cfRule type="expression" dxfId="925" priority="56" stopIfTrue="1">
      <formula>IF(OR(E138-C138&gt;6/24,I138-G138&gt;6/24,M138-K138&gt;6/24),TRUE,FALSE)</formula>
    </cfRule>
    <cfRule type="expression" dxfId="924" priority="57" stopIfTrue="1">
      <formula>IF(OR(D138-B138&gt;6/24,H138-F138&gt;6/24,L138-J138&gt;6/24),TRUE,FALSE)</formula>
    </cfRule>
  </conditionalFormatting>
  <conditionalFormatting sqref="N138:N140">
    <cfRule type="cellIs" dxfId="923" priority="54" stopIfTrue="1" operator="greaterThan">
      <formula>10/24</formula>
    </cfRule>
  </conditionalFormatting>
  <conditionalFormatting sqref="O138:O140">
    <cfRule type="cellIs" dxfId="922" priority="53" operator="greaterThan">
      <formula>10/24</formula>
    </cfRule>
  </conditionalFormatting>
  <conditionalFormatting sqref="R142">
    <cfRule type="cellIs" dxfId="921" priority="52" operator="greaterThan">
      <formula>12/24</formula>
    </cfRule>
  </conditionalFormatting>
  <conditionalFormatting sqref="S142">
    <cfRule type="cellIs" dxfId="920" priority="51" stopIfTrue="1" operator="equal">
      <formula>"n"</formula>
    </cfRule>
  </conditionalFormatting>
  <conditionalFormatting sqref="U142 W142">
    <cfRule type="containsText" dxfId="919" priority="50" operator="containsText" text="PB">
      <formula>NOT(ISERROR(SEARCH("PB",U142)))</formula>
    </cfRule>
  </conditionalFormatting>
  <conditionalFormatting sqref="V142">
    <cfRule type="containsText" dxfId="918" priority="49" operator="containsText" text="PB">
      <formula>NOT(ISERROR(SEARCH("PB",V142)))</formula>
    </cfRule>
  </conditionalFormatting>
  <conditionalFormatting sqref="Y142">
    <cfRule type="containsText" dxfId="917" priority="48" operator="containsText" text="PB">
      <formula>NOT(ISERROR(SEARCH("PB",Y142)))</formula>
    </cfRule>
  </conditionalFormatting>
  <conditionalFormatting sqref="X142">
    <cfRule type="expression" priority="45" stopIfTrue="1">
      <formula>IF(OR(C142="aa",C142="cp",C142="f",C142="jc",C142="m"),TRUE,FALSE)</formula>
    </cfRule>
    <cfRule type="expression" dxfId="916" priority="46" stopIfTrue="1">
      <formula>IF(OR(E142-C142&gt;6/24,I142-G142&gt;6/24,M142-K142&gt;6/24),TRUE,FALSE)</formula>
    </cfRule>
    <cfRule type="expression" dxfId="915" priority="47" stopIfTrue="1">
      <formula>IF(OR(D142-B142&gt;6/24,H142-F142&gt;6/24,L142-J142&gt;6/24),TRUE,FALSE)</formula>
    </cfRule>
  </conditionalFormatting>
  <conditionalFormatting sqref="N142">
    <cfRule type="cellIs" dxfId="914" priority="44" stopIfTrue="1" operator="greaterThan">
      <formula>10/24</formula>
    </cfRule>
  </conditionalFormatting>
  <conditionalFormatting sqref="O142">
    <cfRule type="cellIs" dxfId="913" priority="43" operator="greaterThan">
      <formula>10/24</formula>
    </cfRule>
  </conditionalFormatting>
  <conditionalFormatting sqref="R143">
    <cfRule type="cellIs" dxfId="912" priority="42" operator="greaterThan">
      <formula>12/24</formula>
    </cfRule>
  </conditionalFormatting>
  <conditionalFormatting sqref="X143">
    <cfRule type="expression" priority="39" stopIfTrue="1">
      <formula>IF(OR(C143="aa",C143="cp",C143="f",C143="jc",C143="m"),TRUE,FALSE)</formula>
    </cfRule>
    <cfRule type="expression" dxfId="911" priority="40" stopIfTrue="1">
      <formula>IF(OR(E143-C143&gt;6/24,I143-G143&gt;6/24,M143-K143&gt;6/24),TRUE,FALSE)</formula>
    </cfRule>
    <cfRule type="expression" dxfId="910" priority="41" stopIfTrue="1">
      <formula>IF(OR(D143-B143&gt;6/24,H143-F143&gt;6/24,L143-J143&gt;6/24),TRUE,FALSE)</formula>
    </cfRule>
  </conditionalFormatting>
  <conditionalFormatting sqref="R153 R156">
    <cfRule type="cellIs" dxfId="909" priority="37" operator="greaterThan">
      <formula>12/24</formula>
    </cfRule>
  </conditionalFormatting>
  <conditionalFormatting sqref="O155:O156">
    <cfRule type="cellIs" dxfId="908" priority="38" operator="greaterThan">
      <formula>10/24</formula>
    </cfRule>
  </conditionalFormatting>
  <conditionalFormatting sqref="S153 S155:S156">
    <cfRule type="cellIs" dxfId="907" priority="36" stopIfTrue="1" operator="equal">
      <formula>"n"</formula>
    </cfRule>
  </conditionalFormatting>
  <conditionalFormatting sqref="U153 W153 W155:W156 U155:U156">
    <cfRule type="containsText" dxfId="906" priority="35" operator="containsText" text="PB">
      <formula>NOT(ISERROR(SEARCH("PB",U153)))</formula>
    </cfRule>
  </conditionalFormatting>
  <conditionalFormatting sqref="V153 V155:V156">
    <cfRule type="containsText" dxfId="905" priority="34" operator="containsText" text="PB">
      <formula>NOT(ISERROR(SEARCH("PB",V153)))</formula>
    </cfRule>
  </conditionalFormatting>
  <conditionalFormatting sqref="Y153 Y155:Y156">
    <cfRule type="containsText" dxfId="904" priority="33" operator="containsText" text="PB">
      <formula>NOT(ISERROR(SEARCH("PB",Y153)))</formula>
    </cfRule>
  </conditionalFormatting>
  <conditionalFormatting sqref="X153 X156">
    <cfRule type="expression" priority="30" stopIfTrue="1">
      <formula>IF(OR(C153="aa",C153="cp",C153="f",C153="jc",C153="m"),TRUE,FALSE)</formula>
    </cfRule>
    <cfRule type="expression" dxfId="903" priority="31" stopIfTrue="1">
      <formula>IF(OR(E153-C153&gt;6/24,I153-G153&gt;6/24,M153-K153&gt;6/24),TRUE,FALSE)</formula>
    </cfRule>
    <cfRule type="expression" dxfId="902" priority="32" stopIfTrue="1">
      <formula>IF(OR(D153-B153&gt;6/24,H153-F153&gt;6/24,L153-J153&gt;6/24),TRUE,FALSE)</formula>
    </cfRule>
  </conditionalFormatting>
  <conditionalFormatting sqref="N153">
    <cfRule type="cellIs" dxfId="901" priority="29" stopIfTrue="1" operator="greaterThan">
      <formula>10/24</formula>
    </cfRule>
  </conditionalFormatting>
  <conditionalFormatting sqref="N155">
    <cfRule type="cellIs" dxfId="900" priority="28" stopIfTrue="1" operator="greaterThan">
      <formula>10/24</formula>
    </cfRule>
  </conditionalFormatting>
  <conditionalFormatting sqref="N156">
    <cfRule type="cellIs" dxfId="899" priority="27" operator="greaterThan">
      <formula>10/24</formula>
    </cfRule>
  </conditionalFormatting>
  <conditionalFormatting sqref="O153">
    <cfRule type="cellIs" dxfId="898" priority="26" operator="greaterThan">
      <formula>10/24</formula>
    </cfRule>
  </conditionalFormatting>
  <conditionalFormatting sqref="R150:R152">
    <cfRule type="cellIs" dxfId="897" priority="25" operator="greaterThan">
      <formula>12/24</formula>
    </cfRule>
  </conditionalFormatting>
  <conditionalFormatting sqref="S150:S152">
    <cfRule type="cellIs" dxfId="896" priority="24" stopIfTrue="1" operator="equal">
      <formula>"n"</formula>
    </cfRule>
  </conditionalFormatting>
  <conditionalFormatting sqref="U150:U152 W150:W152">
    <cfRule type="containsText" dxfId="895" priority="23" operator="containsText" text="PB">
      <formula>NOT(ISERROR(SEARCH("PB",U150)))</formula>
    </cfRule>
  </conditionalFormatting>
  <conditionalFormatting sqref="V150:V152">
    <cfRule type="containsText" dxfId="894" priority="22" operator="containsText" text="PB">
      <formula>NOT(ISERROR(SEARCH("PB",V150)))</formula>
    </cfRule>
  </conditionalFormatting>
  <conditionalFormatting sqref="Y150:Y152">
    <cfRule type="containsText" dxfId="893" priority="21" operator="containsText" text="PB">
      <formula>NOT(ISERROR(SEARCH("PB",Y150)))</formula>
    </cfRule>
  </conditionalFormatting>
  <conditionalFormatting sqref="X150:X152">
    <cfRule type="expression" priority="18" stopIfTrue="1">
      <formula>IF(OR(C150="aa",C150="cp",C150="f",C150="jc",C150="m"),TRUE,FALSE)</formula>
    </cfRule>
    <cfRule type="expression" dxfId="892" priority="19" stopIfTrue="1">
      <formula>IF(OR(E150-C150&gt;6/24,I150-G150&gt;6/24,M150-K150&gt;6/24),TRUE,FALSE)</formula>
    </cfRule>
    <cfRule type="expression" dxfId="891" priority="20" stopIfTrue="1">
      <formula>IF(OR(D150-B150&gt;6/24,H150-F150&gt;6/24,L150-J150&gt;6/24),TRUE,FALSE)</formula>
    </cfRule>
  </conditionalFormatting>
  <conditionalFormatting sqref="N150:N152">
    <cfRule type="cellIs" dxfId="890" priority="17" stopIfTrue="1" operator="greaterThan">
      <formula>10/24</formula>
    </cfRule>
  </conditionalFormatting>
  <conditionalFormatting sqref="O150:O152">
    <cfRule type="cellIs" dxfId="889" priority="16" operator="greaterThan">
      <formula>10/24</formula>
    </cfRule>
  </conditionalFormatting>
  <conditionalFormatting sqref="R154">
    <cfRule type="cellIs" dxfId="888" priority="15" operator="greaterThan">
      <formula>12/24</formula>
    </cfRule>
  </conditionalFormatting>
  <conditionalFormatting sqref="S154">
    <cfRule type="cellIs" dxfId="887" priority="14" stopIfTrue="1" operator="equal">
      <formula>"n"</formula>
    </cfRule>
  </conditionalFormatting>
  <conditionalFormatting sqref="U154 W154">
    <cfRule type="containsText" dxfId="886" priority="13" operator="containsText" text="PB">
      <formula>NOT(ISERROR(SEARCH("PB",U154)))</formula>
    </cfRule>
  </conditionalFormatting>
  <conditionalFormatting sqref="V154">
    <cfRule type="containsText" dxfId="885" priority="12" operator="containsText" text="PB">
      <formula>NOT(ISERROR(SEARCH("PB",V154)))</formula>
    </cfRule>
  </conditionalFormatting>
  <conditionalFormatting sqref="Y154">
    <cfRule type="containsText" dxfId="884" priority="11" operator="containsText" text="PB">
      <formula>NOT(ISERROR(SEARCH("PB",Y154)))</formula>
    </cfRule>
  </conditionalFormatting>
  <conditionalFormatting sqref="X154">
    <cfRule type="expression" priority="8" stopIfTrue="1">
      <formula>IF(OR(C154="aa",C154="cp",C154="f",C154="jc",C154="m"),TRUE,FALSE)</formula>
    </cfRule>
    <cfRule type="expression" dxfId="883" priority="9" stopIfTrue="1">
      <formula>IF(OR(E154-C154&gt;6/24,I154-G154&gt;6/24,M154-K154&gt;6/24),TRUE,FALSE)</formula>
    </cfRule>
    <cfRule type="expression" dxfId="882" priority="10" stopIfTrue="1">
      <formula>IF(OR(D154-B154&gt;6/24,H154-F154&gt;6/24,L154-J154&gt;6/24),TRUE,FALSE)</formula>
    </cfRule>
  </conditionalFormatting>
  <conditionalFormatting sqref="N154">
    <cfRule type="cellIs" dxfId="881" priority="7" stopIfTrue="1" operator="greaterThan">
      <formula>10/24</formula>
    </cfRule>
  </conditionalFormatting>
  <conditionalFormatting sqref="O154">
    <cfRule type="cellIs" dxfId="880" priority="6" operator="greaterThan">
      <formula>10/24</formula>
    </cfRule>
  </conditionalFormatting>
  <conditionalFormatting sqref="R155">
    <cfRule type="cellIs" dxfId="879" priority="5" operator="greaterThan">
      <formula>12/24</formula>
    </cfRule>
  </conditionalFormatting>
  <conditionalFormatting sqref="X155">
    <cfRule type="expression" priority="2" stopIfTrue="1">
      <formula>IF(OR(C155="aa",C155="cp",C155="f",C155="jc",C155="m"),TRUE,FALSE)</formula>
    </cfRule>
    <cfRule type="expression" dxfId="878" priority="3" stopIfTrue="1">
      <formula>IF(OR(E155-C155&gt;6/24,I155-G155&gt;6/24,M155-K155&gt;6/24),TRUE,FALSE)</formula>
    </cfRule>
    <cfRule type="expression" dxfId="877" priority="4" stopIfTrue="1">
      <formula>IF(OR(D155-B155&gt;6/24,H155-F155&gt;6/24,L155-J155&gt;6/24),TRUE,FALSE)</formula>
    </cfRule>
  </conditionalFormatting>
  <conditionalFormatting sqref="B6:B168">
    <cfRule type="expression" dxfId="876" priority="1437" stopIfTrue="1">
      <formula>OR(B6="cp",B6="jc",B6="css")</formula>
    </cfRule>
  </conditionalFormatting>
  <conditionalFormatting sqref="B4:M156">
    <cfRule type="cellIs" dxfId="875" priority="1" operator="equal">
      <formula>FALSE</formula>
    </cfRule>
  </conditionalFormatting>
  <conditionalFormatting sqref="O160:O190">
    <cfRule type="expression" dxfId="874" priority="9808" stopIfTrue="1">
      <formula>IF($A$170&lt;&gt;"",TRUE,FALSE)</formula>
    </cfRule>
  </conditionalFormatting>
  <conditionalFormatting sqref="P160:AA190">
    <cfRule type="expression" dxfId="873" priority="9809" stopIfTrue="1">
      <formula>IF($A$170&lt;&gt;"",TRUE,FALSE)</formula>
    </cfRule>
  </conditionalFormatting>
  <printOptions horizontalCentered="1"/>
  <pageMargins left="0" right="0" top="0.39370078740157483" bottom="0" header="0" footer="0"/>
  <pageSetup paperSize="9" scale="49" fitToHeight="2" orientation="portrait" r:id="rId1"/>
  <rowBreaks count="1" manualBreakCount="1">
    <brk id="98" max="16383"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pageSetUpPr fitToPage="1"/>
  </sheetPr>
  <dimension ref="A1:AS636"/>
  <sheetViews>
    <sheetView showGridLines="0" zoomScale="85" zoomScaleNormal="85" workbookViewId="0">
      <selection activeCell="C6" sqref="C6"/>
    </sheetView>
  </sheetViews>
  <sheetFormatPr baseColWidth="10" defaultColWidth="11.5703125" defaultRowHeight="15" x14ac:dyDescent="0.25"/>
  <cols>
    <col min="1" max="1" width="14.7109375" style="917" customWidth="1"/>
    <col min="2" max="13" width="7.7109375" style="917" customWidth="1"/>
    <col min="14" max="18" width="6.7109375" style="917" customWidth="1"/>
    <col min="19" max="19" width="4.7109375" style="917" customWidth="1"/>
    <col min="20" max="20" width="6.7109375" style="917" hidden="1" customWidth="1"/>
    <col min="21" max="25" width="2.7109375" style="917" customWidth="1"/>
    <col min="26" max="26" width="19.7109375" style="917" customWidth="1"/>
    <col min="27" max="27" width="15.7109375" style="917" customWidth="1"/>
    <col min="28" max="28" width="4.7109375" style="917" hidden="1" customWidth="1"/>
    <col min="29" max="29" width="12" style="917" hidden="1" customWidth="1"/>
    <col min="30" max="45" width="11.5703125" style="917" hidden="1" customWidth="1"/>
    <col min="46" max="46" width="0" style="917" hidden="1" customWidth="1"/>
    <col min="47" max="16384" width="11.5703125" style="917"/>
  </cols>
  <sheetData>
    <row r="1" spans="1:45" ht="57.95" customHeight="1" x14ac:dyDescent="0.35">
      <c r="A1" s="916" t="str">
        <f>"Planning 3ème trimestre de "&amp;annualisation!$B$1&amp;"  "&amp;Paramétrage!K5</f>
        <v xml:space="preserve">Planning 3ème trimestre de   </v>
      </c>
      <c r="B1" s="916"/>
      <c r="C1" s="916"/>
      <c r="D1" s="916"/>
      <c r="E1" s="916"/>
      <c r="F1" s="916"/>
      <c r="G1" s="916"/>
      <c r="H1" s="916"/>
      <c r="I1" s="916"/>
      <c r="J1" s="916"/>
      <c r="K1" s="916"/>
      <c r="L1" s="916"/>
      <c r="M1" s="916"/>
      <c r="N1" s="916"/>
      <c r="O1" s="916"/>
      <c r="P1" s="916"/>
      <c r="Q1" s="916"/>
      <c r="R1" s="916"/>
      <c r="S1" s="916"/>
      <c r="T1" s="916"/>
      <c r="U1" s="916"/>
      <c r="V1" s="916"/>
      <c r="W1" s="916"/>
      <c r="X1" s="916"/>
      <c r="Y1" s="916"/>
      <c r="Z1" s="916"/>
      <c r="AA1" s="916"/>
    </row>
    <row r="2" spans="1:45" ht="27" customHeight="1" x14ac:dyDescent="0.35">
      <c r="A2" s="919"/>
      <c r="B2" s="1050"/>
      <c r="C2" s="927"/>
      <c r="D2" s="931"/>
      <c r="E2" s="931"/>
      <c r="F2" s="931"/>
      <c r="G2" s="931"/>
      <c r="H2" s="931"/>
      <c r="I2" s="931"/>
      <c r="J2" s="931"/>
      <c r="K2" s="931"/>
      <c r="L2" s="931"/>
      <c r="M2" s="931"/>
      <c r="N2" s="931"/>
      <c r="O2" s="931"/>
      <c r="P2" s="931"/>
      <c r="Q2" s="931"/>
      <c r="R2" s="931"/>
      <c r="S2" s="931"/>
      <c r="T2" s="931"/>
      <c r="U2" s="931"/>
      <c r="V2" s="931"/>
      <c r="W2" s="931"/>
      <c r="X2" s="931"/>
      <c r="Y2" s="931"/>
      <c r="Z2" s="921" t="str">
        <f>Paramétrage!AG2</f>
        <v>version 5.0</v>
      </c>
      <c r="AA2" s="921"/>
      <c r="AB2" s="933"/>
    </row>
    <row r="3" spans="1:45" s="935" customFormat="1" ht="16.5" x14ac:dyDescent="0.3">
      <c r="A3" s="969"/>
      <c r="B3" s="969"/>
      <c r="C3" s="969"/>
      <c r="D3" s="969"/>
      <c r="E3" s="969"/>
      <c r="F3" s="928">
        <f>+'T2'!F147+7</f>
        <v>42794</v>
      </c>
      <c r="G3" s="928"/>
      <c r="H3" s="929" t="s">
        <v>58</v>
      </c>
      <c r="I3" s="928">
        <f>+F3+6</f>
        <v>42800</v>
      </c>
      <c r="J3" s="930"/>
      <c r="K3" s="969"/>
      <c r="L3" s="969"/>
      <c r="M3" s="969"/>
      <c r="N3" s="973"/>
      <c r="O3" s="969"/>
      <c r="P3" s="980"/>
      <c r="Q3" s="980"/>
      <c r="R3" s="980"/>
      <c r="S3" s="980"/>
      <c r="T3" s="980"/>
      <c r="U3" s="980"/>
      <c r="V3" s="980"/>
      <c r="W3" s="980"/>
      <c r="X3" s="980"/>
      <c r="Y3" s="980"/>
      <c r="Z3" s="1053"/>
      <c r="AA3" s="1054"/>
      <c r="AB3" s="953"/>
      <c r="AF3" s="917"/>
      <c r="AG3" s="917"/>
      <c r="AH3" s="917"/>
      <c r="AI3" s="917"/>
      <c r="AJ3" s="917"/>
      <c r="AK3" s="917"/>
      <c r="AL3" s="917"/>
      <c r="AR3" s="934">
        <f>DATE(YEAR(Paramétrage!AF6+1),5,31)</f>
        <v>42885</v>
      </c>
      <c r="AS3" s="917"/>
    </row>
    <row r="4" spans="1:45" ht="14.45" customHeight="1" x14ac:dyDescent="0.25">
      <c r="A4" s="994"/>
      <c r="B4" s="938" t="s">
        <v>17</v>
      </c>
      <c r="C4" s="938"/>
      <c r="D4" s="938" t="s">
        <v>18</v>
      </c>
      <c r="E4" s="938"/>
      <c r="F4" s="938" t="s">
        <v>17</v>
      </c>
      <c r="G4" s="938"/>
      <c r="H4" s="938" t="s">
        <v>18</v>
      </c>
      <c r="I4" s="938"/>
      <c r="J4" s="938" t="s">
        <v>17</v>
      </c>
      <c r="K4" s="938"/>
      <c r="L4" s="938" t="s">
        <v>18</v>
      </c>
      <c r="M4" s="938"/>
      <c r="N4" s="939" t="s">
        <v>61</v>
      </c>
      <c r="O4" s="939" t="s">
        <v>62</v>
      </c>
      <c r="P4" s="939" t="s">
        <v>60</v>
      </c>
      <c r="Q4" s="939" t="s">
        <v>63</v>
      </c>
      <c r="R4" s="939" t="s">
        <v>64</v>
      </c>
      <c r="S4" s="940" t="s">
        <v>223</v>
      </c>
      <c r="T4" s="939" t="s">
        <v>70</v>
      </c>
      <c r="U4" s="941" t="s">
        <v>65</v>
      </c>
      <c r="V4" s="942"/>
      <c r="W4" s="942"/>
      <c r="X4" s="942"/>
      <c r="Y4" s="943"/>
      <c r="Z4" s="944" t="s">
        <v>22</v>
      </c>
      <c r="AA4" s="944"/>
      <c r="AB4" s="953"/>
      <c r="AG4" s="946" t="s">
        <v>135</v>
      </c>
      <c r="AI4" s="946" t="s">
        <v>207</v>
      </c>
      <c r="AJ4" s="946" t="s">
        <v>208</v>
      </c>
      <c r="AL4" s="947"/>
      <c r="AR4" s="917" t="s">
        <v>287</v>
      </c>
    </row>
    <row r="5" spans="1:45" ht="26.25" thickBot="1" x14ac:dyDescent="0.4">
      <c r="A5" s="937" t="str">
        <f>"S"&amp;WEEKNUM(F3,21)</f>
        <v>S9</v>
      </c>
      <c r="B5" s="949" t="s">
        <v>0</v>
      </c>
      <c r="C5" s="950" t="s">
        <v>1</v>
      </c>
      <c r="D5" s="949" t="s">
        <v>0</v>
      </c>
      <c r="E5" s="950" t="s">
        <v>1</v>
      </c>
      <c r="F5" s="949" t="s">
        <v>0</v>
      </c>
      <c r="G5" s="950" t="s">
        <v>1</v>
      </c>
      <c r="H5" s="949" t="s">
        <v>0</v>
      </c>
      <c r="I5" s="950" t="s">
        <v>1</v>
      </c>
      <c r="J5" s="949" t="s">
        <v>0</v>
      </c>
      <c r="K5" s="950" t="s">
        <v>1</v>
      </c>
      <c r="L5" s="949" t="s">
        <v>0</v>
      </c>
      <c r="M5" s="950" t="s">
        <v>1</v>
      </c>
      <c r="N5" s="951"/>
      <c r="O5" s="951"/>
      <c r="P5" s="951"/>
      <c r="Q5" s="951"/>
      <c r="R5" s="951"/>
      <c r="S5" s="951"/>
      <c r="T5" s="939"/>
      <c r="U5" s="952" t="s">
        <v>66</v>
      </c>
      <c r="V5" s="952" t="s">
        <v>67</v>
      </c>
      <c r="W5" s="952" t="s">
        <v>68</v>
      </c>
      <c r="X5" s="952" t="s">
        <v>137</v>
      </c>
      <c r="Y5" s="952" t="s">
        <v>69</v>
      </c>
      <c r="Z5" s="944"/>
      <c r="AA5" s="944"/>
      <c r="AB5" s="953"/>
      <c r="AD5" s="1051" t="s">
        <v>175</v>
      </c>
      <c r="AE5" s="1051" t="s">
        <v>174</v>
      </c>
      <c r="AF5" s="1051" t="s">
        <v>189</v>
      </c>
      <c r="AG5" s="946"/>
      <c r="AI5" s="946"/>
      <c r="AJ5" s="946"/>
      <c r="AL5" s="947"/>
      <c r="AM5" s="917" t="s">
        <v>274</v>
      </c>
      <c r="AR5" s="917" t="s">
        <v>288</v>
      </c>
      <c r="AS5" s="917" t="s">
        <v>279</v>
      </c>
    </row>
    <row r="6" spans="1:45" ht="16.5" x14ac:dyDescent="0.3">
      <c r="A6" s="955" t="s">
        <v>12</v>
      </c>
      <c r="B6" s="414" t="b">
        <f>IF(Paramétrage!$O$42="",FALSE,Paramétrage!$O$42)</f>
        <v>0</v>
      </c>
      <c r="C6" s="263"/>
      <c r="D6" s="415" t="b">
        <f>IF(Paramétrage!$Q$42="",FALSE,Paramétrage!$Q$42)</f>
        <v>0</v>
      </c>
      <c r="E6" s="264"/>
      <c r="F6" s="414" t="b">
        <f>IF(Paramétrage!$R$42="",FALSE,Paramétrage!$R$42)</f>
        <v>0</v>
      </c>
      <c r="G6" s="264"/>
      <c r="H6" s="416" t="b">
        <f>IF(Paramétrage!$T$42="",FALSE,Paramétrage!$T$42)</f>
        <v>0</v>
      </c>
      <c r="I6" s="263"/>
      <c r="J6" s="417" t="b">
        <f>IF(Paramétrage!$U$42="",FALSE,Paramétrage!$U$42)</f>
        <v>0</v>
      </c>
      <c r="K6" s="263"/>
      <c r="L6" s="418" t="b">
        <f>IF(Paramétrage!$W$42="",FALSE,Paramétrage!$W$42)</f>
        <v>0</v>
      </c>
      <c r="M6" s="263"/>
      <c r="N6" s="956">
        <f t="shared" ref="N6:N8" si="0">IF(OR(B6="aa",B6="cp",B6="f",B6="jc",B6="m",B6="css"),0,(L6-J6)+(H6-F6)+(D6-B6))</f>
        <v>0</v>
      </c>
      <c r="O6" s="956">
        <f t="shared" ref="O6:O8" si="1">SUM(AM6:AP6)+IF(OR(C6="m",C6="aa"),N6,IF(C6="css",0,IF(C6="cp",0,IF(C6="jc",0,IF(C6="f",0,E6-C6+I6-G6+M6-K6)))))</f>
        <v>0</v>
      </c>
      <c r="P6" s="956">
        <f t="shared" ref="P6:P12" si="2">IF(OR(C6="aa",C6="cp",C6="f",C6="jc",C6="m",C6="css"),0,IF(C6="",IF(OR(F6="",F6=FALSE),0,F6-D6),IF(G6="",0,G6-E6)))</f>
        <v>0</v>
      </c>
      <c r="Q6" s="956">
        <f t="shared" ref="Q6:Q12" si="3">IF(P6=0,0,IF(G6="",IF(OR(J6="",J6=FALSE),0,J6-H6),IF(K6="",0,K6-I6)))</f>
        <v>0</v>
      </c>
      <c r="R6" s="957">
        <f t="shared" ref="R6:R8" si="4">IF(OR(C6="aa",C6="cp",C6="f",C6="jc",C6="m",C6="css"),0,IF(C6=0,MAX(B6,D6,F6,H6,J6,L6)-MIN(B6,D6,F6,H6,J6,L6),IF(C6&lt;&gt;0,MAX(C6,E6,G6,I6,K6,M6)-MIN(C6,E6,G6,I6,K6,M6))))</f>
        <v>0</v>
      </c>
      <c r="S6" s="262"/>
      <c r="T6" s="958" t="str">
        <f t="shared" ref="T6:T7" si="5">IF(AND(B6=FALSE,C6=""),"",IF(AND(B6=0,C6=0),"",(IF(OR(C6="cp",C6="f",C6="jc",C6="css"),"",IF(OR(C6="",C6="aa",C6="m"),(IF(OR(B6="cp",B6="f",B6="jc",B6="css"),"",B6*24+24-MAX(D5,H5,L5)*24)),C6*24+24-MAX(M5,I5,E5)*24)))))</f>
        <v/>
      </c>
      <c r="U6" s="959" t="str">
        <f>IF(P6=0,"",IF(P6&lt;Paramétrage!$S$12,"PB",IF(AND(Q6&lt;Paramétrage!$S$12,Q6&lt;&gt;0),"PB","")))</f>
        <v/>
      </c>
      <c r="V6" s="959" t="str">
        <f t="shared" ref="V6:V12" si="6">IF(C6="",IF((N6*24)&gt;10,"PB",""),IF((O6*24)&gt;10,"PB",""))</f>
        <v/>
      </c>
      <c r="W6" s="959" t="str">
        <f t="shared" ref="W6:W12" si="7">IF((R6*24)&gt;12,"PB","")</f>
        <v/>
      </c>
      <c r="X6" s="960" t="str">
        <f t="shared" ref="X6:X8" si="8">IF(AND(N6=0,O6=0),"",(IF(OR(C6="aa",C6="cp",C6="f",C6="jc",C6="m",C6="css"),"",IF(C6="",IF(OR(D6-B6&gt;6/24,H6-F6&gt;6/24,L6-J6&gt;6/24),"PB",""),IF(OR(E6-C6&gt;6/24,I6-G6&gt;6/24,M6-K6&gt;6/24),"PB","")))))</f>
        <v/>
      </c>
      <c r="Y6" s="959" t="str">
        <f t="shared" ref="Y6:Y12" si="9">IF(T6="","",IF(T6&lt;11,"PB",""))</f>
        <v/>
      </c>
      <c r="Z6" s="836"/>
      <c r="AA6" s="837"/>
      <c r="AB6" s="953"/>
      <c r="AC6" s="934">
        <f>'T2'!AC156+1</f>
        <v>42794</v>
      </c>
      <c r="AD6" s="961">
        <f>IF(AND(N(AC6)&gt;=Paramétrage!$AU$11,N(AC6)&lt;=Paramétrage!$AU$12),IF(C6="cp",1,0),0)</f>
        <v>0</v>
      </c>
      <c r="AE6" s="962">
        <f t="shared" ref="AE6:AE12" si="10">IF(O6&lt;&gt;"erreur",N6,O6)</f>
        <v>0</v>
      </c>
      <c r="AF6" s="961">
        <f>IF(AND(N(AC6)&gt;=Paramétrage!$AX$11,N(AC6)&lt;=Paramétrage!$AX$12),IF(C6="cp",1,0),0)</f>
        <v>0</v>
      </c>
      <c r="AG6" s="962">
        <f>O6</f>
        <v>0</v>
      </c>
      <c r="AI6" s="962">
        <f>AE6</f>
        <v>0</v>
      </c>
      <c r="AJ6" s="962">
        <f>AG6</f>
        <v>0</v>
      </c>
      <c r="AM6" s="962">
        <f>IF(AND($B6="cp",$C6="m"),$Z6,0)</f>
        <v>0</v>
      </c>
      <c r="AN6" s="962">
        <f>IF(AND($B6="jc",$C6="m"),$Z6,0)</f>
        <v>0</v>
      </c>
      <c r="AO6" s="962">
        <f>IF(AND($B6="cp",$C6="aa"),$Z6,0)</f>
        <v>0</v>
      </c>
      <c r="AP6" s="962">
        <f>IF(AND($B6="jc",$C6="aa"),$Z6,0)</f>
        <v>0</v>
      </c>
      <c r="AR6" s="917">
        <f>IF(AND(AC6&lt;=$AR$3,B6="CP"),1,0)</f>
        <v>0</v>
      </c>
      <c r="AS6" s="917">
        <f>IF(AND(AC6&lt;=$AR$3,C6="CP"),1,0)</f>
        <v>0</v>
      </c>
    </row>
    <row r="7" spans="1:45" ht="16.5" x14ac:dyDescent="0.3">
      <c r="A7" s="964" t="s">
        <v>13</v>
      </c>
      <c r="B7" s="414" t="b">
        <f>IF(Paramétrage!$O$43="",FALSE,Paramétrage!$O$43)</f>
        <v>0</v>
      </c>
      <c r="C7" s="263"/>
      <c r="D7" s="415" t="b">
        <f>IF(Paramétrage!$Q$43="",FALSE,Paramétrage!$Q$43)</f>
        <v>0</v>
      </c>
      <c r="E7" s="264"/>
      <c r="F7" s="414" t="b">
        <f>IF(Paramétrage!$R$43="",FALSE,Paramétrage!$R$43)</f>
        <v>0</v>
      </c>
      <c r="G7" s="264"/>
      <c r="H7" s="416" t="b">
        <f>IF(Paramétrage!$T$43="",FALSE,Paramétrage!$T$43)</f>
        <v>0</v>
      </c>
      <c r="I7" s="263"/>
      <c r="J7" s="417" t="b">
        <f>IF(Paramétrage!$U$43="",FALSE,Paramétrage!$U$43)</f>
        <v>0</v>
      </c>
      <c r="K7" s="263"/>
      <c r="L7" s="418" t="b">
        <f>IF(Paramétrage!$W$43="",FALSE,Paramétrage!$W$43)</f>
        <v>0</v>
      </c>
      <c r="M7" s="263"/>
      <c r="N7" s="956">
        <f t="shared" si="0"/>
        <v>0</v>
      </c>
      <c r="O7" s="956">
        <f t="shared" si="1"/>
        <v>0</v>
      </c>
      <c r="P7" s="956">
        <f t="shared" si="2"/>
        <v>0</v>
      </c>
      <c r="Q7" s="956">
        <f t="shared" si="3"/>
        <v>0</v>
      </c>
      <c r="R7" s="957">
        <f t="shared" si="4"/>
        <v>0</v>
      </c>
      <c r="S7" s="262"/>
      <c r="T7" s="958" t="str">
        <f t="shared" si="5"/>
        <v/>
      </c>
      <c r="U7" s="959" t="str">
        <f>IF(P7=0,"",IF(P7&lt;Paramétrage!$S$12,"PB",IF(AND(Q7&lt;Paramétrage!$S$12,Q7&lt;&gt;0),"PB","")))</f>
        <v/>
      </c>
      <c r="V7" s="959" t="str">
        <f t="shared" si="6"/>
        <v/>
      </c>
      <c r="W7" s="959" t="str">
        <f t="shared" si="7"/>
        <v/>
      </c>
      <c r="X7" s="960" t="str">
        <f t="shared" si="8"/>
        <v/>
      </c>
      <c r="Y7" s="959" t="str">
        <f t="shared" si="9"/>
        <v/>
      </c>
      <c r="Z7" s="836"/>
      <c r="AA7" s="837"/>
      <c r="AB7" s="953"/>
      <c r="AC7" s="934">
        <f t="shared" ref="AC7:AC12" si="11">AC6+1</f>
        <v>42795</v>
      </c>
      <c r="AD7" s="961">
        <f>IF(AND(N(AC7)&gt;=Paramétrage!$AU$11,N(AC7)&lt;=Paramétrage!$AU$12),IF(C7="cp",1,0),0)</f>
        <v>0</v>
      </c>
      <c r="AE7" s="962">
        <f t="shared" si="10"/>
        <v>0</v>
      </c>
      <c r="AF7" s="961">
        <f>IF(AND(N(AC7)&gt;=Paramétrage!$AX$11,N(AC7)&lt;=Paramétrage!$AX$12),IF(C7="cp",1,0),0)</f>
        <v>0</v>
      </c>
      <c r="AG7" s="962">
        <f t="shared" ref="AG7:AG12" si="12">O7</f>
        <v>0</v>
      </c>
      <c r="AI7" s="962">
        <f t="shared" ref="AI7:AI12" si="13">AE7+AI6</f>
        <v>0</v>
      </c>
      <c r="AJ7" s="962">
        <f t="shared" ref="AJ7:AJ12" si="14">AG7+AJ6</f>
        <v>0</v>
      </c>
      <c r="AM7" s="962">
        <f t="shared" ref="AM7:AM10" si="15">IF(AND($B7="cp",$C7="m"),$Z7,0)</f>
        <v>0</v>
      </c>
      <c r="AN7" s="962">
        <f t="shared" ref="AN7:AN10" si="16">IF(AND($B7="jc",$C7="m"),$Z7,0)</f>
        <v>0</v>
      </c>
      <c r="AO7" s="962">
        <f t="shared" ref="AO7:AO10" si="17">IF(AND($B7="cp",$C7="aa"),$Z7,0)</f>
        <v>0</v>
      </c>
      <c r="AP7" s="962">
        <f t="shared" ref="AP7:AP10" si="18">IF(AND($B7="jc",$C7="aa"),$Z7,0)</f>
        <v>0</v>
      </c>
      <c r="AR7" s="917">
        <f>IF(AND(AC7&lt;=$AR$3,B7="CP"),1,0)</f>
        <v>0</v>
      </c>
      <c r="AS7" s="917">
        <f>IF(AND(AC7&lt;=$AR$3,C7="CP"),1,0)</f>
        <v>0</v>
      </c>
    </row>
    <row r="8" spans="1:45" ht="16.5" x14ac:dyDescent="0.3">
      <c r="A8" s="964" t="s">
        <v>14</v>
      </c>
      <c r="B8" s="414" t="b">
        <f>IF(Paramétrage!$O$44="",FALSE,Paramétrage!$O$44)</f>
        <v>0</v>
      </c>
      <c r="C8" s="263"/>
      <c r="D8" s="415" t="b">
        <f>IF(Paramétrage!$Q$44="",FALSE,Paramétrage!$Q$44)</f>
        <v>0</v>
      </c>
      <c r="E8" s="264"/>
      <c r="F8" s="414" t="b">
        <f>IF(Paramétrage!$R$44="",FALSE,Paramétrage!$R$44)</f>
        <v>0</v>
      </c>
      <c r="G8" s="264"/>
      <c r="H8" s="416" t="b">
        <f>IF(Paramétrage!$T$44="",FALSE,Paramétrage!$T$44)</f>
        <v>0</v>
      </c>
      <c r="I8" s="263"/>
      <c r="J8" s="417" t="b">
        <f>IF(Paramétrage!$U$44="",FALSE,Paramétrage!$U$44)</f>
        <v>0</v>
      </c>
      <c r="K8" s="263"/>
      <c r="L8" s="418" t="b">
        <f>IF(Paramétrage!$W$44="",FALSE,Paramétrage!$W$44)</f>
        <v>0</v>
      </c>
      <c r="M8" s="263"/>
      <c r="N8" s="956">
        <f t="shared" si="0"/>
        <v>0</v>
      </c>
      <c r="O8" s="956">
        <f t="shared" si="1"/>
        <v>0</v>
      </c>
      <c r="P8" s="956">
        <f t="shared" si="2"/>
        <v>0</v>
      </c>
      <c r="Q8" s="956">
        <f t="shared" si="3"/>
        <v>0</v>
      </c>
      <c r="R8" s="957">
        <f t="shared" si="4"/>
        <v>0</v>
      </c>
      <c r="S8" s="262"/>
      <c r="T8" s="958" t="str">
        <f>IF(AND(B8=FALSE,C8=""),"",IF(AND(B8=0,C8=0),"",(IF(OR(C8="cp",C8="f",C8="jc",C8="css"),"",IF(OR(C8="",C8="aa",C8="m"),(IF(OR(B8="cp",B8="f",B8="jc",B8="css"),"",B8*24+24-MAX(D7,H7,L7)*24)),C8*24+24-MAX(M7,I7,E7)*24)))))</f>
        <v/>
      </c>
      <c r="U8" s="959" t="str">
        <f>IF(P8=0,"",IF(P8&lt;Paramétrage!$S$12,"PB",IF(AND(Q8&lt;Paramétrage!$S$12,Q8&lt;&gt;0),"PB","")))</f>
        <v/>
      </c>
      <c r="V8" s="959" t="str">
        <f t="shared" si="6"/>
        <v/>
      </c>
      <c r="W8" s="959" t="str">
        <f t="shared" si="7"/>
        <v/>
      </c>
      <c r="X8" s="960" t="str">
        <f t="shared" si="8"/>
        <v/>
      </c>
      <c r="Y8" s="959" t="str">
        <f t="shared" si="9"/>
        <v/>
      </c>
      <c r="Z8" s="836"/>
      <c r="AA8" s="837"/>
      <c r="AB8" s="953"/>
      <c r="AC8" s="934">
        <f t="shared" si="11"/>
        <v>42796</v>
      </c>
      <c r="AD8" s="961">
        <f>IF(AND(N(AC8)&gt;=Paramétrage!$AU$11,N(AC8)&lt;=Paramétrage!$AU$12),IF(C8="cp",1,0),0)</f>
        <v>0</v>
      </c>
      <c r="AE8" s="962">
        <f t="shared" si="10"/>
        <v>0</v>
      </c>
      <c r="AF8" s="961">
        <f>IF(AND(N(AC8)&gt;=Paramétrage!$AX$11,N(AC8)&lt;=Paramétrage!$AX$12),IF(C8="cp",1,0),0)</f>
        <v>0</v>
      </c>
      <c r="AG8" s="962">
        <f t="shared" si="12"/>
        <v>0</v>
      </c>
      <c r="AI8" s="962">
        <f t="shared" si="13"/>
        <v>0</v>
      </c>
      <c r="AJ8" s="962">
        <f t="shared" si="14"/>
        <v>0</v>
      </c>
      <c r="AM8" s="962">
        <f t="shared" si="15"/>
        <v>0</v>
      </c>
      <c r="AN8" s="962">
        <f t="shared" si="16"/>
        <v>0</v>
      </c>
      <c r="AO8" s="962">
        <f t="shared" si="17"/>
        <v>0</v>
      </c>
      <c r="AP8" s="962">
        <f t="shared" si="18"/>
        <v>0</v>
      </c>
      <c r="AR8" s="917">
        <f>IF(AND(AC8&lt;=$AR$3,B8="CP"),1,0)</f>
        <v>0</v>
      </c>
      <c r="AS8" s="917">
        <f>IF(AND(AC8&lt;=$AR$3,C8="CP"),1,0)</f>
        <v>0</v>
      </c>
    </row>
    <row r="9" spans="1:45" ht="16.5" x14ac:dyDescent="0.3">
      <c r="A9" s="964" t="s">
        <v>15</v>
      </c>
      <c r="B9" s="414" t="b">
        <f>IF(Paramétrage!$O$45="",FALSE,Paramétrage!$O$45)</f>
        <v>0</v>
      </c>
      <c r="C9" s="263"/>
      <c r="D9" s="415" t="b">
        <f>IF(Paramétrage!$Q$45="",FALSE,Paramétrage!$Q$45)</f>
        <v>0</v>
      </c>
      <c r="E9" s="264"/>
      <c r="F9" s="414" t="b">
        <f>IF(Paramétrage!$R$45="",FALSE,Paramétrage!$R$45)</f>
        <v>0</v>
      </c>
      <c r="G9" s="264"/>
      <c r="H9" s="416" t="b">
        <f>IF(Paramétrage!$T$45="",FALSE,Paramétrage!$T$45)</f>
        <v>0</v>
      </c>
      <c r="I9" s="263"/>
      <c r="J9" s="417" t="b">
        <f>IF(Paramétrage!$U$45="",FALSE,Paramétrage!$U$45)</f>
        <v>0</v>
      </c>
      <c r="K9" s="263"/>
      <c r="L9" s="418" t="b">
        <f>IF(Paramétrage!$W$45="",FALSE,Paramétrage!$W$45)</f>
        <v>0</v>
      </c>
      <c r="M9" s="263"/>
      <c r="N9" s="956">
        <f>IF(OR(B9="aa",B9="cp",B9="f",B9="jc",B9="m",B9="css"),0,(L9-J9)+(H9-F9)+(D9-B9))</f>
        <v>0</v>
      </c>
      <c r="O9" s="956">
        <f>SUM(AM9:AP9)+IF(OR(C9="m",C9="aa"),N9,IF(C9="css",0,IF(C9="cp",0,IF(C9="jc",0,IF(C9="f",0,E9-C9+I9-G9+M9-K9)))))</f>
        <v>0</v>
      </c>
      <c r="P9" s="956">
        <f t="shared" si="2"/>
        <v>0</v>
      </c>
      <c r="Q9" s="956">
        <f t="shared" si="3"/>
        <v>0</v>
      </c>
      <c r="R9" s="957">
        <f>IF(OR(C9="aa",C9="cp",C9="f",C9="jc",C9="m",C9="css"),0,IF(C9=0,MAX(B9,D9,F9,H9,J9,L9)-MIN(B9,D9,F9,H9,J9,L9),IF(C9&lt;&gt;0,MAX(C9,E9,G9,I9,K9,M9)-MIN(C9,E9,G9,I9,K9,M9))))</f>
        <v>0</v>
      </c>
      <c r="S9" s="262"/>
      <c r="T9" s="958" t="str">
        <f t="shared" ref="T9:T12" si="19">IF(AND(B9=FALSE,C9=""),"",IF(AND(B9=0,C9=0),"",(IF(OR(C9="cp",C9="f",C9="jc",C9="css"),"",IF(OR(C9="",C9="aa",C9="m"),(IF(OR(B9="cp",B9="f",B9="jc",B9="css"),"",B9*24+24-MAX(D8,H8,L8)*24)),C9*24+24-MAX(M8,I8,E8)*24)))))</f>
        <v/>
      </c>
      <c r="U9" s="959" t="str">
        <f>IF(P9=0,"",IF(P9&lt;Paramétrage!$S$12,"PB",IF(AND(Q9&lt;Paramétrage!$S$12,Q9&lt;&gt;0),"PB","")))</f>
        <v/>
      </c>
      <c r="V9" s="959" t="str">
        <f t="shared" si="6"/>
        <v/>
      </c>
      <c r="W9" s="959" t="str">
        <f t="shared" si="7"/>
        <v/>
      </c>
      <c r="X9" s="960" t="str">
        <f>IF(AND(N9=0,O9=0),"",(IF(OR(C9="aa",C9="cp",C9="f",C9="jc",C9="m",C9="css"),"",IF(C9="",IF(OR(D9-B9&gt;6/24,H9-F9&gt;6/24,L9-J9&gt;6/24),"PB",""),IF(OR(E9-C9&gt;6/24,I9-G9&gt;6/24,M9-K9&gt;6/24),"PB","")))))</f>
        <v/>
      </c>
      <c r="Y9" s="959" t="str">
        <f t="shared" si="9"/>
        <v/>
      </c>
      <c r="Z9" s="836"/>
      <c r="AA9" s="837"/>
      <c r="AB9" s="953"/>
      <c r="AC9" s="934">
        <f t="shared" si="11"/>
        <v>42797</v>
      </c>
      <c r="AD9" s="961">
        <f>IF(AND(N(AC9)&gt;=Paramétrage!$AU$11,N(AC9)&lt;=Paramétrage!$AU$12),IF(C9="cp",1,0),0)</f>
        <v>0</v>
      </c>
      <c r="AE9" s="962">
        <f t="shared" si="10"/>
        <v>0</v>
      </c>
      <c r="AF9" s="961">
        <f>IF(AND(N(AC9)&gt;=Paramétrage!$AX$11,N(AC9)&lt;=Paramétrage!$AX$12),IF(C9="cp",1,0),0)</f>
        <v>0</v>
      </c>
      <c r="AG9" s="962">
        <f t="shared" si="12"/>
        <v>0</v>
      </c>
      <c r="AI9" s="962">
        <f t="shared" si="13"/>
        <v>0</v>
      </c>
      <c r="AJ9" s="962">
        <f t="shared" si="14"/>
        <v>0</v>
      </c>
      <c r="AM9" s="962">
        <f t="shared" si="15"/>
        <v>0</v>
      </c>
      <c r="AN9" s="962">
        <f t="shared" si="16"/>
        <v>0</v>
      </c>
      <c r="AO9" s="962">
        <f t="shared" si="17"/>
        <v>0</v>
      </c>
      <c r="AP9" s="962">
        <f t="shared" si="18"/>
        <v>0</v>
      </c>
      <c r="AR9" s="917">
        <f>IF(AND(AC9&lt;=$AR$3,B9="CP"),1,0)</f>
        <v>0</v>
      </c>
      <c r="AS9" s="917">
        <f>IF(AND(AC9&lt;=$AR$3,C9="CP"),1,0)</f>
        <v>0</v>
      </c>
    </row>
    <row r="10" spans="1:45" ht="16.5" x14ac:dyDescent="0.3">
      <c r="A10" s="964" t="s">
        <v>16</v>
      </c>
      <c r="B10" s="414" t="b">
        <f>IF(Paramétrage!$O$46="",FALSE,Paramétrage!$O$46)</f>
        <v>0</v>
      </c>
      <c r="C10" s="263"/>
      <c r="D10" s="415" t="b">
        <f>IF(Paramétrage!$Q$46="",FALSE,Paramétrage!$Q$46)</f>
        <v>0</v>
      </c>
      <c r="E10" s="264"/>
      <c r="F10" s="414" t="b">
        <f>IF(Paramétrage!$R$46="",FALSE,Paramétrage!$R$46)</f>
        <v>0</v>
      </c>
      <c r="G10" s="264"/>
      <c r="H10" s="416" t="b">
        <f>IF(Paramétrage!$T$46="",FALSE,Paramétrage!$T$46)</f>
        <v>0</v>
      </c>
      <c r="I10" s="263"/>
      <c r="J10" s="417" t="b">
        <f>IF(Paramétrage!$U$46="",FALSE,Paramétrage!$U$46)</f>
        <v>0</v>
      </c>
      <c r="K10" s="263"/>
      <c r="L10" s="418" t="b">
        <f>IF(Paramétrage!$W$46="",FALSE,Paramétrage!$W$46)</f>
        <v>0</v>
      </c>
      <c r="M10" s="263"/>
      <c r="N10" s="956">
        <f>IF(OR(B10="aa",B10="cp",B10="f",B10="jc",B10="m",B10="css"),0,(L10-J10)+(H10-F10)+(D10-B10))</f>
        <v>0</v>
      </c>
      <c r="O10" s="956">
        <f>SUM(AM10:AP10)+IF(OR(C10="m",C10="aa"),N10,IF(C10="css",0,IF(C10="cp",0,IF(C10="jc",0,IF(C10="f",0,E10-C10+I10-G10+M10-K10)))))</f>
        <v>0</v>
      </c>
      <c r="P10" s="956">
        <f t="shared" si="2"/>
        <v>0</v>
      </c>
      <c r="Q10" s="956">
        <f t="shared" si="3"/>
        <v>0</v>
      </c>
      <c r="R10" s="957">
        <f>IF(OR(C10="aa",C10="cp",C10="f",C10="jc",C10="m",C10="css"),0,IF(C10=0,MAX(B10,D10,F10,H10,J10,L10)-MIN(B10,D10,F10,H10,J10,L10),IF(C10&lt;&gt;0,MAX(C10,E10,G10,I10,K10,M10)-MIN(C10,E10,G10,I10,K10,M10))))</f>
        <v>0</v>
      </c>
      <c r="S10" s="262"/>
      <c r="T10" s="958" t="str">
        <f t="shared" si="19"/>
        <v/>
      </c>
      <c r="U10" s="959" t="str">
        <f>IF(P10=0,"",IF(P10&lt;Paramétrage!$S$12,"PB",IF(AND(Q10&lt;Paramétrage!$S$12,Q10&lt;&gt;0),"PB","")))</f>
        <v/>
      </c>
      <c r="V10" s="959" t="str">
        <f t="shared" si="6"/>
        <v/>
      </c>
      <c r="W10" s="959" t="str">
        <f t="shared" si="7"/>
        <v/>
      </c>
      <c r="X10" s="960" t="str">
        <f>IF(AND(N10=0,O10=0),"",(IF(OR(C10="aa",C10="cp",C10="f",C10="jc",C10="m",C10="css"),"",IF(C10="",IF(OR(D10-B10&gt;6/24,H10-F10&gt;6/24,L10-J10&gt;6/24),"PB",""),IF(OR(E10-C10&gt;6/24,I10-G10&gt;6/24,M10-K10&gt;6/24),"PB","")))))</f>
        <v/>
      </c>
      <c r="Y10" s="959" t="str">
        <f t="shared" si="9"/>
        <v/>
      </c>
      <c r="Z10" s="836"/>
      <c r="AA10" s="837"/>
      <c r="AB10" s="953"/>
      <c r="AC10" s="934">
        <f t="shared" si="11"/>
        <v>42798</v>
      </c>
      <c r="AD10" s="961">
        <f>IF(AND(N(AC10)&gt;=Paramétrage!$AU$11,N(AC10)&lt;=Paramétrage!$AU$12),IF(C10="cp",1,0),0)</f>
        <v>0</v>
      </c>
      <c r="AE10" s="962">
        <f t="shared" si="10"/>
        <v>0</v>
      </c>
      <c r="AF10" s="961">
        <f>IF(AND(N(AC10)&gt;=Paramétrage!$AX$11,N(AC10)&lt;=Paramétrage!$AX$12),IF(C10="cp",1,0),0)</f>
        <v>0</v>
      </c>
      <c r="AG10" s="962">
        <f t="shared" si="12"/>
        <v>0</v>
      </c>
      <c r="AI10" s="962">
        <f t="shared" si="13"/>
        <v>0</v>
      </c>
      <c r="AJ10" s="962">
        <f t="shared" si="14"/>
        <v>0</v>
      </c>
      <c r="AM10" s="962">
        <f t="shared" si="15"/>
        <v>0</v>
      </c>
      <c r="AN10" s="962">
        <f t="shared" si="16"/>
        <v>0</v>
      </c>
      <c r="AO10" s="962">
        <f t="shared" si="17"/>
        <v>0</v>
      </c>
      <c r="AP10" s="962">
        <f t="shared" si="18"/>
        <v>0</v>
      </c>
      <c r="AR10" s="917">
        <f>IF(AND(AC10&lt;=$AR$3,B10="CP"),1,0)</f>
        <v>0</v>
      </c>
      <c r="AS10" s="917">
        <f>IF(AND(AC10&lt;=$AR$3,C10="CP"),1,0)</f>
        <v>0</v>
      </c>
    </row>
    <row r="11" spans="1:45" ht="16.5" x14ac:dyDescent="0.3">
      <c r="A11" s="964" t="s">
        <v>19</v>
      </c>
      <c r="B11" s="414" t="b">
        <f>IF(Paramétrage!$O$47="",FALSE,Paramétrage!$O$47)</f>
        <v>0</v>
      </c>
      <c r="C11" s="263"/>
      <c r="D11" s="415" t="b">
        <f>IF(Paramétrage!$Q$47="",FALSE,Paramétrage!$Q$47)</f>
        <v>0</v>
      </c>
      <c r="E11" s="264"/>
      <c r="F11" s="414" t="b">
        <f>IF(Paramétrage!$R$47="",FALSE,Paramétrage!$R$47)</f>
        <v>0</v>
      </c>
      <c r="G11" s="264"/>
      <c r="H11" s="416" t="b">
        <f>IF(Paramétrage!$T$47="",FALSE,Paramétrage!$T$47)</f>
        <v>0</v>
      </c>
      <c r="I11" s="263"/>
      <c r="J11" s="417" t="b">
        <f>IF(Paramétrage!$U$47="",FALSE,Paramétrage!$U$47)</f>
        <v>0</v>
      </c>
      <c r="K11" s="263"/>
      <c r="L11" s="418" t="b">
        <f>IF(Paramétrage!$W$47="",FALSE,Paramétrage!$W$47)</f>
        <v>0</v>
      </c>
      <c r="M11" s="263"/>
      <c r="N11" s="956">
        <f>IF(OR(B11="aa",B11="cp",B11="f",B11="jc",B11="m",B11="css"),0,(L11-J11)+(H11-F11)+(D11-B11))</f>
        <v>0</v>
      </c>
      <c r="O11" s="956">
        <f>IF(OR(C11="m",C11="aa"),N11,IF(C11="cp",0,IF(OR(C11="css",C11="jc"),0,IF(C11="f",0,E11-C11+I11-G11+M11-K11))))</f>
        <v>0</v>
      </c>
      <c r="P11" s="956">
        <f t="shared" si="2"/>
        <v>0</v>
      </c>
      <c r="Q11" s="956">
        <f t="shared" si="3"/>
        <v>0</v>
      </c>
      <c r="R11" s="957">
        <f>IF(OR(C11="aa",C11="cp",C11="f",C11="jc",C11="m",C11="css"),0,IF(C11=0,MAX(B11,D11,F11,H11,J11,L11)-MIN(B11,D11,F11,H11,J11,L11),IF(C11&lt;&gt;0,MAX(C11,E11,G11,I11,K11,M11)-MIN(C11,E11,G11,I11,K11,M11))))</f>
        <v>0</v>
      </c>
      <c r="S11" s="262"/>
      <c r="T11" s="958" t="str">
        <f t="shared" si="19"/>
        <v/>
      </c>
      <c r="U11" s="959" t="str">
        <f>IF(P11=0,"",IF(P11&lt;Paramétrage!$S$12,"PB",IF(AND(Q11&lt;Paramétrage!$S$12,Q11&lt;&gt;0),"PB","")))</f>
        <v/>
      </c>
      <c r="V11" s="959" t="str">
        <f t="shared" si="6"/>
        <v/>
      </c>
      <c r="W11" s="959" t="str">
        <f t="shared" si="7"/>
        <v/>
      </c>
      <c r="X11" s="960" t="str">
        <f>IF(AND(N11=0,O11=0),"",(IF(OR(C11="aa",C11="cp",C11="f",C11="jc",C11="m",C11="css"),"",IF(C11="",IF(OR(D11-B11&gt;6/24,H11-F11&gt;6/24,L11-J11&gt;6/24),"PB",""),IF(OR(E11-C11&gt;6/24,I11-G11&gt;6/24,M11-K11&gt;6/24),"PB","")))))</f>
        <v/>
      </c>
      <c r="Y11" s="959" t="str">
        <f t="shared" si="9"/>
        <v/>
      </c>
      <c r="Z11" s="836"/>
      <c r="AA11" s="837"/>
      <c r="AB11" s="953"/>
      <c r="AC11" s="934">
        <f t="shared" si="11"/>
        <v>42799</v>
      </c>
      <c r="AD11" s="961">
        <f>IF(AND(N(AC11)&gt;=Paramétrage!$AU$11,N(AC11)&lt;=Paramétrage!$AU$12),IF(C11="cp",1,0),0)</f>
        <v>0</v>
      </c>
      <c r="AE11" s="962">
        <f t="shared" si="10"/>
        <v>0</v>
      </c>
      <c r="AF11" s="961">
        <f>IF(AND(N(AC11)&gt;=Paramétrage!$AX$11,N(AC11)&lt;=Paramétrage!$AX$12),IF(C11="cp",1,0),0)</f>
        <v>0</v>
      </c>
      <c r="AG11" s="962">
        <f t="shared" si="12"/>
        <v>0</v>
      </c>
      <c r="AI11" s="962">
        <f t="shared" si="13"/>
        <v>0</v>
      </c>
      <c r="AJ11" s="962">
        <f t="shared" si="14"/>
        <v>0</v>
      </c>
      <c r="AM11" s="962"/>
      <c r="AN11" s="962"/>
      <c r="AO11" s="962"/>
      <c r="AP11" s="962"/>
    </row>
    <row r="12" spans="1:45" ht="17.25" thickBot="1" x14ac:dyDescent="0.35">
      <c r="A12" s="966" t="s">
        <v>20</v>
      </c>
      <c r="B12" s="414" t="b">
        <f>IF(Paramétrage!$O$48="",FALSE,Paramétrage!$O$48)</f>
        <v>0</v>
      </c>
      <c r="C12" s="263"/>
      <c r="D12" s="415" t="b">
        <f>IF(Paramétrage!$Q$48="",FALSE,Paramétrage!$Q$48)</f>
        <v>0</v>
      </c>
      <c r="E12" s="264"/>
      <c r="F12" s="414" t="b">
        <f>IF(Paramétrage!$R$48="",FALSE,Paramétrage!$R$48)</f>
        <v>0</v>
      </c>
      <c r="G12" s="264"/>
      <c r="H12" s="416" t="b">
        <f>IF(Paramétrage!$T$48="",FALSE,Paramétrage!$T$48)</f>
        <v>0</v>
      </c>
      <c r="I12" s="263"/>
      <c r="J12" s="417" t="b">
        <f>IF(Paramétrage!$U$48="",FALSE,Paramétrage!$U$48)</f>
        <v>0</v>
      </c>
      <c r="K12" s="263"/>
      <c r="L12" s="418" t="b">
        <f>IF(Paramétrage!$W$48="",FALSE,Paramétrage!$W$48)</f>
        <v>0</v>
      </c>
      <c r="M12" s="263"/>
      <c r="N12" s="956">
        <f>IF(OR(B12="aa",B12="m"),M12,IF(B12="cp",0,IF(B12="jc",0,IF(B12="f",0,(D12-B12)*Paramétrage!$S$13+(H12-F12)*Paramétrage!$S$13+(L12-J12)*Paramétrage!$S$13+(D12-B12+H12-F12+L12-J12)))))</f>
        <v>0</v>
      </c>
      <c r="O12" s="956">
        <f>IF(OR(C12="aa",C12="m"),N12,IF(C12="cp",0,IF(C12="jc",0,IF(C12="f",0,(E12-C12)*Paramétrage!$S$13+(I12-G12)*Paramétrage!$S$13+(M12-K12)*Paramétrage!$S$13+(E12-C12+I12-G12+M12-K12)))))</f>
        <v>0</v>
      </c>
      <c r="P12" s="956">
        <f t="shared" si="2"/>
        <v>0</v>
      </c>
      <c r="Q12" s="956">
        <f t="shared" si="3"/>
        <v>0</v>
      </c>
      <c r="R12" s="957">
        <f t="shared" ref="R12" si="20">IF(OR(C12="aa",C12="cp",C12="f",C12="jc",C12="m",C12=0),MAX(B12,D12,F12,H12,J12,L12)-MIN(B12,D12,F12,H12,J12,L12),IF(C12&lt;&gt;0,MAX(C12,E12,G12,I12,K12,M12)-MIN(C12,E12,G12,I12,K12,M12)))</f>
        <v>0</v>
      </c>
      <c r="S12" s="262"/>
      <c r="T12" s="958" t="str">
        <f t="shared" si="19"/>
        <v/>
      </c>
      <c r="U12" s="959" t="str">
        <f>IF(P12=0,"",IF(P12&lt;Paramétrage!$S$12,"PB",IF(AND(Q12&lt;Paramétrage!$S$12,Q12&lt;&gt;0),"PB","")))</f>
        <v/>
      </c>
      <c r="V12" s="959" t="str">
        <f t="shared" si="6"/>
        <v/>
      </c>
      <c r="W12" s="959" t="str">
        <f t="shared" si="7"/>
        <v/>
      </c>
      <c r="X12" s="960" t="str">
        <f t="shared" ref="X12" si="21">IF(AND(N12=0,O12=0),"",(IF(OR(C12="aa",C12="cp",C12="f",C12="jc",C12="m"),"",IF(C12="",IF(OR(D12-B12&gt;6/24,H12-F12&gt;6/24,L12-J12&gt;6/24),"PB",""),IF(OR(E12-C12&gt;6/24,I12-G12&gt;6/24,M12-K12&gt;6/24),"PB","")))))</f>
        <v/>
      </c>
      <c r="Y12" s="959" t="str">
        <f t="shared" si="9"/>
        <v/>
      </c>
      <c r="Z12" s="836"/>
      <c r="AA12" s="837"/>
      <c r="AB12" s="953"/>
      <c r="AC12" s="934">
        <f t="shared" si="11"/>
        <v>42800</v>
      </c>
      <c r="AD12" s="961">
        <f>IF(AND(N(AC12)&gt;=Paramétrage!$AU$11,N(AC12)&lt;=Paramétrage!$AU$12),IF(C12="cp",1,0),0)</f>
        <v>0</v>
      </c>
      <c r="AE12" s="962">
        <f t="shared" si="10"/>
        <v>0</v>
      </c>
      <c r="AF12" s="961">
        <f>IF(AND(N(AC12)&gt;=Paramétrage!$AX$11,N(AC12)&lt;=Paramétrage!$AX$12),IF(C12="cp",1,0),0)</f>
        <v>0</v>
      </c>
      <c r="AG12" s="962">
        <f t="shared" si="12"/>
        <v>0</v>
      </c>
      <c r="AH12" s="968"/>
      <c r="AI12" s="962">
        <f t="shared" si="13"/>
        <v>0</v>
      </c>
      <c r="AJ12" s="962">
        <f t="shared" si="14"/>
        <v>0</v>
      </c>
      <c r="AM12" s="962"/>
      <c r="AN12" s="962"/>
      <c r="AO12" s="962"/>
      <c r="AP12" s="962"/>
    </row>
    <row r="13" spans="1:45" s="935" customFormat="1" x14ac:dyDescent="0.25">
      <c r="A13" s="969" t="s">
        <v>32</v>
      </c>
      <c r="B13" s="970"/>
      <c r="C13" s="970"/>
      <c r="D13" s="970"/>
      <c r="E13" s="970"/>
      <c r="F13" s="970"/>
      <c r="G13" s="970"/>
      <c r="H13" s="970"/>
      <c r="I13" s="970"/>
      <c r="J13" s="970"/>
      <c r="K13" s="971"/>
      <c r="L13" s="970"/>
      <c r="M13" s="970"/>
      <c r="N13" s="972">
        <f>SUM(N6:N12)</f>
        <v>0</v>
      </c>
      <c r="O13" s="972">
        <f>SUM(O6:O12)</f>
        <v>0</v>
      </c>
      <c r="P13" s="972">
        <f>SUM(P6:P12)</f>
        <v>0</v>
      </c>
      <c r="Q13" s="972">
        <f>SUM(Q6:Q12)</f>
        <v>0</v>
      </c>
      <c r="R13" s="972"/>
      <c r="S13" s="972"/>
      <c r="T13" s="973"/>
      <c r="U13" s="974"/>
      <c r="V13" s="975" t="str">
        <f>IF((O13*24)&gt;48,"PB","")</f>
        <v/>
      </c>
      <c r="W13" s="974"/>
      <c r="X13" s="974"/>
      <c r="Y13" s="974"/>
      <c r="Z13" s="1053" t="s">
        <v>59</v>
      </c>
      <c r="AA13" s="1055">
        <f>+O13-N13</f>
        <v>0</v>
      </c>
      <c r="AB13" s="967"/>
      <c r="AE13" s="917"/>
      <c r="AF13" s="917"/>
      <c r="AG13" s="917"/>
      <c r="AH13" s="917"/>
      <c r="AI13" s="917"/>
      <c r="AJ13" s="917"/>
      <c r="AK13" s="917"/>
      <c r="AL13" s="917"/>
      <c r="AM13" s="917"/>
      <c r="AN13" s="917"/>
      <c r="AO13" s="917"/>
      <c r="AP13" s="917"/>
      <c r="AR13" s="917"/>
      <c r="AS13" s="917"/>
    </row>
    <row r="14" spans="1:45" s="935" customFormat="1" x14ac:dyDescent="0.25">
      <c r="A14" s="969"/>
      <c r="B14" s="969"/>
      <c r="C14" s="969"/>
      <c r="D14" s="969"/>
      <c r="E14" s="969"/>
      <c r="F14" s="1052"/>
      <c r="G14" s="1052"/>
      <c r="H14" s="1052"/>
      <c r="I14" s="1052"/>
      <c r="J14" s="1052"/>
      <c r="K14" s="969"/>
      <c r="L14" s="969"/>
      <c r="M14" s="969"/>
      <c r="N14" s="973"/>
      <c r="O14" s="969"/>
      <c r="P14" s="980"/>
      <c r="Q14" s="980"/>
      <c r="R14" s="980"/>
      <c r="S14" s="981"/>
      <c r="T14" s="980"/>
      <c r="U14" s="980"/>
      <c r="V14" s="980"/>
      <c r="W14" s="980"/>
      <c r="X14" s="980"/>
      <c r="Y14" s="980"/>
      <c r="Z14" s="1053"/>
      <c r="AA14" s="1055"/>
      <c r="AB14" s="953"/>
      <c r="AE14" s="917"/>
      <c r="AF14" s="917"/>
      <c r="AG14" s="917"/>
      <c r="AH14" s="917"/>
      <c r="AI14" s="917"/>
      <c r="AJ14" s="917"/>
      <c r="AK14" s="917"/>
      <c r="AL14" s="917"/>
      <c r="AM14" s="917"/>
      <c r="AN14" s="917"/>
      <c r="AO14" s="917"/>
      <c r="AP14" s="917"/>
      <c r="AR14" s="917"/>
      <c r="AS14" s="917"/>
    </row>
    <row r="15" spans="1:45" s="935" customFormat="1" ht="16.5" x14ac:dyDescent="0.3">
      <c r="A15" s="969"/>
      <c r="B15" s="969"/>
      <c r="C15" s="969"/>
      <c r="D15" s="969"/>
      <c r="E15" s="969"/>
      <c r="F15" s="928">
        <f>+F3+7</f>
        <v>42801</v>
      </c>
      <c r="G15" s="928"/>
      <c r="H15" s="929" t="s">
        <v>58</v>
      </c>
      <c r="I15" s="928">
        <f>+F15+6</f>
        <v>42807</v>
      </c>
      <c r="J15" s="930"/>
      <c r="K15" s="969"/>
      <c r="L15" s="969"/>
      <c r="M15" s="969"/>
      <c r="N15" s="973"/>
      <c r="O15" s="969"/>
      <c r="P15" s="980"/>
      <c r="Q15" s="980"/>
      <c r="R15" s="980"/>
      <c r="S15" s="981"/>
      <c r="T15" s="980"/>
      <c r="U15" s="980"/>
      <c r="V15" s="980"/>
      <c r="W15" s="980"/>
      <c r="X15" s="980"/>
      <c r="Y15" s="980"/>
      <c r="Z15" s="1053"/>
      <c r="AA15" s="1054"/>
      <c r="AB15" s="953"/>
      <c r="AD15" s="917"/>
      <c r="AE15" s="917"/>
      <c r="AF15" s="917"/>
      <c r="AG15" s="917"/>
      <c r="AH15" s="917"/>
      <c r="AI15" s="917"/>
      <c r="AJ15" s="917"/>
      <c r="AK15" s="917"/>
      <c r="AL15" s="917"/>
      <c r="AM15" s="917"/>
      <c r="AN15" s="917"/>
      <c r="AO15" s="917"/>
      <c r="AP15" s="917"/>
      <c r="AR15" s="917"/>
      <c r="AS15" s="917"/>
    </row>
    <row r="16" spans="1:45" ht="14.45" customHeight="1" x14ac:dyDescent="0.25">
      <c r="A16" s="994"/>
      <c r="B16" s="938" t="s">
        <v>17</v>
      </c>
      <c r="C16" s="938"/>
      <c r="D16" s="938" t="s">
        <v>18</v>
      </c>
      <c r="E16" s="938"/>
      <c r="F16" s="938" t="s">
        <v>17</v>
      </c>
      <c r="G16" s="938"/>
      <c r="H16" s="938" t="s">
        <v>18</v>
      </c>
      <c r="I16" s="938"/>
      <c r="J16" s="938" t="s">
        <v>17</v>
      </c>
      <c r="K16" s="938"/>
      <c r="L16" s="938" t="s">
        <v>18</v>
      </c>
      <c r="M16" s="938"/>
      <c r="N16" s="939" t="s">
        <v>61</v>
      </c>
      <c r="O16" s="939" t="s">
        <v>62</v>
      </c>
      <c r="P16" s="939" t="s">
        <v>60</v>
      </c>
      <c r="Q16" s="939" t="s">
        <v>63</v>
      </c>
      <c r="R16" s="939" t="s">
        <v>64</v>
      </c>
      <c r="S16" s="940" t="s">
        <v>223</v>
      </c>
      <c r="T16" s="939" t="s">
        <v>70</v>
      </c>
      <c r="U16" s="941" t="s">
        <v>65</v>
      </c>
      <c r="V16" s="942"/>
      <c r="W16" s="942"/>
      <c r="X16" s="942"/>
      <c r="Y16" s="943"/>
      <c r="Z16" s="944" t="s">
        <v>22</v>
      </c>
      <c r="AA16" s="944"/>
      <c r="AB16" s="953"/>
    </row>
    <row r="17" spans="1:45" ht="26.25" thickBot="1" x14ac:dyDescent="0.4">
      <c r="A17" s="937" t="str">
        <f>"S"&amp;WEEKNUM(F15,21)</f>
        <v>S10</v>
      </c>
      <c r="B17" s="949" t="s">
        <v>0</v>
      </c>
      <c r="C17" s="950" t="s">
        <v>1</v>
      </c>
      <c r="D17" s="949" t="s">
        <v>0</v>
      </c>
      <c r="E17" s="950" t="s">
        <v>1</v>
      </c>
      <c r="F17" s="949" t="s">
        <v>0</v>
      </c>
      <c r="G17" s="950" t="s">
        <v>1</v>
      </c>
      <c r="H17" s="949" t="s">
        <v>0</v>
      </c>
      <c r="I17" s="950" t="s">
        <v>1</v>
      </c>
      <c r="J17" s="949" t="s">
        <v>0</v>
      </c>
      <c r="K17" s="950" t="s">
        <v>1</v>
      </c>
      <c r="L17" s="949" t="s">
        <v>0</v>
      </c>
      <c r="M17" s="950" t="s">
        <v>1</v>
      </c>
      <c r="N17" s="951"/>
      <c r="O17" s="951"/>
      <c r="P17" s="951"/>
      <c r="Q17" s="951"/>
      <c r="R17" s="951"/>
      <c r="S17" s="951"/>
      <c r="T17" s="939"/>
      <c r="U17" s="952" t="s">
        <v>66</v>
      </c>
      <c r="V17" s="952" t="s">
        <v>67</v>
      </c>
      <c r="W17" s="952" t="s">
        <v>68</v>
      </c>
      <c r="X17" s="952" t="s">
        <v>137</v>
      </c>
      <c r="Y17" s="952" t="s">
        <v>69</v>
      </c>
      <c r="Z17" s="944"/>
      <c r="AA17" s="944"/>
      <c r="AB17" s="953"/>
      <c r="AM17" s="917" t="s">
        <v>274</v>
      </c>
    </row>
    <row r="18" spans="1:45" ht="16.5" x14ac:dyDescent="0.3">
      <c r="A18" s="955" t="s">
        <v>12</v>
      </c>
      <c r="B18" s="414" t="b">
        <f>IF(Paramétrage!$O$42="",FALSE,Paramétrage!$O$42)</f>
        <v>0</v>
      </c>
      <c r="C18" s="263"/>
      <c r="D18" s="415" t="b">
        <f>IF(Paramétrage!$Q$42="",FALSE,Paramétrage!$Q$42)</f>
        <v>0</v>
      </c>
      <c r="E18" s="264"/>
      <c r="F18" s="414" t="b">
        <f>IF(Paramétrage!$R$42="",FALSE,Paramétrage!$R$42)</f>
        <v>0</v>
      </c>
      <c r="G18" s="264"/>
      <c r="H18" s="416" t="b">
        <f>IF(Paramétrage!$T$42="",FALSE,Paramétrage!$T$42)</f>
        <v>0</v>
      </c>
      <c r="I18" s="263"/>
      <c r="J18" s="417" t="b">
        <f>IF(Paramétrage!$U$42="",FALSE,Paramétrage!$U$42)</f>
        <v>0</v>
      </c>
      <c r="K18" s="263"/>
      <c r="L18" s="418" t="b">
        <f>IF(Paramétrage!$W$42="",FALSE,Paramétrage!$W$42)</f>
        <v>0</v>
      </c>
      <c r="M18" s="263"/>
      <c r="N18" s="956">
        <f t="shared" ref="N18:N20" si="22">IF(OR(B18="aa",B18="cp",B18="f",B18="jc",B18="m",B18="css"),0,(L18-J18)+(H18-F18)+(D18-B18))</f>
        <v>0</v>
      </c>
      <c r="O18" s="956">
        <f t="shared" ref="O18:O20" si="23">SUM(AM18:AP18)+IF(OR(C18="m",C18="aa"),N18,IF(C18="css",0,IF(C18="cp",0,IF(C18="jc",0,IF(C18="f",0,E18-C18+I18-G18+M18-K18)))))</f>
        <v>0</v>
      </c>
      <c r="P18" s="956">
        <f t="shared" ref="P18:P24" si="24">IF(OR(C18="aa",C18="cp",C18="f",C18="jc",C18="m",C18="css"),0,IF(C18="",IF(OR(F18="",F18=FALSE),0,F18-D18),IF(G18="",0,G18-E18)))</f>
        <v>0</v>
      </c>
      <c r="Q18" s="956">
        <f t="shared" ref="Q18:Q24" si="25">IF(P18=0,0,IF(G18="",IF(OR(J18="",J18=FALSE),0,J18-H18),IF(K18="",0,K18-I18)))</f>
        <v>0</v>
      </c>
      <c r="R18" s="957">
        <f t="shared" ref="R18:R20" si="26">IF(OR(C18="aa",C18="cp",C18="f",C18="jc",C18="m",C18="css"),0,IF(C18=0,MAX(B18,D18,F18,H18,J18,L18)-MIN(B18,D18,F18,H18,J18,L18),IF(C18&lt;&gt;0,MAX(C18,E18,G18,I18,K18,M18)-MIN(C18,E18,G18,I18,K18,M18))))</f>
        <v>0</v>
      </c>
      <c r="S18" s="262"/>
      <c r="T18" s="958" t="str">
        <f t="shared" ref="T18:T19" si="27">IF(AND(B18=FALSE,C18=""),"",IF(AND(B18=0,C18=0),"",(IF(OR(C18="cp",C18="f",C18="jc",C18="css"),"",IF(OR(C18="",C18="aa",C18="m"),(IF(OR(B18="cp",B18="f",B18="jc",B18="css"),"",B18*24+24-MAX(D17,H17,L17)*24)),C18*24+24-MAX(M17,I17,E17)*24)))))</f>
        <v/>
      </c>
      <c r="U18" s="959" t="str">
        <f>IF(P18=0,"",IF(P18&lt;Paramétrage!$S$12,"PB",IF(AND(Q18&lt;Paramétrage!$S$12,Q18&lt;&gt;0),"PB","")))</f>
        <v/>
      </c>
      <c r="V18" s="959" t="str">
        <f t="shared" ref="V18:V24" si="28">IF(C18="",IF((N18*24)&gt;10,"PB",""),IF((O18*24)&gt;10,"PB",""))</f>
        <v/>
      </c>
      <c r="W18" s="959" t="str">
        <f t="shared" ref="W18:W24" si="29">IF((R18*24)&gt;12,"PB","")</f>
        <v/>
      </c>
      <c r="X18" s="960" t="str">
        <f t="shared" ref="X18:X20" si="30">IF(AND(N18=0,O18=0),"",(IF(OR(C18="aa",C18="cp",C18="f",C18="jc",C18="m",C18="css"),"",IF(C18="",IF(OR(D18-B18&gt;6/24,H18-F18&gt;6/24,L18-J18&gt;6/24),"PB",""),IF(OR(E18-C18&gt;6/24,I18-G18&gt;6/24,M18-K18&gt;6/24),"PB","")))))</f>
        <v/>
      </c>
      <c r="Y18" s="959" t="str">
        <f t="shared" ref="Y18:Y24" si="31">IF(T18="","",IF(T18&lt;11,"PB",""))</f>
        <v/>
      </c>
      <c r="Z18" s="836"/>
      <c r="AA18" s="837"/>
      <c r="AB18" s="953"/>
      <c r="AC18" s="934">
        <f>AC12+1</f>
        <v>42801</v>
      </c>
      <c r="AD18" s="961">
        <f>IF(AND(N(AC18)&gt;=Paramétrage!$AU$11,N(AC18)&lt;=Paramétrage!$AU$12),IF(C18="cp",1,0),0)</f>
        <v>0</v>
      </c>
      <c r="AE18" s="962">
        <f t="shared" ref="AE18:AE24" si="32">IF(O18&lt;&gt;"erreur",N18,O18)</f>
        <v>0</v>
      </c>
      <c r="AF18" s="961">
        <f>IF(AND(N(AC18)&gt;=Paramétrage!$AX$11,N(AC18)&lt;=Paramétrage!$AX$12),IF(C18="cp",1,0),0)</f>
        <v>0</v>
      </c>
      <c r="AG18" s="962">
        <f t="shared" ref="AG18:AG24" si="33">O18</f>
        <v>0</v>
      </c>
      <c r="AI18" s="962">
        <f>AE18+AI12</f>
        <v>0</v>
      </c>
      <c r="AJ18" s="962">
        <f>AG18+AJ12</f>
        <v>0</v>
      </c>
      <c r="AK18" s="968"/>
      <c r="AM18" s="962">
        <f>IF(AND($B18="cp",$C18="m"),$Z18,0)</f>
        <v>0</v>
      </c>
      <c r="AN18" s="962">
        <f>IF(AND($B18="jc",$C18="m"),$Z18,0)</f>
        <v>0</v>
      </c>
      <c r="AO18" s="962">
        <f>IF(AND($B18="cp",$C18="aa"),$Z18,0)</f>
        <v>0</v>
      </c>
      <c r="AP18" s="962">
        <f>IF(AND($B18="jc",$C18="aa"),$Z18,0)</f>
        <v>0</v>
      </c>
      <c r="AR18" s="917">
        <f>IF(AND(AC18&lt;=$AR$3,B18="CP"),1,0)</f>
        <v>0</v>
      </c>
      <c r="AS18" s="917">
        <f>IF(AND(AC18&lt;=$AR$3,C18="CP"),1,0)</f>
        <v>0</v>
      </c>
    </row>
    <row r="19" spans="1:45" ht="16.5" x14ac:dyDescent="0.3">
      <c r="A19" s="964" t="s">
        <v>13</v>
      </c>
      <c r="B19" s="414" t="b">
        <f>IF(Paramétrage!$O$43="",FALSE,Paramétrage!$O$43)</f>
        <v>0</v>
      </c>
      <c r="C19" s="263"/>
      <c r="D19" s="415" t="b">
        <f>IF(Paramétrage!$Q$43="",FALSE,Paramétrage!$Q$43)</f>
        <v>0</v>
      </c>
      <c r="E19" s="264"/>
      <c r="F19" s="414" t="b">
        <f>IF(Paramétrage!$R$43="",FALSE,Paramétrage!$R$43)</f>
        <v>0</v>
      </c>
      <c r="G19" s="264"/>
      <c r="H19" s="416" t="b">
        <f>IF(Paramétrage!$T$43="",FALSE,Paramétrage!$T$43)</f>
        <v>0</v>
      </c>
      <c r="I19" s="263"/>
      <c r="J19" s="417" t="b">
        <f>IF(Paramétrage!$U$43="",FALSE,Paramétrage!$U$43)</f>
        <v>0</v>
      </c>
      <c r="K19" s="263"/>
      <c r="L19" s="418" t="b">
        <f>IF(Paramétrage!$W$43="",FALSE,Paramétrage!$W$43)</f>
        <v>0</v>
      </c>
      <c r="M19" s="263"/>
      <c r="N19" s="956">
        <f t="shared" si="22"/>
        <v>0</v>
      </c>
      <c r="O19" s="956">
        <f t="shared" si="23"/>
        <v>0</v>
      </c>
      <c r="P19" s="956">
        <f t="shared" si="24"/>
        <v>0</v>
      </c>
      <c r="Q19" s="956">
        <f t="shared" si="25"/>
        <v>0</v>
      </c>
      <c r="R19" s="957">
        <f t="shared" si="26"/>
        <v>0</v>
      </c>
      <c r="S19" s="262"/>
      <c r="T19" s="958" t="str">
        <f t="shared" si="27"/>
        <v/>
      </c>
      <c r="U19" s="959" t="str">
        <f>IF(P19=0,"",IF(P19&lt;Paramétrage!$S$12,"PB",IF(AND(Q19&lt;Paramétrage!$S$12,Q19&lt;&gt;0),"PB","")))</f>
        <v/>
      </c>
      <c r="V19" s="959" t="str">
        <f t="shared" si="28"/>
        <v/>
      </c>
      <c r="W19" s="959" t="str">
        <f t="shared" si="29"/>
        <v/>
      </c>
      <c r="X19" s="960" t="str">
        <f t="shared" si="30"/>
        <v/>
      </c>
      <c r="Y19" s="959" t="str">
        <f t="shared" si="31"/>
        <v/>
      </c>
      <c r="Z19" s="836"/>
      <c r="AA19" s="837"/>
      <c r="AB19" s="953"/>
      <c r="AC19" s="934">
        <f t="shared" ref="AC19:AC24" si="34">AC18+1</f>
        <v>42802</v>
      </c>
      <c r="AD19" s="961">
        <f>IF(AND(N(AC19)&gt;=Paramétrage!$AU$11,N(AC19)&lt;=Paramétrage!$AU$12),IF(C19="cp",1,0),0)</f>
        <v>0</v>
      </c>
      <c r="AE19" s="962">
        <f t="shared" si="32"/>
        <v>0</v>
      </c>
      <c r="AF19" s="961">
        <f>IF(AND(N(AC19)&gt;=Paramétrage!$AX$11,N(AC19)&lt;=Paramétrage!$AX$12),IF(C19="cp",1,0),0)</f>
        <v>0</v>
      </c>
      <c r="AG19" s="962">
        <f t="shared" si="33"/>
        <v>0</v>
      </c>
      <c r="AI19" s="962">
        <f t="shared" ref="AI19:AI24" si="35">AE19+AI18</f>
        <v>0</v>
      </c>
      <c r="AJ19" s="962">
        <f t="shared" ref="AJ19:AJ24" si="36">AG19+AJ18</f>
        <v>0</v>
      </c>
      <c r="AM19" s="962">
        <f t="shared" ref="AM19:AM22" si="37">IF(AND($B19="cp",$C19="m"),$Z19,0)</f>
        <v>0</v>
      </c>
      <c r="AN19" s="962">
        <f t="shared" ref="AN19:AN22" si="38">IF(AND($B19="jc",$C19="m"),$Z19,0)</f>
        <v>0</v>
      </c>
      <c r="AO19" s="962">
        <f t="shared" ref="AO19:AO22" si="39">IF(AND($B19="cp",$C19="aa"),$Z19,0)</f>
        <v>0</v>
      </c>
      <c r="AP19" s="962">
        <f t="shared" ref="AP19:AP22" si="40">IF(AND($B19="jc",$C19="aa"),$Z19,0)</f>
        <v>0</v>
      </c>
      <c r="AR19" s="917">
        <f>IF(AND(AC19&lt;=$AR$3,B19="CP"),1,0)</f>
        <v>0</v>
      </c>
      <c r="AS19" s="917">
        <f>IF(AND(AC19&lt;=$AR$3,C19="CP"),1,0)</f>
        <v>0</v>
      </c>
    </row>
    <row r="20" spans="1:45" ht="16.5" x14ac:dyDescent="0.3">
      <c r="A20" s="964" t="s">
        <v>14</v>
      </c>
      <c r="B20" s="414" t="b">
        <f>IF(Paramétrage!$O$44="",FALSE,Paramétrage!$O$44)</f>
        <v>0</v>
      </c>
      <c r="C20" s="263"/>
      <c r="D20" s="415" t="b">
        <f>IF(Paramétrage!$Q$44="",FALSE,Paramétrage!$Q$44)</f>
        <v>0</v>
      </c>
      <c r="E20" s="264"/>
      <c r="F20" s="414" t="b">
        <f>IF(Paramétrage!$R$44="",FALSE,Paramétrage!$R$44)</f>
        <v>0</v>
      </c>
      <c r="G20" s="264"/>
      <c r="H20" s="416" t="b">
        <f>IF(Paramétrage!$T$44="",FALSE,Paramétrage!$T$44)</f>
        <v>0</v>
      </c>
      <c r="I20" s="263"/>
      <c r="J20" s="417" t="b">
        <f>IF(Paramétrage!$U$44="",FALSE,Paramétrage!$U$44)</f>
        <v>0</v>
      </c>
      <c r="K20" s="263"/>
      <c r="L20" s="418" t="b">
        <f>IF(Paramétrage!$W$44="",FALSE,Paramétrage!$W$44)</f>
        <v>0</v>
      </c>
      <c r="M20" s="263"/>
      <c r="N20" s="956">
        <f t="shared" si="22"/>
        <v>0</v>
      </c>
      <c r="O20" s="956">
        <f t="shared" si="23"/>
        <v>0</v>
      </c>
      <c r="P20" s="956">
        <f t="shared" si="24"/>
        <v>0</v>
      </c>
      <c r="Q20" s="956">
        <f t="shared" si="25"/>
        <v>0</v>
      </c>
      <c r="R20" s="957">
        <f t="shared" si="26"/>
        <v>0</v>
      </c>
      <c r="S20" s="262"/>
      <c r="T20" s="958" t="str">
        <f>IF(AND(B20=FALSE,C20=""),"",IF(AND(B20=0,C20=0),"",(IF(OR(C20="cp",C20="f",C20="jc",C20="css"),"",IF(OR(C20="",C20="aa",C20="m"),(IF(OR(B20="cp",B20="f",B20="jc",B20="css"),"",B20*24+24-MAX(D19,H19,L19)*24)),C20*24+24-MAX(M19,I19,E19)*24)))))</f>
        <v/>
      </c>
      <c r="U20" s="959" t="str">
        <f>IF(P20=0,"",IF(P20&lt;Paramétrage!$S$12,"PB",IF(AND(Q20&lt;Paramétrage!$S$12,Q20&lt;&gt;0),"PB","")))</f>
        <v/>
      </c>
      <c r="V20" s="959" t="str">
        <f t="shared" si="28"/>
        <v/>
      </c>
      <c r="W20" s="959" t="str">
        <f t="shared" si="29"/>
        <v/>
      </c>
      <c r="X20" s="960" t="str">
        <f t="shared" si="30"/>
        <v/>
      </c>
      <c r="Y20" s="959" t="str">
        <f t="shared" si="31"/>
        <v/>
      </c>
      <c r="Z20" s="838"/>
      <c r="AA20" s="837"/>
      <c r="AB20" s="953"/>
      <c r="AC20" s="934">
        <f t="shared" si="34"/>
        <v>42803</v>
      </c>
      <c r="AD20" s="961">
        <f>IF(AND(N(AC20)&gt;=Paramétrage!$AU$11,N(AC20)&lt;=Paramétrage!$AU$12),IF(C20="cp",1,0),0)</f>
        <v>0</v>
      </c>
      <c r="AE20" s="962">
        <f t="shared" si="32"/>
        <v>0</v>
      </c>
      <c r="AF20" s="961">
        <f>IF(AND(N(AC20)&gt;=Paramétrage!$AX$11,N(AC20)&lt;=Paramétrage!$AX$12),IF(C20="cp",1,0),0)</f>
        <v>0</v>
      </c>
      <c r="AG20" s="962">
        <f t="shared" si="33"/>
        <v>0</v>
      </c>
      <c r="AI20" s="962">
        <f t="shared" si="35"/>
        <v>0</v>
      </c>
      <c r="AJ20" s="962">
        <f t="shared" si="36"/>
        <v>0</v>
      </c>
      <c r="AM20" s="962">
        <f t="shared" si="37"/>
        <v>0</v>
      </c>
      <c r="AN20" s="962">
        <f t="shared" si="38"/>
        <v>0</v>
      </c>
      <c r="AO20" s="962">
        <f t="shared" si="39"/>
        <v>0</v>
      </c>
      <c r="AP20" s="962">
        <f t="shared" si="40"/>
        <v>0</v>
      </c>
      <c r="AR20" s="917">
        <f>IF(AND(AC20&lt;=$AR$3,B20="CP"),1,0)</f>
        <v>0</v>
      </c>
      <c r="AS20" s="917">
        <f>IF(AND(AC20&lt;=$AR$3,C20="CP"),1,0)</f>
        <v>0</v>
      </c>
    </row>
    <row r="21" spans="1:45" ht="16.5" x14ac:dyDescent="0.3">
      <c r="A21" s="964" t="s">
        <v>15</v>
      </c>
      <c r="B21" s="414" t="b">
        <f>IF(Paramétrage!$O$45="",FALSE,Paramétrage!$O$45)</f>
        <v>0</v>
      </c>
      <c r="C21" s="263"/>
      <c r="D21" s="415" t="b">
        <f>IF(Paramétrage!$Q$45="",FALSE,Paramétrage!$Q$45)</f>
        <v>0</v>
      </c>
      <c r="E21" s="264"/>
      <c r="F21" s="414" t="b">
        <f>IF(Paramétrage!$R$45="",FALSE,Paramétrage!$R$45)</f>
        <v>0</v>
      </c>
      <c r="G21" s="264"/>
      <c r="H21" s="416" t="b">
        <f>IF(Paramétrage!$T$45="",FALSE,Paramétrage!$T$45)</f>
        <v>0</v>
      </c>
      <c r="I21" s="263"/>
      <c r="J21" s="417" t="b">
        <f>IF(Paramétrage!$U$45="",FALSE,Paramétrage!$U$45)</f>
        <v>0</v>
      </c>
      <c r="K21" s="263"/>
      <c r="L21" s="418" t="b">
        <f>IF(Paramétrage!$W$45="",FALSE,Paramétrage!$W$45)</f>
        <v>0</v>
      </c>
      <c r="M21" s="263"/>
      <c r="N21" s="956">
        <f>IF(OR(B21="aa",B21="cp",B21="f",B21="jc",B21="m",B21="css"),0,(L21-J21)+(H21-F21)+(D21-B21))</f>
        <v>0</v>
      </c>
      <c r="O21" s="956">
        <f>SUM(AM21:AP21)+IF(OR(C21="m",C21="aa"),N21,IF(C21="css",0,IF(C21="cp",0,IF(C21="jc",0,IF(C21="f",0,E21-C21+I21-G21+M21-K21)))))</f>
        <v>0</v>
      </c>
      <c r="P21" s="956">
        <f t="shared" si="24"/>
        <v>0</v>
      </c>
      <c r="Q21" s="956">
        <f t="shared" si="25"/>
        <v>0</v>
      </c>
      <c r="R21" s="957">
        <f>IF(OR(C21="aa",C21="cp",C21="f",C21="jc",C21="m",C21="css"),0,IF(C21=0,MAX(B21,D21,F21,H21,J21,L21)-MIN(B21,D21,F21,H21,J21,L21),IF(C21&lt;&gt;0,MAX(C21,E21,G21,I21,K21,M21)-MIN(C21,E21,G21,I21,K21,M21))))</f>
        <v>0</v>
      </c>
      <c r="S21" s="262"/>
      <c r="T21" s="958" t="str">
        <f t="shared" ref="T21:T24" si="41">IF(AND(B21=FALSE,C21=""),"",IF(AND(B21=0,C21=0),"",(IF(OR(C21="cp",C21="f",C21="jc",C21="css"),"",IF(OR(C21="",C21="aa",C21="m"),(IF(OR(B21="cp",B21="f",B21="jc",B21="css"),"",B21*24+24-MAX(D20,H20,L20)*24)),C21*24+24-MAX(M20,I20,E20)*24)))))</f>
        <v/>
      </c>
      <c r="U21" s="959" t="str">
        <f>IF(P21=0,"",IF(P21&lt;Paramétrage!$S$12,"PB",IF(AND(Q21&lt;Paramétrage!$S$12,Q21&lt;&gt;0),"PB","")))</f>
        <v/>
      </c>
      <c r="V21" s="959" t="str">
        <f t="shared" si="28"/>
        <v/>
      </c>
      <c r="W21" s="959" t="str">
        <f t="shared" si="29"/>
        <v/>
      </c>
      <c r="X21" s="960" t="str">
        <f>IF(AND(N21=0,O21=0),"",(IF(OR(C21="aa",C21="cp",C21="f",C21="jc",C21="m",C21="css"),"",IF(C21="",IF(OR(D21-B21&gt;6/24,H21-F21&gt;6/24,L21-J21&gt;6/24),"PB",""),IF(OR(E21-C21&gt;6/24,I21-G21&gt;6/24,M21-K21&gt;6/24),"PB","")))))</f>
        <v/>
      </c>
      <c r="Y21" s="959" t="str">
        <f t="shared" si="31"/>
        <v/>
      </c>
      <c r="Z21" s="836"/>
      <c r="AA21" s="837"/>
      <c r="AB21" s="953"/>
      <c r="AC21" s="934">
        <f t="shared" si="34"/>
        <v>42804</v>
      </c>
      <c r="AD21" s="961">
        <f>IF(AND(N(AC21)&gt;=Paramétrage!$AU$11,N(AC21)&lt;=Paramétrage!$AU$12),IF(C21="cp",1,0),0)</f>
        <v>0</v>
      </c>
      <c r="AE21" s="962">
        <f t="shared" si="32"/>
        <v>0</v>
      </c>
      <c r="AF21" s="961">
        <f>IF(AND(N(AC21)&gt;=Paramétrage!$AX$11,N(AC21)&lt;=Paramétrage!$AX$12),IF(C21="cp",1,0),0)</f>
        <v>0</v>
      </c>
      <c r="AG21" s="962">
        <f t="shared" si="33"/>
        <v>0</v>
      </c>
      <c r="AI21" s="962">
        <f t="shared" si="35"/>
        <v>0</v>
      </c>
      <c r="AJ21" s="962">
        <f t="shared" si="36"/>
        <v>0</v>
      </c>
      <c r="AM21" s="962">
        <f t="shared" si="37"/>
        <v>0</v>
      </c>
      <c r="AN21" s="962">
        <f t="shared" si="38"/>
        <v>0</v>
      </c>
      <c r="AO21" s="962">
        <f t="shared" si="39"/>
        <v>0</v>
      </c>
      <c r="AP21" s="962">
        <f t="shared" si="40"/>
        <v>0</v>
      </c>
      <c r="AR21" s="917">
        <f>IF(AND(AC21&lt;=$AR$3,B21="CP"),1,0)</f>
        <v>0</v>
      </c>
      <c r="AS21" s="917">
        <f>IF(AND(AC21&lt;=$AR$3,C21="CP"),1,0)</f>
        <v>0</v>
      </c>
    </row>
    <row r="22" spans="1:45" ht="16.5" x14ac:dyDescent="0.3">
      <c r="A22" s="964" t="s">
        <v>16</v>
      </c>
      <c r="B22" s="414" t="b">
        <f>IF(Paramétrage!$O$46="",FALSE,Paramétrage!$O$46)</f>
        <v>0</v>
      </c>
      <c r="C22" s="263"/>
      <c r="D22" s="415" t="b">
        <f>IF(Paramétrage!$Q$46="",FALSE,Paramétrage!$Q$46)</f>
        <v>0</v>
      </c>
      <c r="E22" s="264"/>
      <c r="F22" s="414" t="b">
        <f>IF(Paramétrage!$R$46="",FALSE,Paramétrage!$R$46)</f>
        <v>0</v>
      </c>
      <c r="G22" s="264"/>
      <c r="H22" s="416" t="b">
        <f>IF(Paramétrage!$T$46="",FALSE,Paramétrage!$T$46)</f>
        <v>0</v>
      </c>
      <c r="I22" s="263"/>
      <c r="J22" s="417" t="b">
        <f>IF(Paramétrage!$U$46="",FALSE,Paramétrage!$U$46)</f>
        <v>0</v>
      </c>
      <c r="K22" s="263"/>
      <c r="L22" s="418" t="b">
        <f>IF(Paramétrage!$W$46="",FALSE,Paramétrage!$W$46)</f>
        <v>0</v>
      </c>
      <c r="M22" s="263"/>
      <c r="N22" s="956">
        <f>IF(OR(B22="aa",B22="cp",B22="f",B22="jc",B22="m",B22="css"),0,(L22-J22)+(H22-F22)+(D22-B22))</f>
        <v>0</v>
      </c>
      <c r="O22" s="956">
        <f>SUM(AM22:AP22)+IF(OR(C22="m",C22="aa"),N22,IF(C22="css",0,IF(C22="cp",0,IF(C22="jc",0,IF(C22="f",0,E22-C22+I22-G22+M22-K22)))))</f>
        <v>0</v>
      </c>
      <c r="P22" s="956">
        <f t="shared" si="24"/>
        <v>0</v>
      </c>
      <c r="Q22" s="956">
        <f t="shared" si="25"/>
        <v>0</v>
      </c>
      <c r="R22" s="957">
        <f>IF(OR(C22="aa",C22="cp",C22="f",C22="jc",C22="m",C22="css"),0,IF(C22=0,MAX(B22,D22,F22,H22,J22,L22)-MIN(B22,D22,F22,H22,J22,L22),IF(C22&lt;&gt;0,MAX(C22,E22,G22,I22,K22,M22)-MIN(C22,E22,G22,I22,K22,M22))))</f>
        <v>0</v>
      </c>
      <c r="S22" s="262"/>
      <c r="T22" s="958" t="str">
        <f t="shared" si="41"/>
        <v/>
      </c>
      <c r="U22" s="959" t="str">
        <f>IF(P22=0,"",IF(P22&lt;Paramétrage!$S$12,"PB",IF(AND(Q22&lt;Paramétrage!$S$12,Q22&lt;&gt;0),"PB","")))</f>
        <v/>
      </c>
      <c r="V22" s="959" t="str">
        <f t="shared" si="28"/>
        <v/>
      </c>
      <c r="W22" s="959" t="str">
        <f t="shared" si="29"/>
        <v/>
      </c>
      <c r="X22" s="960" t="str">
        <f>IF(AND(N22=0,O22=0),"",(IF(OR(C22="aa",C22="cp",C22="f",C22="jc",C22="m",C22="css"),"",IF(C22="",IF(OR(D22-B22&gt;6/24,H22-F22&gt;6/24,L22-J22&gt;6/24),"PB",""),IF(OR(E22-C22&gt;6/24,I22-G22&gt;6/24,M22-K22&gt;6/24),"PB","")))))</f>
        <v/>
      </c>
      <c r="Y22" s="959" t="str">
        <f t="shared" si="31"/>
        <v/>
      </c>
      <c r="Z22" s="836"/>
      <c r="AA22" s="837"/>
      <c r="AB22" s="953"/>
      <c r="AC22" s="934">
        <f t="shared" si="34"/>
        <v>42805</v>
      </c>
      <c r="AD22" s="961">
        <f>IF(AND(N(AC22)&gt;=Paramétrage!$AU$11,N(AC22)&lt;=Paramétrage!$AU$12),IF(C22="cp",1,0),0)</f>
        <v>0</v>
      </c>
      <c r="AE22" s="962">
        <f t="shared" si="32"/>
        <v>0</v>
      </c>
      <c r="AF22" s="961">
        <f>IF(AND(N(AC22)&gt;=Paramétrage!$AX$11,N(AC22)&lt;=Paramétrage!$AX$12),IF(C22="cp",1,0),0)</f>
        <v>0</v>
      </c>
      <c r="AG22" s="962">
        <f t="shared" si="33"/>
        <v>0</v>
      </c>
      <c r="AI22" s="962">
        <f t="shared" si="35"/>
        <v>0</v>
      </c>
      <c r="AJ22" s="962">
        <f t="shared" si="36"/>
        <v>0</v>
      </c>
      <c r="AM22" s="962">
        <f t="shared" si="37"/>
        <v>0</v>
      </c>
      <c r="AN22" s="962">
        <f t="shared" si="38"/>
        <v>0</v>
      </c>
      <c r="AO22" s="962">
        <f t="shared" si="39"/>
        <v>0</v>
      </c>
      <c r="AP22" s="962">
        <f t="shared" si="40"/>
        <v>0</v>
      </c>
      <c r="AR22" s="917">
        <f>IF(AND(AC22&lt;=$AR$3,B22="CP"),1,0)</f>
        <v>0</v>
      </c>
      <c r="AS22" s="917">
        <f>IF(AND(AC22&lt;=$AR$3,C22="CP"),1,0)</f>
        <v>0</v>
      </c>
    </row>
    <row r="23" spans="1:45" ht="16.5" x14ac:dyDescent="0.3">
      <c r="A23" s="964" t="s">
        <v>19</v>
      </c>
      <c r="B23" s="414" t="b">
        <f>IF(Paramétrage!$O$47="",FALSE,Paramétrage!$O$47)</f>
        <v>0</v>
      </c>
      <c r="C23" s="263"/>
      <c r="D23" s="415" t="b">
        <f>IF(Paramétrage!$Q$47="",FALSE,Paramétrage!$Q$47)</f>
        <v>0</v>
      </c>
      <c r="E23" s="264"/>
      <c r="F23" s="414" t="b">
        <f>IF(Paramétrage!$R$47="",FALSE,Paramétrage!$R$47)</f>
        <v>0</v>
      </c>
      <c r="G23" s="264"/>
      <c r="H23" s="416" t="b">
        <f>IF(Paramétrage!$T$47="",FALSE,Paramétrage!$T$47)</f>
        <v>0</v>
      </c>
      <c r="I23" s="263"/>
      <c r="J23" s="417" t="b">
        <f>IF(Paramétrage!$U$47="",FALSE,Paramétrage!$U$47)</f>
        <v>0</v>
      </c>
      <c r="K23" s="263"/>
      <c r="L23" s="418" t="b">
        <f>IF(Paramétrage!$W$47="",FALSE,Paramétrage!$W$47)</f>
        <v>0</v>
      </c>
      <c r="M23" s="263"/>
      <c r="N23" s="956">
        <f>IF(OR(B23="aa",B23="cp",B23="f",B23="jc",B23="m",B23="css"),0,(L23-J23)+(H23-F23)+(D23-B23))</f>
        <v>0</v>
      </c>
      <c r="O23" s="956">
        <f>IF(OR(C23="m",C23="aa"),N23,IF(C23="cp",0,IF(OR(C23="css",C23="jc"),0,IF(C23="f",0,E23-C23+I23-G23+M23-K23))))</f>
        <v>0</v>
      </c>
      <c r="P23" s="956">
        <f t="shared" si="24"/>
        <v>0</v>
      </c>
      <c r="Q23" s="956">
        <f t="shared" si="25"/>
        <v>0</v>
      </c>
      <c r="R23" s="957">
        <f>IF(OR(C23="aa",C23="cp",C23="f",C23="jc",C23="m",C23="css"),0,IF(C23=0,MAX(B23,D23,F23,H23,J23,L23)-MIN(B23,D23,F23,H23,J23,L23),IF(C23&lt;&gt;0,MAX(C23,E23,G23,I23,K23,M23)-MIN(C23,E23,G23,I23,K23,M23))))</f>
        <v>0</v>
      </c>
      <c r="S23" s="262"/>
      <c r="T23" s="958" t="str">
        <f t="shared" si="41"/>
        <v/>
      </c>
      <c r="U23" s="959" t="str">
        <f>IF(P23=0,"",IF(P23&lt;Paramétrage!$S$12,"PB",IF(AND(Q23&lt;Paramétrage!$S$12,Q23&lt;&gt;0),"PB","")))</f>
        <v/>
      </c>
      <c r="V23" s="959" t="str">
        <f t="shared" si="28"/>
        <v/>
      </c>
      <c r="W23" s="959" t="str">
        <f t="shared" si="29"/>
        <v/>
      </c>
      <c r="X23" s="960" t="str">
        <f>IF(AND(N23=0,O23=0),"",(IF(OR(C23="aa",C23="cp",C23="f",C23="jc",C23="m",C23="css"),"",IF(C23="",IF(OR(D23-B23&gt;6/24,H23-F23&gt;6/24,L23-J23&gt;6/24),"PB",""),IF(OR(E23-C23&gt;6/24,I23-G23&gt;6/24,M23-K23&gt;6/24),"PB","")))))</f>
        <v/>
      </c>
      <c r="Y23" s="959" t="str">
        <f t="shared" si="31"/>
        <v/>
      </c>
      <c r="Z23" s="836"/>
      <c r="AA23" s="837"/>
      <c r="AB23" s="953"/>
      <c r="AC23" s="934">
        <f t="shared" si="34"/>
        <v>42806</v>
      </c>
      <c r="AD23" s="961">
        <f>IF(AND(N(AC23)&gt;=Paramétrage!$AU$11,N(AC23)&lt;=Paramétrage!$AU$12),IF(C23="cp",1,0),0)</f>
        <v>0</v>
      </c>
      <c r="AE23" s="962">
        <f t="shared" si="32"/>
        <v>0</v>
      </c>
      <c r="AF23" s="961">
        <f>IF(AND(N(AC23)&gt;=Paramétrage!$AX$11,N(AC23)&lt;=Paramétrage!$AX$12),IF(C23="cp",1,0),0)</f>
        <v>0</v>
      </c>
      <c r="AG23" s="962">
        <f t="shared" si="33"/>
        <v>0</v>
      </c>
      <c r="AI23" s="962">
        <f t="shared" si="35"/>
        <v>0</v>
      </c>
      <c r="AJ23" s="962">
        <f t="shared" si="36"/>
        <v>0</v>
      </c>
      <c r="AM23" s="962"/>
      <c r="AN23" s="962"/>
      <c r="AO23" s="962"/>
      <c r="AP23" s="962"/>
    </row>
    <row r="24" spans="1:45" ht="17.25" thickBot="1" x14ac:dyDescent="0.35">
      <c r="A24" s="966" t="s">
        <v>20</v>
      </c>
      <c r="B24" s="414" t="b">
        <f>IF(Paramétrage!$O$48="",FALSE,Paramétrage!$O$48)</f>
        <v>0</v>
      </c>
      <c r="C24" s="263"/>
      <c r="D24" s="415" t="b">
        <f>IF(Paramétrage!$Q$48="",FALSE,Paramétrage!$Q$48)</f>
        <v>0</v>
      </c>
      <c r="E24" s="264"/>
      <c r="F24" s="414" t="b">
        <f>IF(Paramétrage!$R$48="",FALSE,Paramétrage!$R$48)</f>
        <v>0</v>
      </c>
      <c r="G24" s="264"/>
      <c r="H24" s="416" t="b">
        <f>IF(Paramétrage!$T$48="",FALSE,Paramétrage!$T$48)</f>
        <v>0</v>
      </c>
      <c r="I24" s="263"/>
      <c r="J24" s="417" t="b">
        <f>IF(Paramétrage!$U$48="",FALSE,Paramétrage!$U$48)</f>
        <v>0</v>
      </c>
      <c r="K24" s="263"/>
      <c r="L24" s="418" t="b">
        <f>IF(Paramétrage!$W$48="",FALSE,Paramétrage!$W$48)</f>
        <v>0</v>
      </c>
      <c r="M24" s="263"/>
      <c r="N24" s="956">
        <f>IF(OR(B24="aa",B24="m"),M24,IF(B24="cp",0,IF(B24="jc",0,IF(B24="f",0,(D24-B24)*Paramétrage!$S$13+(H24-F24)*Paramétrage!$S$13+(L24-J24)*Paramétrage!$S$13+(D24-B24+H24-F24+L24-J24)))))</f>
        <v>0</v>
      </c>
      <c r="O24" s="956">
        <f>IF(OR(C24="aa",C24="m"),N24,IF(C24="cp",0,IF(C24="jc",0,IF(C24="f",0,(E24-C24)*Paramétrage!$S$13+(I24-G24)*Paramétrage!$S$13+(M24-K24)*Paramétrage!$S$13+(E24-C24+I24-G24+M24-K24)))))</f>
        <v>0</v>
      </c>
      <c r="P24" s="956">
        <f t="shared" si="24"/>
        <v>0</v>
      </c>
      <c r="Q24" s="956">
        <f t="shared" si="25"/>
        <v>0</v>
      </c>
      <c r="R24" s="957">
        <f t="shared" ref="R24" si="42">IF(OR(C24="aa",C24="cp",C24="f",C24="jc",C24="m",C24=0),MAX(B24,D24,F24,H24,J24,L24)-MIN(B24,D24,F24,H24,J24,L24),IF(C24&lt;&gt;0,MAX(C24,E24,G24,I24,K24,M24)-MIN(C24,E24,G24,I24,K24,M24)))</f>
        <v>0</v>
      </c>
      <c r="S24" s="262"/>
      <c r="T24" s="958" t="str">
        <f t="shared" si="41"/>
        <v/>
      </c>
      <c r="U24" s="959" t="str">
        <f>IF(P24=0,"",IF(P24&lt;Paramétrage!$S$12,"PB",IF(AND(Q24&lt;Paramétrage!$S$12,Q24&lt;&gt;0),"PB","")))</f>
        <v/>
      </c>
      <c r="V24" s="959" t="str">
        <f t="shared" si="28"/>
        <v/>
      </c>
      <c r="W24" s="959" t="str">
        <f t="shared" si="29"/>
        <v/>
      </c>
      <c r="X24" s="960" t="str">
        <f t="shared" ref="X24" si="43">IF(AND(N24=0,O24=0),"",(IF(OR(C24="aa",C24="cp",C24="f",C24="jc",C24="m"),"",IF(C24="",IF(OR(D24-B24&gt;6/24,H24-F24&gt;6/24,L24-J24&gt;6/24),"PB",""),IF(OR(E24-C24&gt;6/24,I24-G24&gt;6/24,M24-K24&gt;6/24),"PB","")))))</f>
        <v/>
      </c>
      <c r="Y24" s="959" t="str">
        <f t="shared" si="31"/>
        <v/>
      </c>
      <c r="Z24" s="836"/>
      <c r="AA24" s="837"/>
      <c r="AC24" s="934">
        <f t="shared" si="34"/>
        <v>42807</v>
      </c>
      <c r="AD24" s="961">
        <f>IF(AND(N(AC24)&gt;=Paramétrage!$AU$11,N(AC24)&lt;=Paramétrage!$AU$12),IF(C24="cp",1,0),0)</f>
        <v>0</v>
      </c>
      <c r="AE24" s="962">
        <f t="shared" si="32"/>
        <v>0</v>
      </c>
      <c r="AF24" s="961">
        <f>IF(AND(N(AC24)&gt;=Paramétrage!$AX$11,N(AC24)&lt;=Paramétrage!$AX$12),IF(C24="cp",1,0),0)</f>
        <v>0</v>
      </c>
      <c r="AG24" s="962">
        <f t="shared" si="33"/>
        <v>0</v>
      </c>
      <c r="AI24" s="962">
        <f t="shared" si="35"/>
        <v>0</v>
      </c>
      <c r="AJ24" s="962">
        <f t="shared" si="36"/>
        <v>0</v>
      </c>
      <c r="AM24" s="962"/>
      <c r="AN24" s="962"/>
      <c r="AO24" s="962"/>
      <c r="AP24" s="962"/>
    </row>
    <row r="25" spans="1:45" s="935" customFormat="1" x14ac:dyDescent="0.25">
      <c r="A25" s="969" t="s">
        <v>33</v>
      </c>
      <c r="B25" s="970"/>
      <c r="C25" s="970"/>
      <c r="D25" s="970"/>
      <c r="E25" s="970"/>
      <c r="F25" s="970"/>
      <c r="G25" s="970"/>
      <c r="H25" s="970"/>
      <c r="I25" s="970"/>
      <c r="J25" s="970"/>
      <c r="K25" s="971"/>
      <c r="L25" s="970"/>
      <c r="M25" s="970"/>
      <c r="N25" s="972">
        <f>SUM(N18:N24)</f>
        <v>0</v>
      </c>
      <c r="O25" s="972">
        <f>SUM(O18:O24)</f>
        <v>0</v>
      </c>
      <c r="P25" s="972">
        <f>SUM(P18:P24)</f>
        <v>0</v>
      </c>
      <c r="Q25" s="972">
        <f>SUM(Q18:Q24)</f>
        <v>0</v>
      </c>
      <c r="R25" s="972"/>
      <c r="S25" s="972"/>
      <c r="T25" s="973"/>
      <c r="U25" s="974"/>
      <c r="V25" s="975" t="str">
        <f>IF((O25*24)&gt;48,"PB","")</f>
        <v/>
      </c>
      <c r="W25" s="974"/>
      <c r="X25" s="974"/>
      <c r="Y25" s="974"/>
      <c r="Z25" s="1053" t="s">
        <v>59</v>
      </c>
      <c r="AA25" s="1055">
        <f>+O25-N25</f>
        <v>0</v>
      </c>
      <c r="AB25" s="967"/>
      <c r="AC25" s="934"/>
      <c r="AE25" s="917"/>
      <c r="AF25" s="917"/>
      <c r="AG25" s="917"/>
      <c r="AH25" s="917"/>
      <c r="AI25" s="917"/>
      <c r="AJ25" s="917"/>
      <c r="AK25" s="917"/>
      <c r="AL25" s="917"/>
      <c r="AM25" s="917"/>
      <c r="AN25" s="917"/>
      <c r="AO25" s="917"/>
      <c r="AP25" s="917"/>
      <c r="AR25" s="917"/>
      <c r="AS25" s="917"/>
    </row>
    <row r="26" spans="1:45" s="935" customFormat="1" x14ac:dyDescent="0.25">
      <c r="A26" s="969"/>
      <c r="B26" s="969"/>
      <c r="C26" s="969"/>
      <c r="D26" s="969"/>
      <c r="E26" s="969"/>
      <c r="F26" s="1052"/>
      <c r="G26" s="1052"/>
      <c r="H26" s="1052"/>
      <c r="I26" s="1052"/>
      <c r="J26" s="1052"/>
      <c r="K26" s="969"/>
      <c r="L26" s="969"/>
      <c r="M26" s="969"/>
      <c r="N26" s="973"/>
      <c r="O26" s="969"/>
      <c r="P26" s="980"/>
      <c r="Q26" s="980"/>
      <c r="R26" s="980"/>
      <c r="S26" s="981"/>
      <c r="T26" s="980"/>
      <c r="U26" s="980"/>
      <c r="V26" s="980"/>
      <c r="W26" s="980"/>
      <c r="X26" s="980"/>
      <c r="Y26" s="980"/>
      <c r="Z26" s="1053"/>
      <c r="AA26" s="1055"/>
      <c r="AB26" s="917"/>
      <c r="AC26" s="934"/>
      <c r="AE26" s="917"/>
      <c r="AF26" s="917"/>
      <c r="AG26" s="917"/>
      <c r="AH26" s="917"/>
      <c r="AI26" s="917"/>
      <c r="AJ26" s="917"/>
      <c r="AK26" s="917"/>
      <c r="AL26" s="917"/>
      <c r="AM26" s="917"/>
      <c r="AN26" s="917"/>
      <c r="AO26" s="917"/>
      <c r="AP26" s="917"/>
      <c r="AR26" s="917"/>
      <c r="AS26" s="917"/>
    </row>
    <row r="27" spans="1:45" s="935" customFormat="1" ht="16.5" x14ac:dyDescent="0.3">
      <c r="A27" s="969"/>
      <c r="B27" s="969"/>
      <c r="C27" s="969"/>
      <c r="D27" s="969"/>
      <c r="E27" s="969"/>
      <c r="F27" s="928">
        <f>+F15+7</f>
        <v>42808</v>
      </c>
      <c r="G27" s="928"/>
      <c r="H27" s="929" t="s">
        <v>58</v>
      </c>
      <c r="I27" s="928">
        <f>+F27+6</f>
        <v>42814</v>
      </c>
      <c r="J27" s="930"/>
      <c r="K27" s="969"/>
      <c r="L27" s="969"/>
      <c r="M27" s="969"/>
      <c r="N27" s="973"/>
      <c r="O27" s="969"/>
      <c r="P27" s="980"/>
      <c r="Q27" s="980"/>
      <c r="R27" s="980"/>
      <c r="S27" s="981"/>
      <c r="T27" s="980"/>
      <c r="U27" s="980"/>
      <c r="V27" s="980"/>
      <c r="W27" s="980"/>
      <c r="X27" s="980"/>
      <c r="Y27" s="980"/>
      <c r="Z27" s="1053"/>
      <c r="AA27" s="1054"/>
      <c r="AB27" s="917"/>
      <c r="AC27" s="934"/>
      <c r="AE27" s="917"/>
      <c r="AF27" s="917"/>
      <c r="AG27" s="917"/>
      <c r="AH27" s="917"/>
      <c r="AI27" s="917"/>
      <c r="AJ27" s="917"/>
      <c r="AK27" s="917"/>
      <c r="AL27" s="917"/>
      <c r="AM27" s="917"/>
      <c r="AN27" s="917"/>
      <c r="AO27" s="917"/>
      <c r="AP27" s="917"/>
      <c r="AR27" s="917"/>
      <c r="AS27" s="917"/>
    </row>
    <row r="28" spans="1:45" ht="14.45" customHeight="1" x14ac:dyDescent="0.25">
      <c r="A28" s="994"/>
      <c r="B28" s="938" t="s">
        <v>17</v>
      </c>
      <c r="C28" s="938"/>
      <c r="D28" s="938" t="s">
        <v>18</v>
      </c>
      <c r="E28" s="938"/>
      <c r="F28" s="938" t="s">
        <v>17</v>
      </c>
      <c r="G28" s="938"/>
      <c r="H28" s="938" t="s">
        <v>18</v>
      </c>
      <c r="I28" s="938"/>
      <c r="J28" s="938" t="s">
        <v>17</v>
      </c>
      <c r="K28" s="938"/>
      <c r="L28" s="938" t="s">
        <v>18</v>
      </c>
      <c r="M28" s="938"/>
      <c r="N28" s="939" t="s">
        <v>61</v>
      </c>
      <c r="O28" s="939" t="s">
        <v>62</v>
      </c>
      <c r="P28" s="939" t="s">
        <v>60</v>
      </c>
      <c r="Q28" s="939" t="s">
        <v>63</v>
      </c>
      <c r="R28" s="939" t="s">
        <v>64</v>
      </c>
      <c r="S28" s="940" t="s">
        <v>223</v>
      </c>
      <c r="T28" s="939" t="s">
        <v>70</v>
      </c>
      <c r="U28" s="941" t="s">
        <v>65</v>
      </c>
      <c r="V28" s="942"/>
      <c r="W28" s="942"/>
      <c r="X28" s="942"/>
      <c r="Y28" s="943"/>
      <c r="Z28" s="944" t="s">
        <v>22</v>
      </c>
      <c r="AA28" s="944"/>
      <c r="AC28" s="934"/>
    </row>
    <row r="29" spans="1:45" ht="26.25" thickBot="1" x14ac:dyDescent="0.4">
      <c r="A29" s="937" t="str">
        <f>"S"&amp;WEEKNUM(F27,21)</f>
        <v>S11</v>
      </c>
      <c r="B29" s="949" t="s">
        <v>0</v>
      </c>
      <c r="C29" s="950" t="s">
        <v>1</v>
      </c>
      <c r="D29" s="949" t="s">
        <v>0</v>
      </c>
      <c r="E29" s="950" t="s">
        <v>1</v>
      </c>
      <c r="F29" s="949" t="s">
        <v>0</v>
      </c>
      <c r="G29" s="950" t="s">
        <v>1</v>
      </c>
      <c r="H29" s="949" t="s">
        <v>0</v>
      </c>
      <c r="I29" s="950" t="s">
        <v>1</v>
      </c>
      <c r="J29" s="949" t="s">
        <v>0</v>
      </c>
      <c r="K29" s="950" t="s">
        <v>1</v>
      </c>
      <c r="L29" s="949" t="s">
        <v>0</v>
      </c>
      <c r="M29" s="950" t="s">
        <v>1</v>
      </c>
      <c r="N29" s="951"/>
      <c r="O29" s="951"/>
      <c r="P29" s="951"/>
      <c r="Q29" s="951"/>
      <c r="R29" s="951"/>
      <c r="S29" s="951"/>
      <c r="T29" s="939"/>
      <c r="U29" s="952" t="s">
        <v>66</v>
      </c>
      <c r="V29" s="952" t="s">
        <v>67</v>
      </c>
      <c r="W29" s="952" t="s">
        <v>68</v>
      </c>
      <c r="X29" s="952" t="s">
        <v>137</v>
      </c>
      <c r="Y29" s="952" t="s">
        <v>69</v>
      </c>
      <c r="Z29" s="944"/>
      <c r="AA29" s="944"/>
      <c r="AC29" s="934"/>
      <c r="AM29" s="917" t="s">
        <v>274</v>
      </c>
    </row>
    <row r="30" spans="1:45" ht="16.5" x14ac:dyDescent="0.3">
      <c r="A30" s="955" t="s">
        <v>12</v>
      </c>
      <c r="B30" s="414" t="b">
        <f>IF(Paramétrage!$O$42="",FALSE,Paramétrage!$O$42)</f>
        <v>0</v>
      </c>
      <c r="C30" s="263"/>
      <c r="D30" s="415" t="b">
        <f>IF(Paramétrage!$Q$42="",FALSE,Paramétrage!$Q$42)</f>
        <v>0</v>
      </c>
      <c r="E30" s="264"/>
      <c r="F30" s="414" t="b">
        <f>IF(Paramétrage!$R$42="",FALSE,Paramétrage!$R$42)</f>
        <v>0</v>
      </c>
      <c r="G30" s="264"/>
      <c r="H30" s="414" t="b">
        <f>IF(Paramétrage!$T$42="",FALSE,Paramétrage!$T$42)</f>
        <v>0</v>
      </c>
      <c r="I30" s="263"/>
      <c r="J30" s="414" t="b">
        <f>IF(Paramétrage!$U$42="",FALSE,Paramétrage!$U$42)</f>
        <v>0</v>
      </c>
      <c r="K30" s="263"/>
      <c r="L30" s="418" t="b">
        <f>IF(Paramétrage!$W$42="",FALSE,Paramétrage!$W$42)</f>
        <v>0</v>
      </c>
      <c r="M30" s="263"/>
      <c r="N30" s="956">
        <f t="shared" ref="N30:N32" si="44">IF(OR(B30="aa",B30="cp",B30="f",B30="jc",B30="m",B30="css"),0,(L30-J30)+(H30-F30)+(D30-B30))</f>
        <v>0</v>
      </c>
      <c r="O30" s="956">
        <f t="shared" ref="O30:O32" si="45">SUM(AM30:AP30)+IF(OR(C30="m",C30="aa"),N30,IF(C30="css",0,IF(C30="cp",0,IF(C30="jc",0,IF(C30="f",0,E30-C30+I30-G30+M30-K30)))))</f>
        <v>0</v>
      </c>
      <c r="P30" s="956">
        <f t="shared" ref="P30:P36" si="46">IF(OR(C30="aa",C30="cp",C30="f",C30="jc",C30="m",C30="css"),0,IF(C30="",IF(OR(F30="",F30=FALSE),0,F30-D30),IF(G30="",0,G30-E30)))</f>
        <v>0</v>
      </c>
      <c r="Q30" s="956">
        <f t="shared" ref="Q30:Q36" si="47">IF(P30=0,0,IF(G30="",IF(OR(J30="",J30=FALSE),0,J30-H30),IF(K30="",0,K30-I30)))</f>
        <v>0</v>
      </c>
      <c r="R30" s="957">
        <f t="shared" ref="R30:R32" si="48">IF(OR(C30="aa",C30="cp",C30="f",C30="jc",C30="m",C30="css"),0,IF(C30=0,MAX(B30,D30,F30,H30,J30,L30)-MIN(B30,D30,F30,H30,J30,L30),IF(C30&lt;&gt;0,MAX(C30,E30,G30,I30,K30,M30)-MIN(C30,E30,G30,I30,K30,M30))))</f>
        <v>0</v>
      </c>
      <c r="S30" s="262"/>
      <c r="T30" s="958" t="str">
        <f t="shared" ref="T30:T31" si="49">IF(AND(B30=FALSE,C30=""),"",IF(AND(B30=0,C30=0),"",(IF(OR(C30="cp",C30="f",C30="jc",C30="css"),"",IF(OR(C30="",C30="aa",C30="m"),(IF(OR(B30="cp",B30="f",B30="jc",B30="css"),"",B30*24+24-MAX(D29,H29,L29)*24)),C30*24+24-MAX(M29,I29,E29)*24)))))</f>
        <v/>
      </c>
      <c r="U30" s="959" t="str">
        <f>IF(P30=0,"",IF(P30&lt;Paramétrage!$S$12,"PB",IF(AND(Q30&lt;Paramétrage!$S$12,Q30&lt;&gt;0),"PB","")))</f>
        <v/>
      </c>
      <c r="V30" s="959" t="str">
        <f t="shared" ref="V30:V36" si="50">IF(C30="",IF((N30*24)&gt;10,"PB",""),IF((O30*24)&gt;10,"PB",""))</f>
        <v/>
      </c>
      <c r="W30" s="959" t="str">
        <f t="shared" ref="W30:W36" si="51">IF((R30*24)&gt;12,"PB","")</f>
        <v/>
      </c>
      <c r="X30" s="960" t="str">
        <f t="shared" ref="X30:X32" si="52">IF(AND(N30=0,O30=0),"",(IF(OR(C30="aa",C30="cp",C30="f",C30="jc",C30="m",C30="css"),"",IF(C30="",IF(OR(D30-B30&gt;6/24,H30-F30&gt;6/24,L30-J30&gt;6/24),"PB",""),IF(OR(E30-C30&gt;6/24,I30-G30&gt;6/24,M30-K30&gt;6/24),"PB","")))))</f>
        <v/>
      </c>
      <c r="Y30" s="959" t="str">
        <f t="shared" ref="Y30:Y36" si="53">IF(T30="","",IF(T30&lt;11,"PB",""))</f>
        <v/>
      </c>
      <c r="Z30" s="836"/>
      <c r="AA30" s="837"/>
      <c r="AC30" s="934">
        <f>AC24+1</f>
        <v>42808</v>
      </c>
      <c r="AD30" s="961">
        <f>IF(AND(N(AC30)&gt;=Paramétrage!$AU$11,N(AC30)&lt;=Paramétrage!$AU$12),IF(C30="cp",1,0),0)</f>
        <v>0</v>
      </c>
      <c r="AE30" s="962">
        <f t="shared" ref="AE30:AE36" si="54">IF(O30&lt;&gt;"erreur",N30,O30)</f>
        <v>0</v>
      </c>
      <c r="AF30" s="961">
        <f>IF(AND(N(AC30)&gt;=Paramétrage!$AX$11,N(AC30)&lt;=Paramétrage!$AX$12),IF(C30="cp",1,0),0)</f>
        <v>0</v>
      </c>
      <c r="AG30" s="962">
        <f>O30</f>
        <v>0</v>
      </c>
      <c r="AI30" s="962">
        <f>AE30+AI24</f>
        <v>0</v>
      </c>
      <c r="AJ30" s="962">
        <f>AG30+AJ24</f>
        <v>0</v>
      </c>
      <c r="AM30" s="962">
        <f>IF(AND($B30="cp",$C30="m"),$Z30,0)</f>
        <v>0</v>
      </c>
      <c r="AN30" s="962">
        <f>IF(AND($B30="jc",$C30="m"),$Z30,0)</f>
        <v>0</v>
      </c>
      <c r="AO30" s="962">
        <f>IF(AND($B30="cp",$C30="aa"),$Z30,0)</f>
        <v>0</v>
      </c>
      <c r="AP30" s="962">
        <f>IF(AND($B30="jc",$C30="aa"),$Z30,0)</f>
        <v>0</v>
      </c>
      <c r="AR30" s="917">
        <f>IF(AND(AC30&lt;=$AR$3,B30="CP"),1,0)</f>
        <v>0</v>
      </c>
      <c r="AS30" s="917">
        <f>IF(AND(AC30&lt;=$AR$3,C30="CP"),1,0)</f>
        <v>0</v>
      </c>
    </row>
    <row r="31" spans="1:45" ht="16.5" x14ac:dyDescent="0.3">
      <c r="A31" s="964" t="s">
        <v>13</v>
      </c>
      <c r="B31" s="414" t="b">
        <f>IF(Paramétrage!$O$43="",FALSE,Paramétrage!$O$43)</f>
        <v>0</v>
      </c>
      <c r="C31" s="263"/>
      <c r="D31" s="415" t="b">
        <f>IF(Paramétrage!$Q$43="",FALSE,Paramétrage!$Q$43)</f>
        <v>0</v>
      </c>
      <c r="E31" s="264"/>
      <c r="F31" s="414" t="b">
        <f>IF(Paramétrage!$R$43="",FALSE,Paramétrage!$R$43)</f>
        <v>0</v>
      </c>
      <c r="G31" s="264"/>
      <c r="H31" s="414" t="b">
        <f>IF(Paramétrage!$T$43="",FALSE,Paramétrage!$T$43)</f>
        <v>0</v>
      </c>
      <c r="I31" s="263"/>
      <c r="J31" s="414" t="b">
        <f>IF(Paramétrage!$U$43="",FALSE,Paramétrage!$U$43)</f>
        <v>0</v>
      </c>
      <c r="K31" s="263"/>
      <c r="L31" s="418" t="b">
        <f>IF(Paramétrage!$W$43="",FALSE,Paramétrage!$W$43)</f>
        <v>0</v>
      </c>
      <c r="M31" s="263"/>
      <c r="N31" s="956">
        <f t="shared" si="44"/>
        <v>0</v>
      </c>
      <c r="O31" s="956">
        <f t="shared" si="45"/>
        <v>0</v>
      </c>
      <c r="P31" s="956">
        <f t="shared" si="46"/>
        <v>0</v>
      </c>
      <c r="Q31" s="956">
        <f t="shared" si="47"/>
        <v>0</v>
      </c>
      <c r="R31" s="957">
        <f t="shared" si="48"/>
        <v>0</v>
      </c>
      <c r="S31" s="262"/>
      <c r="T31" s="958" t="str">
        <f t="shared" si="49"/>
        <v/>
      </c>
      <c r="U31" s="959" t="str">
        <f>IF(P31=0,"",IF(P31&lt;Paramétrage!$S$12,"PB",IF(AND(Q31&lt;Paramétrage!$S$12,Q31&lt;&gt;0),"PB","")))</f>
        <v/>
      </c>
      <c r="V31" s="959" t="str">
        <f t="shared" si="50"/>
        <v/>
      </c>
      <c r="W31" s="959" t="str">
        <f t="shared" si="51"/>
        <v/>
      </c>
      <c r="X31" s="960" t="str">
        <f t="shared" si="52"/>
        <v/>
      </c>
      <c r="Y31" s="959" t="str">
        <f t="shared" si="53"/>
        <v/>
      </c>
      <c r="Z31" s="836"/>
      <c r="AA31" s="837"/>
      <c r="AC31" s="934">
        <f t="shared" ref="AC31:AC36" si="55">AC30+1</f>
        <v>42809</v>
      </c>
      <c r="AD31" s="961">
        <f>IF(AND(N(AC31)&gt;=Paramétrage!$AU$11,N(AC31)&lt;=Paramétrage!$AU$12),IF(C31="cp",1,0),0)</f>
        <v>0</v>
      </c>
      <c r="AE31" s="962">
        <f t="shared" si="54"/>
        <v>0</v>
      </c>
      <c r="AF31" s="961">
        <f>IF(AND(N(AC31)&gt;=Paramétrage!$AX$11,N(AC31)&lt;=Paramétrage!$AX$12),IF(C31="cp",1,0),0)</f>
        <v>0</v>
      </c>
      <c r="AG31" s="962">
        <f t="shared" ref="AG31:AG36" si="56">O31</f>
        <v>0</v>
      </c>
      <c r="AI31" s="962">
        <f t="shared" ref="AI31:AI36" si="57">AE31+AI30</f>
        <v>0</v>
      </c>
      <c r="AJ31" s="962">
        <f t="shared" ref="AJ31:AJ36" si="58">AG31+AJ30</f>
        <v>0</v>
      </c>
      <c r="AM31" s="962">
        <f t="shared" ref="AM31:AM34" si="59">IF(AND($B31="cp",$C31="m"),$Z31,0)</f>
        <v>0</v>
      </c>
      <c r="AN31" s="962">
        <f t="shared" ref="AN31:AN34" si="60">IF(AND($B31="jc",$C31="m"),$Z31,0)</f>
        <v>0</v>
      </c>
      <c r="AO31" s="962">
        <f t="shared" ref="AO31:AO34" si="61">IF(AND($B31="cp",$C31="aa"),$Z31,0)</f>
        <v>0</v>
      </c>
      <c r="AP31" s="962">
        <f t="shared" ref="AP31:AP34" si="62">IF(AND($B31="jc",$C31="aa"),$Z31,0)</f>
        <v>0</v>
      </c>
      <c r="AR31" s="917">
        <f>IF(AND(AC31&lt;=$AR$3,B31="CP"),1,0)</f>
        <v>0</v>
      </c>
      <c r="AS31" s="917">
        <f>IF(AND(AC31&lt;=$AR$3,C31="CP"),1,0)</f>
        <v>0</v>
      </c>
    </row>
    <row r="32" spans="1:45" ht="16.5" x14ac:dyDescent="0.3">
      <c r="A32" s="964" t="s">
        <v>14</v>
      </c>
      <c r="B32" s="414" t="b">
        <f>IF(Paramétrage!$O$44="",FALSE,Paramétrage!$O$44)</f>
        <v>0</v>
      </c>
      <c r="C32" s="263"/>
      <c r="D32" s="415" t="b">
        <f>IF(Paramétrage!$Q$44="",FALSE,Paramétrage!$Q$44)</f>
        <v>0</v>
      </c>
      <c r="E32" s="264"/>
      <c r="F32" s="414" t="b">
        <f>IF(Paramétrage!$R$44="",FALSE,Paramétrage!$R$44)</f>
        <v>0</v>
      </c>
      <c r="G32" s="264"/>
      <c r="H32" s="414" t="b">
        <f>IF(Paramétrage!$T$44="",FALSE,Paramétrage!$T$44)</f>
        <v>0</v>
      </c>
      <c r="I32" s="263"/>
      <c r="J32" s="414" t="b">
        <f>IF(Paramétrage!$U$44="",FALSE,Paramétrage!$U$44)</f>
        <v>0</v>
      </c>
      <c r="K32" s="263"/>
      <c r="L32" s="418" t="b">
        <f>IF(Paramétrage!$W$44="",FALSE,Paramétrage!$W$44)</f>
        <v>0</v>
      </c>
      <c r="M32" s="263"/>
      <c r="N32" s="956">
        <f t="shared" si="44"/>
        <v>0</v>
      </c>
      <c r="O32" s="956">
        <f t="shared" si="45"/>
        <v>0</v>
      </c>
      <c r="P32" s="956">
        <f t="shared" si="46"/>
        <v>0</v>
      </c>
      <c r="Q32" s="956">
        <f t="shared" si="47"/>
        <v>0</v>
      </c>
      <c r="R32" s="957">
        <f t="shared" si="48"/>
        <v>0</v>
      </c>
      <c r="S32" s="262"/>
      <c r="T32" s="958" t="str">
        <f>IF(AND(B32=FALSE,C32=""),"",IF(AND(B32=0,C32=0),"",(IF(OR(C32="cp",C32="f",C32="jc",C32="css"),"",IF(OR(C32="",C32="aa",C32="m"),(IF(OR(B32="cp",B32="f",B32="jc",B32="css"),"",B32*24+24-MAX(D31,H31,L31)*24)),C32*24+24-MAX(M31,I31,E31)*24)))))</f>
        <v/>
      </c>
      <c r="U32" s="959" t="str">
        <f>IF(P32=0,"",IF(P32&lt;Paramétrage!$S$12,"PB",IF(AND(Q32&lt;Paramétrage!$S$12,Q32&lt;&gt;0),"PB","")))</f>
        <v/>
      </c>
      <c r="V32" s="959" t="str">
        <f t="shared" si="50"/>
        <v/>
      </c>
      <c r="W32" s="959" t="str">
        <f t="shared" si="51"/>
        <v/>
      </c>
      <c r="X32" s="960" t="str">
        <f t="shared" si="52"/>
        <v/>
      </c>
      <c r="Y32" s="959" t="str">
        <f t="shared" si="53"/>
        <v/>
      </c>
      <c r="Z32" s="836"/>
      <c r="AA32" s="837"/>
      <c r="AC32" s="934">
        <f t="shared" si="55"/>
        <v>42810</v>
      </c>
      <c r="AD32" s="961">
        <f>IF(AND(N(AC32)&gt;=Paramétrage!$AU$11,N(AC32)&lt;=Paramétrage!$AU$12),IF(C32="cp",1,0),0)</f>
        <v>0</v>
      </c>
      <c r="AE32" s="962">
        <f t="shared" si="54"/>
        <v>0</v>
      </c>
      <c r="AF32" s="961">
        <f>IF(AND(N(AC32)&gt;=Paramétrage!$AX$11,N(AC32)&lt;=Paramétrage!$AX$12),IF(C32="cp",1,0),0)</f>
        <v>0</v>
      </c>
      <c r="AG32" s="962">
        <f t="shared" si="56"/>
        <v>0</v>
      </c>
      <c r="AI32" s="962">
        <f t="shared" si="57"/>
        <v>0</v>
      </c>
      <c r="AJ32" s="962">
        <f t="shared" si="58"/>
        <v>0</v>
      </c>
      <c r="AM32" s="962">
        <f t="shared" si="59"/>
        <v>0</v>
      </c>
      <c r="AN32" s="962">
        <f t="shared" si="60"/>
        <v>0</v>
      </c>
      <c r="AO32" s="962">
        <f t="shared" si="61"/>
        <v>0</v>
      </c>
      <c r="AP32" s="962">
        <f t="shared" si="62"/>
        <v>0</v>
      </c>
      <c r="AR32" s="917">
        <f>IF(AND(AC32&lt;=$AR$3,B32="CP"),1,0)</f>
        <v>0</v>
      </c>
      <c r="AS32" s="917">
        <f>IF(AND(AC32&lt;=$AR$3,C32="CP"),1,0)</f>
        <v>0</v>
      </c>
    </row>
    <row r="33" spans="1:45" ht="16.5" x14ac:dyDescent="0.3">
      <c r="A33" s="964" t="s">
        <v>15</v>
      </c>
      <c r="B33" s="414" t="b">
        <f>IF(Paramétrage!$O$45="",FALSE,Paramétrage!$O$45)</f>
        <v>0</v>
      </c>
      <c r="C33" s="263"/>
      <c r="D33" s="415" t="b">
        <f>IF(Paramétrage!$Q$45="",FALSE,Paramétrage!$Q$45)</f>
        <v>0</v>
      </c>
      <c r="E33" s="264"/>
      <c r="F33" s="414" t="b">
        <f>IF(Paramétrage!$R$45="",FALSE,Paramétrage!$R$45)</f>
        <v>0</v>
      </c>
      <c r="G33" s="264"/>
      <c r="H33" s="414" t="b">
        <f>IF(Paramétrage!$T$45="",FALSE,Paramétrage!$T$45)</f>
        <v>0</v>
      </c>
      <c r="I33" s="263"/>
      <c r="J33" s="414" t="b">
        <f>IF(Paramétrage!$U$45="",FALSE,Paramétrage!$U$45)</f>
        <v>0</v>
      </c>
      <c r="K33" s="263"/>
      <c r="L33" s="418" t="b">
        <f>IF(Paramétrage!$W$45="",FALSE,Paramétrage!$W$45)</f>
        <v>0</v>
      </c>
      <c r="M33" s="263"/>
      <c r="N33" s="956">
        <f>IF(OR(B33="aa",B33="cp",B33="f",B33="jc",B33="m",B33="css"),0,(L33-J33)+(H33-F33)+(D33-B33))</f>
        <v>0</v>
      </c>
      <c r="O33" s="956">
        <f>SUM(AM33:AP33)+IF(OR(C33="m",C33="aa"),N33,IF(C33="css",0,IF(C33="cp",0,IF(C33="jc",0,IF(C33="f",0,E33-C33+I33-G33+M33-K33)))))</f>
        <v>0</v>
      </c>
      <c r="P33" s="956">
        <f t="shared" si="46"/>
        <v>0</v>
      </c>
      <c r="Q33" s="956">
        <f t="shared" si="47"/>
        <v>0</v>
      </c>
      <c r="R33" s="957">
        <f>IF(OR(C33="aa",C33="cp",C33="f",C33="jc",C33="m",C33="css"),0,IF(C33=0,MAX(B33,D33,F33,H33,J33,L33)-MIN(B33,D33,F33,H33,J33,L33),IF(C33&lt;&gt;0,MAX(C33,E33,G33,I33,K33,M33)-MIN(C33,E33,G33,I33,K33,M33))))</f>
        <v>0</v>
      </c>
      <c r="S33" s="262"/>
      <c r="T33" s="958" t="str">
        <f t="shared" ref="T33:T36" si="63">IF(AND(B33=FALSE,C33=""),"",IF(AND(B33=0,C33=0),"",(IF(OR(C33="cp",C33="f",C33="jc",C33="css"),"",IF(OR(C33="",C33="aa",C33="m"),(IF(OR(B33="cp",B33="f",B33="jc",B33="css"),"",B33*24+24-MAX(D32,H32,L32)*24)),C33*24+24-MAX(M32,I32,E32)*24)))))</f>
        <v/>
      </c>
      <c r="U33" s="959" t="str">
        <f>IF(P33=0,"",IF(P33&lt;Paramétrage!$S$12,"PB",IF(AND(Q33&lt;Paramétrage!$S$12,Q33&lt;&gt;0),"PB","")))</f>
        <v/>
      </c>
      <c r="V33" s="959" t="str">
        <f t="shared" si="50"/>
        <v/>
      </c>
      <c r="W33" s="959" t="str">
        <f t="shared" si="51"/>
        <v/>
      </c>
      <c r="X33" s="960" t="str">
        <f>IF(AND(N33=0,O33=0),"",(IF(OR(C33="aa",C33="cp",C33="f",C33="jc",C33="m",C33="css"),"",IF(C33="",IF(OR(D33-B33&gt;6/24,H33-F33&gt;6/24,L33-J33&gt;6/24),"PB",""),IF(OR(E33-C33&gt;6/24,I33-G33&gt;6/24,M33-K33&gt;6/24),"PB","")))))</f>
        <v/>
      </c>
      <c r="Y33" s="959" t="str">
        <f t="shared" si="53"/>
        <v/>
      </c>
      <c r="Z33" s="836"/>
      <c r="AA33" s="837"/>
      <c r="AC33" s="934">
        <f t="shared" si="55"/>
        <v>42811</v>
      </c>
      <c r="AD33" s="961">
        <f>IF(AND(N(AC33)&gt;=Paramétrage!$AU$11,N(AC33)&lt;=Paramétrage!$AU$12),IF(C33="cp",1,0),0)</f>
        <v>0</v>
      </c>
      <c r="AE33" s="962">
        <f t="shared" si="54"/>
        <v>0</v>
      </c>
      <c r="AF33" s="961">
        <f>IF(AND(N(AC33)&gt;=Paramétrage!$AX$11,N(AC33)&lt;=Paramétrage!$AX$12),IF(C33="cp",1,0),0)</f>
        <v>0</v>
      </c>
      <c r="AG33" s="962">
        <f t="shared" si="56"/>
        <v>0</v>
      </c>
      <c r="AI33" s="962">
        <f t="shared" si="57"/>
        <v>0</v>
      </c>
      <c r="AJ33" s="962">
        <f t="shared" si="58"/>
        <v>0</v>
      </c>
      <c r="AM33" s="962">
        <f t="shared" si="59"/>
        <v>0</v>
      </c>
      <c r="AN33" s="962">
        <f t="shared" si="60"/>
        <v>0</v>
      </c>
      <c r="AO33" s="962">
        <f t="shared" si="61"/>
        <v>0</v>
      </c>
      <c r="AP33" s="962">
        <f t="shared" si="62"/>
        <v>0</v>
      </c>
      <c r="AR33" s="917">
        <f>IF(AND(AC33&lt;=$AR$3,B33="CP"),1,0)</f>
        <v>0</v>
      </c>
      <c r="AS33" s="917">
        <f>IF(AND(AC33&lt;=$AR$3,C33="CP"),1,0)</f>
        <v>0</v>
      </c>
    </row>
    <row r="34" spans="1:45" ht="16.5" x14ac:dyDescent="0.3">
      <c r="A34" s="964" t="s">
        <v>16</v>
      </c>
      <c r="B34" s="414" t="b">
        <f>IF(Paramétrage!$O$46="",FALSE,Paramétrage!$O$46)</f>
        <v>0</v>
      </c>
      <c r="C34" s="263"/>
      <c r="D34" s="415" t="b">
        <f>IF(Paramétrage!$Q$46="",FALSE,Paramétrage!$Q$46)</f>
        <v>0</v>
      </c>
      <c r="E34" s="264"/>
      <c r="F34" s="414" t="b">
        <f>IF(Paramétrage!$R$46="",FALSE,Paramétrage!$R$46)</f>
        <v>0</v>
      </c>
      <c r="G34" s="264"/>
      <c r="H34" s="414" t="b">
        <f>IF(Paramétrage!$T$46="",FALSE,Paramétrage!$T$46)</f>
        <v>0</v>
      </c>
      <c r="I34" s="263"/>
      <c r="J34" s="414" t="b">
        <f>IF(Paramétrage!$U$46="",FALSE,Paramétrage!$U$46)</f>
        <v>0</v>
      </c>
      <c r="K34" s="263"/>
      <c r="L34" s="418" t="b">
        <f>IF(Paramétrage!$W$46="",FALSE,Paramétrage!$W$46)</f>
        <v>0</v>
      </c>
      <c r="M34" s="263"/>
      <c r="N34" s="956">
        <f>IF(OR(B34="aa",B34="cp",B34="f",B34="jc",B34="m",B34="css"),0,(L34-J34)+(H34-F34)+(D34-B34))</f>
        <v>0</v>
      </c>
      <c r="O34" s="956">
        <f>SUM(AM34:AP34)+IF(OR(C34="m",C34="aa"),N34,IF(C34="css",0,IF(C34="cp",0,IF(C34="jc",0,IF(C34="f",0,E34-C34+I34-G34+M34-K34)))))</f>
        <v>0</v>
      </c>
      <c r="P34" s="956">
        <f t="shared" si="46"/>
        <v>0</v>
      </c>
      <c r="Q34" s="956">
        <f t="shared" si="47"/>
        <v>0</v>
      </c>
      <c r="R34" s="957">
        <f>IF(OR(C34="aa",C34="cp",C34="f",C34="jc",C34="m",C34="css"),0,IF(C34=0,MAX(B34,D34,F34,H34,J34,L34)-MIN(B34,D34,F34,H34,J34,L34),IF(C34&lt;&gt;0,MAX(C34,E34,G34,I34,K34,M34)-MIN(C34,E34,G34,I34,K34,M34))))</f>
        <v>0</v>
      </c>
      <c r="S34" s="262"/>
      <c r="T34" s="958" t="str">
        <f t="shared" si="63"/>
        <v/>
      </c>
      <c r="U34" s="959" t="str">
        <f>IF(P34=0,"",IF(P34&lt;Paramétrage!$S$12,"PB",IF(AND(Q34&lt;Paramétrage!$S$12,Q34&lt;&gt;0),"PB","")))</f>
        <v/>
      </c>
      <c r="V34" s="959" t="str">
        <f t="shared" si="50"/>
        <v/>
      </c>
      <c r="W34" s="959" t="str">
        <f t="shared" si="51"/>
        <v/>
      </c>
      <c r="X34" s="960" t="str">
        <f>IF(AND(N34=0,O34=0),"",(IF(OR(C34="aa",C34="cp",C34="f",C34="jc",C34="m",C34="css"),"",IF(C34="",IF(OR(D34-B34&gt;6/24,H34-F34&gt;6/24,L34-J34&gt;6/24),"PB",""),IF(OR(E34-C34&gt;6/24,I34-G34&gt;6/24,M34-K34&gt;6/24),"PB","")))))</f>
        <v/>
      </c>
      <c r="Y34" s="959" t="str">
        <f t="shared" si="53"/>
        <v/>
      </c>
      <c r="Z34" s="836"/>
      <c r="AA34" s="837"/>
      <c r="AC34" s="934">
        <f t="shared" si="55"/>
        <v>42812</v>
      </c>
      <c r="AD34" s="961">
        <f>IF(AND(N(AC34)&gt;=Paramétrage!$AU$11,N(AC34)&lt;=Paramétrage!$AU$12),IF(C34="cp",1,0),0)</f>
        <v>0</v>
      </c>
      <c r="AE34" s="962">
        <f t="shared" si="54"/>
        <v>0</v>
      </c>
      <c r="AF34" s="961">
        <f>IF(AND(N(AC34)&gt;=Paramétrage!$AX$11,N(AC34)&lt;=Paramétrage!$AX$12),IF(C34="cp",1,0),0)</f>
        <v>0</v>
      </c>
      <c r="AG34" s="962">
        <f t="shared" si="56"/>
        <v>0</v>
      </c>
      <c r="AI34" s="962">
        <f t="shared" si="57"/>
        <v>0</v>
      </c>
      <c r="AJ34" s="962">
        <f t="shared" si="58"/>
        <v>0</v>
      </c>
      <c r="AM34" s="962">
        <f t="shared" si="59"/>
        <v>0</v>
      </c>
      <c r="AN34" s="962">
        <f t="shared" si="60"/>
        <v>0</v>
      </c>
      <c r="AO34" s="962">
        <f t="shared" si="61"/>
        <v>0</v>
      </c>
      <c r="AP34" s="962">
        <f t="shared" si="62"/>
        <v>0</v>
      </c>
      <c r="AR34" s="917">
        <f>IF(AND(AC34&lt;=$AR$3,B34="CP"),1,0)</f>
        <v>0</v>
      </c>
      <c r="AS34" s="917">
        <f>IF(AND(AC34&lt;=$AR$3,C34="CP"),1,0)</f>
        <v>0</v>
      </c>
    </row>
    <row r="35" spans="1:45" ht="16.5" x14ac:dyDescent="0.3">
      <c r="A35" s="964" t="s">
        <v>19</v>
      </c>
      <c r="B35" s="414" t="b">
        <f>IF(Paramétrage!$O$47="",FALSE,Paramétrage!$O$47)</f>
        <v>0</v>
      </c>
      <c r="C35" s="263"/>
      <c r="D35" s="415" t="b">
        <f>IF(Paramétrage!$Q$47="",FALSE,Paramétrage!$Q$47)</f>
        <v>0</v>
      </c>
      <c r="E35" s="264"/>
      <c r="F35" s="414" t="b">
        <f>IF(Paramétrage!$R$47="",FALSE,Paramétrage!$R$47)</f>
        <v>0</v>
      </c>
      <c r="G35" s="264"/>
      <c r="H35" s="414" t="b">
        <f>IF(Paramétrage!$T$47="",FALSE,Paramétrage!$T$47)</f>
        <v>0</v>
      </c>
      <c r="I35" s="263"/>
      <c r="J35" s="414" t="b">
        <f>IF(Paramétrage!$U$47="",FALSE,Paramétrage!$U$47)</f>
        <v>0</v>
      </c>
      <c r="K35" s="263"/>
      <c r="L35" s="418" t="b">
        <f>IF(Paramétrage!$W$47="",FALSE,Paramétrage!$W$47)</f>
        <v>0</v>
      </c>
      <c r="M35" s="263"/>
      <c r="N35" s="956">
        <f>IF(OR(B35="aa",B35="cp",B35="f",B35="jc",B35="m",B35="css"),0,(L35-J35)+(H35-F35)+(D35-B35))</f>
        <v>0</v>
      </c>
      <c r="O35" s="956">
        <f>IF(OR(C35="m",C35="aa"),N35,IF(C35="cp",0,IF(OR(C35="css",C35="jc"),0,IF(C35="f",0,E35-C35+I35-G35+M35-K35))))</f>
        <v>0</v>
      </c>
      <c r="P35" s="956">
        <f t="shared" si="46"/>
        <v>0</v>
      </c>
      <c r="Q35" s="956">
        <f t="shared" si="47"/>
        <v>0</v>
      </c>
      <c r="R35" s="957">
        <f>IF(OR(C35="aa",C35="cp",C35="f",C35="jc",C35="m",C35="css"),0,IF(C35=0,MAX(B35,D35,F35,H35,J35,L35)-MIN(B35,D35,F35,H35,J35,L35),IF(C35&lt;&gt;0,MAX(C35,E35,G35,I35,K35,M35)-MIN(C35,E35,G35,I35,K35,M35))))</f>
        <v>0</v>
      </c>
      <c r="S35" s="262"/>
      <c r="T35" s="958" t="str">
        <f t="shared" si="63"/>
        <v/>
      </c>
      <c r="U35" s="959" t="str">
        <f>IF(P35=0,"",IF(P35&lt;Paramétrage!$S$12,"PB",IF(AND(Q35&lt;Paramétrage!$S$12,Q35&lt;&gt;0),"PB","")))</f>
        <v/>
      </c>
      <c r="V35" s="959" t="str">
        <f t="shared" si="50"/>
        <v/>
      </c>
      <c r="W35" s="959" t="str">
        <f t="shared" si="51"/>
        <v/>
      </c>
      <c r="X35" s="960" t="str">
        <f>IF(AND(N35=0,O35=0),"",(IF(OR(C35="aa",C35="cp",C35="f",C35="jc",C35="m",C35="css"),"",IF(C35="",IF(OR(D35-B35&gt;6/24,H35-F35&gt;6/24,L35-J35&gt;6/24),"PB",""),IF(OR(E35-C35&gt;6/24,I35-G35&gt;6/24,M35-K35&gt;6/24),"PB","")))))</f>
        <v/>
      </c>
      <c r="Y35" s="959" t="str">
        <f t="shared" si="53"/>
        <v/>
      </c>
      <c r="Z35" s="836"/>
      <c r="AA35" s="837"/>
      <c r="AC35" s="934">
        <f t="shared" si="55"/>
        <v>42813</v>
      </c>
      <c r="AD35" s="961">
        <f>IF(AND(N(AC35)&gt;=Paramétrage!$AU$11,N(AC35)&lt;=Paramétrage!$AU$12),IF(C35="cp",1,0),0)</f>
        <v>0</v>
      </c>
      <c r="AE35" s="962">
        <f t="shared" si="54"/>
        <v>0</v>
      </c>
      <c r="AF35" s="961">
        <f>IF(AND(N(AC35)&gt;=Paramétrage!$AX$11,N(AC35)&lt;=Paramétrage!$AX$12),IF(C35="cp",1,0),0)</f>
        <v>0</v>
      </c>
      <c r="AG35" s="962">
        <f t="shared" si="56"/>
        <v>0</v>
      </c>
      <c r="AI35" s="962">
        <f t="shared" si="57"/>
        <v>0</v>
      </c>
      <c r="AJ35" s="962">
        <f t="shared" si="58"/>
        <v>0</v>
      </c>
      <c r="AM35" s="962"/>
      <c r="AN35" s="962"/>
      <c r="AO35" s="962"/>
      <c r="AP35" s="962"/>
    </row>
    <row r="36" spans="1:45" ht="17.25" thickBot="1" x14ac:dyDescent="0.35">
      <c r="A36" s="966" t="s">
        <v>20</v>
      </c>
      <c r="B36" s="414" t="b">
        <f>IF(Paramétrage!$O$48="",FALSE,Paramétrage!$O$48)</f>
        <v>0</v>
      </c>
      <c r="C36" s="263"/>
      <c r="D36" s="415" t="b">
        <f>IF(Paramétrage!$Q$48="",FALSE,Paramétrage!$Q$48)</f>
        <v>0</v>
      </c>
      <c r="E36" s="264"/>
      <c r="F36" s="414" t="b">
        <f>IF(Paramétrage!$R$48="",FALSE,Paramétrage!$R$48)</f>
        <v>0</v>
      </c>
      <c r="G36" s="264"/>
      <c r="H36" s="414" t="b">
        <f>IF(Paramétrage!$T$48="",FALSE,Paramétrage!$T$48)</f>
        <v>0</v>
      </c>
      <c r="I36" s="263"/>
      <c r="J36" s="414" t="b">
        <f>IF(Paramétrage!$U$48="",FALSE,Paramétrage!$U$48)</f>
        <v>0</v>
      </c>
      <c r="K36" s="263"/>
      <c r="L36" s="418" t="b">
        <f>IF(Paramétrage!$W$48="",FALSE,Paramétrage!$W$48)</f>
        <v>0</v>
      </c>
      <c r="M36" s="263"/>
      <c r="N36" s="956">
        <f>IF(OR(B36="aa",B36="m"),M36,IF(B36="cp",0,IF(B36="jc",0,IF(B36="f",0,(D36-B36)*Paramétrage!$S$13+(H36-F36)*Paramétrage!$S$13+(L36-J36)*Paramétrage!$S$13+(D36-B36+H36-F36+L36-J36)))))</f>
        <v>0</v>
      </c>
      <c r="O36" s="956">
        <f>IF(OR(C36="aa",C36="m"),N36,IF(C36="cp",0,IF(C36="jc",0,IF(C36="f",0,(E36-C36)*Paramétrage!$S$13+(I36-G36)*Paramétrage!$S$13+(M36-K36)*Paramétrage!$S$13+(E36-C36+I36-G36+M36-K36)))))</f>
        <v>0</v>
      </c>
      <c r="P36" s="956">
        <f t="shared" si="46"/>
        <v>0</v>
      </c>
      <c r="Q36" s="956">
        <f t="shared" si="47"/>
        <v>0</v>
      </c>
      <c r="R36" s="957">
        <f t="shared" ref="R36" si="64">IF(OR(C36="aa",C36="cp",C36="f",C36="jc",C36="m",C36=0),MAX(B36,D36,F36,H36,J36,L36)-MIN(B36,D36,F36,H36,J36,L36),IF(C36&lt;&gt;0,MAX(C36,E36,G36,I36,K36,M36)-MIN(C36,E36,G36,I36,K36,M36)))</f>
        <v>0</v>
      </c>
      <c r="S36" s="262"/>
      <c r="T36" s="958" t="str">
        <f t="shared" si="63"/>
        <v/>
      </c>
      <c r="U36" s="959" t="str">
        <f>IF(P36=0,"",IF(P36&lt;Paramétrage!$S$12,"PB",IF(AND(Q36&lt;Paramétrage!$S$12,Q36&lt;&gt;0),"PB","")))</f>
        <v/>
      </c>
      <c r="V36" s="959" t="str">
        <f t="shared" si="50"/>
        <v/>
      </c>
      <c r="W36" s="959" t="str">
        <f t="shared" si="51"/>
        <v/>
      </c>
      <c r="X36" s="960" t="str">
        <f t="shared" ref="X36" si="65">IF(AND(N36=0,O36=0),"",(IF(OR(C36="aa",C36="cp",C36="f",C36="jc",C36="m"),"",IF(C36="",IF(OR(D36-B36&gt;6/24,H36-F36&gt;6/24,L36-J36&gt;6/24),"PB",""),IF(OR(E36-C36&gt;6/24,I36-G36&gt;6/24,M36-K36&gt;6/24),"PB","")))))</f>
        <v/>
      </c>
      <c r="Y36" s="959" t="str">
        <f t="shared" si="53"/>
        <v/>
      </c>
      <c r="Z36" s="836"/>
      <c r="AA36" s="837"/>
      <c r="AC36" s="934">
        <f t="shared" si="55"/>
        <v>42814</v>
      </c>
      <c r="AD36" s="961">
        <f>IF(AND(N(AC36)&gt;=Paramétrage!$AU$11,N(AC36)&lt;=Paramétrage!$AU$12),IF(C36="cp",1,0),0)</f>
        <v>0</v>
      </c>
      <c r="AE36" s="962">
        <f t="shared" si="54"/>
        <v>0</v>
      </c>
      <c r="AF36" s="961">
        <f>IF(AND(N(AC36)&gt;=Paramétrage!$AX$11,N(AC36)&lt;=Paramétrage!$AX$12),IF(C36="cp",1,0),0)</f>
        <v>0</v>
      </c>
      <c r="AG36" s="962">
        <f t="shared" si="56"/>
        <v>0</v>
      </c>
      <c r="AI36" s="962">
        <f t="shared" si="57"/>
        <v>0</v>
      </c>
      <c r="AJ36" s="962">
        <f t="shared" si="58"/>
        <v>0</v>
      </c>
      <c r="AM36" s="962"/>
      <c r="AN36" s="962"/>
      <c r="AO36" s="962"/>
      <c r="AP36" s="962"/>
    </row>
    <row r="37" spans="1:45" s="935" customFormat="1" x14ac:dyDescent="0.25">
      <c r="A37" s="969" t="s">
        <v>34</v>
      </c>
      <c r="B37" s="970"/>
      <c r="C37" s="970"/>
      <c r="D37" s="970"/>
      <c r="E37" s="970"/>
      <c r="F37" s="970"/>
      <c r="G37" s="970"/>
      <c r="H37" s="970"/>
      <c r="I37" s="970"/>
      <c r="J37" s="970"/>
      <c r="K37" s="971"/>
      <c r="L37" s="970"/>
      <c r="M37" s="970"/>
      <c r="N37" s="972">
        <f>SUM(N30:N36)</f>
        <v>0</v>
      </c>
      <c r="O37" s="972">
        <f>SUM(O30:O36)</f>
        <v>0</v>
      </c>
      <c r="P37" s="972">
        <f>SUM(P30:P36)</f>
        <v>0</v>
      </c>
      <c r="Q37" s="972">
        <f>SUM(Q30:Q36)</f>
        <v>0</v>
      </c>
      <c r="R37" s="972"/>
      <c r="S37" s="972"/>
      <c r="T37" s="973"/>
      <c r="U37" s="974"/>
      <c r="V37" s="975" t="str">
        <f>IF((O37*24)&gt;48,"PB","")</f>
        <v/>
      </c>
      <c r="W37" s="974"/>
      <c r="X37" s="974"/>
      <c r="Y37" s="974"/>
      <c r="Z37" s="1053" t="s">
        <v>59</v>
      </c>
      <c r="AA37" s="1055">
        <f>+O37-N37</f>
        <v>0</v>
      </c>
      <c r="AB37" s="967"/>
      <c r="AC37" s="934"/>
      <c r="AE37" s="917"/>
      <c r="AF37" s="917"/>
      <c r="AG37" s="917"/>
      <c r="AH37" s="917"/>
      <c r="AI37" s="917"/>
      <c r="AJ37" s="917"/>
      <c r="AK37" s="917"/>
      <c r="AL37" s="917"/>
      <c r="AM37" s="917"/>
      <c r="AN37" s="917"/>
      <c r="AO37" s="917"/>
      <c r="AP37" s="917"/>
      <c r="AR37" s="917"/>
      <c r="AS37" s="917"/>
    </row>
    <row r="38" spans="1:45" s="935" customFormat="1" x14ac:dyDescent="0.25">
      <c r="A38" s="969"/>
      <c r="B38" s="969"/>
      <c r="C38" s="969"/>
      <c r="D38" s="969"/>
      <c r="E38" s="969"/>
      <c r="F38" s="1052"/>
      <c r="G38" s="1052"/>
      <c r="H38" s="1052"/>
      <c r="I38" s="1052"/>
      <c r="J38" s="1052"/>
      <c r="K38" s="969"/>
      <c r="L38" s="969"/>
      <c r="M38" s="969"/>
      <c r="N38" s="973"/>
      <c r="O38" s="969"/>
      <c r="P38" s="980"/>
      <c r="Q38" s="980"/>
      <c r="R38" s="980"/>
      <c r="S38" s="981"/>
      <c r="T38" s="980"/>
      <c r="U38" s="980"/>
      <c r="V38" s="980"/>
      <c r="W38" s="980"/>
      <c r="X38" s="980"/>
      <c r="Y38" s="980"/>
      <c r="Z38" s="1053"/>
      <c r="AA38" s="1055"/>
      <c r="AB38" s="917"/>
      <c r="AC38" s="934"/>
      <c r="AE38" s="917"/>
      <c r="AF38" s="917"/>
      <c r="AG38" s="917"/>
      <c r="AH38" s="917"/>
      <c r="AI38" s="917"/>
      <c r="AJ38" s="917"/>
      <c r="AK38" s="917"/>
      <c r="AL38" s="917"/>
      <c r="AM38" s="917"/>
      <c r="AN38" s="917"/>
      <c r="AO38" s="917"/>
      <c r="AP38" s="917"/>
      <c r="AR38" s="917"/>
      <c r="AS38" s="917"/>
    </row>
    <row r="39" spans="1:45" s="935" customFormat="1" ht="16.5" x14ac:dyDescent="0.3">
      <c r="A39" s="969"/>
      <c r="B39" s="969"/>
      <c r="C39" s="969"/>
      <c r="D39" s="969"/>
      <c r="E39" s="969"/>
      <c r="F39" s="928">
        <f>+F27+7</f>
        <v>42815</v>
      </c>
      <c r="G39" s="928"/>
      <c r="H39" s="929" t="s">
        <v>58</v>
      </c>
      <c r="I39" s="928">
        <f>+F39+6</f>
        <v>42821</v>
      </c>
      <c r="J39" s="930"/>
      <c r="K39" s="969"/>
      <c r="L39" s="969"/>
      <c r="M39" s="969"/>
      <c r="N39" s="973"/>
      <c r="O39" s="969"/>
      <c r="P39" s="980"/>
      <c r="Q39" s="980"/>
      <c r="R39" s="980"/>
      <c r="S39" s="981"/>
      <c r="T39" s="980"/>
      <c r="U39" s="980"/>
      <c r="V39" s="980"/>
      <c r="W39" s="980"/>
      <c r="X39" s="980"/>
      <c r="Y39" s="980"/>
      <c r="Z39" s="1053"/>
      <c r="AA39" s="1054"/>
      <c r="AB39" s="917"/>
      <c r="AC39" s="934"/>
      <c r="AE39" s="917"/>
      <c r="AF39" s="917"/>
      <c r="AG39" s="917"/>
      <c r="AH39" s="917"/>
      <c r="AI39" s="917"/>
      <c r="AJ39" s="917"/>
      <c r="AK39" s="917"/>
      <c r="AL39" s="917"/>
      <c r="AM39" s="917"/>
      <c r="AN39" s="917"/>
      <c r="AO39" s="917"/>
      <c r="AP39" s="917"/>
      <c r="AR39" s="917"/>
      <c r="AS39" s="917"/>
    </row>
    <row r="40" spans="1:45" ht="14.45" customHeight="1" x14ac:dyDescent="0.25">
      <c r="A40" s="994"/>
      <c r="B40" s="938" t="s">
        <v>17</v>
      </c>
      <c r="C40" s="938"/>
      <c r="D40" s="938" t="s">
        <v>18</v>
      </c>
      <c r="E40" s="938"/>
      <c r="F40" s="938" t="s">
        <v>17</v>
      </c>
      <c r="G40" s="938"/>
      <c r="H40" s="938" t="s">
        <v>18</v>
      </c>
      <c r="I40" s="938"/>
      <c r="J40" s="938" t="s">
        <v>17</v>
      </c>
      <c r="K40" s="938"/>
      <c r="L40" s="938" t="s">
        <v>18</v>
      </c>
      <c r="M40" s="938"/>
      <c r="N40" s="939" t="s">
        <v>61</v>
      </c>
      <c r="O40" s="939" t="s">
        <v>62</v>
      </c>
      <c r="P40" s="939" t="s">
        <v>60</v>
      </c>
      <c r="Q40" s="939" t="s">
        <v>63</v>
      </c>
      <c r="R40" s="939" t="s">
        <v>64</v>
      </c>
      <c r="S40" s="940" t="s">
        <v>223</v>
      </c>
      <c r="T40" s="939" t="s">
        <v>70</v>
      </c>
      <c r="U40" s="941" t="s">
        <v>65</v>
      </c>
      <c r="V40" s="942"/>
      <c r="W40" s="942"/>
      <c r="X40" s="942"/>
      <c r="Y40" s="943"/>
      <c r="Z40" s="944" t="s">
        <v>22</v>
      </c>
      <c r="AA40" s="944"/>
      <c r="AC40" s="934"/>
    </row>
    <row r="41" spans="1:45" ht="26.25" thickBot="1" x14ac:dyDescent="0.4">
      <c r="A41" s="937" t="str">
        <f>"S"&amp;WEEKNUM(F39,21)</f>
        <v>S12</v>
      </c>
      <c r="B41" s="949" t="s">
        <v>0</v>
      </c>
      <c r="C41" s="950" t="s">
        <v>1</v>
      </c>
      <c r="D41" s="949" t="s">
        <v>0</v>
      </c>
      <c r="E41" s="950" t="s">
        <v>1</v>
      </c>
      <c r="F41" s="949" t="s">
        <v>0</v>
      </c>
      <c r="G41" s="950" t="s">
        <v>1</v>
      </c>
      <c r="H41" s="949" t="s">
        <v>0</v>
      </c>
      <c r="I41" s="950" t="s">
        <v>1</v>
      </c>
      <c r="J41" s="949" t="s">
        <v>0</v>
      </c>
      <c r="K41" s="950" t="s">
        <v>1</v>
      </c>
      <c r="L41" s="949" t="s">
        <v>0</v>
      </c>
      <c r="M41" s="950" t="s">
        <v>1</v>
      </c>
      <c r="N41" s="951"/>
      <c r="O41" s="951"/>
      <c r="P41" s="951"/>
      <c r="Q41" s="951"/>
      <c r="R41" s="951"/>
      <c r="S41" s="951"/>
      <c r="T41" s="939"/>
      <c r="U41" s="952" t="s">
        <v>66</v>
      </c>
      <c r="V41" s="952" t="s">
        <v>67</v>
      </c>
      <c r="W41" s="952" t="s">
        <v>68</v>
      </c>
      <c r="X41" s="952" t="s">
        <v>137</v>
      </c>
      <c r="Y41" s="952" t="s">
        <v>69</v>
      </c>
      <c r="Z41" s="944"/>
      <c r="AA41" s="944"/>
      <c r="AC41" s="934"/>
      <c r="AM41" s="917" t="s">
        <v>274</v>
      </c>
    </row>
    <row r="42" spans="1:45" ht="16.5" x14ac:dyDescent="0.3">
      <c r="A42" s="955" t="s">
        <v>12</v>
      </c>
      <c r="B42" s="414" t="b">
        <f>IF(Paramétrage!$O$42="",FALSE,Paramétrage!$O$42)</f>
        <v>0</v>
      </c>
      <c r="C42" s="263"/>
      <c r="D42" s="415" t="b">
        <f>IF(Paramétrage!$Q$42="",FALSE,Paramétrage!$Q$42)</f>
        <v>0</v>
      </c>
      <c r="E42" s="264"/>
      <c r="F42" s="414" t="b">
        <f>IF(Paramétrage!$R$42="",FALSE,Paramétrage!$R$42)</f>
        <v>0</v>
      </c>
      <c r="G42" s="264"/>
      <c r="H42" s="416" t="b">
        <f>IF(Paramétrage!$T$42="",FALSE,Paramétrage!$T$42)</f>
        <v>0</v>
      </c>
      <c r="I42" s="263"/>
      <c r="J42" s="417" t="b">
        <f>IF(Paramétrage!$U$42="",FALSE,Paramétrage!$U$42)</f>
        <v>0</v>
      </c>
      <c r="K42" s="263"/>
      <c r="L42" s="418" t="b">
        <f>IF(Paramétrage!$W$42="",FALSE,Paramétrage!$W$42)</f>
        <v>0</v>
      </c>
      <c r="M42" s="263"/>
      <c r="N42" s="956">
        <f t="shared" ref="N42:N44" si="66">IF(OR(B42="aa",B42="cp",B42="f",B42="jc",B42="m",B42="css"),0,(L42-J42)+(H42-F42)+(D42-B42))</f>
        <v>0</v>
      </c>
      <c r="O42" s="956">
        <f t="shared" ref="O42:O44" si="67">SUM(AM42:AP42)+IF(OR(C42="m",C42="aa"),N42,IF(C42="css",0,IF(C42="cp",0,IF(C42="jc",0,IF(C42="f",0,E42-C42+I42-G42+M42-K42)))))</f>
        <v>0</v>
      </c>
      <c r="P42" s="956">
        <f t="shared" ref="P42:P48" si="68">IF(OR(C42="aa",C42="cp",C42="f",C42="jc",C42="m",C42="css"),0,IF(C42="",IF(OR(F42="",F42=FALSE),0,F42-D42),IF(G42="",0,G42-E42)))</f>
        <v>0</v>
      </c>
      <c r="Q42" s="956">
        <f t="shared" ref="Q42:Q48" si="69">IF(P42=0,0,IF(G42="",IF(OR(J42="",J42=FALSE),0,J42-H42),IF(K42="",0,K42-I42)))</f>
        <v>0</v>
      </c>
      <c r="R42" s="957">
        <f t="shared" ref="R42:R44" si="70">IF(OR(C42="aa",C42="cp",C42="f",C42="jc",C42="m",C42="css"),0,IF(C42=0,MAX(B42,D42,F42,H42,J42,L42)-MIN(B42,D42,F42,H42,J42,L42),IF(C42&lt;&gt;0,MAX(C42,E42,G42,I42,K42,M42)-MIN(C42,E42,G42,I42,K42,M42))))</f>
        <v>0</v>
      </c>
      <c r="S42" s="262"/>
      <c r="T42" s="958" t="str">
        <f t="shared" ref="T42:T43" si="71">IF(AND(B42=FALSE,C42=""),"",IF(AND(B42=0,C42=0),"",(IF(OR(C42="cp",C42="f",C42="jc",C42="css"),"",IF(OR(C42="",C42="aa",C42="m"),(IF(OR(B42="cp",B42="f",B42="jc",B42="css"),"",B42*24+24-MAX(D41,H41,L41)*24)),C42*24+24-MAX(M41,I41,E41)*24)))))</f>
        <v/>
      </c>
      <c r="U42" s="959" t="str">
        <f>IF(P42=0,"",IF(P42&lt;Paramétrage!$S$12,"PB",IF(AND(Q42&lt;Paramétrage!$S$12,Q42&lt;&gt;0),"PB","")))</f>
        <v/>
      </c>
      <c r="V42" s="959" t="str">
        <f t="shared" ref="V42:V48" si="72">IF(C42="",IF((N42*24)&gt;10,"PB",""),IF((O42*24)&gt;10,"PB",""))</f>
        <v/>
      </c>
      <c r="W42" s="959" t="str">
        <f t="shared" ref="W42:W48" si="73">IF((R42*24)&gt;12,"PB","")</f>
        <v/>
      </c>
      <c r="X42" s="960" t="str">
        <f t="shared" ref="X42:X44" si="74">IF(AND(N42=0,O42=0),"",(IF(OR(C42="aa",C42="cp",C42="f",C42="jc",C42="m",C42="css"),"",IF(C42="",IF(OR(D42-B42&gt;6/24,H42-F42&gt;6/24,L42-J42&gt;6/24),"PB",""),IF(OR(E42-C42&gt;6/24,I42-G42&gt;6/24,M42-K42&gt;6/24),"PB","")))))</f>
        <v/>
      </c>
      <c r="Y42" s="959" t="str">
        <f t="shared" ref="Y42:Y48" si="75">IF(T42="","",IF(T42&lt;11,"PB",""))</f>
        <v/>
      </c>
      <c r="Z42" s="836"/>
      <c r="AA42" s="837"/>
      <c r="AC42" s="934">
        <f>AC36+1</f>
        <v>42815</v>
      </c>
      <c r="AD42" s="961">
        <f>IF(AND(N(AC42)&gt;=Paramétrage!$AU$11,N(AC42)&lt;=Paramétrage!$AU$12),IF(C42="cp",1,0),0)</f>
        <v>0</v>
      </c>
      <c r="AE42" s="962">
        <f t="shared" ref="AE42:AE48" si="76">IF(O42&lt;&gt;"erreur",N42,O42)</f>
        <v>0</v>
      </c>
      <c r="AF42" s="961">
        <f>IF(AND(N(AC42)&gt;=Paramétrage!$AX$11,N(AC42)&lt;=Paramétrage!$AX$12),IF(C42="cp",1,0),0)</f>
        <v>0</v>
      </c>
      <c r="AG42" s="962">
        <f t="shared" ref="AG42:AG48" si="77">O42</f>
        <v>0</v>
      </c>
      <c r="AI42" s="962">
        <f>AE42+AI36</f>
        <v>0</v>
      </c>
      <c r="AJ42" s="962">
        <f>AG42+AJ36</f>
        <v>0</v>
      </c>
      <c r="AM42" s="962">
        <f>IF(AND($B42="cp",$C42="m"),$Z42,0)</f>
        <v>0</v>
      </c>
      <c r="AN42" s="962">
        <f>IF(AND($B42="jc",$C42="m"),$Z42,0)</f>
        <v>0</v>
      </c>
      <c r="AO42" s="962">
        <f>IF(AND($B42="cp",$C42="aa"),$Z42,0)</f>
        <v>0</v>
      </c>
      <c r="AP42" s="962">
        <f>IF(AND($B42="jc",$C42="aa"),$Z42,0)</f>
        <v>0</v>
      </c>
      <c r="AR42" s="917">
        <f>IF(AND(AC42&lt;=$AR$3,B42="CP"),1,0)</f>
        <v>0</v>
      </c>
      <c r="AS42" s="917">
        <f>IF(AND(AC42&lt;=$AR$3,C42="CP"),1,0)</f>
        <v>0</v>
      </c>
    </row>
    <row r="43" spans="1:45" ht="16.5" x14ac:dyDescent="0.3">
      <c r="A43" s="964" t="s">
        <v>13</v>
      </c>
      <c r="B43" s="414" t="b">
        <f>IF(Paramétrage!$O$43="",FALSE,Paramétrage!$O$43)</f>
        <v>0</v>
      </c>
      <c r="C43" s="263"/>
      <c r="D43" s="415" t="b">
        <f>IF(Paramétrage!$Q$43="",FALSE,Paramétrage!$Q$43)</f>
        <v>0</v>
      </c>
      <c r="E43" s="264"/>
      <c r="F43" s="414" t="b">
        <f>IF(Paramétrage!$R$43="",FALSE,Paramétrage!$R$43)</f>
        <v>0</v>
      </c>
      <c r="G43" s="264"/>
      <c r="H43" s="416" t="b">
        <f>IF(Paramétrage!$T$43="",FALSE,Paramétrage!$T$43)</f>
        <v>0</v>
      </c>
      <c r="I43" s="263"/>
      <c r="J43" s="417" t="b">
        <f>IF(Paramétrage!$U$43="",FALSE,Paramétrage!$U$43)</f>
        <v>0</v>
      </c>
      <c r="K43" s="263"/>
      <c r="L43" s="418" t="b">
        <f>IF(Paramétrage!$W$43="",FALSE,Paramétrage!$W$43)</f>
        <v>0</v>
      </c>
      <c r="M43" s="263"/>
      <c r="N43" s="956">
        <f t="shared" si="66"/>
        <v>0</v>
      </c>
      <c r="O43" s="956">
        <f t="shared" si="67"/>
        <v>0</v>
      </c>
      <c r="P43" s="956">
        <f t="shared" si="68"/>
        <v>0</v>
      </c>
      <c r="Q43" s="956">
        <f t="shared" si="69"/>
        <v>0</v>
      </c>
      <c r="R43" s="957">
        <f t="shared" si="70"/>
        <v>0</v>
      </c>
      <c r="S43" s="262"/>
      <c r="T43" s="958" t="str">
        <f t="shared" si="71"/>
        <v/>
      </c>
      <c r="U43" s="959" t="str">
        <f>IF(P43=0,"",IF(P43&lt;Paramétrage!$S$12,"PB",IF(AND(Q43&lt;Paramétrage!$S$12,Q43&lt;&gt;0),"PB","")))</f>
        <v/>
      </c>
      <c r="V43" s="959" t="str">
        <f t="shared" si="72"/>
        <v/>
      </c>
      <c r="W43" s="959" t="str">
        <f t="shared" si="73"/>
        <v/>
      </c>
      <c r="X43" s="960" t="str">
        <f t="shared" si="74"/>
        <v/>
      </c>
      <c r="Y43" s="959" t="str">
        <f t="shared" si="75"/>
        <v/>
      </c>
      <c r="Z43" s="836"/>
      <c r="AA43" s="837"/>
      <c r="AC43" s="934">
        <f t="shared" ref="AC43:AC48" si="78">AC42+1</f>
        <v>42816</v>
      </c>
      <c r="AD43" s="961">
        <f>IF(AND(N(AC43)&gt;=Paramétrage!$AU$11,N(AC43)&lt;=Paramétrage!$AU$12),IF(C43="cp",1,0),0)</f>
        <v>0</v>
      </c>
      <c r="AE43" s="962">
        <f t="shared" si="76"/>
        <v>0</v>
      </c>
      <c r="AF43" s="961">
        <f>IF(AND(N(AC43)&gt;=Paramétrage!$AX$11,N(AC43)&lt;=Paramétrage!$AX$12),IF(C43="cp",1,0),0)</f>
        <v>0</v>
      </c>
      <c r="AG43" s="962">
        <f t="shared" si="77"/>
        <v>0</v>
      </c>
      <c r="AI43" s="962">
        <f t="shared" ref="AI43:AI48" si="79">AE43+AI42</f>
        <v>0</v>
      </c>
      <c r="AJ43" s="962">
        <f t="shared" ref="AJ43:AJ48" si="80">AG43+AJ42</f>
        <v>0</v>
      </c>
      <c r="AM43" s="962">
        <f t="shared" ref="AM43:AM46" si="81">IF(AND($B43="cp",$C43="m"),$Z43,0)</f>
        <v>0</v>
      </c>
      <c r="AN43" s="962">
        <f t="shared" ref="AN43:AN46" si="82">IF(AND($B43="jc",$C43="m"),$Z43,0)</f>
        <v>0</v>
      </c>
      <c r="AO43" s="962">
        <f t="shared" ref="AO43:AO46" si="83">IF(AND($B43="cp",$C43="aa"),$Z43,0)</f>
        <v>0</v>
      </c>
      <c r="AP43" s="962">
        <f t="shared" ref="AP43:AP46" si="84">IF(AND($B43="jc",$C43="aa"),$Z43,0)</f>
        <v>0</v>
      </c>
      <c r="AR43" s="917">
        <f>IF(AND(AC43&lt;=$AR$3,B43="CP"),1,0)</f>
        <v>0</v>
      </c>
      <c r="AS43" s="917">
        <f>IF(AND(AC43&lt;=$AR$3,C43="CP"),1,0)</f>
        <v>0</v>
      </c>
    </row>
    <row r="44" spans="1:45" ht="16.5" x14ac:dyDescent="0.3">
      <c r="A44" s="964" t="s">
        <v>14</v>
      </c>
      <c r="B44" s="414" t="b">
        <f>IF(Paramétrage!$O$44="",FALSE,Paramétrage!$O$44)</f>
        <v>0</v>
      </c>
      <c r="C44" s="263"/>
      <c r="D44" s="415" t="b">
        <f>IF(Paramétrage!$Q$44="",FALSE,Paramétrage!$Q$44)</f>
        <v>0</v>
      </c>
      <c r="E44" s="264"/>
      <c r="F44" s="414" t="b">
        <f>IF(Paramétrage!$R$44="",FALSE,Paramétrage!$R$44)</f>
        <v>0</v>
      </c>
      <c r="G44" s="264"/>
      <c r="H44" s="416" t="b">
        <f>IF(Paramétrage!$T$44="",FALSE,Paramétrage!$T$44)</f>
        <v>0</v>
      </c>
      <c r="I44" s="263"/>
      <c r="J44" s="417" t="b">
        <f>IF(Paramétrage!$U$44="",FALSE,Paramétrage!$U$44)</f>
        <v>0</v>
      </c>
      <c r="K44" s="263"/>
      <c r="L44" s="418" t="b">
        <f>IF(Paramétrage!$W$44="",FALSE,Paramétrage!$W$44)</f>
        <v>0</v>
      </c>
      <c r="M44" s="263"/>
      <c r="N44" s="956">
        <f t="shared" si="66"/>
        <v>0</v>
      </c>
      <c r="O44" s="956">
        <f t="shared" si="67"/>
        <v>0</v>
      </c>
      <c r="P44" s="956">
        <f t="shared" si="68"/>
        <v>0</v>
      </c>
      <c r="Q44" s="956">
        <f t="shared" si="69"/>
        <v>0</v>
      </c>
      <c r="R44" s="957">
        <f t="shared" si="70"/>
        <v>0</v>
      </c>
      <c r="S44" s="262"/>
      <c r="T44" s="958" t="str">
        <f>IF(AND(B44=FALSE,C44=""),"",IF(AND(B44=0,C44=0),"",(IF(OR(C44="cp",C44="f",C44="jc",C44="css"),"",IF(OR(C44="",C44="aa",C44="m"),(IF(OR(B44="cp",B44="f",B44="jc",B44="css"),"",B44*24+24-MAX(D43,H43,L43)*24)),C44*24+24-MAX(M43,I43,E43)*24)))))</f>
        <v/>
      </c>
      <c r="U44" s="959" t="str">
        <f>IF(P44=0,"",IF(P44&lt;Paramétrage!$S$12,"PB",IF(AND(Q44&lt;Paramétrage!$S$12,Q44&lt;&gt;0),"PB","")))</f>
        <v/>
      </c>
      <c r="V44" s="959" t="str">
        <f t="shared" si="72"/>
        <v/>
      </c>
      <c r="W44" s="959" t="str">
        <f t="shared" si="73"/>
        <v/>
      </c>
      <c r="X44" s="960" t="str">
        <f t="shared" si="74"/>
        <v/>
      </c>
      <c r="Y44" s="959" t="str">
        <f t="shared" si="75"/>
        <v/>
      </c>
      <c r="Z44" s="836"/>
      <c r="AA44" s="837"/>
      <c r="AC44" s="934">
        <f t="shared" si="78"/>
        <v>42817</v>
      </c>
      <c r="AD44" s="961">
        <f>IF(AND(N(AC44)&gt;=Paramétrage!$AU$11,N(AC44)&lt;=Paramétrage!$AU$12),IF(C44="cp",1,0),0)</f>
        <v>0</v>
      </c>
      <c r="AE44" s="962">
        <f t="shared" si="76"/>
        <v>0</v>
      </c>
      <c r="AF44" s="961">
        <f>IF(AND(N(AC44)&gt;=Paramétrage!$AX$11,N(AC44)&lt;=Paramétrage!$AX$12),IF(C44="cp",1,0),0)</f>
        <v>0</v>
      </c>
      <c r="AG44" s="962">
        <f t="shared" si="77"/>
        <v>0</v>
      </c>
      <c r="AI44" s="962">
        <f t="shared" si="79"/>
        <v>0</v>
      </c>
      <c r="AJ44" s="962">
        <f t="shared" si="80"/>
        <v>0</v>
      </c>
      <c r="AM44" s="962">
        <f t="shared" si="81"/>
        <v>0</v>
      </c>
      <c r="AN44" s="962">
        <f t="shared" si="82"/>
        <v>0</v>
      </c>
      <c r="AO44" s="962">
        <f t="shared" si="83"/>
        <v>0</v>
      </c>
      <c r="AP44" s="962">
        <f t="shared" si="84"/>
        <v>0</v>
      </c>
      <c r="AR44" s="917">
        <f>IF(AND(AC44&lt;=$AR$3,B44="CP"),1,0)</f>
        <v>0</v>
      </c>
      <c r="AS44" s="917">
        <f>IF(AND(AC44&lt;=$AR$3,C44="CP"),1,0)</f>
        <v>0</v>
      </c>
    </row>
    <row r="45" spans="1:45" ht="16.5" x14ac:dyDescent="0.3">
      <c r="A45" s="964" t="s">
        <v>15</v>
      </c>
      <c r="B45" s="414" t="b">
        <f>IF(Paramétrage!$O$45="",FALSE,Paramétrage!$O$45)</f>
        <v>0</v>
      </c>
      <c r="C45" s="263"/>
      <c r="D45" s="415" t="b">
        <f>IF(Paramétrage!$Q$45="",FALSE,Paramétrage!$Q$45)</f>
        <v>0</v>
      </c>
      <c r="E45" s="264"/>
      <c r="F45" s="414" t="b">
        <f>IF(Paramétrage!$R$45="",FALSE,Paramétrage!$R$45)</f>
        <v>0</v>
      </c>
      <c r="G45" s="264"/>
      <c r="H45" s="416" t="b">
        <f>IF(Paramétrage!$T$45="",FALSE,Paramétrage!$T$45)</f>
        <v>0</v>
      </c>
      <c r="I45" s="263"/>
      <c r="J45" s="417" t="b">
        <f>IF(Paramétrage!$U$45="",FALSE,Paramétrage!$U$45)</f>
        <v>0</v>
      </c>
      <c r="K45" s="263"/>
      <c r="L45" s="418" t="b">
        <f>IF(Paramétrage!$W$45="",FALSE,Paramétrage!$W$45)</f>
        <v>0</v>
      </c>
      <c r="M45" s="263"/>
      <c r="N45" s="956">
        <f>IF(OR(B45="aa",B45="cp",B45="f",B45="jc",B45="m",B45="css"),0,(L45-J45)+(H45-F45)+(D45-B45))</f>
        <v>0</v>
      </c>
      <c r="O45" s="956">
        <f>SUM(AM45:AP45)+IF(OR(C45="m",C45="aa"),N45,IF(C45="css",0,IF(C45="cp",0,IF(C45="jc",0,IF(C45="f",0,E45-C45+I45-G45+M45-K45)))))</f>
        <v>0</v>
      </c>
      <c r="P45" s="956">
        <f t="shared" si="68"/>
        <v>0</v>
      </c>
      <c r="Q45" s="956">
        <f t="shared" si="69"/>
        <v>0</v>
      </c>
      <c r="R45" s="957">
        <f>IF(OR(C45="aa",C45="cp",C45="f",C45="jc",C45="m",C45="css"),0,IF(C45=0,MAX(B45,D45,F45,H45,J45,L45)-MIN(B45,D45,F45,H45,J45,L45),IF(C45&lt;&gt;0,MAX(C45,E45,G45,I45,K45,M45)-MIN(C45,E45,G45,I45,K45,M45))))</f>
        <v>0</v>
      </c>
      <c r="S45" s="262"/>
      <c r="T45" s="958" t="str">
        <f t="shared" ref="T45:T48" si="85">IF(AND(B45=FALSE,C45=""),"",IF(AND(B45=0,C45=0),"",(IF(OR(C45="cp",C45="f",C45="jc",C45="css"),"",IF(OR(C45="",C45="aa",C45="m"),(IF(OR(B45="cp",B45="f",B45="jc",B45="css"),"",B45*24+24-MAX(D44,H44,L44)*24)),C45*24+24-MAX(M44,I44,E44)*24)))))</f>
        <v/>
      </c>
      <c r="U45" s="959" t="str">
        <f>IF(P45=0,"",IF(P45&lt;Paramétrage!$S$12,"PB",IF(AND(Q45&lt;Paramétrage!$S$12,Q45&lt;&gt;0),"PB","")))</f>
        <v/>
      </c>
      <c r="V45" s="959" t="str">
        <f t="shared" si="72"/>
        <v/>
      </c>
      <c r="W45" s="959" t="str">
        <f t="shared" si="73"/>
        <v/>
      </c>
      <c r="X45" s="960" t="str">
        <f>IF(AND(N45=0,O45=0),"",(IF(OR(C45="aa",C45="cp",C45="f",C45="jc",C45="m",C45="css"),"",IF(C45="",IF(OR(D45-B45&gt;6/24,H45-F45&gt;6/24,L45-J45&gt;6/24),"PB",""),IF(OR(E45-C45&gt;6/24,I45-G45&gt;6/24,M45-K45&gt;6/24),"PB","")))))</f>
        <v/>
      </c>
      <c r="Y45" s="959" t="str">
        <f t="shared" si="75"/>
        <v/>
      </c>
      <c r="Z45" s="836"/>
      <c r="AA45" s="837"/>
      <c r="AC45" s="934">
        <f t="shared" si="78"/>
        <v>42818</v>
      </c>
      <c r="AD45" s="961">
        <f>IF(AND(N(AC45)&gt;=Paramétrage!$AU$11,N(AC45)&lt;=Paramétrage!$AU$12),IF(C45="cp",1,0),0)</f>
        <v>0</v>
      </c>
      <c r="AE45" s="962">
        <f t="shared" si="76"/>
        <v>0</v>
      </c>
      <c r="AF45" s="961">
        <f>IF(AND(N(AC45)&gt;=Paramétrage!$AX$11,N(AC45)&lt;=Paramétrage!$AX$12),IF(C45="cp",1,0),0)</f>
        <v>0</v>
      </c>
      <c r="AG45" s="962">
        <f t="shared" si="77"/>
        <v>0</v>
      </c>
      <c r="AI45" s="962">
        <f t="shared" si="79"/>
        <v>0</v>
      </c>
      <c r="AJ45" s="962">
        <f t="shared" si="80"/>
        <v>0</v>
      </c>
      <c r="AM45" s="962">
        <f t="shared" si="81"/>
        <v>0</v>
      </c>
      <c r="AN45" s="962">
        <f t="shared" si="82"/>
        <v>0</v>
      </c>
      <c r="AO45" s="962">
        <f t="shared" si="83"/>
        <v>0</v>
      </c>
      <c r="AP45" s="962">
        <f t="shared" si="84"/>
        <v>0</v>
      </c>
      <c r="AR45" s="917">
        <f>IF(AND(AC45&lt;=$AR$3,B45="CP"),1,0)</f>
        <v>0</v>
      </c>
      <c r="AS45" s="917">
        <f>IF(AND(AC45&lt;=$AR$3,C45="CP"),1,0)</f>
        <v>0</v>
      </c>
    </row>
    <row r="46" spans="1:45" ht="16.5" x14ac:dyDescent="0.3">
      <c r="A46" s="964" t="s">
        <v>16</v>
      </c>
      <c r="B46" s="414" t="b">
        <f>IF(Paramétrage!$O$46="",FALSE,Paramétrage!$O$46)</f>
        <v>0</v>
      </c>
      <c r="C46" s="263"/>
      <c r="D46" s="415" t="b">
        <f>IF(Paramétrage!$Q$46="",FALSE,Paramétrage!$Q$46)</f>
        <v>0</v>
      </c>
      <c r="E46" s="264"/>
      <c r="F46" s="414" t="b">
        <f>IF(Paramétrage!$R$46="",FALSE,Paramétrage!$R$46)</f>
        <v>0</v>
      </c>
      <c r="G46" s="264"/>
      <c r="H46" s="416" t="b">
        <f>IF(Paramétrage!$T$46="",FALSE,Paramétrage!$T$46)</f>
        <v>0</v>
      </c>
      <c r="I46" s="263"/>
      <c r="J46" s="417" t="b">
        <f>IF(Paramétrage!$U$46="",FALSE,Paramétrage!$U$46)</f>
        <v>0</v>
      </c>
      <c r="K46" s="263"/>
      <c r="L46" s="418" t="b">
        <f>IF(Paramétrage!$W$46="",FALSE,Paramétrage!$W$46)</f>
        <v>0</v>
      </c>
      <c r="M46" s="263"/>
      <c r="N46" s="956">
        <f>IF(OR(B46="aa",B46="cp",B46="f",B46="jc",B46="m",B46="css"),0,(L46-J46)+(H46-F46)+(D46-B46))</f>
        <v>0</v>
      </c>
      <c r="O46" s="956">
        <f>SUM(AM46:AP46)+IF(OR(C46="m",C46="aa"),N46,IF(C46="css",0,IF(C46="cp",0,IF(C46="jc",0,IF(C46="f",0,E46-C46+I46-G46+M46-K46)))))</f>
        <v>0</v>
      </c>
      <c r="P46" s="956">
        <f t="shared" si="68"/>
        <v>0</v>
      </c>
      <c r="Q46" s="956">
        <f t="shared" si="69"/>
        <v>0</v>
      </c>
      <c r="R46" s="957">
        <f>IF(OR(C46="aa",C46="cp",C46="f",C46="jc",C46="m",C46="css"),0,IF(C46=0,MAX(B46,D46,F46,H46,J46,L46)-MIN(B46,D46,F46,H46,J46,L46),IF(C46&lt;&gt;0,MAX(C46,E46,G46,I46,K46,M46)-MIN(C46,E46,G46,I46,K46,M46))))</f>
        <v>0</v>
      </c>
      <c r="S46" s="262"/>
      <c r="T46" s="958" t="str">
        <f t="shared" si="85"/>
        <v/>
      </c>
      <c r="U46" s="959" t="str">
        <f>IF(P46=0,"",IF(P46&lt;Paramétrage!$S$12,"PB",IF(AND(Q46&lt;Paramétrage!$S$12,Q46&lt;&gt;0),"PB","")))</f>
        <v/>
      </c>
      <c r="V46" s="959" t="str">
        <f t="shared" si="72"/>
        <v/>
      </c>
      <c r="W46" s="959" t="str">
        <f t="shared" si="73"/>
        <v/>
      </c>
      <c r="X46" s="960" t="str">
        <f>IF(AND(N46=0,O46=0),"",(IF(OR(C46="aa",C46="cp",C46="f",C46="jc",C46="m",C46="css"),"",IF(C46="",IF(OR(D46-B46&gt;6/24,H46-F46&gt;6/24,L46-J46&gt;6/24),"PB",""),IF(OR(E46-C46&gt;6/24,I46-G46&gt;6/24,M46-K46&gt;6/24),"PB","")))))</f>
        <v/>
      </c>
      <c r="Y46" s="959" t="str">
        <f t="shared" si="75"/>
        <v/>
      </c>
      <c r="Z46" s="836"/>
      <c r="AA46" s="837"/>
      <c r="AC46" s="934">
        <f t="shared" si="78"/>
        <v>42819</v>
      </c>
      <c r="AD46" s="961">
        <f>IF(AND(N(AC46)&gt;=Paramétrage!$AU$11,N(AC46)&lt;=Paramétrage!$AU$12),IF(C46="cp",1,0),0)</f>
        <v>0</v>
      </c>
      <c r="AE46" s="962">
        <f t="shared" si="76"/>
        <v>0</v>
      </c>
      <c r="AF46" s="961">
        <f>IF(AND(N(AC46)&gt;=Paramétrage!$AX$11,N(AC46)&lt;=Paramétrage!$AX$12),IF(C46="cp",1,0),0)</f>
        <v>0</v>
      </c>
      <c r="AG46" s="962">
        <f t="shared" si="77"/>
        <v>0</v>
      </c>
      <c r="AI46" s="962">
        <f t="shared" si="79"/>
        <v>0</v>
      </c>
      <c r="AJ46" s="962">
        <f t="shared" si="80"/>
        <v>0</v>
      </c>
      <c r="AM46" s="962">
        <f t="shared" si="81"/>
        <v>0</v>
      </c>
      <c r="AN46" s="962">
        <f t="shared" si="82"/>
        <v>0</v>
      </c>
      <c r="AO46" s="962">
        <f t="shared" si="83"/>
        <v>0</v>
      </c>
      <c r="AP46" s="962">
        <f t="shared" si="84"/>
        <v>0</v>
      </c>
      <c r="AR46" s="917">
        <f>IF(AND(AC46&lt;=$AR$3,B46="CP"),1,0)</f>
        <v>0</v>
      </c>
      <c r="AS46" s="917">
        <f>IF(AND(AC46&lt;=$AR$3,C46="CP"),1,0)</f>
        <v>0</v>
      </c>
    </row>
    <row r="47" spans="1:45" ht="16.5" x14ac:dyDescent="0.3">
      <c r="A47" s="964" t="s">
        <v>19</v>
      </c>
      <c r="B47" s="414" t="b">
        <f>IF(Paramétrage!$O$47="",FALSE,Paramétrage!$O$47)</f>
        <v>0</v>
      </c>
      <c r="C47" s="263"/>
      <c r="D47" s="415" t="b">
        <f>IF(Paramétrage!$Q$47="",FALSE,Paramétrage!$Q$47)</f>
        <v>0</v>
      </c>
      <c r="E47" s="264"/>
      <c r="F47" s="414" t="b">
        <f>IF(Paramétrage!$R$47="",FALSE,Paramétrage!$R$47)</f>
        <v>0</v>
      </c>
      <c r="G47" s="264"/>
      <c r="H47" s="416" t="b">
        <f>IF(Paramétrage!$T$47="",FALSE,Paramétrage!$T$47)</f>
        <v>0</v>
      </c>
      <c r="I47" s="263"/>
      <c r="J47" s="417" t="b">
        <f>IF(Paramétrage!$U$47="",FALSE,Paramétrage!$U$47)</f>
        <v>0</v>
      </c>
      <c r="K47" s="263"/>
      <c r="L47" s="418" t="b">
        <f>IF(Paramétrage!$W$47="",FALSE,Paramétrage!$W$47)</f>
        <v>0</v>
      </c>
      <c r="M47" s="263"/>
      <c r="N47" s="956">
        <f>IF(OR(B47="aa",B47="cp",B47="f",B47="jc",B47="m",B47="css"),0,(L47-J47)+(H47-F47)+(D47-B47))</f>
        <v>0</v>
      </c>
      <c r="O47" s="956">
        <f>IF(OR(C47="m",C47="aa"),N47,IF(C47="cp",0,IF(OR(C47="css",C47="jc"),0,IF(C47="f",0,E47-C47+I47-G47+M47-K47))))</f>
        <v>0</v>
      </c>
      <c r="P47" s="956">
        <f t="shared" si="68"/>
        <v>0</v>
      </c>
      <c r="Q47" s="956">
        <f t="shared" si="69"/>
        <v>0</v>
      </c>
      <c r="R47" s="957">
        <f>IF(OR(C47="aa",C47="cp",C47="f",C47="jc",C47="m",C47="css"),0,IF(C47=0,MAX(B47,D47,F47,H47,J47,L47)-MIN(B47,D47,F47,H47,J47,L47),IF(C47&lt;&gt;0,MAX(C47,E47,G47,I47,K47,M47)-MIN(C47,E47,G47,I47,K47,M47))))</f>
        <v>0</v>
      </c>
      <c r="S47" s="262"/>
      <c r="T47" s="958" t="str">
        <f t="shared" si="85"/>
        <v/>
      </c>
      <c r="U47" s="959" t="str">
        <f>IF(P47=0,"",IF(P47&lt;Paramétrage!$S$12,"PB",IF(AND(Q47&lt;Paramétrage!$S$12,Q47&lt;&gt;0),"PB","")))</f>
        <v/>
      </c>
      <c r="V47" s="959" t="str">
        <f t="shared" si="72"/>
        <v/>
      </c>
      <c r="W47" s="959" t="str">
        <f t="shared" si="73"/>
        <v/>
      </c>
      <c r="X47" s="960" t="str">
        <f>IF(AND(N47=0,O47=0),"",(IF(OR(C47="aa",C47="cp",C47="f",C47="jc",C47="m",C47="css"),"",IF(C47="",IF(OR(D47-B47&gt;6/24,H47-F47&gt;6/24,L47-J47&gt;6/24),"PB",""),IF(OR(E47-C47&gt;6/24,I47-G47&gt;6/24,M47-K47&gt;6/24),"PB","")))))</f>
        <v/>
      </c>
      <c r="Y47" s="959" t="str">
        <f t="shared" si="75"/>
        <v/>
      </c>
      <c r="Z47" s="836"/>
      <c r="AA47" s="837"/>
      <c r="AC47" s="934">
        <f t="shared" si="78"/>
        <v>42820</v>
      </c>
      <c r="AD47" s="961">
        <f>IF(AND(N(AC47)&gt;=Paramétrage!$AU$11,N(AC47)&lt;=Paramétrage!$AU$12),IF(C47="cp",1,0),0)</f>
        <v>0</v>
      </c>
      <c r="AE47" s="962">
        <f t="shared" si="76"/>
        <v>0</v>
      </c>
      <c r="AF47" s="961">
        <f>IF(AND(N(AC47)&gt;=Paramétrage!$AX$11,N(AC47)&lt;=Paramétrage!$AX$12),IF(C47="cp",1,0),0)</f>
        <v>0</v>
      </c>
      <c r="AG47" s="962">
        <f t="shared" si="77"/>
        <v>0</v>
      </c>
      <c r="AI47" s="962">
        <f t="shared" si="79"/>
        <v>0</v>
      </c>
      <c r="AJ47" s="962">
        <f t="shared" si="80"/>
        <v>0</v>
      </c>
      <c r="AM47" s="962"/>
      <c r="AN47" s="962"/>
      <c r="AO47" s="962"/>
      <c r="AP47" s="962"/>
    </row>
    <row r="48" spans="1:45" ht="17.25" thickBot="1" x14ac:dyDescent="0.35">
      <c r="A48" s="966" t="s">
        <v>20</v>
      </c>
      <c r="B48" s="414" t="b">
        <f>IF(Paramétrage!$O$48="",FALSE,Paramétrage!$O$48)</f>
        <v>0</v>
      </c>
      <c r="C48" s="263"/>
      <c r="D48" s="415" t="b">
        <f>IF(Paramétrage!$Q$48="",FALSE,Paramétrage!$Q$48)</f>
        <v>0</v>
      </c>
      <c r="E48" s="264"/>
      <c r="F48" s="414" t="b">
        <f>IF(Paramétrage!$R$48="",FALSE,Paramétrage!$R$48)</f>
        <v>0</v>
      </c>
      <c r="G48" s="264"/>
      <c r="H48" s="416" t="b">
        <f>IF(Paramétrage!$T$48="",FALSE,Paramétrage!$T$48)</f>
        <v>0</v>
      </c>
      <c r="I48" s="263"/>
      <c r="J48" s="417" t="b">
        <f>IF(Paramétrage!$U$48="",FALSE,Paramétrage!$U$48)</f>
        <v>0</v>
      </c>
      <c r="K48" s="263"/>
      <c r="L48" s="418" t="b">
        <f>IF(Paramétrage!$W$48="",FALSE,Paramétrage!$W$48)</f>
        <v>0</v>
      </c>
      <c r="M48" s="263"/>
      <c r="N48" s="956">
        <f>IF(OR(B48="aa",B48="m"),M48,IF(B48="cp",0,IF(B48="jc",0,IF(B48="f",0,(D48-B48)*Paramétrage!$S$13+(H48-F48)*Paramétrage!$S$13+(L48-J48)*Paramétrage!$S$13+(D48-B48+H48-F48+L48-J48)))))</f>
        <v>0</v>
      </c>
      <c r="O48" s="956">
        <f>IF(OR(C48="aa",C48="m"),N48,IF(C48="cp",0,IF(C48="jc",0,IF(C48="f",0,(E48-C48)*Paramétrage!$S$13+(I48-G48)*Paramétrage!$S$13+(M48-K48)*Paramétrage!$S$13+(E48-C48+I48-G48+M48-K48)))))</f>
        <v>0</v>
      </c>
      <c r="P48" s="956">
        <f t="shared" si="68"/>
        <v>0</v>
      </c>
      <c r="Q48" s="956">
        <f t="shared" si="69"/>
        <v>0</v>
      </c>
      <c r="R48" s="957">
        <f t="shared" ref="R48" si="86">IF(OR(C48="aa",C48="cp",C48="f",C48="jc",C48="m",C48=0),MAX(B48,D48,F48,H48,J48,L48)-MIN(B48,D48,F48,H48,J48,L48),IF(C48&lt;&gt;0,MAX(C48,E48,G48,I48,K48,M48)-MIN(C48,E48,G48,I48,K48,M48)))</f>
        <v>0</v>
      </c>
      <c r="S48" s="262"/>
      <c r="T48" s="958" t="str">
        <f t="shared" si="85"/>
        <v/>
      </c>
      <c r="U48" s="959" t="str">
        <f>IF(P48=0,"",IF(P48&lt;Paramétrage!$S$12,"PB",IF(AND(Q48&lt;Paramétrage!$S$12,Q48&lt;&gt;0),"PB","")))</f>
        <v/>
      </c>
      <c r="V48" s="959" t="str">
        <f t="shared" si="72"/>
        <v/>
      </c>
      <c r="W48" s="959" t="str">
        <f t="shared" si="73"/>
        <v/>
      </c>
      <c r="X48" s="960" t="str">
        <f t="shared" ref="X48" si="87">IF(AND(N48=0,O48=0),"",(IF(OR(C48="aa",C48="cp",C48="f",C48="jc",C48="m"),"",IF(C48="",IF(OR(D48-B48&gt;6/24,H48-F48&gt;6/24,L48-J48&gt;6/24),"PB",""),IF(OR(E48-C48&gt;6/24,I48-G48&gt;6/24,M48-K48&gt;6/24),"PB","")))))</f>
        <v/>
      </c>
      <c r="Y48" s="959" t="str">
        <f t="shared" si="75"/>
        <v/>
      </c>
      <c r="Z48" s="836"/>
      <c r="AA48" s="837"/>
      <c r="AC48" s="934">
        <f t="shared" si="78"/>
        <v>42821</v>
      </c>
      <c r="AD48" s="961">
        <f>IF(AND(N(AC48)&gt;=Paramétrage!$AU$11,N(AC48)&lt;=Paramétrage!$AU$12),IF(C48="cp",1,0),0)</f>
        <v>0</v>
      </c>
      <c r="AE48" s="962">
        <f t="shared" si="76"/>
        <v>0</v>
      </c>
      <c r="AF48" s="961">
        <f>IF(AND(N(AC48)&gt;=Paramétrage!$AX$11,N(AC48)&lt;=Paramétrage!$AX$12),IF(C48="cp",1,0),0)</f>
        <v>0</v>
      </c>
      <c r="AG48" s="962">
        <f t="shared" si="77"/>
        <v>0</v>
      </c>
      <c r="AI48" s="962">
        <f t="shared" si="79"/>
        <v>0</v>
      </c>
      <c r="AJ48" s="962">
        <f t="shared" si="80"/>
        <v>0</v>
      </c>
      <c r="AM48" s="962"/>
      <c r="AN48" s="962"/>
      <c r="AO48" s="962"/>
      <c r="AP48" s="962"/>
    </row>
    <row r="49" spans="1:45" s="935" customFormat="1" x14ac:dyDescent="0.25">
      <c r="A49" s="969" t="s">
        <v>35</v>
      </c>
      <c r="B49" s="970"/>
      <c r="C49" s="970"/>
      <c r="D49" s="970"/>
      <c r="E49" s="970"/>
      <c r="F49" s="970"/>
      <c r="G49" s="970"/>
      <c r="H49" s="970"/>
      <c r="I49" s="970"/>
      <c r="J49" s="970"/>
      <c r="K49" s="971"/>
      <c r="L49" s="970"/>
      <c r="M49" s="970"/>
      <c r="N49" s="972">
        <f>SUM(N42:N48)</f>
        <v>0</v>
      </c>
      <c r="O49" s="972">
        <f>SUM(O42:O48)</f>
        <v>0</v>
      </c>
      <c r="P49" s="972">
        <f>SUM(P42:P48)</f>
        <v>0</v>
      </c>
      <c r="Q49" s="972">
        <f>SUM(Q42:Q48)</f>
        <v>0</v>
      </c>
      <c r="R49" s="972"/>
      <c r="S49" s="972"/>
      <c r="T49" s="973"/>
      <c r="U49" s="974"/>
      <c r="V49" s="975" t="str">
        <f>IF((O49*24)&gt;48,"PB","")</f>
        <v/>
      </c>
      <c r="W49" s="974"/>
      <c r="X49" s="974"/>
      <c r="Y49" s="974"/>
      <c r="Z49" s="1053" t="s">
        <v>59</v>
      </c>
      <c r="AA49" s="1055">
        <f>+O49-N49</f>
        <v>0</v>
      </c>
      <c r="AB49" s="917"/>
      <c r="AC49" s="934"/>
      <c r="AE49" s="917"/>
      <c r="AF49" s="917"/>
      <c r="AG49" s="917"/>
      <c r="AH49" s="917"/>
      <c r="AI49" s="917"/>
      <c r="AJ49" s="917"/>
      <c r="AK49" s="917"/>
      <c r="AL49" s="917"/>
      <c r="AM49" s="917"/>
      <c r="AN49" s="917"/>
      <c r="AO49" s="917"/>
      <c r="AP49" s="917"/>
      <c r="AR49" s="917"/>
      <c r="AS49" s="917"/>
    </row>
    <row r="50" spans="1:45" s="935" customFormat="1" x14ac:dyDescent="0.25">
      <c r="A50" s="969"/>
      <c r="B50" s="969"/>
      <c r="C50" s="969"/>
      <c r="D50" s="969"/>
      <c r="E50" s="969"/>
      <c r="F50" s="1052"/>
      <c r="G50" s="1052"/>
      <c r="H50" s="1052"/>
      <c r="I50" s="1052"/>
      <c r="J50" s="1052"/>
      <c r="K50" s="969"/>
      <c r="L50" s="969"/>
      <c r="M50" s="969"/>
      <c r="N50" s="973"/>
      <c r="O50" s="969"/>
      <c r="P50" s="980"/>
      <c r="Q50" s="980"/>
      <c r="R50" s="980"/>
      <c r="S50" s="981"/>
      <c r="T50" s="980"/>
      <c r="U50" s="980"/>
      <c r="V50" s="980"/>
      <c r="W50" s="980"/>
      <c r="X50" s="980"/>
      <c r="Y50" s="980"/>
      <c r="Z50" s="1053"/>
      <c r="AA50" s="1055"/>
      <c r="AB50" s="967"/>
      <c r="AC50" s="934"/>
      <c r="AE50" s="917"/>
      <c r="AF50" s="917"/>
      <c r="AG50" s="917"/>
      <c r="AH50" s="917"/>
      <c r="AI50" s="917"/>
      <c r="AJ50" s="917"/>
      <c r="AK50" s="917"/>
      <c r="AL50" s="917"/>
      <c r="AM50" s="917"/>
      <c r="AN50" s="917"/>
      <c r="AO50" s="917"/>
      <c r="AP50" s="917"/>
      <c r="AR50" s="917"/>
      <c r="AS50" s="917"/>
    </row>
    <row r="51" spans="1:45" s="935" customFormat="1" ht="16.5" x14ac:dyDescent="0.3">
      <c r="A51" s="969"/>
      <c r="B51" s="969"/>
      <c r="C51" s="969"/>
      <c r="D51" s="969"/>
      <c r="E51" s="969"/>
      <c r="F51" s="928">
        <f>+F39+7</f>
        <v>42822</v>
      </c>
      <c r="G51" s="928"/>
      <c r="H51" s="929" t="s">
        <v>58</v>
      </c>
      <c r="I51" s="928">
        <f>+F51+6</f>
        <v>42828</v>
      </c>
      <c r="J51" s="930"/>
      <c r="K51" s="969"/>
      <c r="L51" s="969"/>
      <c r="M51" s="969"/>
      <c r="N51" s="973"/>
      <c r="O51" s="969"/>
      <c r="P51" s="980"/>
      <c r="Q51" s="980"/>
      <c r="R51" s="980"/>
      <c r="S51" s="981"/>
      <c r="T51" s="980"/>
      <c r="U51" s="980"/>
      <c r="V51" s="980"/>
      <c r="W51" s="980"/>
      <c r="X51" s="980"/>
      <c r="Y51" s="980"/>
      <c r="Z51" s="1053"/>
      <c r="AA51" s="1054"/>
      <c r="AB51" s="917"/>
      <c r="AC51" s="934"/>
      <c r="AD51" s="917"/>
      <c r="AE51" s="917"/>
      <c r="AF51" s="917"/>
      <c r="AG51" s="917"/>
      <c r="AH51" s="917"/>
      <c r="AI51" s="917"/>
      <c r="AJ51" s="917"/>
      <c r="AK51" s="917"/>
      <c r="AL51" s="917"/>
      <c r="AM51" s="917"/>
      <c r="AN51" s="917"/>
      <c r="AO51" s="917"/>
      <c r="AP51" s="917"/>
      <c r="AR51" s="917"/>
      <c r="AS51" s="917"/>
    </row>
    <row r="52" spans="1:45" ht="14.45" customHeight="1" x14ac:dyDescent="0.25">
      <c r="A52" s="994"/>
      <c r="B52" s="938" t="s">
        <v>17</v>
      </c>
      <c r="C52" s="938"/>
      <c r="D52" s="938" t="s">
        <v>18</v>
      </c>
      <c r="E52" s="938"/>
      <c r="F52" s="938" t="s">
        <v>17</v>
      </c>
      <c r="G52" s="938"/>
      <c r="H52" s="938" t="s">
        <v>18</v>
      </c>
      <c r="I52" s="938"/>
      <c r="J52" s="938" t="s">
        <v>17</v>
      </c>
      <c r="K52" s="938"/>
      <c r="L52" s="938" t="s">
        <v>18</v>
      </c>
      <c r="M52" s="938"/>
      <c r="N52" s="939" t="s">
        <v>61</v>
      </c>
      <c r="O52" s="939" t="s">
        <v>62</v>
      </c>
      <c r="P52" s="939" t="s">
        <v>60</v>
      </c>
      <c r="Q52" s="939" t="s">
        <v>63</v>
      </c>
      <c r="R52" s="939" t="s">
        <v>64</v>
      </c>
      <c r="S52" s="940" t="s">
        <v>223</v>
      </c>
      <c r="T52" s="939" t="s">
        <v>70</v>
      </c>
      <c r="U52" s="941" t="s">
        <v>65</v>
      </c>
      <c r="V52" s="942"/>
      <c r="W52" s="942"/>
      <c r="X52" s="942"/>
      <c r="Y52" s="943"/>
      <c r="Z52" s="944" t="s">
        <v>22</v>
      </c>
      <c r="AA52" s="944"/>
      <c r="AC52" s="934"/>
    </row>
    <row r="53" spans="1:45" ht="26.25" thickBot="1" x14ac:dyDescent="0.4">
      <c r="A53" s="937" t="str">
        <f>"S"&amp;WEEKNUM(F51,21)</f>
        <v>S13</v>
      </c>
      <c r="B53" s="949" t="s">
        <v>0</v>
      </c>
      <c r="C53" s="950" t="s">
        <v>1</v>
      </c>
      <c r="D53" s="949" t="s">
        <v>0</v>
      </c>
      <c r="E53" s="950" t="s">
        <v>1</v>
      </c>
      <c r="F53" s="949" t="s">
        <v>0</v>
      </c>
      <c r="G53" s="950" t="s">
        <v>1</v>
      </c>
      <c r="H53" s="949" t="s">
        <v>0</v>
      </c>
      <c r="I53" s="950" t="s">
        <v>1</v>
      </c>
      <c r="J53" s="949" t="s">
        <v>0</v>
      </c>
      <c r="K53" s="950" t="s">
        <v>1</v>
      </c>
      <c r="L53" s="949" t="s">
        <v>0</v>
      </c>
      <c r="M53" s="950" t="s">
        <v>1</v>
      </c>
      <c r="N53" s="951"/>
      <c r="O53" s="951"/>
      <c r="P53" s="951"/>
      <c r="Q53" s="951"/>
      <c r="R53" s="951"/>
      <c r="S53" s="951"/>
      <c r="T53" s="939"/>
      <c r="U53" s="952" t="s">
        <v>66</v>
      </c>
      <c r="V53" s="952" t="s">
        <v>67</v>
      </c>
      <c r="W53" s="952" t="s">
        <v>68</v>
      </c>
      <c r="X53" s="952" t="s">
        <v>137</v>
      </c>
      <c r="Y53" s="952" t="s">
        <v>69</v>
      </c>
      <c r="Z53" s="944"/>
      <c r="AA53" s="944"/>
      <c r="AC53" s="934"/>
      <c r="AM53" s="917" t="s">
        <v>274</v>
      </c>
    </row>
    <row r="54" spans="1:45" ht="16.5" x14ac:dyDescent="0.3">
      <c r="A54" s="955" t="s">
        <v>12</v>
      </c>
      <c r="B54" s="414" t="b">
        <f>IF(Paramétrage!$O$42="",FALSE,Paramétrage!$O$42)</f>
        <v>0</v>
      </c>
      <c r="C54" s="263"/>
      <c r="D54" s="415" t="b">
        <f>IF(Paramétrage!$Q$42="",FALSE,Paramétrage!$Q$42)</f>
        <v>0</v>
      </c>
      <c r="E54" s="264"/>
      <c r="F54" s="414" t="b">
        <f>IF(Paramétrage!$R$42="",FALSE,Paramétrage!$R$42)</f>
        <v>0</v>
      </c>
      <c r="G54" s="264"/>
      <c r="H54" s="416" t="b">
        <f>IF(Paramétrage!$T$42="",FALSE,Paramétrage!$T$42)</f>
        <v>0</v>
      </c>
      <c r="I54" s="263"/>
      <c r="J54" s="417" t="b">
        <f>IF(Paramétrage!$U$42="",FALSE,Paramétrage!$U$42)</f>
        <v>0</v>
      </c>
      <c r="K54" s="263"/>
      <c r="L54" s="418" t="b">
        <f>IF(Paramétrage!$W$42="",FALSE,Paramétrage!$W$42)</f>
        <v>0</v>
      </c>
      <c r="M54" s="263"/>
      <c r="N54" s="956">
        <f t="shared" ref="N54:N56" si="88">IF(OR(B54="aa",B54="cp",B54="f",B54="jc",B54="m",B54="css"),0,(L54-J54)+(H54-F54)+(D54-B54))</f>
        <v>0</v>
      </c>
      <c r="O54" s="956">
        <f t="shared" ref="O54:O56" si="89">SUM(AM54:AP54)+IF(OR(C54="m",C54="aa"),N54,IF(C54="css",0,IF(C54="cp",0,IF(C54="jc",0,IF(C54="f",0,E54-C54+I54-G54+M54-K54)))))</f>
        <v>0</v>
      </c>
      <c r="P54" s="956">
        <f t="shared" ref="P54:P60" si="90">IF(OR(C54="aa",C54="cp",C54="f",C54="jc",C54="m",C54="css"),0,IF(C54="",IF(OR(F54="",F54=FALSE),0,F54-D54),IF(G54="",0,G54-E54)))</f>
        <v>0</v>
      </c>
      <c r="Q54" s="956">
        <f t="shared" ref="Q54:Q60" si="91">IF(P54=0,0,IF(G54="",IF(OR(J54="",J54=FALSE),0,J54-H54),IF(K54="",0,K54-I54)))</f>
        <v>0</v>
      </c>
      <c r="R54" s="957">
        <f t="shared" ref="R54:R56" si="92">IF(OR(C54="aa",C54="cp",C54="f",C54="jc",C54="m",C54="css"),0,IF(C54=0,MAX(B54,D54,F54,H54,J54,L54)-MIN(B54,D54,F54,H54,J54,L54),IF(C54&lt;&gt;0,MAX(C54,E54,G54,I54,K54,M54)-MIN(C54,E54,G54,I54,K54,M54))))</f>
        <v>0</v>
      </c>
      <c r="S54" s="262"/>
      <c r="T54" s="958" t="str">
        <f t="shared" ref="T54:T55" si="93">IF(AND(B54=FALSE,C54=""),"",IF(AND(B54=0,C54=0),"",(IF(OR(C54="cp",C54="f",C54="jc",C54="css"),"",IF(OR(C54="",C54="aa",C54="m"),(IF(OR(B54="cp",B54="f",B54="jc",B54="css"),"",B54*24+24-MAX(D53,H53,L53)*24)),C54*24+24-MAX(M53,I53,E53)*24)))))</f>
        <v/>
      </c>
      <c r="U54" s="959" t="str">
        <f>IF(P54=0,"",IF(P54&lt;Paramétrage!$S$12,"PB",IF(AND(Q54&lt;Paramétrage!$S$12,Q54&lt;&gt;0),"PB","")))</f>
        <v/>
      </c>
      <c r="V54" s="959" t="str">
        <f t="shared" ref="V54:V60" si="94">IF(C54="",IF((N54*24)&gt;10,"PB",""),IF((O54*24)&gt;10,"PB",""))</f>
        <v/>
      </c>
      <c r="W54" s="959" t="str">
        <f t="shared" ref="W54:W60" si="95">IF((R54*24)&gt;12,"PB","")</f>
        <v/>
      </c>
      <c r="X54" s="960" t="str">
        <f t="shared" ref="X54:X56" si="96">IF(AND(N54=0,O54=0),"",(IF(OR(C54="aa",C54="cp",C54="f",C54="jc",C54="m",C54="css"),"",IF(C54="",IF(OR(D54-B54&gt;6/24,H54-F54&gt;6/24,L54-J54&gt;6/24),"PB",""),IF(OR(E54-C54&gt;6/24,I54-G54&gt;6/24,M54-K54&gt;6/24),"PB","")))))</f>
        <v/>
      </c>
      <c r="Y54" s="959" t="str">
        <f t="shared" ref="Y54:Y60" si="97">IF(T54="","",IF(T54&lt;11,"PB",""))</f>
        <v/>
      </c>
      <c r="Z54" s="836"/>
      <c r="AA54" s="837"/>
      <c r="AC54" s="934">
        <f>AC48+1</f>
        <v>42822</v>
      </c>
      <c r="AD54" s="961">
        <f>IF(AND(N(AC54)&gt;=Paramétrage!$AU$11,N(AC54)&lt;=Paramétrage!$AU$12),IF(C54="cp",1,0),0)</f>
        <v>0</v>
      </c>
      <c r="AE54" s="962">
        <f t="shared" ref="AE54:AE60" si="98">IF(O54&lt;&gt;"erreur",N54,O54)</f>
        <v>0</v>
      </c>
      <c r="AF54" s="961">
        <f>IF(AND(N(AC54)&gt;=Paramétrage!$AX$11,N(AC54)&lt;=Paramétrage!$AX$12),IF(C54="cp",1,0),0)</f>
        <v>0</v>
      </c>
      <c r="AG54" s="962">
        <f>O54</f>
        <v>0</v>
      </c>
      <c r="AI54" s="962">
        <f>AE54+AI48</f>
        <v>0</v>
      </c>
      <c r="AJ54" s="962">
        <f>AG54+AJ48</f>
        <v>0</v>
      </c>
      <c r="AM54" s="962">
        <f>IF(AND($B54="cp",$C54="m"),$Z54,0)</f>
        <v>0</v>
      </c>
      <c r="AN54" s="962">
        <f>IF(AND($B54="jc",$C54="m"),$Z54,0)</f>
        <v>0</v>
      </c>
      <c r="AO54" s="962">
        <f>IF(AND($B54="cp",$C54="aa"),$Z54,0)</f>
        <v>0</v>
      </c>
      <c r="AP54" s="962">
        <f>IF(AND($B54="jc",$C54="aa"),$Z54,0)</f>
        <v>0</v>
      </c>
      <c r="AR54" s="917">
        <f>IF(AND(AC54&lt;=$AR$3,B54="CP"),1,0)</f>
        <v>0</v>
      </c>
      <c r="AS54" s="917">
        <f>IF(AND(AC54&lt;=$AR$3,C54="CP"),1,0)</f>
        <v>0</v>
      </c>
    </row>
    <row r="55" spans="1:45" ht="16.5" x14ac:dyDescent="0.3">
      <c r="A55" s="964" t="s">
        <v>13</v>
      </c>
      <c r="B55" s="414" t="b">
        <f>IF(Paramétrage!$O$43="",FALSE,Paramétrage!$O$43)</f>
        <v>0</v>
      </c>
      <c r="C55" s="263"/>
      <c r="D55" s="415" t="b">
        <f>IF(Paramétrage!$Q$43="",FALSE,Paramétrage!$Q$43)</f>
        <v>0</v>
      </c>
      <c r="E55" s="264"/>
      <c r="F55" s="414" t="b">
        <f>IF(Paramétrage!$R$43="",FALSE,Paramétrage!$R$43)</f>
        <v>0</v>
      </c>
      <c r="G55" s="264"/>
      <c r="H55" s="416" t="b">
        <f>IF(Paramétrage!$T$43="",FALSE,Paramétrage!$T$43)</f>
        <v>0</v>
      </c>
      <c r="I55" s="263"/>
      <c r="J55" s="417" t="b">
        <f>IF(Paramétrage!$U$43="",FALSE,Paramétrage!$U$43)</f>
        <v>0</v>
      </c>
      <c r="K55" s="263"/>
      <c r="L55" s="418" t="b">
        <f>IF(Paramétrage!$W$43="",FALSE,Paramétrage!$W$43)</f>
        <v>0</v>
      </c>
      <c r="M55" s="263"/>
      <c r="N55" s="956">
        <f t="shared" si="88"/>
        <v>0</v>
      </c>
      <c r="O55" s="956">
        <f t="shared" si="89"/>
        <v>0</v>
      </c>
      <c r="P55" s="956">
        <f t="shared" si="90"/>
        <v>0</v>
      </c>
      <c r="Q55" s="956">
        <f t="shared" si="91"/>
        <v>0</v>
      </c>
      <c r="R55" s="957">
        <f t="shared" si="92"/>
        <v>0</v>
      </c>
      <c r="S55" s="262"/>
      <c r="T55" s="958" t="str">
        <f t="shared" si="93"/>
        <v/>
      </c>
      <c r="U55" s="959" t="str">
        <f>IF(P55=0,"",IF(P55&lt;Paramétrage!$S$12,"PB",IF(AND(Q55&lt;Paramétrage!$S$12,Q55&lt;&gt;0),"PB","")))</f>
        <v/>
      </c>
      <c r="V55" s="959" t="str">
        <f t="shared" si="94"/>
        <v/>
      </c>
      <c r="W55" s="959" t="str">
        <f t="shared" si="95"/>
        <v/>
      </c>
      <c r="X55" s="960" t="str">
        <f t="shared" si="96"/>
        <v/>
      </c>
      <c r="Y55" s="959" t="str">
        <f t="shared" si="97"/>
        <v/>
      </c>
      <c r="Z55" s="836"/>
      <c r="AA55" s="837"/>
      <c r="AC55" s="934">
        <f t="shared" ref="AC55:AC60" si="99">AC54+1</f>
        <v>42823</v>
      </c>
      <c r="AD55" s="961">
        <f>IF(AND(N(AC55)&gt;=Paramétrage!$AU$11,N(AC55)&lt;=Paramétrage!$AU$12),IF(C55="cp",1,0),0)</f>
        <v>0</v>
      </c>
      <c r="AE55" s="962">
        <f t="shared" si="98"/>
        <v>0</v>
      </c>
      <c r="AF55" s="961">
        <f>IF(AND(N(AC55)&gt;=Paramétrage!$AX$11,N(AC55)&lt;=Paramétrage!$AX$12),IF(C55="cp",1,0),0)</f>
        <v>0</v>
      </c>
      <c r="AG55" s="962">
        <f t="shared" ref="AG55:AG60" si="100">O55</f>
        <v>0</v>
      </c>
      <c r="AI55" s="962">
        <f t="shared" ref="AI55:AI60" si="101">AE55+AI54</f>
        <v>0</v>
      </c>
      <c r="AJ55" s="962">
        <f t="shared" ref="AJ55:AJ60" si="102">AG55+AJ54</f>
        <v>0</v>
      </c>
      <c r="AM55" s="962">
        <f t="shared" ref="AM55:AM58" si="103">IF(AND($B55="cp",$C55="m"),$Z55,0)</f>
        <v>0</v>
      </c>
      <c r="AN55" s="962">
        <f t="shared" ref="AN55:AN58" si="104">IF(AND($B55="jc",$C55="m"),$Z55,0)</f>
        <v>0</v>
      </c>
      <c r="AO55" s="962">
        <f t="shared" ref="AO55:AO58" si="105">IF(AND($B55="cp",$C55="aa"),$Z55,0)</f>
        <v>0</v>
      </c>
      <c r="AP55" s="962">
        <f t="shared" ref="AP55:AP58" si="106">IF(AND($B55="jc",$C55="aa"),$Z55,0)</f>
        <v>0</v>
      </c>
      <c r="AR55" s="917">
        <f>IF(AND(AC55&lt;=$AR$3,B55="CP"),1,0)</f>
        <v>0</v>
      </c>
      <c r="AS55" s="917">
        <f>IF(AND(AC55&lt;=$AR$3,C55="CP"),1,0)</f>
        <v>0</v>
      </c>
    </row>
    <row r="56" spans="1:45" ht="16.5" x14ac:dyDescent="0.3">
      <c r="A56" s="964" t="s">
        <v>14</v>
      </c>
      <c r="B56" s="414" t="b">
        <f>IF(Paramétrage!$O$44="",FALSE,Paramétrage!$O$44)</f>
        <v>0</v>
      </c>
      <c r="C56" s="263"/>
      <c r="D56" s="415" t="b">
        <f>IF(Paramétrage!$Q$44="",FALSE,Paramétrage!$Q$44)</f>
        <v>0</v>
      </c>
      <c r="E56" s="264"/>
      <c r="F56" s="414" t="b">
        <f>IF(Paramétrage!$R$44="",FALSE,Paramétrage!$R$44)</f>
        <v>0</v>
      </c>
      <c r="G56" s="264"/>
      <c r="H56" s="416" t="b">
        <f>IF(Paramétrage!$T$44="",FALSE,Paramétrage!$T$44)</f>
        <v>0</v>
      </c>
      <c r="I56" s="263"/>
      <c r="J56" s="417" t="b">
        <f>IF(Paramétrage!$U$44="",FALSE,Paramétrage!$U$44)</f>
        <v>0</v>
      </c>
      <c r="K56" s="263"/>
      <c r="L56" s="418" t="b">
        <f>IF(Paramétrage!$W$44="",FALSE,Paramétrage!$W$44)</f>
        <v>0</v>
      </c>
      <c r="M56" s="263"/>
      <c r="N56" s="956">
        <f t="shared" si="88"/>
        <v>0</v>
      </c>
      <c r="O56" s="956">
        <f t="shared" si="89"/>
        <v>0</v>
      </c>
      <c r="P56" s="956">
        <f t="shared" si="90"/>
        <v>0</v>
      </c>
      <c r="Q56" s="956">
        <f t="shared" si="91"/>
        <v>0</v>
      </c>
      <c r="R56" s="957">
        <f t="shared" si="92"/>
        <v>0</v>
      </c>
      <c r="S56" s="262"/>
      <c r="T56" s="958" t="str">
        <f>IF(AND(B56=FALSE,C56=""),"",IF(AND(B56=0,C56=0),"",(IF(OR(C56="cp",C56="f",C56="jc",C56="css"),"",IF(OR(C56="",C56="aa",C56="m"),(IF(OR(B56="cp",B56="f",B56="jc",B56="css"),"",B56*24+24-MAX(D55,H55,L55)*24)),C56*24+24-MAX(M55,I55,E55)*24)))))</f>
        <v/>
      </c>
      <c r="U56" s="959" t="str">
        <f>IF(P56=0,"",IF(P56&lt;Paramétrage!$S$12,"PB",IF(AND(Q56&lt;Paramétrage!$S$12,Q56&lt;&gt;0),"PB","")))</f>
        <v/>
      </c>
      <c r="V56" s="959" t="str">
        <f t="shared" si="94"/>
        <v/>
      </c>
      <c r="W56" s="959" t="str">
        <f t="shared" si="95"/>
        <v/>
      </c>
      <c r="X56" s="960" t="str">
        <f t="shared" si="96"/>
        <v/>
      </c>
      <c r="Y56" s="959" t="str">
        <f t="shared" si="97"/>
        <v/>
      </c>
      <c r="Z56" s="836"/>
      <c r="AA56" s="837"/>
      <c r="AC56" s="934">
        <f t="shared" si="99"/>
        <v>42824</v>
      </c>
      <c r="AD56" s="961">
        <f>IF(AND(N(AC56)&gt;=Paramétrage!$AU$11,N(AC56)&lt;=Paramétrage!$AU$12),IF(C56="cp",1,0),0)</f>
        <v>0</v>
      </c>
      <c r="AE56" s="962">
        <f t="shared" si="98"/>
        <v>0</v>
      </c>
      <c r="AF56" s="961">
        <f>IF(AND(N(AC56)&gt;=Paramétrage!$AX$11,N(AC56)&lt;=Paramétrage!$AX$12),IF(C56="cp",1,0),0)</f>
        <v>0</v>
      </c>
      <c r="AG56" s="962">
        <f t="shared" si="100"/>
        <v>0</v>
      </c>
      <c r="AI56" s="962">
        <f t="shared" si="101"/>
        <v>0</v>
      </c>
      <c r="AJ56" s="962">
        <f t="shared" si="102"/>
        <v>0</v>
      </c>
      <c r="AM56" s="962">
        <f t="shared" si="103"/>
        <v>0</v>
      </c>
      <c r="AN56" s="962">
        <f t="shared" si="104"/>
        <v>0</v>
      </c>
      <c r="AO56" s="962">
        <f t="shared" si="105"/>
        <v>0</v>
      </c>
      <c r="AP56" s="962">
        <f t="shared" si="106"/>
        <v>0</v>
      </c>
      <c r="AR56" s="917">
        <f>IF(AND(AC56&lt;=$AR$3,B56="CP"),1,0)</f>
        <v>0</v>
      </c>
      <c r="AS56" s="917">
        <f>IF(AND(AC56&lt;=$AR$3,C56="CP"),1,0)</f>
        <v>0</v>
      </c>
    </row>
    <row r="57" spans="1:45" ht="16.5" x14ac:dyDescent="0.3">
      <c r="A57" s="964" t="s">
        <v>15</v>
      </c>
      <c r="B57" s="414" t="b">
        <f>IF(Paramétrage!$O$45="",FALSE,Paramétrage!$O$45)</f>
        <v>0</v>
      </c>
      <c r="C57" s="263"/>
      <c r="D57" s="415" t="b">
        <f>IF(Paramétrage!$Q$45="",FALSE,Paramétrage!$Q$45)</f>
        <v>0</v>
      </c>
      <c r="E57" s="264"/>
      <c r="F57" s="414" t="b">
        <f>IF(Paramétrage!$R$45="",FALSE,Paramétrage!$R$45)</f>
        <v>0</v>
      </c>
      <c r="G57" s="264"/>
      <c r="H57" s="416" t="b">
        <f>IF(Paramétrage!$T$45="",FALSE,Paramétrage!$T$45)</f>
        <v>0</v>
      </c>
      <c r="I57" s="263"/>
      <c r="J57" s="417" t="b">
        <f>IF(Paramétrage!$U$45="",FALSE,Paramétrage!$U$45)</f>
        <v>0</v>
      </c>
      <c r="K57" s="263"/>
      <c r="L57" s="418" t="b">
        <f>IF(Paramétrage!$W$45="",FALSE,Paramétrage!$W$45)</f>
        <v>0</v>
      </c>
      <c r="M57" s="263"/>
      <c r="N57" s="956">
        <f>IF(OR(B57="aa",B57="cp",B57="f",B57="jc",B57="m",B57="css"),0,(L57-J57)+(H57-F57)+(D57-B57))</f>
        <v>0</v>
      </c>
      <c r="O57" s="956">
        <f>SUM(AM57:AP57)+IF(OR(C57="m",C57="aa"),N57,IF(C57="css",0,IF(C57="cp",0,IF(C57="jc",0,IF(C57="f",0,E57-C57+I57-G57+M57-K57)))))</f>
        <v>0</v>
      </c>
      <c r="P57" s="956">
        <f t="shared" si="90"/>
        <v>0</v>
      </c>
      <c r="Q57" s="956">
        <f t="shared" si="91"/>
        <v>0</v>
      </c>
      <c r="R57" s="957">
        <f>IF(OR(C57="aa",C57="cp",C57="f",C57="jc",C57="m",C57="css"),0,IF(C57=0,MAX(B57,D57,F57,H57,J57,L57)-MIN(B57,D57,F57,H57,J57,L57),IF(C57&lt;&gt;0,MAX(C57,E57,G57,I57,K57,M57)-MIN(C57,E57,G57,I57,K57,M57))))</f>
        <v>0</v>
      </c>
      <c r="S57" s="262"/>
      <c r="T57" s="958" t="str">
        <f t="shared" ref="T57:T60" si="107">IF(AND(B57=FALSE,C57=""),"",IF(AND(B57=0,C57=0),"",(IF(OR(C57="cp",C57="f",C57="jc",C57="css"),"",IF(OR(C57="",C57="aa",C57="m"),(IF(OR(B57="cp",B57="f",B57="jc",B57="css"),"",B57*24+24-MAX(D56,H56,L56)*24)),C57*24+24-MAX(M56,I56,E56)*24)))))</f>
        <v/>
      </c>
      <c r="U57" s="959" t="str">
        <f>IF(P57=0,"",IF(P57&lt;Paramétrage!$S$12,"PB",IF(AND(Q57&lt;Paramétrage!$S$12,Q57&lt;&gt;0),"PB","")))</f>
        <v/>
      </c>
      <c r="V57" s="959" t="str">
        <f t="shared" si="94"/>
        <v/>
      </c>
      <c r="W57" s="959" t="str">
        <f t="shared" si="95"/>
        <v/>
      </c>
      <c r="X57" s="960" t="str">
        <f>IF(AND(N57=0,O57=0),"",(IF(OR(C57="aa",C57="cp",C57="f",C57="jc",C57="m",C57="css"),"",IF(C57="",IF(OR(D57-B57&gt;6/24,H57-F57&gt;6/24,L57-J57&gt;6/24),"PB",""),IF(OR(E57-C57&gt;6/24,I57-G57&gt;6/24,M57-K57&gt;6/24),"PB","")))))</f>
        <v/>
      </c>
      <c r="Y57" s="959" t="str">
        <f t="shared" si="97"/>
        <v/>
      </c>
      <c r="Z57" s="836"/>
      <c r="AA57" s="837"/>
      <c r="AC57" s="934">
        <f t="shared" si="99"/>
        <v>42825</v>
      </c>
      <c r="AD57" s="961">
        <f>IF(AND(N(AC57)&gt;=Paramétrage!$AU$11,N(AC57)&lt;=Paramétrage!$AU$12),IF(C57="cp",1,0),0)</f>
        <v>0</v>
      </c>
      <c r="AE57" s="962">
        <f t="shared" si="98"/>
        <v>0</v>
      </c>
      <c r="AF57" s="961">
        <f>IF(AND(N(AC57)&gt;=Paramétrage!$AX$11,N(AC57)&lt;=Paramétrage!$AX$12),IF(C57="cp",1,0),0)</f>
        <v>0</v>
      </c>
      <c r="AG57" s="962">
        <f t="shared" si="100"/>
        <v>0</v>
      </c>
      <c r="AI57" s="962">
        <f t="shared" si="101"/>
        <v>0</v>
      </c>
      <c r="AJ57" s="962">
        <f t="shared" si="102"/>
        <v>0</v>
      </c>
      <c r="AM57" s="962">
        <f t="shared" si="103"/>
        <v>0</v>
      </c>
      <c r="AN57" s="962">
        <f t="shared" si="104"/>
        <v>0</v>
      </c>
      <c r="AO57" s="962">
        <f t="shared" si="105"/>
        <v>0</v>
      </c>
      <c r="AP57" s="962">
        <f t="shared" si="106"/>
        <v>0</v>
      </c>
      <c r="AR57" s="917">
        <f>IF(AND(AC57&lt;=$AR$3,B57="CP"),1,0)</f>
        <v>0</v>
      </c>
      <c r="AS57" s="917">
        <f>IF(AND(AC57&lt;=$AR$3,C57="CP"),1,0)</f>
        <v>0</v>
      </c>
    </row>
    <row r="58" spans="1:45" ht="16.5" x14ac:dyDescent="0.3">
      <c r="A58" s="964" t="s">
        <v>16</v>
      </c>
      <c r="B58" s="414" t="b">
        <f>IF(Paramétrage!$O$46="",FALSE,Paramétrage!$O$46)</f>
        <v>0</v>
      </c>
      <c r="C58" s="263"/>
      <c r="D58" s="415" t="b">
        <f>IF(Paramétrage!$Q$46="",FALSE,Paramétrage!$Q$46)</f>
        <v>0</v>
      </c>
      <c r="E58" s="264"/>
      <c r="F58" s="414" t="b">
        <f>IF(Paramétrage!$R$46="",FALSE,Paramétrage!$R$46)</f>
        <v>0</v>
      </c>
      <c r="G58" s="264"/>
      <c r="H58" s="416" t="b">
        <f>IF(Paramétrage!$T$46="",FALSE,Paramétrage!$T$46)</f>
        <v>0</v>
      </c>
      <c r="I58" s="263"/>
      <c r="J58" s="417" t="b">
        <f>IF(Paramétrage!$U$46="",FALSE,Paramétrage!$U$46)</f>
        <v>0</v>
      </c>
      <c r="K58" s="263"/>
      <c r="L58" s="418" t="b">
        <f>IF(Paramétrage!$W$46="",FALSE,Paramétrage!$W$46)</f>
        <v>0</v>
      </c>
      <c r="M58" s="263"/>
      <c r="N58" s="956">
        <f>IF(OR(B58="aa",B58="cp",B58="f",B58="jc",B58="m",B58="css"),0,(L58-J58)+(H58-F58)+(D58-B58))</f>
        <v>0</v>
      </c>
      <c r="O58" s="956">
        <f>SUM(AM58:AP58)+IF(OR(C58="m",C58="aa"),N58,IF(C58="css",0,IF(C58="cp",0,IF(C58="jc",0,IF(C58="f",0,E58-C58+I58-G58+M58-K58)))))</f>
        <v>0</v>
      </c>
      <c r="P58" s="956">
        <f t="shared" si="90"/>
        <v>0</v>
      </c>
      <c r="Q58" s="956">
        <f t="shared" si="91"/>
        <v>0</v>
      </c>
      <c r="R58" s="957">
        <f>IF(OR(C58="aa",C58="cp",C58="f",C58="jc",C58="m",C58="css"),0,IF(C58=0,MAX(B58,D58,F58,H58,J58,L58)-MIN(B58,D58,F58,H58,J58,L58),IF(C58&lt;&gt;0,MAX(C58,E58,G58,I58,K58,M58)-MIN(C58,E58,G58,I58,K58,M58))))</f>
        <v>0</v>
      </c>
      <c r="S58" s="262"/>
      <c r="T58" s="958" t="str">
        <f t="shared" si="107"/>
        <v/>
      </c>
      <c r="U58" s="959" t="str">
        <f>IF(P58=0,"",IF(P58&lt;Paramétrage!$S$12,"PB",IF(AND(Q58&lt;Paramétrage!$S$12,Q58&lt;&gt;0),"PB","")))</f>
        <v/>
      </c>
      <c r="V58" s="959" t="str">
        <f t="shared" si="94"/>
        <v/>
      </c>
      <c r="W58" s="959" t="str">
        <f t="shared" si="95"/>
        <v/>
      </c>
      <c r="X58" s="960" t="str">
        <f>IF(AND(N58=0,O58=0),"",(IF(OR(C58="aa",C58="cp",C58="f",C58="jc",C58="m",C58="css"),"",IF(C58="",IF(OR(D58-B58&gt;6/24,H58-F58&gt;6/24,L58-J58&gt;6/24),"PB",""),IF(OR(E58-C58&gt;6/24,I58-G58&gt;6/24,M58-K58&gt;6/24),"PB","")))))</f>
        <v/>
      </c>
      <c r="Y58" s="959" t="str">
        <f t="shared" si="97"/>
        <v/>
      </c>
      <c r="Z58" s="836"/>
      <c r="AA58" s="837"/>
      <c r="AC58" s="934">
        <f t="shared" si="99"/>
        <v>42826</v>
      </c>
      <c r="AD58" s="961">
        <f>IF(AND(N(AC58)&gt;=Paramétrage!$AU$11,N(AC58)&lt;=Paramétrage!$AU$12),IF(C58="cp",1,0),0)</f>
        <v>0</v>
      </c>
      <c r="AE58" s="962">
        <f t="shared" si="98"/>
        <v>0</v>
      </c>
      <c r="AF58" s="961">
        <f>IF(AND(N(AC58)&gt;=Paramétrage!$AX$11,N(AC58)&lt;=Paramétrage!$AX$12),IF(C58="cp",1,0),0)</f>
        <v>0</v>
      </c>
      <c r="AG58" s="962">
        <f t="shared" si="100"/>
        <v>0</v>
      </c>
      <c r="AI58" s="962">
        <f t="shared" si="101"/>
        <v>0</v>
      </c>
      <c r="AJ58" s="962">
        <f t="shared" si="102"/>
        <v>0</v>
      </c>
      <c r="AM58" s="962">
        <f t="shared" si="103"/>
        <v>0</v>
      </c>
      <c r="AN58" s="962">
        <f t="shared" si="104"/>
        <v>0</v>
      </c>
      <c r="AO58" s="962">
        <f t="shared" si="105"/>
        <v>0</v>
      </c>
      <c r="AP58" s="962">
        <f t="shared" si="106"/>
        <v>0</v>
      </c>
      <c r="AR58" s="917">
        <f>IF(AND(AC58&lt;=$AR$3,B58="CP"),1,0)</f>
        <v>0</v>
      </c>
      <c r="AS58" s="917">
        <f>IF(AND(AC58&lt;=$AR$3,C58="CP"),1,0)</f>
        <v>0</v>
      </c>
    </row>
    <row r="59" spans="1:45" ht="16.5" x14ac:dyDescent="0.3">
      <c r="A59" s="964" t="s">
        <v>19</v>
      </c>
      <c r="B59" s="414" t="b">
        <f>IF(Paramétrage!$O$47="",FALSE,Paramétrage!$O$47)</f>
        <v>0</v>
      </c>
      <c r="C59" s="263"/>
      <c r="D59" s="415" t="b">
        <f>IF(Paramétrage!$Q$47="",FALSE,Paramétrage!$Q$47)</f>
        <v>0</v>
      </c>
      <c r="E59" s="264"/>
      <c r="F59" s="414" t="b">
        <f>IF(Paramétrage!$R$47="",FALSE,Paramétrage!$R$47)</f>
        <v>0</v>
      </c>
      <c r="G59" s="264"/>
      <c r="H59" s="416" t="b">
        <f>IF(Paramétrage!$T$47="",FALSE,Paramétrage!$T$47)</f>
        <v>0</v>
      </c>
      <c r="I59" s="263"/>
      <c r="J59" s="417" t="b">
        <f>IF(Paramétrage!$U$47="",FALSE,Paramétrage!$U$47)</f>
        <v>0</v>
      </c>
      <c r="K59" s="263"/>
      <c r="L59" s="418" t="b">
        <f>IF(Paramétrage!$W$47="",FALSE,Paramétrage!$W$47)</f>
        <v>0</v>
      </c>
      <c r="M59" s="263"/>
      <c r="N59" s="956">
        <f>IF(OR(B59="aa",B59="cp",B59="f",B59="jc",B59="m",B59="css"),0,(L59-J59)+(H59-F59)+(D59-B59))</f>
        <v>0</v>
      </c>
      <c r="O59" s="956">
        <f>IF(OR(C59="m",C59="aa"),N59,IF(C59="cp",0,IF(OR(C59="css",C59="jc"),0,IF(C59="f",0,E59-C59+I59-G59+M59-K59))))</f>
        <v>0</v>
      </c>
      <c r="P59" s="956">
        <f t="shared" si="90"/>
        <v>0</v>
      </c>
      <c r="Q59" s="956">
        <f t="shared" si="91"/>
        <v>0</v>
      </c>
      <c r="R59" s="957">
        <f>IF(OR(C59="aa",C59="cp",C59="f",C59="jc",C59="m",C59="css"),0,IF(C59=0,MAX(B59,D59,F59,H59,J59,L59)-MIN(B59,D59,F59,H59,J59,L59),IF(C59&lt;&gt;0,MAX(C59,E59,G59,I59,K59,M59)-MIN(C59,E59,G59,I59,K59,M59))))</f>
        <v>0</v>
      </c>
      <c r="S59" s="262"/>
      <c r="T59" s="958" t="str">
        <f t="shared" si="107"/>
        <v/>
      </c>
      <c r="U59" s="959" t="str">
        <f>IF(P59=0,"",IF(P59&lt;Paramétrage!$S$12,"PB",IF(AND(Q59&lt;Paramétrage!$S$12,Q59&lt;&gt;0),"PB","")))</f>
        <v/>
      </c>
      <c r="V59" s="959" t="str">
        <f t="shared" si="94"/>
        <v/>
      </c>
      <c r="W59" s="959" t="str">
        <f t="shared" si="95"/>
        <v/>
      </c>
      <c r="X59" s="960" t="str">
        <f>IF(AND(N59=0,O59=0),"",(IF(OR(C59="aa",C59="cp",C59="f",C59="jc",C59="m",C59="css"),"",IF(C59="",IF(OR(D59-B59&gt;6/24,H59-F59&gt;6/24,L59-J59&gt;6/24),"PB",""),IF(OR(E59-C59&gt;6/24,I59-G59&gt;6/24,M59-K59&gt;6/24),"PB","")))))</f>
        <v/>
      </c>
      <c r="Y59" s="959" t="str">
        <f t="shared" si="97"/>
        <v/>
      </c>
      <c r="Z59" s="836"/>
      <c r="AA59" s="837"/>
      <c r="AC59" s="934">
        <f t="shared" si="99"/>
        <v>42827</v>
      </c>
      <c r="AD59" s="961">
        <f>IF(AND(N(AC59)&gt;=Paramétrage!$AU$11,N(AC59)&lt;=Paramétrage!$AU$12),IF(C59="cp",1,0),0)</f>
        <v>0</v>
      </c>
      <c r="AE59" s="962">
        <f t="shared" si="98"/>
        <v>0</v>
      </c>
      <c r="AF59" s="961">
        <f>IF(AND(N(AC59)&gt;=Paramétrage!$AX$11,N(AC59)&lt;=Paramétrage!$AX$12),IF(C59="cp",1,0),0)</f>
        <v>0</v>
      </c>
      <c r="AG59" s="962">
        <f t="shared" si="100"/>
        <v>0</v>
      </c>
      <c r="AI59" s="962">
        <f t="shared" si="101"/>
        <v>0</v>
      </c>
      <c r="AJ59" s="962">
        <f t="shared" si="102"/>
        <v>0</v>
      </c>
      <c r="AM59" s="962"/>
      <c r="AN59" s="962"/>
      <c r="AO59" s="962"/>
      <c r="AP59" s="962"/>
    </row>
    <row r="60" spans="1:45" ht="17.25" thickBot="1" x14ac:dyDescent="0.35">
      <c r="A60" s="966" t="s">
        <v>20</v>
      </c>
      <c r="B60" s="414" t="b">
        <f>IF(Paramétrage!$O$48="",FALSE,Paramétrage!$O$48)</f>
        <v>0</v>
      </c>
      <c r="C60" s="263"/>
      <c r="D60" s="415" t="b">
        <f>IF(Paramétrage!$Q$48="",FALSE,Paramétrage!$Q$48)</f>
        <v>0</v>
      </c>
      <c r="E60" s="264"/>
      <c r="F60" s="414" t="b">
        <f>IF(Paramétrage!$R$48="",FALSE,Paramétrage!$R$48)</f>
        <v>0</v>
      </c>
      <c r="G60" s="264"/>
      <c r="H60" s="416" t="b">
        <f>IF(Paramétrage!$T$48="",FALSE,Paramétrage!$T$48)</f>
        <v>0</v>
      </c>
      <c r="I60" s="263"/>
      <c r="J60" s="417" t="b">
        <f>IF(Paramétrage!$U$48="",FALSE,Paramétrage!$U$48)</f>
        <v>0</v>
      </c>
      <c r="K60" s="263"/>
      <c r="L60" s="418" t="b">
        <f>IF(Paramétrage!$W$48="",FALSE,Paramétrage!$W$48)</f>
        <v>0</v>
      </c>
      <c r="M60" s="263"/>
      <c r="N60" s="956">
        <f>IF(OR(B60="aa",B60="m"),M60,IF(B60="cp",0,IF(B60="jc",0,IF(B60="f",0,(D60-B60)*Paramétrage!$S$13+(H60-F60)*Paramétrage!$S$13+(L60-J60)*Paramétrage!$S$13+(D60-B60+H60-F60+L60-J60)))))</f>
        <v>0</v>
      </c>
      <c r="O60" s="956">
        <f>IF(OR(C60="aa",C60="m"),N60,IF(C60="cp",0,IF(C60="jc",0,IF(C60="f",0,(E60-C60)*Paramétrage!$S$13+(I60-G60)*Paramétrage!$S$13+(M60-K60)*Paramétrage!$S$13+(E60-C60+I60-G60+M60-K60)))))</f>
        <v>0</v>
      </c>
      <c r="P60" s="956">
        <f t="shared" si="90"/>
        <v>0</v>
      </c>
      <c r="Q60" s="956">
        <f t="shared" si="91"/>
        <v>0</v>
      </c>
      <c r="R60" s="957">
        <f t="shared" ref="R60" si="108">IF(OR(C60="aa",C60="cp",C60="f",C60="jc",C60="m",C60=0),MAX(B60,D60,F60,H60,J60,L60)-MIN(B60,D60,F60,H60,J60,L60),IF(C60&lt;&gt;0,MAX(C60,E60,G60,I60,K60,M60)-MIN(C60,E60,G60,I60,K60,M60)))</f>
        <v>0</v>
      </c>
      <c r="S60" s="262"/>
      <c r="T60" s="958" t="str">
        <f t="shared" si="107"/>
        <v/>
      </c>
      <c r="U60" s="959" t="str">
        <f>IF(P60=0,"",IF(P60&lt;Paramétrage!$S$12,"PB",IF(AND(Q60&lt;Paramétrage!$S$12,Q60&lt;&gt;0),"PB","")))</f>
        <v/>
      </c>
      <c r="V60" s="959" t="str">
        <f t="shared" si="94"/>
        <v/>
      </c>
      <c r="W60" s="959" t="str">
        <f t="shared" si="95"/>
        <v/>
      </c>
      <c r="X60" s="960" t="str">
        <f t="shared" ref="X60" si="109">IF(AND(N60=0,O60=0),"",(IF(OR(C60="aa",C60="cp",C60="f",C60="jc",C60="m"),"",IF(C60="",IF(OR(D60-B60&gt;6/24,H60-F60&gt;6/24,L60-J60&gt;6/24),"PB",""),IF(OR(E60-C60&gt;6/24,I60-G60&gt;6/24,M60-K60&gt;6/24),"PB","")))))</f>
        <v/>
      </c>
      <c r="Y60" s="959" t="str">
        <f t="shared" si="97"/>
        <v/>
      </c>
      <c r="Z60" s="836"/>
      <c r="AA60" s="837"/>
      <c r="AC60" s="934">
        <f t="shared" si="99"/>
        <v>42828</v>
      </c>
      <c r="AD60" s="961">
        <f>IF(AND(N(AC60)&gt;=Paramétrage!$AU$11,N(AC60)&lt;=Paramétrage!$AU$12),IF(C60="cp",1,0),0)</f>
        <v>0</v>
      </c>
      <c r="AE60" s="962">
        <f t="shared" si="98"/>
        <v>0</v>
      </c>
      <c r="AF60" s="961">
        <f>IF(AND(N(AC60)&gt;=Paramétrage!$AX$11,N(AC60)&lt;=Paramétrage!$AX$12),IF(C60="cp",1,0),0)</f>
        <v>0</v>
      </c>
      <c r="AG60" s="962">
        <f t="shared" si="100"/>
        <v>0</v>
      </c>
      <c r="AI60" s="962">
        <f t="shared" si="101"/>
        <v>0</v>
      </c>
      <c r="AJ60" s="962">
        <f t="shared" si="102"/>
        <v>0</v>
      </c>
      <c r="AM60" s="962"/>
      <c r="AN60" s="962"/>
      <c r="AO60" s="962"/>
      <c r="AP60" s="962"/>
    </row>
    <row r="61" spans="1:45" s="935" customFormat="1" x14ac:dyDescent="0.25">
      <c r="A61" s="969" t="s">
        <v>36</v>
      </c>
      <c r="B61" s="970"/>
      <c r="C61" s="970"/>
      <c r="D61" s="970"/>
      <c r="E61" s="970"/>
      <c r="F61" s="970"/>
      <c r="G61" s="970"/>
      <c r="H61" s="970"/>
      <c r="I61" s="970"/>
      <c r="J61" s="970"/>
      <c r="K61" s="971"/>
      <c r="L61" s="970"/>
      <c r="M61" s="970"/>
      <c r="N61" s="972">
        <f>SUM(N54:N60)</f>
        <v>0</v>
      </c>
      <c r="O61" s="972">
        <f>SUM(O54:O60)</f>
        <v>0</v>
      </c>
      <c r="P61" s="972">
        <f>SUM(P54:P60)</f>
        <v>0</v>
      </c>
      <c r="Q61" s="972">
        <f>SUM(Q54:Q60)</f>
        <v>0</v>
      </c>
      <c r="R61" s="972"/>
      <c r="S61" s="972"/>
      <c r="T61" s="973"/>
      <c r="U61" s="974"/>
      <c r="V61" s="975" t="str">
        <f>IF((O61*24)&gt;48,"PB","")</f>
        <v/>
      </c>
      <c r="W61" s="974"/>
      <c r="X61" s="974"/>
      <c r="Y61" s="974"/>
      <c r="Z61" s="1053" t="s">
        <v>59</v>
      </c>
      <c r="AA61" s="1055">
        <f>+O61-N61</f>
        <v>0</v>
      </c>
      <c r="AB61" s="917"/>
      <c r="AC61" s="934"/>
      <c r="AE61" s="917"/>
      <c r="AF61" s="917"/>
      <c r="AG61" s="917"/>
      <c r="AH61" s="917"/>
      <c r="AI61" s="917"/>
      <c r="AJ61" s="917"/>
      <c r="AK61" s="917"/>
      <c r="AL61" s="917"/>
      <c r="AM61" s="917"/>
      <c r="AN61" s="917"/>
      <c r="AO61" s="917"/>
      <c r="AP61" s="917"/>
      <c r="AR61" s="917"/>
      <c r="AS61" s="917"/>
    </row>
    <row r="62" spans="1:45" s="935" customFormat="1" x14ac:dyDescent="0.25">
      <c r="A62" s="969"/>
      <c r="B62" s="969"/>
      <c r="C62" s="969"/>
      <c r="D62" s="969"/>
      <c r="E62" s="969"/>
      <c r="F62" s="1052"/>
      <c r="G62" s="1052"/>
      <c r="H62" s="1052"/>
      <c r="I62" s="1052"/>
      <c r="J62" s="1052"/>
      <c r="K62" s="969"/>
      <c r="L62" s="969"/>
      <c r="M62" s="969"/>
      <c r="N62" s="972"/>
      <c r="O62" s="972"/>
      <c r="P62" s="981"/>
      <c r="Q62" s="981"/>
      <c r="R62" s="981"/>
      <c r="S62" s="981"/>
      <c r="T62" s="980"/>
      <c r="U62" s="980"/>
      <c r="V62" s="980"/>
      <c r="W62" s="980"/>
      <c r="X62" s="980"/>
      <c r="Y62" s="980"/>
      <c r="Z62" s="1053"/>
      <c r="AA62" s="1055"/>
      <c r="AB62" s="967"/>
      <c r="AC62" s="934"/>
      <c r="AE62" s="917"/>
      <c r="AF62" s="917"/>
      <c r="AG62" s="917"/>
      <c r="AH62" s="917"/>
      <c r="AI62" s="917"/>
      <c r="AJ62" s="917"/>
      <c r="AK62" s="917"/>
      <c r="AL62" s="917"/>
      <c r="AM62" s="917"/>
      <c r="AN62" s="917"/>
      <c r="AO62" s="917"/>
      <c r="AP62" s="917"/>
      <c r="AR62" s="917"/>
      <c r="AS62" s="917"/>
    </row>
    <row r="63" spans="1:45" s="935" customFormat="1" ht="16.5" x14ac:dyDescent="0.3">
      <c r="A63" s="969"/>
      <c r="B63" s="969"/>
      <c r="C63" s="969"/>
      <c r="D63" s="969"/>
      <c r="E63" s="969"/>
      <c r="F63" s="928">
        <f>+'T3'!F51+7</f>
        <v>42829</v>
      </c>
      <c r="G63" s="928"/>
      <c r="H63" s="929" t="s">
        <v>58</v>
      </c>
      <c r="I63" s="928">
        <f>+F63+6</f>
        <v>42835</v>
      </c>
      <c r="J63" s="930"/>
      <c r="K63" s="969"/>
      <c r="L63" s="969"/>
      <c r="M63" s="969"/>
      <c r="N63" s="973"/>
      <c r="O63" s="969"/>
      <c r="P63" s="980"/>
      <c r="Q63" s="980"/>
      <c r="R63" s="980"/>
      <c r="S63" s="981"/>
      <c r="T63" s="980"/>
      <c r="U63" s="980"/>
      <c r="V63" s="980"/>
      <c r="W63" s="980"/>
      <c r="X63" s="980"/>
      <c r="Y63" s="980"/>
      <c r="Z63" s="1053"/>
      <c r="AA63" s="1054"/>
      <c r="AB63" s="917"/>
      <c r="AC63" s="934"/>
      <c r="AE63" s="917"/>
      <c r="AF63" s="917"/>
      <c r="AG63" s="917"/>
      <c r="AH63" s="917"/>
      <c r="AI63" s="917"/>
      <c r="AJ63" s="917"/>
      <c r="AK63" s="917"/>
      <c r="AL63" s="917"/>
      <c r="AM63" s="917"/>
      <c r="AN63" s="917"/>
      <c r="AO63" s="917"/>
      <c r="AP63" s="917"/>
      <c r="AR63" s="917"/>
      <c r="AS63" s="917"/>
    </row>
    <row r="64" spans="1:45" ht="14.45" customHeight="1" x14ac:dyDescent="0.25">
      <c r="A64" s="994"/>
      <c r="B64" s="938" t="s">
        <v>17</v>
      </c>
      <c r="C64" s="938"/>
      <c r="D64" s="938" t="s">
        <v>18</v>
      </c>
      <c r="E64" s="938"/>
      <c r="F64" s="938" t="s">
        <v>17</v>
      </c>
      <c r="G64" s="938"/>
      <c r="H64" s="938" t="s">
        <v>18</v>
      </c>
      <c r="I64" s="938"/>
      <c r="J64" s="938" t="s">
        <v>17</v>
      </c>
      <c r="K64" s="938"/>
      <c r="L64" s="938" t="s">
        <v>18</v>
      </c>
      <c r="M64" s="938"/>
      <c r="N64" s="939" t="s">
        <v>61</v>
      </c>
      <c r="O64" s="939" t="s">
        <v>62</v>
      </c>
      <c r="P64" s="939" t="s">
        <v>60</v>
      </c>
      <c r="Q64" s="939" t="s">
        <v>63</v>
      </c>
      <c r="R64" s="939" t="s">
        <v>64</v>
      </c>
      <c r="S64" s="940" t="s">
        <v>223</v>
      </c>
      <c r="T64" s="939" t="s">
        <v>70</v>
      </c>
      <c r="U64" s="941" t="s">
        <v>65</v>
      </c>
      <c r="V64" s="942"/>
      <c r="W64" s="942"/>
      <c r="X64" s="942"/>
      <c r="Y64" s="943"/>
      <c r="Z64" s="944" t="s">
        <v>22</v>
      </c>
      <c r="AA64" s="944"/>
      <c r="AC64" s="934"/>
    </row>
    <row r="65" spans="1:45" ht="26.25" thickBot="1" x14ac:dyDescent="0.4">
      <c r="A65" s="937" t="str">
        <f>"S"&amp;WEEKNUM(F63,21)</f>
        <v>S14</v>
      </c>
      <c r="B65" s="949" t="s">
        <v>0</v>
      </c>
      <c r="C65" s="950" t="s">
        <v>1</v>
      </c>
      <c r="D65" s="949" t="s">
        <v>0</v>
      </c>
      <c r="E65" s="950" t="s">
        <v>1</v>
      </c>
      <c r="F65" s="949" t="s">
        <v>0</v>
      </c>
      <c r="G65" s="950" t="s">
        <v>1</v>
      </c>
      <c r="H65" s="949" t="s">
        <v>0</v>
      </c>
      <c r="I65" s="950" t="s">
        <v>1</v>
      </c>
      <c r="J65" s="949" t="s">
        <v>0</v>
      </c>
      <c r="K65" s="950" t="s">
        <v>1</v>
      </c>
      <c r="L65" s="949" t="s">
        <v>0</v>
      </c>
      <c r="M65" s="950" t="s">
        <v>1</v>
      </c>
      <c r="N65" s="951"/>
      <c r="O65" s="951"/>
      <c r="P65" s="951"/>
      <c r="Q65" s="951"/>
      <c r="R65" s="951"/>
      <c r="S65" s="951"/>
      <c r="T65" s="939"/>
      <c r="U65" s="952" t="s">
        <v>66</v>
      </c>
      <c r="V65" s="952" t="s">
        <v>67</v>
      </c>
      <c r="W65" s="952" t="s">
        <v>68</v>
      </c>
      <c r="X65" s="952" t="s">
        <v>137</v>
      </c>
      <c r="Y65" s="952" t="s">
        <v>69</v>
      </c>
      <c r="Z65" s="944"/>
      <c r="AA65" s="944"/>
      <c r="AC65" s="934"/>
      <c r="AM65" s="917" t="s">
        <v>274</v>
      </c>
    </row>
    <row r="66" spans="1:45" ht="16.5" x14ac:dyDescent="0.3">
      <c r="A66" s="955" t="s">
        <v>12</v>
      </c>
      <c r="B66" s="414" t="b">
        <f>IF(Paramétrage!$O$42="",FALSE,Paramétrage!$O$42)</f>
        <v>0</v>
      </c>
      <c r="C66" s="263"/>
      <c r="D66" s="415" t="b">
        <f>IF(Paramétrage!$Q$42="",FALSE,Paramétrage!$Q$42)</f>
        <v>0</v>
      </c>
      <c r="E66" s="264"/>
      <c r="F66" s="414" t="b">
        <f>IF(Paramétrage!$R$42="",FALSE,Paramétrage!$R$42)</f>
        <v>0</v>
      </c>
      <c r="G66" s="264"/>
      <c r="H66" s="416" t="b">
        <f>IF(Paramétrage!$T$42="",FALSE,Paramétrage!$T$42)</f>
        <v>0</v>
      </c>
      <c r="I66" s="263"/>
      <c r="J66" s="417" t="b">
        <f>IF(Paramétrage!$U$42="",FALSE,Paramétrage!$U$42)</f>
        <v>0</v>
      </c>
      <c r="K66" s="263"/>
      <c r="L66" s="418" t="b">
        <f>IF(Paramétrage!$W$42="",FALSE,Paramétrage!$W$42)</f>
        <v>0</v>
      </c>
      <c r="M66" s="263"/>
      <c r="N66" s="956">
        <f t="shared" ref="N66:N68" si="110">IF(OR(B66="aa",B66="cp",B66="f",B66="jc",B66="m",B66="css"),0,(L66-J66)+(H66-F66)+(D66-B66))</f>
        <v>0</v>
      </c>
      <c r="O66" s="956">
        <f t="shared" ref="O66:O68" si="111">SUM(AM66:AP66)+IF(OR(C66="m",C66="aa"),N66,IF(C66="css",0,IF(C66="cp",0,IF(C66="jc",0,IF(C66="f",0,E66-C66+I66-G66+M66-K66)))))</f>
        <v>0</v>
      </c>
      <c r="P66" s="956">
        <f t="shared" ref="P66:P72" si="112">IF(OR(C66="aa",C66="cp",C66="f",C66="jc",C66="m",C66="css"),0,IF(C66="",IF(OR(F66="",F66=FALSE),0,F66-D66),IF(G66="",0,G66-E66)))</f>
        <v>0</v>
      </c>
      <c r="Q66" s="956">
        <f t="shared" ref="Q66:Q72" si="113">IF(P66=0,0,IF(G66="",IF(OR(J66="",J66=FALSE),0,J66-H66),IF(K66="",0,K66-I66)))</f>
        <v>0</v>
      </c>
      <c r="R66" s="957">
        <f t="shared" ref="R66:R68" si="114">IF(OR(C66="aa",C66="cp",C66="f",C66="jc",C66="m",C66="css"),0,IF(C66=0,MAX(B66,D66,F66,H66,J66,L66)-MIN(B66,D66,F66,H66,J66,L66),IF(C66&lt;&gt;0,MAX(C66,E66,G66,I66,K66,M66)-MIN(C66,E66,G66,I66,K66,M66))))</f>
        <v>0</v>
      </c>
      <c r="S66" s="262"/>
      <c r="T66" s="958" t="str">
        <f t="shared" ref="T66:T67" si="115">IF(AND(B66=FALSE,C66=""),"",IF(AND(B66=0,C66=0),"",(IF(OR(C66="cp",C66="f",C66="jc",C66="css"),"",IF(OR(C66="",C66="aa",C66="m"),(IF(OR(B66="cp",B66="f",B66="jc",B66="css"),"",B66*24+24-MAX(D65,H65,L65)*24)),C66*24+24-MAX(M65,I65,E65)*24)))))</f>
        <v/>
      </c>
      <c r="U66" s="959" t="str">
        <f>IF(P66=0,"",IF(P66&lt;Paramétrage!$S$12,"PB",IF(AND(Q66&lt;Paramétrage!$S$12,Q66&lt;&gt;0),"PB","")))</f>
        <v/>
      </c>
      <c r="V66" s="959" t="str">
        <f t="shared" ref="V66:V72" si="116">IF(C66="",IF((N66*24)&gt;10,"PB",""),IF((O66*24)&gt;10,"PB",""))</f>
        <v/>
      </c>
      <c r="W66" s="959" t="str">
        <f t="shared" ref="W66:W72" si="117">IF((R66*24)&gt;12,"PB","")</f>
        <v/>
      </c>
      <c r="X66" s="960" t="str">
        <f t="shared" ref="X66:X68" si="118">IF(AND(N66=0,O66=0),"",(IF(OR(C66="aa",C66="cp",C66="f",C66="jc",C66="m",C66="css"),"",IF(C66="",IF(OR(D66-B66&gt;6/24,H66-F66&gt;6/24,L66-J66&gt;6/24),"PB",""),IF(OR(E66-C66&gt;6/24,I66-G66&gt;6/24,M66-K66&gt;6/24),"PB","")))))</f>
        <v/>
      </c>
      <c r="Y66" s="959" t="str">
        <f t="shared" ref="Y66:Y72" si="119">IF(T66="","",IF(T66&lt;11,"PB",""))</f>
        <v/>
      </c>
      <c r="Z66" s="836"/>
      <c r="AA66" s="837"/>
      <c r="AC66" s="934">
        <f>AC60+1</f>
        <v>42829</v>
      </c>
      <c r="AD66" s="961">
        <f>IF(AND(N(AC66)&gt;=Paramétrage!$AU$11,N(AC66)&lt;=Paramétrage!$AU$12),IF(C66="cp",1,0),0)</f>
        <v>0</v>
      </c>
      <c r="AE66" s="962">
        <f t="shared" ref="AE66:AE72" si="120">IF(O66&lt;&gt;"erreur",N66,O66)</f>
        <v>0</v>
      </c>
      <c r="AF66" s="961">
        <f>IF(AND(N(AC66)&gt;=Paramétrage!$AX$11,N(AC66)&lt;=Paramétrage!$AX$12),IF(C66="cp",1,0),0)</f>
        <v>0</v>
      </c>
      <c r="AG66" s="962">
        <f t="shared" ref="AG66:AG72" si="121">O66</f>
        <v>0</v>
      </c>
      <c r="AI66" s="962">
        <f>AE66+AI60</f>
        <v>0</v>
      </c>
      <c r="AJ66" s="962">
        <f>AG66+AJ60</f>
        <v>0</v>
      </c>
      <c r="AM66" s="962">
        <f>IF(AND($B66="cp",$C66="m"),$Z66,0)</f>
        <v>0</v>
      </c>
      <c r="AN66" s="962">
        <f>IF(AND($B66="jc",$C66="m"),$Z66,0)</f>
        <v>0</v>
      </c>
      <c r="AO66" s="962">
        <f>IF(AND($B66="cp",$C66="aa"),$Z66,0)</f>
        <v>0</v>
      </c>
      <c r="AP66" s="962">
        <f>IF(AND($B66="jc",$C66="aa"),$Z66,0)</f>
        <v>0</v>
      </c>
      <c r="AR66" s="917">
        <f>IF(AND(AC66&lt;=$AR$3,B66="CP"),1,0)</f>
        <v>0</v>
      </c>
      <c r="AS66" s="917">
        <f>IF(AND(AC66&lt;=$AR$3,C66="CP"),1,0)</f>
        <v>0</v>
      </c>
    </row>
    <row r="67" spans="1:45" ht="16.5" x14ac:dyDescent="0.3">
      <c r="A67" s="964" t="s">
        <v>13</v>
      </c>
      <c r="B67" s="414" t="b">
        <f>IF(Paramétrage!$O$43="",FALSE,Paramétrage!$O$43)</f>
        <v>0</v>
      </c>
      <c r="C67" s="263"/>
      <c r="D67" s="415" t="b">
        <f>IF(Paramétrage!$Q$43="",FALSE,Paramétrage!$Q$43)</f>
        <v>0</v>
      </c>
      <c r="E67" s="264"/>
      <c r="F67" s="414" t="b">
        <f>IF(Paramétrage!$R$43="",FALSE,Paramétrage!$R$43)</f>
        <v>0</v>
      </c>
      <c r="G67" s="264"/>
      <c r="H67" s="416" t="b">
        <f>IF(Paramétrage!$T$43="",FALSE,Paramétrage!$T$43)</f>
        <v>0</v>
      </c>
      <c r="I67" s="263"/>
      <c r="J67" s="417" t="b">
        <f>IF(Paramétrage!$U$43="",FALSE,Paramétrage!$U$43)</f>
        <v>0</v>
      </c>
      <c r="K67" s="263"/>
      <c r="L67" s="418" t="b">
        <f>IF(Paramétrage!$W$43="",FALSE,Paramétrage!$W$43)</f>
        <v>0</v>
      </c>
      <c r="M67" s="263"/>
      <c r="N67" s="956">
        <f t="shared" si="110"/>
        <v>0</v>
      </c>
      <c r="O67" s="956">
        <f t="shared" si="111"/>
        <v>0</v>
      </c>
      <c r="P67" s="956">
        <f t="shared" si="112"/>
        <v>0</v>
      </c>
      <c r="Q67" s="956">
        <f t="shared" si="113"/>
        <v>0</v>
      </c>
      <c r="R67" s="957">
        <f t="shared" si="114"/>
        <v>0</v>
      </c>
      <c r="S67" s="262"/>
      <c r="T67" s="958" t="str">
        <f t="shared" si="115"/>
        <v/>
      </c>
      <c r="U67" s="959" t="str">
        <f>IF(P67=0,"",IF(P67&lt;Paramétrage!$S$12,"PB",IF(AND(Q67&lt;Paramétrage!$S$12,Q67&lt;&gt;0),"PB","")))</f>
        <v/>
      </c>
      <c r="V67" s="959" t="str">
        <f t="shared" si="116"/>
        <v/>
      </c>
      <c r="W67" s="959" t="str">
        <f t="shared" si="117"/>
        <v/>
      </c>
      <c r="X67" s="960" t="str">
        <f t="shared" si="118"/>
        <v/>
      </c>
      <c r="Y67" s="959" t="str">
        <f t="shared" si="119"/>
        <v/>
      </c>
      <c r="Z67" s="836"/>
      <c r="AA67" s="837"/>
      <c r="AC67" s="934">
        <f t="shared" ref="AC67:AC72" si="122">AC66+1</f>
        <v>42830</v>
      </c>
      <c r="AD67" s="961">
        <f>IF(AND(N(AC67)&gt;=Paramétrage!$AU$11,N(AC67)&lt;=Paramétrage!$AU$12),IF(C67="cp",1,0),0)</f>
        <v>0</v>
      </c>
      <c r="AE67" s="962">
        <f t="shared" si="120"/>
        <v>0</v>
      </c>
      <c r="AF67" s="961">
        <f>IF(AND(N(AC67)&gt;=Paramétrage!$AX$11,N(AC67)&lt;=Paramétrage!$AX$12),IF(C67="cp",1,0),0)</f>
        <v>0</v>
      </c>
      <c r="AG67" s="962">
        <f t="shared" si="121"/>
        <v>0</v>
      </c>
      <c r="AI67" s="962">
        <f t="shared" ref="AI67:AI72" si="123">AE67+AI66</f>
        <v>0</v>
      </c>
      <c r="AJ67" s="962">
        <f t="shared" ref="AJ67:AJ72" si="124">AG67+AJ66</f>
        <v>0</v>
      </c>
      <c r="AM67" s="962">
        <f t="shared" ref="AM67:AM70" si="125">IF(AND($B67="cp",$C67="m"),$Z67,0)</f>
        <v>0</v>
      </c>
      <c r="AN67" s="962">
        <f t="shared" ref="AN67:AN70" si="126">IF(AND($B67="jc",$C67="m"),$Z67,0)</f>
        <v>0</v>
      </c>
      <c r="AO67" s="962">
        <f t="shared" ref="AO67:AO70" si="127">IF(AND($B67="cp",$C67="aa"),$Z67,0)</f>
        <v>0</v>
      </c>
      <c r="AP67" s="962">
        <f t="shared" ref="AP67:AP70" si="128">IF(AND($B67="jc",$C67="aa"),$Z67,0)</f>
        <v>0</v>
      </c>
      <c r="AR67" s="917">
        <f>IF(AND(AC67&lt;=$AR$3,B67="CP"),1,0)</f>
        <v>0</v>
      </c>
      <c r="AS67" s="917">
        <f>IF(AND(AC67&lt;=$AR$3,C67="CP"),1,0)</f>
        <v>0</v>
      </c>
    </row>
    <row r="68" spans="1:45" ht="16.5" x14ac:dyDescent="0.3">
      <c r="A68" s="964" t="s">
        <v>14</v>
      </c>
      <c r="B68" s="414" t="b">
        <f>IF(Paramétrage!$O$44="",FALSE,Paramétrage!$O$44)</f>
        <v>0</v>
      </c>
      <c r="C68" s="263"/>
      <c r="D68" s="415" t="b">
        <f>IF(Paramétrage!$Q$44="",FALSE,Paramétrage!$Q$44)</f>
        <v>0</v>
      </c>
      <c r="E68" s="264"/>
      <c r="F68" s="414" t="b">
        <f>IF(Paramétrage!$R$44="",FALSE,Paramétrage!$R$44)</f>
        <v>0</v>
      </c>
      <c r="G68" s="264"/>
      <c r="H68" s="416" t="b">
        <f>IF(Paramétrage!$T$44="",FALSE,Paramétrage!$T$44)</f>
        <v>0</v>
      </c>
      <c r="I68" s="263"/>
      <c r="J68" s="417" t="b">
        <f>IF(Paramétrage!$U$44="",FALSE,Paramétrage!$U$44)</f>
        <v>0</v>
      </c>
      <c r="K68" s="263"/>
      <c r="L68" s="418" t="b">
        <f>IF(Paramétrage!$W$44="",FALSE,Paramétrage!$W$44)</f>
        <v>0</v>
      </c>
      <c r="M68" s="263"/>
      <c r="N68" s="956">
        <f t="shared" si="110"/>
        <v>0</v>
      </c>
      <c r="O68" s="956">
        <f t="shared" si="111"/>
        <v>0</v>
      </c>
      <c r="P68" s="956">
        <f t="shared" si="112"/>
        <v>0</v>
      </c>
      <c r="Q68" s="956">
        <f t="shared" si="113"/>
        <v>0</v>
      </c>
      <c r="R68" s="957">
        <f t="shared" si="114"/>
        <v>0</v>
      </c>
      <c r="S68" s="262"/>
      <c r="T68" s="958" t="str">
        <f>IF(AND(B68=FALSE,C68=""),"",IF(AND(B68=0,C68=0),"",(IF(OR(C68="cp",C68="f",C68="jc",C68="css"),"",IF(OR(C68="",C68="aa",C68="m"),(IF(OR(B68="cp",B68="f",B68="jc",B68="css"),"",B68*24+24-MAX(D67,H67,L67)*24)),C68*24+24-MAX(M67,I67,E67)*24)))))</f>
        <v/>
      </c>
      <c r="U68" s="959" t="str">
        <f>IF(P68=0,"",IF(P68&lt;Paramétrage!$S$12,"PB",IF(AND(Q68&lt;Paramétrage!$S$12,Q68&lt;&gt;0),"PB","")))</f>
        <v/>
      </c>
      <c r="V68" s="959" t="str">
        <f t="shared" si="116"/>
        <v/>
      </c>
      <c r="W68" s="959" t="str">
        <f t="shared" si="117"/>
        <v/>
      </c>
      <c r="X68" s="960" t="str">
        <f t="shared" si="118"/>
        <v/>
      </c>
      <c r="Y68" s="959" t="str">
        <f t="shared" si="119"/>
        <v/>
      </c>
      <c r="Z68" s="836"/>
      <c r="AA68" s="837"/>
      <c r="AC68" s="934">
        <f t="shared" si="122"/>
        <v>42831</v>
      </c>
      <c r="AD68" s="961">
        <f>IF(AND(N(AC68)&gt;=Paramétrage!$AU$11,N(AC68)&lt;=Paramétrage!$AU$12),IF(C68="cp",1,0),0)</f>
        <v>0</v>
      </c>
      <c r="AE68" s="962">
        <f t="shared" si="120"/>
        <v>0</v>
      </c>
      <c r="AF68" s="961">
        <f>IF(AND(N(AC68)&gt;=Paramétrage!$AX$11,N(AC68)&lt;=Paramétrage!$AX$12),IF(C68="cp",1,0),0)</f>
        <v>0</v>
      </c>
      <c r="AG68" s="962">
        <f t="shared" si="121"/>
        <v>0</v>
      </c>
      <c r="AI68" s="962">
        <f t="shared" si="123"/>
        <v>0</v>
      </c>
      <c r="AJ68" s="962">
        <f t="shared" si="124"/>
        <v>0</v>
      </c>
      <c r="AM68" s="962">
        <f t="shared" si="125"/>
        <v>0</v>
      </c>
      <c r="AN68" s="962">
        <f t="shared" si="126"/>
        <v>0</v>
      </c>
      <c r="AO68" s="962">
        <f t="shared" si="127"/>
        <v>0</v>
      </c>
      <c r="AP68" s="962">
        <f t="shared" si="128"/>
        <v>0</v>
      </c>
      <c r="AR68" s="917">
        <f>IF(AND(AC68&lt;=$AR$3,B68="CP"),1,0)</f>
        <v>0</v>
      </c>
      <c r="AS68" s="917">
        <f>IF(AND(AC68&lt;=$AR$3,C68="CP"),1,0)</f>
        <v>0</v>
      </c>
    </row>
    <row r="69" spans="1:45" ht="16.5" x14ac:dyDescent="0.3">
      <c r="A69" s="964" t="s">
        <v>15</v>
      </c>
      <c r="B69" s="414" t="b">
        <f>IF(Paramétrage!$O$45="",FALSE,Paramétrage!$O$45)</f>
        <v>0</v>
      </c>
      <c r="C69" s="263"/>
      <c r="D69" s="415" t="b">
        <f>IF(Paramétrage!$Q$45="",FALSE,Paramétrage!$Q$45)</f>
        <v>0</v>
      </c>
      <c r="E69" s="264"/>
      <c r="F69" s="414" t="b">
        <f>IF(Paramétrage!$R$45="",FALSE,Paramétrage!$R$45)</f>
        <v>0</v>
      </c>
      <c r="G69" s="264"/>
      <c r="H69" s="416" t="b">
        <f>IF(Paramétrage!$T$45="",FALSE,Paramétrage!$T$45)</f>
        <v>0</v>
      </c>
      <c r="I69" s="263"/>
      <c r="J69" s="417" t="b">
        <f>IF(Paramétrage!$U$45="",FALSE,Paramétrage!$U$45)</f>
        <v>0</v>
      </c>
      <c r="K69" s="263"/>
      <c r="L69" s="418" t="b">
        <f>IF(Paramétrage!$W$45="",FALSE,Paramétrage!$W$45)</f>
        <v>0</v>
      </c>
      <c r="M69" s="263"/>
      <c r="N69" s="956">
        <f>IF(OR(B69="aa",B69="cp",B69="f",B69="jc",B69="m",B69="css"),0,(L69-J69)+(H69-F69)+(D69-B69))</f>
        <v>0</v>
      </c>
      <c r="O69" s="956">
        <f>SUM(AM69:AP69)+IF(OR(C69="m",C69="aa"),N69,IF(C69="css",0,IF(C69="cp",0,IF(C69="jc",0,IF(C69="f",0,E69-C69+I69-G69+M69-K69)))))</f>
        <v>0</v>
      </c>
      <c r="P69" s="956">
        <f t="shared" si="112"/>
        <v>0</v>
      </c>
      <c r="Q69" s="956">
        <f t="shared" si="113"/>
        <v>0</v>
      </c>
      <c r="R69" s="957">
        <f>IF(OR(C69="aa",C69="cp",C69="f",C69="jc",C69="m",C69="css"),0,IF(C69=0,MAX(B69,D69,F69,H69,J69,L69)-MIN(B69,D69,F69,H69,J69,L69),IF(C69&lt;&gt;0,MAX(C69,E69,G69,I69,K69,M69)-MIN(C69,E69,G69,I69,K69,M69))))</f>
        <v>0</v>
      </c>
      <c r="S69" s="262"/>
      <c r="T69" s="958" t="str">
        <f t="shared" ref="T69:T72" si="129">IF(AND(B69=FALSE,C69=""),"",IF(AND(B69=0,C69=0),"",(IF(OR(C69="cp",C69="f",C69="jc",C69="css"),"",IF(OR(C69="",C69="aa",C69="m"),(IF(OR(B69="cp",B69="f",B69="jc",B69="css"),"",B69*24+24-MAX(D68,H68,L68)*24)),C69*24+24-MAX(M68,I68,E68)*24)))))</f>
        <v/>
      </c>
      <c r="U69" s="959" t="str">
        <f>IF(P69=0,"",IF(P69&lt;Paramétrage!$S$12,"PB",IF(AND(Q69&lt;Paramétrage!$S$12,Q69&lt;&gt;0),"PB","")))</f>
        <v/>
      </c>
      <c r="V69" s="959" t="str">
        <f t="shared" si="116"/>
        <v/>
      </c>
      <c r="W69" s="959" t="str">
        <f t="shared" si="117"/>
        <v/>
      </c>
      <c r="X69" s="960" t="str">
        <f>IF(AND(N69=0,O69=0),"",(IF(OR(C69="aa",C69="cp",C69="f",C69="jc",C69="m",C69="css"),"",IF(C69="",IF(OR(D69-B69&gt;6/24,H69-F69&gt;6/24,L69-J69&gt;6/24),"PB",""),IF(OR(E69-C69&gt;6/24,I69-G69&gt;6/24,M69-K69&gt;6/24),"PB","")))))</f>
        <v/>
      </c>
      <c r="Y69" s="959" t="str">
        <f t="shared" si="119"/>
        <v/>
      </c>
      <c r="Z69" s="836"/>
      <c r="AA69" s="837"/>
      <c r="AC69" s="934">
        <f t="shared" si="122"/>
        <v>42832</v>
      </c>
      <c r="AD69" s="961">
        <f>IF(AND(N(AC69)&gt;=Paramétrage!$AU$11,N(AC69)&lt;=Paramétrage!$AU$12),IF(C69="cp",1,0),0)</f>
        <v>0</v>
      </c>
      <c r="AE69" s="962">
        <f t="shared" si="120"/>
        <v>0</v>
      </c>
      <c r="AF69" s="961">
        <f>IF(AND(N(AC69)&gt;=Paramétrage!$AX$11,N(AC69)&lt;=Paramétrage!$AX$12),IF(C69="cp",1,0),0)</f>
        <v>0</v>
      </c>
      <c r="AG69" s="962">
        <f t="shared" si="121"/>
        <v>0</v>
      </c>
      <c r="AI69" s="962">
        <f t="shared" si="123"/>
        <v>0</v>
      </c>
      <c r="AJ69" s="962">
        <f t="shared" si="124"/>
        <v>0</v>
      </c>
      <c r="AM69" s="962">
        <f t="shared" si="125"/>
        <v>0</v>
      </c>
      <c r="AN69" s="962">
        <f t="shared" si="126"/>
        <v>0</v>
      </c>
      <c r="AO69" s="962">
        <f t="shared" si="127"/>
        <v>0</v>
      </c>
      <c r="AP69" s="962">
        <f t="shared" si="128"/>
        <v>0</v>
      </c>
      <c r="AR69" s="917">
        <f>IF(AND(AC69&lt;=$AR$3,B69="CP"),1,0)</f>
        <v>0</v>
      </c>
      <c r="AS69" s="917">
        <f>IF(AND(AC69&lt;=$AR$3,C69="CP"),1,0)</f>
        <v>0</v>
      </c>
    </row>
    <row r="70" spans="1:45" ht="16.5" x14ac:dyDescent="0.3">
      <c r="A70" s="964" t="s">
        <v>16</v>
      </c>
      <c r="B70" s="414" t="b">
        <f>IF(Paramétrage!$O$46="",FALSE,Paramétrage!$O$46)</f>
        <v>0</v>
      </c>
      <c r="C70" s="263"/>
      <c r="D70" s="415" t="b">
        <f>IF(Paramétrage!$Q$46="",FALSE,Paramétrage!$Q$46)</f>
        <v>0</v>
      </c>
      <c r="E70" s="264"/>
      <c r="F70" s="414" t="b">
        <f>IF(Paramétrage!$R$46="",FALSE,Paramétrage!$R$46)</f>
        <v>0</v>
      </c>
      <c r="G70" s="264"/>
      <c r="H70" s="416" t="b">
        <f>IF(Paramétrage!$T$46="",FALSE,Paramétrage!$T$46)</f>
        <v>0</v>
      </c>
      <c r="I70" s="263"/>
      <c r="J70" s="417" t="b">
        <f>IF(Paramétrage!$U$46="",FALSE,Paramétrage!$U$46)</f>
        <v>0</v>
      </c>
      <c r="K70" s="263"/>
      <c r="L70" s="418" t="b">
        <f>IF(Paramétrage!$W$46="",FALSE,Paramétrage!$W$46)</f>
        <v>0</v>
      </c>
      <c r="M70" s="263"/>
      <c r="N70" s="956">
        <f>IF(OR(B70="aa",B70="cp",B70="f",B70="jc",B70="m",B70="css"),0,(L70-J70)+(H70-F70)+(D70-B70))</f>
        <v>0</v>
      </c>
      <c r="O70" s="956">
        <f>SUM(AM70:AP70)+IF(OR(C70="m",C70="aa"),N70,IF(C70="css",0,IF(C70="cp",0,IF(C70="jc",0,IF(C70="f",0,E70-C70+I70-G70+M70-K70)))))</f>
        <v>0</v>
      </c>
      <c r="P70" s="956">
        <f t="shared" si="112"/>
        <v>0</v>
      </c>
      <c r="Q70" s="956">
        <f t="shared" si="113"/>
        <v>0</v>
      </c>
      <c r="R70" s="957">
        <f>IF(OR(C70="aa",C70="cp",C70="f",C70="jc",C70="m",C70="css"),0,IF(C70=0,MAX(B70,D70,F70,H70,J70,L70)-MIN(B70,D70,F70,H70,J70,L70),IF(C70&lt;&gt;0,MAX(C70,E70,G70,I70,K70,M70)-MIN(C70,E70,G70,I70,K70,M70))))</f>
        <v>0</v>
      </c>
      <c r="S70" s="262"/>
      <c r="T70" s="958" t="str">
        <f t="shared" si="129"/>
        <v/>
      </c>
      <c r="U70" s="959" t="str">
        <f>IF(P70=0,"",IF(P70&lt;Paramétrage!$S$12,"PB",IF(AND(Q70&lt;Paramétrage!$S$12,Q70&lt;&gt;0),"PB","")))</f>
        <v/>
      </c>
      <c r="V70" s="959" t="str">
        <f t="shared" si="116"/>
        <v/>
      </c>
      <c r="W70" s="959" t="str">
        <f t="shared" si="117"/>
        <v/>
      </c>
      <c r="X70" s="960" t="str">
        <f>IF(AND(N70=0,O70=0),"",(IF(OR(C70="aa",C70="cp",C70="f",C70="jc",C70="m",C70="css"),"",IF(C70="",IF(OR(D70-B70&gt;6/24,H70-F70&gt;6/24,L70-J70&gt;6/24),"PB",""),IF(OR(E70-C70&gt;6/24,I70-G70&gt;6/24,M70-K70&gt;6/24),"PB","")))))</f>
        <v/>
      </c>
      <c r="Y70" s="959" t="str">
        <f t="shared" si="119"/>
        <v/>
      </c>
      <c r="Z70" s="836"/>
      <c r="AA70" s="837"/>
      <c r="AC70" s="934">
        <f t="shared" si="122"/>
        <v>42833</v>
      </c>
      <c r="AD70" s="961">
        <f>IF(AND(N(AC70)&gt;=Paramétrage!$AU$11,N(AC70)&lt;=Paramétrage!$AU$12),IF(C70="cp",1,0),0)</f>
        <v>0</v>
      </c>
      <c r="AE70" s="962">
        <f t="shared" si="120"/>
        <v>0</v>
      </c>
      <c r="AF70" s="961">
        <f>IF(AND(N(AC70)&gt;=Paramétrage!$AX$11,N(AC70)&lt;=Paramétrage!$AX$12),IF(C70="cp",1,0),0)</f>
        <v>0</v>
      </c>
      <c r="AG70" s="962">
        <f t="shared" si="121"/>
        <v>0</v>
      </c>
      <c r="AI70" s="962">
        <f t="shared" si="123"/>
        <v>0</v>
      </c>
      <c r="AJ70" s="962">
        <f t="shared" si="124"/>
        <v>0</v>
      </c>
      <c r="AM70" s="962">
        <f t="shared" si="125"/>
        <v>0</v>
      </c>
      <c r="AN70" s="962">
        <f t="shared" si="126"/>
        <v>0</v>
      </c>
      <c r="AO70" s="962">
        <f t="shared" si="127"/>
        <v>0</v>
      </c>
      <c r="AP70" s="962">
        <f t="shared" si="128"/>
        <v>0</v>
      </c>
      <c r="AR70" s="917">
        <f>IF(AND(AC70&lt;=$AR$3,B70="CP"),1,0)</f>
        <v>0</v>
      </c>
      <c r="AS70" s="917">
        <f>IF(AND(AC70&lt;=$AR$3,C70="CP"),1,0)</f>
        <v>0</v>
      </c>
    </row>
    <row r="71" spans="1:45" ht="16.5" x14ac:dyDescent="0.3">
      <c r="A71" s="964" t="s">
        <v>19</v>
      </c>
      <c r="B71" s="414" t="b">
        <f>IF(Paramétrage!$O$47="",FALSE,Paramétrage!$O$47)</f>
        <v>0</v>
      </c>
      <c r="C71" s="263"/>
      <c r="D71" s="415" t="b">
        <f>IF(Paramétrage!$Q$47="",FALSE,Paramétrage!$Q$47)</f>
        <v>0</v>
      </c>
      <c r="E71" s="264"/>
      <c r="F71" s="414" t="b">
        <f>IF(Paramétrage!$R$47="",FALSE,Paramétrage!$R$47)</f>
        <v>0</v>
      </c>
      <c r="G71" s="264"/>
      <c r="H71" s="416" t="b">
        <f>IF(Paramétrage!$T$47="",FALSE,Paramétrage!$T$47)</f>
        <v>0</v>
      </c>
      <c r="I71" s="263"/>
      <c r="J71" s="417" t="b">
        <f>IF(Paramétrage!$U$47="",FALSE,Paramétrage!$U$47)</f>
        <v>0</v>
      </c>
      <c r="K71" s="263"/>
      <c r="L71" s="418" t="b">
        <f>IF(Paramétrage!$W$47="",FALSE,Paramétrage!$W$47)</f>
        <v>0</v>
      </c>
      <c r="M71" s="263"/>
      <c r="N71" s="956">
        <f>IF(OR(B71="aa",B71="cp",B71="f",B71="jc",B71="m",B71="css"),0,(L71-J71)+(H71-F71)+(D71-B71))</f>
        <v>0</v>
      </c>
      <c r="O71" s="956">
        <f>IF(OR(C71="m",C71="aa"),N71,IF(C71="cp",0,IF(OR(C71="css",C71="jc"),0,IF(C71="f",0,E71-C71+I71-G71+M71-K71))))</f>
        <v>0</v>
      </c>
      <c r="P71" s="956">
        <f t="shared" si="112"/>
        <v>0</v>
      </c>
      <c r="Q71" s="956">
        <f t="shared" si="113"/>
        <v>0</v>
      </c>
      <c r="R71" s="957">
        <f>IF(OR(C71="aa",C71="cp",C71="f",C71="jc",C71="m",C71="css"),0,IF(C71=0,MAX(B71,D71,F71,H71,J71,L71)-MIN(B71,D71,F71,H71,J71,L71),IF(C71&lt;&gt;0,MAX(C71,E71,G71,I71,K71,M71)-MIN(C71,E71,G71,I71,K71,M71))))</f>
        <v>0</v>
      </c>
      <c r="S71" s="262"/>
      <c r="T71" s="958" t="str">
        <f t="shared" si="129"/>
        <v/>
      </c>
      <c r="U71" s="959" t="str">
        <f>IF(P71=0,"",IF(P71&lt;Paramétrage!$S$12,"PB",IF(AND(Q71&lt;Paramétrage!$S$12,Q71&lt;&gt;0),"PB","")))</f>
        <v/>
      </c>
      <c r="V71" s="959" t="str">
        <f t="shared" si="116"/>
        <v/>
      </c>
      <c r="W71" s="959" t="str">
        <f t="shared" si="117"/>
        <v/>
      </c>
      <c r="X71" s="960" t="str">
        <f>IF(AND(N71=0,O71=0),"",(IF(OR(C71="aa",C71="cp",C71="f",C71="jc",C71="m",C71="css"),"",IF(C71="",IF(OR(D71-B71&gt;6/24,H71-F71&gt;6/24,L71-J71&gt;6/24),"PB",""),IF(OR(E71-C71&gt;6/24,I71-G71&gt;6/24,M71-K71&gt;6/24),"PB","")))))</f>
        <v/>
      </c>
      <c r="Y71" s="959" t="str">
        <f t="shared" si="119"/>
        <v/>
      </c>
      <c r="Z71" s="836"/>
      <c r="AA71" s="837"/>
      <c r="AC71" s="934">
        <f t="shared" si="122"/>
        <v>42834</v>
      </c>
      <c r="AD71" s="961">
        <f>IF(AND(N(AC71)&gt;=Paramétrage!$AU$11,N(AC71)&lt;=Paramétrage!$AU$12),IF(C71="cp",1,0),0)</f>
        <v>0</v>
      </c>
      <c r="AE71" s="962">
        <f t="shared" si="120"/>
        <v>0</v>
      </c>
      <c r="AF71" s="961">
        <f>IF(AND(N(AC71)&gt;=Paramétrage!$AX$11,N(AC71)&lt;=Paramétrage!$AX$12),IF(C71="cp",1,0),0)</f>
        <v>0</v>
      </c>
      <c r="AG71" s="962">
        <f t="shared" si="121"/>
        <v>0</v>
      </c>
      <c r="AI71" s="962">
        <f t="shared" si="123"/>
        <v>0</v>
      </c>
      <c r="AJ71" s="962">
        <f t="shared" si="124"/>
        <v>0</v>
      </c>
      <c r="AM71" s="962"/>
      <c r="AN71" s="962"/>
      <c r="AO71" s="962"/>
      <c r="AP71" s="962"/>
    </row>
    <row r="72" spans="1:45" ht="17.25" thickBot="1" x14ac:dyDescent="0.35">
      <c r="A72" s="966" t="s">
        <v>20</v>
      </c>
      <c r="B72" s="414" t="b">
        <f>IF(Paramétrage!$O$48="",FALSE,Paramétrage!$O$48)</f>
        <v>0</v>
      </c>
      <c r="C72" s="263"/>
      <c r="D72" s="415" t="b">
        <f>IF(Paramétrage!$Q$48="",FALSE,Paramétrage!$Q$48)</f>
        <v>0</v>
      </c>
      <c r="E72" s="264"/>
      <c r="F72" s="414" t="b">
        <f>IF(Paramétrage!$R$48="",FALSE,Paramétrage!$R$48)</f>
        <v>0</v>
      </c>
      <c r="G72" s="264"/>
      <c r="H72" s="416" t="b">
        <f>IF(Paramétrage!$T$48="",FALSE,Paramétrage!$T$48)</f>
        <v>0</v>
      </c>
      <c r="I72" s="263"/>
      <c r="J72" s="417" t="b">
        <f>IF(Paramétrage!$U$48="",FALSE,Paramétrage!$U$48)</f>
        <v>0</v>
      </c>
      <c r="K72" s="263"/>
      <c r="L72" s="418" t="b">
        <f>IF(Paramétrage!$W$48="",FALSE,Paramétrage!$W$48)</f>
        <v>0</v>
      </c>
      <c r="M72" s="263"/>
      <c r="N72" s="956">
        <f>IF(OR(B72="aa",B72="m"),M72,IF(B72="cp",0,IF(B72="jc",0,IF(B72="f",0,(D72-B72)*Paramétrage!$S$13+(H72-F72)*Paramétrage!$S$13+(L72-J72)*Paramétrage!$S$13+(D72-B72+H72-F72+L72-J72)))))</f>
        <v>0</v>
      </c>
      <c r="O72" s="956">
        <f>IF(OR(C72="aa",C72="m"),N72,IF(C72="cp",0,IF(C72="jc",0,IF(C72="f",0,(E72-C72)*Paramétrage!$S$13+(I72-G72)*Paramétrage!$S$13+(M72-K72)*Paramétrage!$S$13+(E72-C72+I72-G72+M72-K72)))))</f>
        <v>0</v>
      </c>
      <c r="P72" s="956">
        <f t="shared" si="112"/>
        <v>0</v>
      </c>
      <c r="Q72" s="956">
        <f t="shared" si="113"/>
        <v>0</v>
      </c>
      <c r="R72" s="957">
        <f t="shared" ref="R72" si="130">IF(OR(C72="aa",C72="cp",C72="f",C72="jc",C72="m",C72=0),MAX(B72,D72,F72,H72,J72,L72)-MIN(B72,D72,F72,H72,J72,L72),IF(C72&lt;&gt;0,MAX(C72,E72,G72,I72,K72,M72)-MIN(C72,E72,G72,I72,K72,M72)))</f>
        <v>0</v>
      </c>
      <c r="S72" s="262"/>
      <c r="T72" s="958" t="str">
        <f t="shared" si="129"/>
        <v/>
      </c>
      <c r="U72" s="959" t="str">
        <f>IF(P72=0,"",IF(P72&lt;Paramétrage!$S$12,"PB",IF(AND(Q72&lt;Paramétrage!$S$12,Q72&lt;&gt;0),"PB","")))</f>
        <v/>
      </c>
      <c r="V72" s="959" t="str">
        <f t="shared" si="116"/>
        <v/>
      </c>
      <c r="W72" s="959" t="str">
        <f t="shared" si="117"/>
        <v/>
      </c>
      <c r="X72" s="960" t="str">
        <f t="shared" ref="X72" si="131">IF(AND(N72=0,O72=0),"",(IF(OR(C72="aa",C72="cp",C72="f",C72="jc",C72="m"),"",IF(C72="",IF(OR(D72-B72&gt;6/24,H72-F72&gt;6/24,L72-J72&gt;6/24),"PB",""),IF(OR(E72-C72&gt;6/24,I72-G72&gt;6/24,M72-K72&gt;6/24),"PB","")))))</f>
        <v/>
      </c>
      <c r="Y72" s="959" t="str">
        <f t="shared" si="119"/>
        <v/>
      </c>
      <c r="Z72" s="836"/>
      <c r="AA72" s="837"/>
      <c r="AC72" s="934">
        <f t="shared" si="122"/>
        <v>42835</v>
      </c>
      <c r="AD72" s="961">
        <f>IF(AND(N(AC72)&gt;=Paramétrage!$AU$11,N(AC72)&lt;=Paramétrage!$AU$12),IF(C72="cp",1,0),0)</f>
        <v>0</v>
      </c>
      <c r="AE72" s="962">
        <f t="shared" si="120"/>
        <v>0</v>
      </c>
      <c r="AF72" s="961">
        <f>IF(AND(N(AC72)&gt;=Paramétrage!$AX$11,N(AC72)&lt;=Paramétrage!$AX$12),IF(C72="cp",1,0),0)</f>
        <v>0</v>
      </c>
      <c r="AG72" s="962">
        <f t="shared" si="121"/>
        <v>0</v>
      </c>
      <c r="AI72" s="962">
        <f t="shared" si="123"/>
        <v>0</v>
      </c>
      <c r="AJ72" s="962">
        <f t="shared" si="124"/>
        <v>0</v>
      </c>
      <c r="AM72" s="962"/>
      <c r="AN72" s="962"/>
      <c r="AO72" s="962"/>
      <c r="AP72" s="962"/>
    </row>
    <row r="73" spans="1:45" s="935" customFormat="1" x14ac:dyDescent="0.25">
      <c r="A73" s="969" t="s">
        <v>37</v>
      </c>
      <c r="B73" s="970"/>
      <c r="C73" s="970"/>
      <c r="D73" s="970"/>
      <c r="E73" s="970"/>
      <c r="F73" s="970"/>
      <c r="G73" s="970"/>
      <c r="H73" s="970"/>
      <c r="I73" s="970"/>
      <c r="J73" s="970"/>
      <c r="K73" s="971"/>
      <c r="L73" s="970"/>
      <c r="M73" s="970"/>
      <c r="N73" s="972">
        <f>SUM(N66:N72)</f>
        <v>0</v>
      </c>
      <c r="O73" s="972">
        <f>SUM(O66:O72)</f>
        <v>0</v>
      </c>
      <c r="P73" s="972">
        <f>SUM(P66:P72)</f>
        <v>0</v>
      </c>
      <c r="Q73" s="972">
        <f>SUM(Q66:Q72)</f>
        <v>0</v>
      </c>
      <c r="R73" s="972"/>
      <c r="S73" s="972"/>
      <c r="T73" s="973"/>
      <c r="U73" s="974"/>
      <c r="V73" s="975" t="str">
        <f>IF((O73*24)&gt;48,"PB","")</f>
        <v/>
      </c>
      <c r="W73" s="974"/>
      <c r="X73" s="974"/>
      <c r="Y73" s="974"/>
      <c r="Z73" s="1053" t="s">
        <v>59</v>
      </c>
      <c r="AA73" s="1055">
        <f>+O73-N73</f>
        <v>0</v>
      </c>
      <c r="AB73" s="917"/>
      <c r="AC73" s="934"/>
      <c r="AE73" s="917"/>
      <c r="AF73" s="917"/>
      <c r="AG73" s="917"/>
      <c r="AH73" s="917"/>
      <c r="AI73" s="917"/>
      <c r="AJ73" s="917"/>
      <c r="AK73" s="917"/>
      <c r="AL73" s="917"/>
      <c r="AM73" s="917"/>
      <c r="AN73" s="917"/>
      <c r="AO73" s="917"/>
      <c r="AP73" s="917"/>
      <c r="AR73" s="917"/>
      <c r="AS73" s="917"/>
    </row>
    <row r="74" spans="1:45" s="935" customFormat="1" x14ac:dyDescent="0.25">
      <c r="A74" s="969"/>
      <c r="B74" s="969"/>
      <c r="C74" s="969"/>
      <c r="D74" s="969"/>
      <c r="E74" s="969"/>
      <c r="F74" s="1052"/>
      <c r="G74" s="1052"/>
      <c r="H74" s="1052"/>
      <c r="I74" s="1052"/>
      <c r="J74" s="1052"/>
      <c r="K74" s="969"/>
      <c r="L74" s="969"/>
      <c r="M74" s="969"/>
      <c r="N74" s="973"/>
      <c r="O74" s="969"/>
      <c r="P74" s="980"/>
      <c r="Q74" s="980"/>
      <c r="R74" s="980"/>
      <c r="S74" s="981"/>
      <c r="T74" s="980"/>
      <c r="U74" s="980"/>
      <c r="V74" s="980"/>
      <c r="W74" s="980"/>
      <c r="X74" s="980"/>
      <c r="Y74" s="980"/>
      <c r="Z74" s="1053"/>
      <c r="AA74" s="1055"/>
      <c r="AB74" s="967"/>
      <c r="AC74" s="934"/>
      <c r="AE74" s="917"/>
      <c r="AF74" s="917"/>
      <c r="AG74" s="917"/>
      <c r="AH74" s="917"/>
      <c r="AI74" s="917"/>
      <c r="AJ74" s="917"/>
      <c r="AK74" s="917"/>
      <c r="AL74" s="917"/>
      <c r="AM74" s="917"/>
      <c r="AN74" s="917"/>
      <c r="AO74" s="917"/>
      <c r="AP74" s="917"/>
      <c r="AR74" s="917"/>
      <c r="AS74" s="917"/>
    </row>
    <row r="75" spans="1:45" s="935" customFormat="1" ht="16.5" x14ac:dyDescent="0.3">
      <c r="A75" s="969"/>
      <c r="B75" s="969"/>
      <c r="C75" s="969"/>
      <c r="D75" s="969"/>
      <c r="E75" s="969"/>
      <c r="F75" s="928">
        <f>+F63+7</f>
        <v>42836</v>
      </c>
      <c r="G75" s="928"/>
      <c r="H75" s="929" t="s">
        <v>58</v>
      </c>
      <c r="I75" s="928">
        <f>+F75+6</f>
        <v>42842</v>
      </c>
      <c r="J75" s="930"/>
      <c r="K75" s="969"/>
      <c r="L75" s="969"/>
      <c r="M75" s="969"/>
      <c r="N75" s="973"/>
      <c r="O75" s="969"/>
      <c r="P75" s="980"/>
      <c r="Q75" s="980"/>
      <c r="R75" s="980"/>
      <c r="S75" s="981"/>
      <c r="T75" s="980"/>
      <c r="U75" s="980"/>
      <c r="V75" s="980"/>
      <c r="W75" s="980"/>
      <c r="X75" s="980"/>
      <c r="Y75" s="980"/>
      <c r="Z75" s="1053"/>
      <c r="AA75" s="1054"/>
      <c r="AB75" s="917"/>
      <c r="AC75" s="934"/>
      <c r="AE75" s="917"/>
      <c r="AF75" s="917"/>
      <c r="AG75" s="917"/>
      <c r="AH75" s="917"/>
      <c r="AI75" s="917"/>
      <c r="AJ75" s="917"/>
      <c r="AK75" s="917"/>
      <c r="AL75" s="917"/>
      <c r="AM75" s="917"/>
      <c r="AN75" s="917"/>
      <c r="AO75" s="917"/>
      <c r="AP75" s="917"/>
      <c r="AR75" s="917"/>
      <c r="AS75" s="917"/>
    </row>
    <row r="76" spans="1:45" ht="14.45" customHeight="1" x14ac:dyDescent="0.25">
      <c r="A76" s="994"/>
      <c r="B76" s="938" t="s">
        <v>17</v>
      </c>
      <c r="C76" s="938"/>
      <c r="D76" s="938" t="s">
        <v>18</v>
      </c>
      <c r="E76" s="938"/>
      <c r="F76" s="938" t="s">
        <v>17</v>
      </c>
      <c r="G76" s="938"/>
      <c r="H76" s="938" t="s">
        <v>18</v>
      </c>
      <c r="I76" s="938"/>
      <c r="J76" s="938" t="s">
        <v>17</v>
      </c>
      <c r="K76" s="938"/>
      <c r="L76" s="938" t="s">
        <v>18</v>
      </c>
      <c r="M76" s="938"/>
      <c r="N76" s="939" t="s">
        <v>61</v>
      </c>
      <c r="O76" s="939" t="s">
        <v>62</v>
      </c>
      <c r="P76" s="939" t="s">
        <v>60</v>
      </c>
      <c r="Q76" s="939" t="s">
        <v>63</v>
      </c>
      <c r="R76" s="939" t="s">
        <v>64</v>
      </c>
      <c r="S76" s="940" t="s">
        <v>223</v>
      </c>
      <c r="T76" s="939" t="s">
        <v>70</v>
      </c>
      <c r="U76" s="941" t="s">
        <v>65</v>
      </c>
      <c r="V76" s="942"/>
      <c r="W76" s="942"/>
      <c r="X76" s="942"/>
      <c r="Y76" s="943"/>
      <c r="Z76" s="944" t="s">
        <v>22</v>
      </c>
      <c r="AA76" s="944"/>
      <c r="AC76" s="934"/>
    </row>
    <row r="77" spans="1:45" ht="26.25" thickBot="1" x14ac:dyDescent="0.4">
      <c r="A77" s="937" t="str">
        <f>"S"&amp;WEEKNUM(F75,21)</f>
        <v>S15</v>
      </c>
      <c r="B77" s="949" t="s">
        <v>0</v>
      </c>
      <c r="C77" s="950" t="s">
        <v>1</v>
      </c>
      <c r="D77" s="949" t="s">
        <v>0</v>
      </c>
      <c r="E77" s="950" t="s">
        <v>1</v>
      </c>
      <c r="F77" s="949" t="s">
        <v>0</v>
      </c>
      <c r="G77" s="950" t="s">
        <v>1</v>
      </c>
      <c r="H77" s="949" t="s">
        <v>0</v>
      </c>
      <c r="I77" s="950" t="s">
        <v>1</v>
      </c>
      <c r="J77" s="949" t="s">
        <v>0</v>
      </c>
      <c r="K77" s="950" t="s">
        <v>1</v>
      </c>
      <c r="L77" s="949" t="s">
        <v>0</v>
      </c>
      <c r="M77" s="950" t="s">
        <v>1</v>
      </c>
      <c r="N77" s="951"/>
      <c r="O77" s="951"/>
      <c r="P77" s="951"/>
      <c r="Q77" s="951"/>
      <c r="R77" s="951"/>
      <c r="S77" s="951"/>
      <c r="T77" s="939"/>
      <c r="U77" s="952" t="s">
        <v>66</v>
      </c>
      <c r="V77" s="952" t="s">
        <v>67</v>
      </c>
      <c r="W77" s="952" t="s">
        <v>68</v>
      </c>
      <c r="X77" s="952" t="s">
        <v>137</v>
      </c>
      <c r="Y77" s="952" t="s">
        <v>69</v>
      </c>
      <c r="Z77" s="944"/>
      <c r="AA77" s="944"/>
      <c r="AC77" s="934"/>
      <c r="AM77" s="917" t="s">
        <v>274</v>
      </c>
    </row>
    <row r="78" spans="1:45" ht="16.5" x14ac:dyDescent="0.3">
      <c r="A78" s="955" t="s">
        <v>12</v>
      </c>
      <c r="B78" s="414" t="b">
        <f>IF(Paramétrage!$O$42="",FALSE,Paramétrage!$O$42)</f>
        <v>0</v>
      </c>
      <c r="C78" s="263"/>
      <c r="D78" s="415" t="b">
        <f>IF(Paramétrage!$Q$42="",FALSE,Paramétrage!$Q$42)</f>
        <v>0</v>
      </c>
      <c r="E78" s="264"/>
      <c r="F78" s="414" t="b">
        <f>IF(Paramétrage!$R$42="",FALSE,Paramétrage!$R$42)</f>
        <v>0</v>
      </c>
      <c r="G78" s="264"/>
      <c r="H78" s="416" t="b">
        <f>IF(Paramétrage!$T$42="",FALSE,Paramétrage!$T$42)</f>
        <v>0</v>
      </c>
      <c r="I78" s="263"/>
      <c r="J78" s="417" t="b">
        <f>IF(Paramétrage!$U$42="",FALSE,Paramétrage!$U$42)</f>
        <v>0</v>
      </c>
      <c r="K78" s="263"/>
      <c r="L78" s="418" t="b">
        <f>IF(Paramétrage!$W$42="",FALSE,Paramétrage!$W$42)</f>
        <v>0</v>
      </c>
      <c r="M78" s="263"/>
      <c r="N78" s="956">
        <f t="shared" ref="N78:N80" si="132">IF(OR(B78="aa",B78="cp",B78="f",B78="jc",B78="m",B78="css"),0,(L78-J78)+(H78-F78)+(D78-B78))</f>
        <v>0</v>
      </c>
      <c r="O78" s="956">
        <f t="shared" ref="O78:O80" si="133">SUM(AM78:AP78)+IF(OR(C78="m",C78="aa"),N78,IF(C78="css",0,IF(C78="cp",0,IF(C78="jc",0,IF(C78="f",0,E78-C78+I78-G78+M78-K78)))))</f>
        <v>0</v>
      </c>
      <c r="P78" s="956">
        <f t="shared" ref="P78:P84" si="134">IF(OR(C78="aa",C78="cp",C78="f",C78="jc",C78="m",C78="css"),0,IF(C78="",IF(OR(F78="",F78=FALSE),0,F78-D78),IF(G78="",0,G78-E78)))</f>
        <v>0</v>
      </c>
      <c r="Q78" s="956">
        <f t="shared" ref="Q78:Q84" si="135">IF(P78=0,0,IF(G78="",IF(OR(J78="",J78=FALSE),0,J78-H78),IF(K78="",0,K78-I78)))</f>
        <v>0</v>
      </c>
      <c r="R78" s="957">
        <f t="shared" ref="R78:R80" si="136">IF(OR(C78="aa",C78="cp",C78="f",C78="jc",C78="m",C78="css"),0,IF(C78=0,MAX(B78,D78,F78,H78,J78,L78)-MIN(B78,D78,F78,H78,J78,L78),IF(C78&lt;&gt;0,MAX(C78,E78,G78,I78,K78,M78)-MIN(C78,E78,G78,I78,K78,M78))))</f>
        <v>0</v>
      </c>
      <c r="S78" s="262"/>
      <c r="T78" s="958" t="str">
        <f t="shared" ref="T78:T79" si="137">IF(AND(B78=FALSE,C78=""),"",IF(AND(B78=0,C78=0),"",(IF(OR(C78="cp",C78="f",C78="jc",C78="css"),"",IF(OR(C78="",C78="aa",C78="m"),(IF(OR(B78="cp",B78="f",B78="jc",B78="css"),"",B78*24+24-MAX(D77,H77,L77)*24)),C78*24+24-MAX(M77,I77,E77)*24)))))</f>
        <v/>
      </c>
      <c r="U78" s="959" t="str">
        <f>IF(P78=0,"",IF(P78&lt;Paramétrage!$S$12,"PB",IF(AND(Q78&lt;Paramétrage!$S$12,Q78&lt;&gt;0),"PB","")))</f>
        <v/>
      </c>
      <c r="V78" s="959" t="str">
        <f t="shared" ref="V78:V84" si="138">IF(C78="",IF((N78*24)&gt;10,"PB",""),IF((O78*24)&gt;10,"PB",""))</f>
        <v/>
      </c>
      <c r="W78" s="959" t="str">
        <f t="shared" ref="W78:W84" si="139">IF((R78*24)&gt;12,"PB","")</f>
        <v/>
      </c>
      <c r="X78" s="960" t="str">
        <f t="shared" ref="X78:X80" si="140">IF(AND(N78=0,O78=0),"",(IF(OR(C78="aa",C78="cp",C78="f",C78="jc",C78="m",C78="css"),"",IF(C78="",IF(OR(D78-B78&gt;6/24,H78-F78&gt;6/24,L78-J78&gt;6/24),"PB",""),IF(OR(E78-C78&gt;6/24,I78-G78&gt;6/24,M78-K78&gt;6/24),"PB","")))))</f>
        <v/>
      </c>
      <c r="Y78" s="959" t="str">
        <f t="shared" ref="Y78:Y84" si="141">IF(T78="","",IF(T78&lt;11,"PB",""))</f>
        <v/>
      </c>
      <c r="Z78" s="836"/>
      <c r="AA78" s="837"/>
      <c r="AC78" s="934">
        <f>AC72+1</f>
        <v>42836</v>
      </c>
      <c r="AD78" s="961">
        <f>IF(AND(N(AC78)&gt;=Paramétrage!$AU$11,N(AC78)&lt;=Paramétrage!$AU$12),IF(C78="cp",1,0),0)</f>
        <v>0</v>
      </c>
      <c r="AE78" s="962">
        <f t="shared" ref="AE78:AE84" si="142">IF(O78&lt;&gt;"erreur",N78,O78)</f>
        <v>0</v>
      </c>
      <c r="AF78" s="961">
        <f>IF(AND(N(AC78)&gt;=Paramétrage!$AX$11,N(AC78)&lt;=Paramétrage!$AX$12),IF(C78="cp",1,0),0)</f>
        <v>0</v>
      </c>
      <c r="AG78" s="962">
        <f>O78</f>
        <v>0</v>
      </c>
      <c r="AI78" s="962">
        <f>AE78+AI72</f>
        <v>0</v>
      </c>
      <c r="AJ78" s="962">
        <f>AG78+AJ72</f>
        <v>0</v>
      </c>
      <c r="AM78" s="962">
        <f>IF(AND($B78="cp",$C78="m"),$Z78,0)</f>
        <v>0</v>
      </c>
      <c r="AN78" s="962">
        <f>IF(AND($B78="jc",$C78="m"),$Z78,0)</f>
        <v>0</v>
      </c>
      <c r="AO78" s="962">
        <f>IF(AND($B78="cp",$C78="aa"),$Z78,0)</f>
        <v>0</v>
      </c>
      <c r="AP78" s="962">
        <f>IF(AND($B78="jc",$C78="aa"),$Z78,0)</f>
        <v>0</v>
      </c>
      <c r="AR78" s="917">
        <f>IF(AND(AC78&lt;=$AR$3,B78="CP"),1,0)</f>
        <v>0</v>
      </c>
      <c r="AS78" s="917">
        <f>IF(AND(AC78&lt;=$AR$3,C78="CP"),1,0)</f>
        <v>0</v>
      </c>
    </row>
    <row r="79" spans="1:45" ht="16.5" x14ac:dyDescent="0.3">
      <c r="A79" s="964" t="s">
        <v>13</v>
      </c>
      <c r="B79" s="414" t="b">
        <f>IF(Paramétrage!$O$43="",FALSE,Paramétrage!$O$43)</f>
        <v>0</v>
      </c>
      <c r="C79" s="263"/>
      <c r="D79" s="415" t="b">
        <f>IF(Paramétrage!$Q$43="",FALSE,Paramétrage!$Q$43)</f>
        <v>0</v>
      </c>
      <c r="E79" s="264"/>
      <c r="F79" s="414" t="b">
        <f>IF(Paramétrage!$R$43="",FALSE,Paramétrage!$R$43)</f>
        <v>0</v>
      </c>
      <c r="G79" s="264"/>
      <c r="H79" s="416" t="b">
        <f>IF(Paramétrage!$T$43="",FALSE,Paramétrage!$T$43)</f>
        <v>0</v>
      </c>
      <c r="I79" s="263"/>
      <c r="J79" s="417" t="b">
        <f>IF(Paramétrage!$U$43="",FALSE,Paramétrage!$U$43)</f>
        <v>0</v>
      </c>
      <c r="K79" s="263"/>
      <c r="L79" s="418" t="b">
        <f>IF(Paramétrage!$W$43="",FALSE,Paramétrage!$W$43)</f>
        <v>0</v>
      </c>
      <c r="M79" s="263"/>
      <c r="N79" s="956">
        <f t="shared" si="132"/>
        <v>0</v>
      </c>
      <c r="O79" s="956">
        <f t="shared" si="133"/>
        <v>0</v>
      </c>
      <c r="P79" s="956">
        <f t="shared" si="134"/>
        <v>0</v>
      </c>
      <c r="Q79" s="956">
        <f t="shared" si="135"/>
        <v>0</v>
      </c>
      <c r="R79" s="957">
        <f t="shared" si="136"/>
        <v>0</v>
      </c>
      <c r="S79" s="262"/>
      <c r="T79" s="958" t="str">
        <f t="shared" si="137"/>
        <v/>
      </c>
      <c r="U79" s="959" t="str">
        <f>IF(P79=0,"",IF(P79&lt;Paramétrage!$S$12,"PB",IF(AND(Q79&lt;Paramétrage!$S$12,Q79&lt;&gt;0),"PB","")))</f>
        <v/>
      </c>
      <c r="V79" s="959" t="str">
        <f t="shared" si="138"/>
        <v/>
      </c>
      <c r="W79" s="959" t="str">
        <f t="shared" si="139"/>
        <v/>
      </c>
      <c r="X79" s="960" t="str">
        <f t="shared" si="140"/>
        <v/>
      </c>
      <c r="Y79" s="959" t="str">
        <f t="shared" si="141"/>
        <v/>
      </c>
      <c r="Z79" s="836"/>
      <c r="AA79" s="837"/>
      <c r="AC79" s="934">
        <f t="shared" ref="AC79:AC84" si="143">AC78+1</f>
        <v>42837</v>
      </c>
      <c r="AD79" s="961">
        <f>IF(AND(N(AC79)&gt;=Paramétrage!$AU$11,N(AC79)&lt;=Paramétrage!$AU$12),IF(C79="cp",1,0),0)</f>
        <v>0</v>
      </c>
      <c r="AE79" s="962">
        <f t="shared" si="142"/>
        <v>0</v>
      </c>
      <c r="AF79" s="961">
        <f>IF(AND(N(AC79)&gt;=Paramétrage!$AX$11,N(AC79)&lt;=Paramétrage!$AX$12),IF(C79="cp",1,0),0)</f>
        <v>0</v>
      </c>
      <c r="AG79" s="962">
        <f t="shared" ref="AG79:AG84" si="144">O79</f>
        <v>0</v>
      </c>
      <c r="AI79" s="962">
        <f t="shared" ref="AI79:AI84" si="145">AE79+AI78</f>
        <v>0</v>
      </c>
      <c r="AJ79" s="962">
        <f t="shared" ref="AJ79:AJ84" si="146">AG79+AJ78</f>
        <v>0</v>
      </c>
      <c r="AM79" s="962">
        <f t="shared" ref="AM79:AM82" si="147">IF(AND($B79="cp",$C79="m"),$Z79,0)</f>
        <v>0</v>
      </c>
      <c r="AN79" s="962">
        <f t="shared" ref="AN79:AN82" si="148">IF(AND($B79="jc",$C79="m"),$Z79,0)</f>
        <v>0</v>
      </c>
      <c r="AO79" s="962">
        <f t="shared" ref="AO79:AO82" si="149">IF(AND($B79="cp",$C79="aa"),$Z79,0)</f>
        <v>0</v>
      </c>
      <c r="AP79" s="962">
        <f t="shared" ref="AP79:AP82" si="150">IF(AND($B79="jc",$C79="aa"),$Z79,0)</f>
        <v>0</v>
      </c>
      <c r="AR79" s="917">
        <f>IF(AND(AC79&lt;=$AR$3,B79="CP"),1,0)</f>
        <v>0</v>
      </c>
      <c r="AS79" s="917">
        <f>IF(AND(AC79&lt;=$AR$3,C79="CP"),1,0)</f>
        <v>0</v>
      </c>
    </row>
    <row r="80" spans="1:45" ht="16.5" x14ac:dyDescent="0.3">
      <c r="A80" s="964" t="s">
        <v>14</v>
      </c>
      <c r="B80" s="414" t="b">
        <f>IF(Paramétrage!$O$44="",FALSE,Paramétrage!$O$44)</f>
        <v>0</v>
      </c>
      <c r="C80" s="263"/>
      <c r="D80" s="415" t="b">
        <f>IF(Paramétrage!$Q$44="",FALSE,Paramétrage!$Q$44)</f>
        <v>0</v>
      </c>
      <c r="E80" s="264"/>
      <c r="F80" s="414" t="b">
        <f>IF(Paramétrage!$R$44="",FALSE,Paramétrage!$R$44)</f>
        <v>0</v>
      </c>
      <c r="G80" s="264"/>
      <c r="H80" s="416" t="b">
        <f>IF(Paramétrage!$T$44="",FALSE,Paramétrage!$T$44)</f>
        <v>0</v>
      </c>
      <c r="I80" s="263"/>
      <c r="J80" s="417" t="b">
        <f>IF(Paramétrage!$U$44="",FALSE,Paramétrage!$U$44)</f>
        <v>0</v>
      </c>
      <c r="K80" s="263"/>
      <c r="L80" s="418" t="b">
        <f>IF(Paramétrage!$W$44="",FALSE,Paramétrage!$W$44)</f>
        <v>0</v>
      </c>
      <c r="M80" s="263"/>
      <c r="N80" s="956">
        <f t="shared" si="132"/>
        <v>0</v>
      </c>
      <c r="O80" s="956">
        <f t="shared" si="133"/>
        <v>0</v>
      </c>
      <c r="P80" s="956">
        <f t="shared" si="134"/>
        <v>0</v>
      </c>
      <c r="Q80" s="956">
        <f t="shared" si="135"/>
        <v>0</v>
      </c>
      <c r="R80" s="957">
        <f t="shared" si="136"/>
        <v>0</v>
      </c>
      <c r="S80" s="262"/>
      <c r="T80" s="958" t="str">
        <f>IF(AND(B80=FALSE,C80=""),"",IF(AND(B80=0,C80=0),"",(IF(OR(C80="cp",C80="f",C80="jc",C80="css"),"",IF(OR(C80="",C80="aa",C80="m"),(IF(OR(B80="cp",B80="f",B80="jc",B80="css"),"",B80*24+24-MAX(D79,H79,L79)*24)),C80*24+24-MAX(M79,I79,E79)*24)))))</f>
        <v/>
      </c>
      <c r="U80" s="959" t="str">
        <f>IF(P80=0,"",IF(P80&lt;Paramétrage!$S$12,"PB",IF(AND(Q80&lt;Paramétrage!$S$12,Q80&lt;&gt;0),"PB","")))</f>
        <v/>
      </c>
      <c r="V80" s="959" t="str">
        <f t="shared" si="138"/>
        <v/>
      </c>
      <c r="W80" s="959" t="str">
        <f t="shared" si="139"/>
        <v/>
      </c>
      <c r="X80" s="960" t="str">
        <f t="shared" si="140"/>
        <v/>
      </c>
      <c r="Y80" s="959" t="str">
        <f t="shared" si="141"/>
        <v/>
      </c>
      <c r="Z80" s="836"/>
      <c r="AA80" s="837"/>
      <c r="AC80" s="934">
        <f t="shared" si="143"/>
        <v>42838</v>
      </c>
      <c r="AD80" s="961">
        <f>IF(AND(N(AC80)&gt;=Paramétrage!$AU$11,N(AC80)&lt;=Paramétrage!$AU$12),IF(C80="cp",1,0),0)</f>
        <v>0</v>
      </c>
      <c r="AE80" s="962">
        <f t="shared" si="142"/>
        <v>0</v>
      </c>
      <c r="AF80" s="961">
        <f>IF(AND(N(AC80)&gt;=Paramétrage!$AX$11,N(AC80)&lt;=Paramétrage!$AX$12),IF(C80="cp",1,0),0)</f>
        <v>0</v>
      </c>
      <c r="AG80" s="962">
        <f t="shared" si="144"/>
        <v>0</v>
      </c>
      <c r="AI80" s="962">
        <f t="shared" si="145"/>
        <v>0</v>
      </c>
      <c r="AJ80" s="962">
        <f t="shared" si="146"/>
        <v>0</v>
      </c>
      <c r="AM80" s="962">
        <f t="shared" si="147"/>
        <v>0</v>
      </c>
      <c r="AN80" s="962">
        <f t="shared" si="148"/>
        <v>0</v>
      </c>
      <c r="AO80" s="962">
        <f t="shared" si="149"/>
        <v>0</v>
      </c>
      <c r="AP80" s="962">
        <f t="shared" si="150"/>
        <v>0</v>
      </c>
      <c r="AR80" s="917">
        <f>IF(AND(AC80&lt;=$AR$3,B80="CP"),1,0)</f>
        <v>0</v>
      </c>
      <c r="AS80" s="917">
        <f>IF(AND(AC80&lt;=$AR$3,C80="CP"),1,0)</f>
        <v>0</v>
      </c>
    </row>
    <row r="81" spans="1:45" ht="16.5" x14ac:dyDescent="0.3">
      <c r="A81" s="964" t="s">
        <v>15</v>
      </c>
      <c r="B81" s="414" t="b">
        <f>IF(Paramétrage!$O$45="",FALSE,Paramétrage!$O$45)</f>
        <v>0</v>
      </c>
      <c r="C81" s="263"/>
      <c r="D81" s="415" t="b">
        <f>IF(Paramétrage!$Q$45="",FALSE,Paramétrage!$Q$45)</f>
        <v>0</v>
      </c>
      <c r="E81" s="264"/>
      <c r="F81" s="414" t="b">
        <f>IF(Paramétrage!$R$45="",FALSE,Paramétrage!$R$45)</f>
        <v>0</v>
      </c>
      <c r="G81" s="264"/>
      <c r="H81" s="416" t="b">
        <f>IF(Paramétrage!$T$45="",FALSE,Paramétrage!$T$45)</f>
        <v>0</v>
      </c>
      <c r="I81" s="263"/>
      <c r="J81" s="417" t="b">
        <f>IF(Paramétrage!$U$45="",FALSE,Paramétrage!$U$45)</f>
        <v>0</v>
      </c>
      <c r="K81" s="263"/>
      <c r="L81" s="418" t="b">
        <f>IF(Paramétrage!$W$45="",FALSE,Paramétrage!$W$45)</f>
        <v>0</v>
      </c>
      <c r="M81" s="263"/>
      <c r="N81" s="956">
        <f>IF(OR(B81="aa",B81="cp",B81="f",B81="jc",B81="m",B81="css"),0,(L81-J81)+(H81-F81)+(D81-B81))</f>
        <v>0</v>
      </c>
      <c r="O81" s="956">
        <f>SUM(AM81:AP81)+IF(OR(C81="m",C81="aa"),N81,IF(C81="css",0,IF(C81="cp",0,IF(C81="jc",0,IF(C81="f",0,E81-C81+I81-G81+M81-K81)))))</f>
        <v>0</v>
      </c>
      <c r="P81" s="956">
        <f t="shared" si="134"/>
        <v>0</v>
      </c>
      <c r="Q81" s="956">
        <f t="shared" si="135"/>
        <v>0</v>
      </c>
      <c r="R81" s="957">
        <f>IF(OR(C81="aa",C81="cp",C81="f",C81="jc",C81="m",C81="css"),0,IF(C81=0,MAX(B81,D81,F81,H81,J81,L81)-MIN(B81,D81,F81,H81,J81,L81),IF(C81&lt;&gt;0,MAX(C81,E81,G81,I81,K81,M81)-MIN(C81,E81,G81,I81,K81,M81))))</f>
        <v>0</v>
      </c>
      <c r="S81" s="262"/>
      <c r="T81" s="958" t="str">
        <f t="shared" ref="T81:T84" si="151">IF(AND(B81=FALSE,C81=""),"",IF(AND(B81=0,C81=0),"",(IF(OR(C81="cp",C81="f",C81="jc",C81="css"),"",IF(OR(C81="",C81="aa",C81="m"),(IF(OR(B81="cp",B81="f",B81="jc",B81="css"),"",B81*24+24-MAX(D80,H80,L80)*24)),C81*24+24-MAX(M80,I80,E80)*24)))))</f>
        <v/>
      </c>
      <c r="U81" s="959" t="str">
        <f>IF(P81=0,"",IF(P81&lt;Paramétrage!$S$12,"PB",IF(AND(Q81&lt;Paramétrage!$S$12,Q81&lt;&gt;0),"PB","")))</f>
        <v/>
      </c>
      <c r="V81" s="959" t="str">
        <f t="shared" si="138"/>
        <v/>
      </c>
      <c r="W81" s="959" t="str">
        <f t="shared" si="139"/>
        <v/>
      </c>
      <c r="X81" s="960" t="str">
        <f>IF(AND(N81=0,O81=0),"",(IF(OR(C81="aa",C81="cp",C81="f",C81="jc",C81="m",C81="css"),"",IF(C81="",IF(OR(D81-B81&gt;6/24,H81-F81&gt;6/24,L81-J81&gt;6/24),"PB",""),IF(OR(E81-C81&gt;6/24,I81-G81&gt;6/24,M81-K81&gt;6/24),"PB","")))))</f>
        <v/>
      </c>
      <c r="Y81" s="959" t="str">
        <f t="shared" si="141"/>
        <v/>
      </c>
      <c r="Z81" s="836"/>
      <c r="AA81" s="837"/>
      <c r="AC81" s="934">
        <f t="shared" si="143"/>
        <v>42839</v>
      </c>
      <c r="AD81" s="961">
        <f>IF(AND(N(AC81)&gt;=Paramétrage!$AU$11,N(AC81)&lt;=Paramétrage!$AU$12),IF(C81="cp",1,0),0)</f>
        <v>0</v>
      </c>
      <c r="AE81" s="962">
        <f t="shared" si="142"/>
        <v>0</v>
      </c>
      <c r="AF81" s="961">
        <f>IF(AND(N(AC81)&gt;=Paramétrage!$AX$11,N(AC81)&lt;=Paramétrage!$AX$12),IF(C81="cp",1,0),0)</f>
        <v>0</v>
      </c>
      <c r="AG81" s="962">
        <f t="shared" si="144"/>
        <v>0</v>
      </c>
      <c r="AI81" s="962">
        <f t="shared" si="145"/>
        <v>0</v>
      </c>
      <c r="AJ81" s="962">
        <f t="shared" si="146"/>
        <v>0</v>
      </c>
      <c r="AM81" s="962">
        <f t="shared" si="147"/>
        <v>0</v>
      </c>
      <c r="AN81" s="962">
        <f t="shared" si="148"/>
        <v>0</v>
      </c>
      <c r="AO81" s="962">
        <f t="shared" si="149"/>
        <v>0</v>
      </c>
      <c r="AP81" s="962">
        <f t="shared" si="150"/>
        <v>0</v>
      </c>
      <c r="AR81" s="917">
        <f>IF(AND(AC81&lt;=$AR$3,B81="CP"),1,0)</f>
        <v>0</v>
      </c>
      <c r="AS81" s="917">
        <f>IF(AND(AC81&lt;=$AR$3,C81="CP"),1,0)</f>
        <v>0</v>
      </c>
    </row>
    <row r="82" spans="1:45" ht="16.5" x14ac:dyDescent="0.3">
      <c r="A82" s="964" t="s">
        <v>16</v>
      </c>
      <c r="B82" s="414" t="b">
        <f>IF(Paramétrage!$O$46="",FALSE,Paramétrage!$O$46)</f>
        <v>0</v>
      </c>
      <c r="C82" s="263"/>
      <c r="D82" s="415" t="b">
        <f>IF(Paramétrage!$Q$46="",FALSE,Paramétrage!$Q$46)</f>
        <v>0</v>
      </c>
      <c r="E82" s="264"/>
      <c r="F82" s="414" t="b">
        <f>IF(Paramétrage!$R$46="",FALSE,Paramétrage!$R$46)</f>
        <v>0</v>
      </c>
      <c r="G82" s="264"/>
      <c r="H82" s="416" t="b">
        <f>IF(Paramétrage!$T$46="",FALSE,Paramétrage!$T$46)</f>
        <v>0</v>
      </c>
      <c r="I82" s="263"/>
      <c r="J82" s="417" t="b">
        <f>IF(Paramétrage!$U$46="",FALSE,Paramétrage!$U$46)</f>
        <v>0</v>
      </c>
      <c r="K82" s="263"/>
      <c r="L82" s="418" t="b">
        <f>IF(Paramétrage!$W$46="",FALSE,Paramétrage!$W$46)</f>
        <v>0</v>
      </c>
      <c r="M82" s="263"/>
      <c r="N82" s="956">
        <f>IF(OR(B82="aa",B82="cp",B82="f",B82="jc",B82="m",B82="css"),0,(L82-J82)+(H82-F82)+(D82-B82))</f>
        <v>0</v>
      </c>
      <c r="O82" s="956">
        <f>SUM(AM82:AP82)+IF(OR(C82="m",C82="aa"),N82,IF(C82="css",0,IF(C82="cp",0,IF(C82="jc",0,IF(C82="f",0,E82-C82+I82-G82+M82-K82)))))</f>
        <v>0</v>
      </c>
      <c r="P82" s="956">
        <f t="shared" si="134"/>
        <v>0</v>
      </c>
      <c r="Q82" s="956">
        <f t="shared" si="135"/>
        <v>0</v>
      </c>
      <c r="R82" s="957">
        <f>IF(OR(C82="aa",C82="cp",C82="f",C82="jc",C82="m",C82="css"),0,IF(C82=0,MAX(B82,D82,F82,H82,J82,L82)-MIN(B82,D82,F82,H82,J82,L82),IF(C82&lt;&gt;0,MAX(C82,E82,G82,I82,K82,M82)-MIN(C82,E82,G82,I82,K82,M82))))</f>
        <v>0</v>
      </c>
      <c r="S82" s="262"/>
      <c r="T82" s="958" t="str">
        <f t="shared" si="151"/>
        <v/>
      </c>
      <c r="U82" s="959" t="str">
        <f>IF(P82=0,"",IF(P82&lt;Paramétrage!$S$12,"PB",IF(AND(Q82&lt;Paramétrage!$S$12,Q82&lt;&gt;0),"PB","")))</f>
        <v/>
      </c>
      <c r="V82" s="959" t="str">
        <f t="shared" si="138"/>
        <v/>
      </c>
      <c r="W82" s="959" t="str">
        <f t="shared" si="139"/>
        <v/>
      </c>
      <c r="X82" s="960" t="str">
        <f>IF(AND(N82=0,O82=0),"",(IF(OR(C82="aa",C82="cp",C82="f",C82="jc",C82="m",C82="css"),"",IF(C82="",IF(OR(D82-B82&gt;6/24,H82-F82&gt;6/24,L82-J82&gt;6/24),"PB",""),IF(OR(E82-C82&gt;6/24,I82-G82&gt;6/24,M82-K82&gt;6/24),"PB","")))))</f>
        <v/>
      </c>
      <c r="Y82" s="959" t="str">
        <f t="shared" si="141"/>
        <v/>
      </c>
      <c r="Z82" s="836"/>
      <c r="AA82" s="837"/>
      <c r="AC82" s="934">
        <f t="shared" si="143"/>
        <v>42840</v>
      </c>
      <c r="AD82" s="961">
        <f>IF(AND(N(AC82)&gt;=Paramétrage!$AU$11,N(AC82)&lt;=Paramétrage!$AU$12),IF(C82="cp",1,0),0)</f>
        <v>0</v>
      </c>
      <c r="AE82" s="962">
        <f t="shared" si="142"/>
        <v>0</v>
      </c>
      <c r="AF82" s="961">
        <f>IF(AND(N(AC82)&gt;=Paramétrage!$AX$11,N(AC82)&lt;=Paramétrage!$AX$12),IF(C82="cp",1,0),0)</f>
        <v>0</v>
      </c>
      <c r="AG82" s="962">
        <f t="shared" si="144"/>
        <v>0</v>
      </c>
      <c r="AI82" s="962">
        <f t="shared" si="145"/>
        <v>0</v>
      </c>
      <c r="AJ82" s="962">
        <f t="shared" si="146"/>
        <v>0</v>
      </c>
      <c r="AM82" s="962">
        <f t="shared" si="147"/>
        <v>0</v>
      </c>
      <c r="AN82" s="962">
        <f t="shared" si="148"/>
        <v>0</v>
      </c>
      <c r="AO82" s="962">
        <f t="shared" si="149"/>
        <v>0</v>
      </c>
      <c r="AP82" s="962">
        <f t="shared" si="150"/>
        <v>0</v>
      </c>
      <c r="AR82" s="917">
        <f>IF(AND(AC82&lt;=$AR$3,B82="CP"),1,0)</f>
        <v>0</v>
      </c>
      <c r="AS82" s="917">
        <f>IF(AND(AC82&lt;=$AR$3,C82="CP"),1,0)</f>
        <v>0</v>
      </c>
    </row>
    <row r="83" spans="1:45" ht="16.5" x14ac:dyDescent="0.3">
      <c r="A83" s="964" t="s">
        <v>19</v>
      </c>
      <c r="B83" s="414" t="b">
        <f>IF(Paramétrage!$O$47="",FALSE,Paramétrage!$O$47)</f>
        <v>0</v>
      </c>
      <c r="C83" s="263"/>
      <c r="D83" s="415" t="b">
        <f>IF(Paramétrage!$Q$47="",FALSE,Paramétrage!$Q$47)</f>
        <v>0</v>
      </c>
      <c r="E83" s="264"/>
      <c r="F83" s="414" t="b">
        <f>IF(Paramétrage!$R$47="",FALSE,Paramétrage!$R$47)</f>
        <v>0</v>
      </c>
      <c r="G83" s="264"/>
      <c r="H83" s="416" t="b">
        <f>IF(Paramétrage!$T$47="",FALSE,Paramétrage!$T$47)</f>
        <v>0</v>
      </c>
      <c r="I83" s="263"/>
      <c r="J83" s="417" t="b">
        <f>IF(Paramétrage!$U$47="",FALSE,Paramétrage!$U$47)</f>
        <v>0</v>
      </c>
      <c r="K83" s="263"/>
      <c r="L83" s="418" t="b">
        <f>IF(Paramétrage!$W$47="",FALSE,Paramétrage!$W$47)</f>
        <v>0</v>
      </c>
      <c r="M83" s="263"/>
      <c r="N83" s="956">
        <f>IF(OR(B83="aa",B83="cp",B83="f",B83="jc",B83="m",B83="css"),0,(L83-J83)+(H83-F83)+(D83-B83))</f>
        <v>0</v>
      </c>
      <c r="O83" s="956">
        <f>IF(OR(C83="m",C83="aa"),N83,IF(C83="cp",0,IF(OR(C83="css",C83="jc"),0,IF(C83="f",0,E83-C83+I83-G83+M83-K83))))</f>
        <v>0</v>
      </c>
      <c r="P83" s="956">
        <f t="shared" si="134"/>
        <v>0</v>
      </c>
      <c r="Q83" s="956">
        <f t="shared" si="135"/>
        <v>0</v>
      </c>
      <c r="R83" s="957">
        <f>IF(OR(C83="aa",C83="cp",C83="f",C83="jc",C83="m",C83="css"),0,IF(C83=0,MAX(B83,D83,F83,H83,J83,L83)-MIN(B83,D83,F83,H83,J83,L83),IF(C83&lt;&gt;0,MAX(C83,E83,G83,I83,K83,M83)-MIN(C83,E83,G83,I83,K83,M83))))</f>
        <v>0</v>
      </c>
      <c r="S83" s="262"/>
      <c r="T83" s="958" t="str">
        <f t="shared" si="151"/>
        <v/>
      </c>
      <c r="U83" s="959" t="str">
        <f>IF(P83=0,"",IF(P83&lt;Paramétrage!$S$12,"PB",IF(AND(Q83&lt;Paramétrage!$S$12,Q83&lt;&gt;0),"PB","")))</f>
        <v/>
      </c>
      <c r="V83" s="959" t="str">
        <f t="shared" si="138"/>
        <v/>
      </c>
      <c r="W83" s="959" t="str">
        <f t="shared" si="139"/>
        <v/>
      </c>
      <c r="X83" s="960" t="str">
        <f>IF(AND(N83=0,O83=0),"",(IF(OR(C83="aa",C83="cp",C83="f",C83="jc",C83="m",C83="css"),"",IF(C83="",IF(OR(D83-B83&gt;6/24,H83-F83&gt;6/24,L83-J83&gt;6/24),"PB",""),IF(OR(E83-C83&gt;6/24,I83-G83&gt;6/24,M83-K83&gt;6/24),"PB","")))))</f>
        <v/>
      </c>
      <c r="Y83" s="959" t="str">
        <f t="shared" si="141"/>
        <v/>
      </c>
      <c r="Z83" s="836"/>
      <c r="AA83" s="837"/>
      <c r="AC83" s="934">
        <f t="shared" si="143"/>
        <v>42841</v>
      </c>
      <c r="AD83" s="961">
        <f>IF(AND(N(AC83)&gt;=Paramétrage!$AU$11,N(AC83)&lt;=Paramétrage!$AU$12),IF(C83="cp",1,0),0)</f>
        <v>0</v>
      </c>
      <c r="AE83" s="962">
        <f t="shared" si="142"/>
        <v>0</v>
      </c>
      <c r="AF83" s="961">
        <f>IF(AND(N(AC83)&gt;=Paramétrage!$AX$11,N(AC83)&lt;=Paramétrage!$AX$12),IF(C83="cp",1,0),0)</f>
        <v>0</v>
      </c>
      <c r="AG83" s="962">
        <f t="shared" si="144"/>
        <v>0</v>
      </c>
      <c r="AI83" s="962">
        <f t="shared" si="145"/>
        <v>0</v>
      </c>
      <c r="AJ83" s="962">
        <f t="shared" si="146"/>
        <v>0</v>
      </c>
      <c r="AM83" s="962"/>
      <c r="AN83" s="962"/>
      <c r="AO83" s="962"/>
      <c r="AP83" s="962"/>
    </row>
    <row r="84" spans="1:45" ht="17.25" thickBot="1" x14ac:dyDescent="0.35">
      <c r="A84" s="966" t="s">
        <v>20</v>
      </c>
      <c r="B84" s="414" t="b">
        <f>IF(Paramétrage!$O$48="",FALSE,Paramétrage!$O$48)</f>
        <v>0</v>
      </c>
      <c r="C84" s="263"/>
      <c r="D84" s="415" t="b">
        <f>IF(Paramétrage!$Q$48="",FALSE,Paramétrage!$Q$48)</f>
        <v>0</v>
      </c>
      <c r="E84" s="264"/>
      <c r="F84" s="414" t="b">
        <f>IF(Paramétrage!$R$48="",FALSE,Paramétrage!$R$48)</f>
        <v>0</v>
      </c>
      <c r="G84" s="264"/>
      <c r="H84" s="416" t="b">
        <f>IF(Paramétrage!$T$48="",FALSE,Paramétrage!$T$48)</f>
        <v>0</v>
      </c>
      <c r="I84" s="263"/>
      <c r="J84" s="417" t="b">
        <f>IF(Paramétrage!$U$48="",FALSE,Paramétrage!$U$48)</f>
        <v>0</v>
      </c>
      <c r="K84" s="263"/>
      <c r="L84" s="418" t="b">
        <f>IF(Paramétrage!$W$48="",FALSE,Paramétrage!$W$48)</f>
        <v>0</v>
      </c>
      <c r="M84" s="263"/>
      <c r="N84" s="956">
        <f>IF(OR(B84="aa",B84="m"),M84,IF(B84="cp",0,IF(B84="jc",0,IF(B84="f",0,(D84-B84)*Paramétrage!$S$13+(H84-F84)*Paramétrage!$S$13+(L84-J84)*Paramétrage!$S$13+(D84-B84+H84-F84+L84-J84)))))</f>
        <v>0</v>
      </c>
      <c r="O84" s="956">
        <f>IF(OR(C84="aa",C84="m"),N84,IF(C84="cp",0,IF(C84="jc",0,IF(C84="f",0,(E84-C84)*Paramétrage!$S$13+(I84-G84)*Paramétrage!$S$13+(M84-K84)*Paramétrage!$S$13+(E84-C84+I84-G84+M84-K84)))))</f>
        <v>0</v>
      </c>
      <c r="P84" s="956">
        <f t="shared" si="134"/>
        <v>0</v>
      </c>
      <c r="Q84" s="956">
        <f t="shared" si="135"/>
        <v>0</v>
      </c>
      <c r="R84" s="957">
        <f t="shared" ref="R84" si="152">IF(OR(C84="aa",C84="cp",C84="f",C84="jc",C84="m",C84=0),MAX(B84,D84,F84,H84,J84,L84)-MIN(B84,D84,F84,H84,J84,L84),IF(C84&lt;&gt;0,MAX(C84,E84,G84,I84,K84,M84)-MIN(C84,E84,G84,I84,K84,M84)))</f>
        <v>0</v>
      </c>
      <c r="S84" s="262"/>
      <c r="T84" s="958" t="str">
        <f t="shared" si="151"/>
        <v/>
      </c>
      <c r="U84" s="959" t="str">
        <f>IF(P84=0,"",IF(P84&lt;Paramétrage!$S$12,"PB",IF(AND(Q84&lt;Paramétrage!$S$12,Q84&lt;&gt;0),"PB","")))</f>
        <v/>
      </c>
      <c r="V84" s="959" t="str">
        <f t="shared" si="138"/>
        <v/>
      </c>
      <c r="W84" s="959" t="str">
        <f t="shared" si="139"/>
        <v/>
      </c>
      <c r="X84" s="960" t="str">
        <f t="shared" ref="X84" si="153">IF(AND(N84=0,O84=0),"",(IF(OR(C84="aa",C84="cp",C84="f",C84="jc",C84="m"),"",IF(C84="",IF(OR(D84-B84&gt;6/24,H84-F84&gt;6/24,L84-J84&gt;6/24),"PB",""),IF(OR(E84-C84&gt;6/24,I84-G84&gt;6/24,M84-K84&gt;6/24),"PB","")))))</f>
        <v/>
      </c>
      <c r="Y84" s="959" t="str">
        <f t="shared" si="141"/>
        <v/>
      </c>
      <c r="Z84" s="836"/>
      <c r="AA84" s="837"/>
      <c r="AC84" s="934">
        <f t="shared" si="143"/>
        <v>42842</v>
      </c>
      <c r="AD84" s="961">
        <f>IF(AND(N(AC84)&gt;=Paramétrage!$AU$11,N(AC84)&lt;=Paramétrage!$AU$12),IF(C84="cp",1,0),0)</f>
        <v>0</v>
      </c>
      <c r="AE84" s="962">
        <f t="shared" si="142"/>
        <v>0</v>
      </c>
      <c r="AF84" s="961">
        <f>IF(AND(N(AC84)&gt;=Paramétrage!$AX$11,N(AC84)&lt;=Paramétrage!$AX$12),IF(C84="cp",1,0),0)</f>
        <v>0</v>
      </c>
      <c r="AG84" s="962">
        <f t="shared" si="144"/>
        <v>0</v>
      </c>
      <c r="AI84" s="962">
        <f t="shared" si="145"/>
        <v>0</v>
      </c>
      <c r="AJ84" s="962">
        <f t="shared" si="146"/>
        <v>0</v>
      </c>
      <c r="AM84" s="962"/>
      <c r="AN84" s="962"/>
      <c r="AO84" s="962"/>
      <c r="AP84" s="962"/>
    </row>
    <row r="85" spans="1:45" s="935" customFormat="1" x14ac:dyDescent="0.25">
      <c r="A85" s="969" t="s">
        <v>38</v>
      </c>
      <c r="B85" s="970"/>
      <c r="C85" s="970"/>
      <c r="D85" s="970"/>
      <c r="E85" s="970"/>
      <c r="F85" s="970"/>
      <c r="G85" s="970"/>
      <c r="H85" s="970"/>
      <c r="I85" s="970"/>
      <c r="J85" s="970"/>
      <c r="K85" s="971"/>
      <c r="L85" s="970"/>
      <c r="M85" s="970"/>
      <c r="N85" s="972">
        <f>SUM(N78:N84)</f>
        <v>0</v>
      </c>
      <c r="O85" s="972">
        <f>SUM(O78:O84)</f>
        <v>0</v>
      </c>
      <c r="P85" s="972">
        <f>SUM(P78:P84)</f>
        <v>0</v>
      </c>
      <c r="Q85" s="972">
        <f>SUM(Q78:Q84)</f>
        <v>0</v>
      </c>
      <c r="R85" s="972"/>
      <c r="S85" s="972"/>
      <c r="T85" s="973"/>
      <c r="U85" s="974"/>
      <c r="V85" s="975" t="str">
        <f>IF((O85*24)&gt;48,"PB","")</f>
        <v/>
      </c>
      <c r="W85" s="974"/>
      <c r="X85" s="974"/>
      <c r="Y85" s="974"/>
      <c r="Z85" s="1053" t="s">
        <v>59</v>
      </c>
      <c r="AA85" s="1055">
        <f>+O85-N85</f>
        <v>0</v>
      </c>
      <c r="AB85" s="917"/>
      <c r="AC85" s="934"/>
      <c r="AE85" s="917"/>
      <c r="AF85" s="917"/>
      <c r="AG85" s="917"/>
      <c r="AH85" s="917"/>
      <c r="AI85" s="917"/>
      <c r="AJ85" s="917"/>
      <c r="AK85" s="917"/>
      <c r="AL85" s="917"/>
      <c r="AM85" s="917"/>
      <c r="AN85" s="917"/>
      <c r="AO85" s="917"/>
      <c r="AP85" s="917"/>
      <c r="AR85" s="917"/>
      <c r="AS85" s="917"/>
    </row>
    <row r="86" spans="1:45" s="935" customFormat="1" x14ac:dyDescent="0.25">
      <c r="A86" s="969"/>
      <c r="B86" s="969"/>
      <c r="C86" s="969"/>
      <c r="D86" s="969"/>
      <c r="E86" s="969"/>
      <c r="F86" s="1052"/>
      <c r="G86" s="1052"/>
      <c r="H86" s="1052"/>
      <c r="I86" s="1052"/>
      <c r="J86" s="1052"/>
      <c r="K86" s="969"/>
      <c r="L86" s="969"/>
      <c r="M86" s="969"/>
      <c r="N86" s="973"/>
      <c r="O86" s="969"/>
      <c r="P86" s="980"/>
      <c r="Q86" s="980"/>
      <c r="R86" s="980"/>
      <c r="S86" s="981"/>
      <c r="T86" s="980"/>
      <c r="U86" s="980"/>
      <c r="V86" s="980"/>
      <c r="W86" s="980"/>
      <c r="X86" s="980"/>
      <c r="Y86" s="980"/>
      <c r="Z86" s="1053"/>
      <c r="AA86" s="1055"/>
      <c r="AB86" s="967"/>
      <c r="AC86" s="934"/>
      <c r="AE86" s="917"/>
      <c r="AF86" s="917"/>
      <c r="AG86" s="917"/>
      <c r="AH86" s="917"/>
      <c r="AI86" s="917"/>
      <c r="AJ86" s="917"/>
      <c r="AK86" s="917"/>
      <c r="AL86" s="917"/>
      <c r="AM86" s="917"/>
      <c r="AN86" s="917"/>
      <c r="AO86" s="917"/>
      <c r="AP86" s="917"/>
      <c r="AR86" s="917"/>
      <c r="AS86" s="917"/>
    </row>
    <row r="87" spans="1:45" s="935" customFormat="1" ht="16.5" x14ac:dyDescent="0.3">
      <c r="A87" s="969"/>
      <c r="B87" s="969"/>
      <c r="C87" s="969"/>
      <c r="D87" s="969"/>
      <c r="E87" s="969"/>
      <c r="F87" s="928">
        <f>+F75+7</f>
        <v>42843</v>
      </c>
      <c r="G87" s="928"/>
      <c r="H87" s="929" t="s">
        <v>58</v>
      </c>
      <c r="I87" s="928">
        <f>+F87+6</f>
        <v>42849</v>
      </c>
      <c r="J87" s="930"/>
      <c r="K87" s="969"/>
      <c r="L87" s="969"/>
      <c r="M87" s="969"/>
      <c r="N87" s="973"/>
      <c r="O87" s="969"/>
      <c r="P87" s="980"/>
      <c r="Q87" s="980"/>
      <c r="R87" s="980"/>
      <c r="S87" s="981"/>
      <c r="T87" s="980"/>
      <c r="U87" s="980"/>
      <c r="V87" s="980"/>
      <c r="W87" s="980"/>
      <c r="X87" s="980"/>
      <c r="Y87" s="980"/>
      <c r="Z87" s="1053"/>
      <c r="AA87" s="1054"/>
      <c r="AB87" s="917"/>
      <c r="AC87" s="934"/>
      <c r="AD87" s="917"/>
      <c r="AE87" s="917"/>
      <c r="AF87" s="917"/>
      <c r="AG87" s="917"/>
      <c r="AH87" s="917"/>
      <c r="AI87" s="917"/>
      <c r="AJ87" s="917"/>
      <c r="AK87" s="917"/>
      <c r="AL87" s="917"/>
      <c r="AM87" s="917"/>
      <c r="AN87" s="917"/>
      <c r="AO87" s="917"/>
      <c r="AP87" s="917"/>
      <c r="AR87" s="917"/>
      <c r="AS87" s="917"/>
    </row>
    <row r="88" spans="1:45" ht="14.45" customHeight="1" x14ac:dyDescent="0.25">
      <c r="A88" s="994"/>
      <c r="B88" s="938" t="s">
        <v>17</v>
      </c>
      <c r="C88" s="938"/>
      <c r="D88" s="938" t="s">
        <v>18</v>
      </c>
      <c r="E88" s="938"/>
      <c r="F88" s="938" t="s">
        <v>17</v>
      </c>
      <c r="G88" s="938"/>
      <c r="H88" s="938" t="s">
        <v>18</v>
      </c>
      <c r="I88" s="938"/>
      <c r="J88" s="938" t="s">
        <v>17</v>
      </c>
      <c r="K88" s="938"/>
      <c r="L88" s="938" t="s">
        <v>18</v>
      </c>
      <c r="M88" s="938"/>
      <c r="N88" s="939" t="s">
        <v>61</v>
      </c>
      <c r="O88" s="939" t="s">
        <v>62</v>
      </c>
      <c r="P88" s="939" t="s">
        <v>60</v>
      </c>
      <c r="Q88" s="939" t="s">
        <v>63</v>
      </c>
      <c r="R88" s="939" t="s">
        <v>64</v>
      </c>
      <c r="S88" s="940" t="s">
        <v>223</v>
      </c>
      <c r="T88" s="939" t="s">
        <v>70</v>
      </c>
      <c r="U88" s="941" t="s">
        <v>65</v>
      </c>
      <c r="V88" s="942"/>
      <c r="W88" s="942"/>
      <c r="X88" s="942"/>
      <c r="Y88" s="943"/>
      <c r="Z88" s="944" t="s">
        <v>22</v>
      </c>
      <c r="AA88" s="944"/>
      <c r="AC88" s="934"/>
    </row>
    <row r="89" spans="1:45" ht="26.25" thickBot="1" x14ac:dyDescent="0.4">
      <c r="A89" s="937" t="str">
        <f>"S"&amp;WEEKNUM(F87,21)</f>
        <v>S16</v>
      </c>
      <c r="B89" s="949" t="s">
        <v>0</v>
      </c>
      <c r="C89" s="950" t="s">
        <v>1</v>
      </c>
      <c r="D89" s="949" t="s">
        <v>0</v>
      </c>
      <c r="E89" s="950" t="s">
        <v>1</v>
      </c>
      <c r="F89" s="949" t="s">
        <v>0</v>
      </c>
      <c r="G89" s="950" t="s">
        <v>1</v>
      </c>
      <c r="H89" s="949" t="s">
        <v>0</v>
      </c>
      <c r="I89" s="950" t="s">
        <v>1</v>
      </c>
      <c r="J89" s="949" t="s">
        <v>0</v>
      </c>
      <c r="K89" s="950" t="s">
        <v>1</v>
      </c>
      <c r="L89" s="949" t="s">
        <v>0</v>
      </c>
      <c r="M89" s="950" t="s">
        <v>1</v>
      </c>
      <c r="N89" s="951"/>
      <c r="O89" s="951"/>
      <c r="P89" s="951"/>
      <c r="Q89" s="951"/>
      <c r="R89" s="951"/>
      <c r="S89" s="951"/>
      <c r="T89" s="939"/>
      <c r="U89" s="952" t="s">
        <v>66</v>
      </c>
      <c r="V89" s="952" t="s">
        <v>67</v>
      </c>
      <c r="W89" s="952" t="s">
        <v>68</v>
      </c>
      <c r="X89" s="952" t="s">
        <v>137</v>
      </c>
      <c r="Y89" s="952" t="s">
        <v>69</v>
      </c>
      <c r="Z89" s="944"/>
      <c r="AA89" s="944"/>
      <c r="AC89" s="934"/>
      <c r="AM89" s="917" t="s">
        <v>274</v>
      </c>
    </row>
    <row r="90" spans="1:45" ht="16.5" x14ac:dyDescent="0.3">
      <c r="A90" s="955" t="s">
        <v>12</v>
      </c>
      <c r="B90" s="15" t="b">
        <f>IF(Paramétrage!$O$42="",FALSE,Paramétrage!$O$42)</f>
        <v>0</v>
      </c>
      <c r="C90" s="263"/>
      <c r="D90" s="15" t="b">
        <f>IF(Paramétrage!$Q$42="",FALSE,Paramétrage!$Q$42)</f>
        <v>0</v>
      </c>
      <c r="E90" s="264"/>
      <c r="F90" s="15" t="b">
        <f>IF(Paramétrage!$R$42="",FALSE,Paramétrage!$R$42)</f>
        <v>0</v>
      </c>
      <c r="G90" s="264"/>
      <c r="H90" s="17" t="b">
        <f>IF(Paramétrage!$T$42="",FALSE,Paramétrage!$T$42)</f>
        <v>0</v>
      </c>
      <c r="I90" s="263"/>
      <c r="J90" s="127" t="b">
        <f>IF(Paramétrage!$U$42="",FALSE,Paramétrage!$U$42)</f>
        <v>0</v>
      </c>
      <c r="K90" s="263"/>
      <c r="L90" s="28" t="b">
        <f>IF(Paramétrage!$W$42="",FALSE,Paramétrage!$W$42)</f>
        <v>0</v>
      </c>
      <c r="M90" s="263"/>
      <c r="N90" s="956">
        <f t="shared" ref="N90:N92" si="154">IF(OR(B90="aa",B90="cp",B90="f",B90="jc",B90="m",B90="css"),0,(L90-J90)+(H90-F90)+(D90-B90))</f>
        <v>0</v>
      </c>
      <c r="O90" s="956">
        <f t="shared" ref="O90:O92" si="155">SUM(AM90:AP90)+IF(OR(C90="m",C90="aa"),N90,IF(C90="css",0,IF(C90="cp",0,IF(C90="jc",0,IF(C90="f",0,E90-C90+I90-G90+M90-K90)))))</f>
        <v>0</v>
      </c>
      <c r="P90" s="956">
        <f t="shared" ref="P90:P96" si="156">IF(OR(C90="aa",C90="cp",C90="f",C90="jc",C90="m",C90="css"),0,IF(C90="",IF(OR(F90="",F90=FALSE),0,F90-D90),IF(G90="",0,G90-E90)))</f>
        <v>0</v>
      </c>
      <c r="Q90" s="956">
        <f t="shared" ref="Q90:Q96" si="157">IF(P90=0,0,IF(G90="",IF(OR(J90="",J90=FALSE),0,J90-H90),IF(K90="",0,K90-I90)))</f>
        <v>0</v>
      </c>
      <c r="R90" s="957">
        <f t="shared" ref="R90:R92" si="158">IF(OR(C90="aa",C90="cp",C90="f",C90="jc",C90="m",C90="css"),0,IF(C90=0,MAX(B90,D90,F90,H90,J90,L90)-MIN(B90,D90,F90,H90,J90,L90),IF(C90&lt;&gt;0,MAX(C90,E90,G90,I90,K90,M90)-MIN(C90,E90,G90,I90,K90,M90))))</f>
        <v>0</v>
      </c>
      <c r="S90" s="262"/>
      <c r="T90" s="958" t="str">
        <f t="shared" ref="T90:T91" si="159">IF(AND(B90=FALSE,C90=""),"",IF(AND(B90=0,C90=0),"",(IF(OR(C90="cp",C90="f",C90="jc",C90="css"),"",IF(OR(C90="",C90="aa",C90="m"),(IF(OR(B90="cp",B90="f",B90="jc",B90="css"),"",B90*24+24-MAX(D89,H89,L89)*24)),C90*24+24-MAX(M89,I89,E89)*24)))))</f>
        <v/>
      </c>
      <c r="U90" s="959" t="str">
        <f>IF(P90=0,"",IF(P90&lt;Paramétrage!$S$12,"PB",IF(AND(Q90&lt;Paramétrage!$S$12,Q90&lt;&gt;0),"PB","")))</f>
        <v/>
      </c>
      <c r="V90" s="959" t="str">
        <f t="shared" ref="V90:V96" si="160">IF(C90="",IF((N90*24)&gt;10,"PB",""),IF((O90*24)&gt;10,"PB",""))</f>
        <v/>
      </c>
      <c r="W90" s="959" t="str">
        <f t="shared" ref="W90:W96" si="161">IF((R90*24)&gt;12,"PB","")</f>
        <v/>
      </c>
      <c r="X90" s="960" t="str">
        <f t="shared" ref="X90:X92" si="162">IF(AND(N90=0,O90=0),"",(IF(OR(C90="aa",C90="cp",C90="f",C90="jc",C90="m",C90="css"),"",IF(C90="",IF(OR(D90-B90&gt;6/24,H90-F90&gt;6/24,L90-J90&gt;6/24),"PB",""),IF(OR(E90-C90&gt;6/24,I90-G90&gt;6/24,M90-K90&gt;6/24),"PB","")))))</f>
        <v/>
      </c>
      <c r="Y90" s="959" t="str">
        <f t="shared" ref="Y90:Y96" si="163">IF(T90="","",IF(T90&lt;11,"PB",""))</f>
        <v/>
      </c>
      <c r="Z90" s="836"/>
      <c r="AA90" s="837"/>
      <c r="AC90" s="934">
        <f>AC84+1</f>
        <v>42843</v>
      </c>
      <c r="AD90" s="961">
        <f>IF(AND(N(AC90)&gt;=Paramétrage!$AU$11,N(AC90)&lt;=Paramétrage!$AU$12),IF(C90="cp",1,0),0)</f>
        <v>0</v>
      </c>
      <c r="AE90" s="962">
        <f t="shared" ref="AE90:AE96" si="164">IF(O90&lt;&gt;"erreur",N90,O90)</f>
        <v>0</v>
      </c>
      <c r="AF90" s="961">
        <f>IF(AND(N(AC90)&gt;=Paramétrage!$AX$11,N(AC90)&lt;=Paramétrage!$AX$12),IF(C90="cp",1,0),0)</f>
        <v>0</v>
      </c>
      <c r="AG90" s="962">
        <f t="shared" ref="AG90:AG96" si="165">O90</f>
        <v>0</v>
      </c>
      <c r="AI90" s="962">
        <f>AE90+AI84</f>
        <v>0</v>
      </c>
      <c r="AJ90" s="962">
        <f>AG90+AJ84</f>
        <v>0</v>
      </c>
      <c r="AM90" s="962">
        <f>IF(AND($B90="cp",$C90="m"),$Z90,0)</f>
        <v>0</v>
      </c>
      <c r="AN90" s="962">
        <f>IF(AND($B90="jc",$C90="m"),$Z90,0)</f>
        <v>0</v>
      </c>
      <c r="AO90" s="962">
        <f>IF(AND($B90="cp",$C90="aa"),$Z90,0)</f>
        <v>0</v>
      </c>
      <c r="AP90" s="962">
        <f>IF(AND($B90="jc",$C90="aa"),$Z90,0)</f>
        <v>0</v>
      </c>
      <c r="AR90" s="917">
        <f>IF(AND(AC90&lt;=$AR$3,B90="CP"),1,0)</f>
        <v>0</v>
      </c>
      <c r="AS90" s="917">
        <f>IF(AND(AC90&lt;=$AR$3,C90="CP"),1,0)</f>
        <v>0</v>
      </c>
    </row>
    <row r="91" spans="1:45" ht="16.5" x14ac:dyDescent="0.3">
      <c r="A91" s="964" t="s">
        <v>13</v>
      </c>
      <c r="B91" s="15" t="b">
        <f>IF(Paramétrage!$O$43="",FALSE,Paramétrage!$O$43)</f>
        <v>0</v>
      </c>
      <c r="C91" s="263"/>
      <c r="D91" s="15" t="b">
        <f>IF(Paramétrage!$Q$43="",FALSE,Paramétrage!$Q$43)</f>
        <v>0</v>
      </c>
      <c r="E91" s="264"/>
      <c r="F91" s="15" t="b">
        <f>IF(Paramétrage!$R$43="",FALSE,Paramétrage!$R$43)</f>
        <v>0</v>
      </c>
      <c r="G91" s="264"/>
      <c r="H91" s="17" t="b">
        <f>IF(Paramétrage!$T$43="",FALSE,Paramétrage!$T$43)</f>
        <v>0</v>
      </c>
      <c r="I91" s="263"/>
      <c r="J91" s="127" t="b">
        <f>IF(Paramétrage!$U$43="",FALSE,Paramétrage!$U$43)</f>
        <v>0</v>
      </c>
      <c r="K91" s="263"/>
      <c r="L91" s="28" t="b">
        <f>IF(Paramétrage!$W$43="",FALSE,Paramétrage!$W$43)</f>
        <v>0</v>
      </c>
      <c r="M91" s="263"/>
      <c r="N91" s="956">
        <f t="shared" si="154"/>
        <v>0</v>
      </c>
      <c r="O91" s="956">
        <f t="shared" si="155"/>
        <v>0</v>
      </c>
      <c r="P91" s="956">
        <f t="shared" si="156"/>
        <v>0</v>
      </c>
      <c r="Q91" s="956">
        <f t="shared" si="157"/>
        <v>0</v>
      </c>
      <c r="R91" s="957">
        <f t="shared" si="158"/>
        <v>0</v>
      </c>
      <c r="S91" s="262"/>
      <c r="T91" s="958" t="str">
        <f t="shared" si="159"/>
        <v/>
      </c>
      <c r="U91" s="959" t="str">
        <f>IF(P91=0,"",IF(P91&lt;Paramétrage!$S$12,"PB",IF(AND(Q91&lt;Paramétrage!$S$12,Q91&lt;&gt;0),"PB","")))</f>
        <v/>
      </c>
      <c r="V91" s="959" t="str">
        <f t="shared" si="160"/>
        <v/>
      </c>
      <c r="W91" s="959" t="str">
        <f t="shared" si="161"/>
        <v/>
      </c>
      <c r="X91" s="960" t="str">
        <f t="shared" si="162"/>
        <v/>
      </c>
      <c r="Y91" s="959" t="str">
        <f t="shared" si="163"/>
        <v/>
      </c>
      <c r="Z91" s="836"/>
      <c r="AA91" s="837"/>
      <c r="AC91" s="934">
        <f t="shared" ref="AC91:AC96" si="166">AC90+1</f>
        <v>42844</v>
      </c>
      <c r="AD91" s="961">
        <f>IF(AND(N(AC91)&gt;=Paramétrage!$AU$11,N(AC91)&lt;=Paramétrage!$AU$12),IF(C91="cp",1,0),0)</f>
        <v>0</v>
      </c>
      <c r="AE91" s="962">
        <f t="shared" si="164"/>
        <v>0</v>
      </c>
      <c r="AF91" s="961">
        <f>IF(AND(N(AC91)&gt;=Paramétrage!$AX$11,N(AC91)&lt;=Paramétrage!$AX$12),IF(C91="cp",1,0),0)</f>
        <v>0</v>
      </c>
      <c r="AG91" s="962">
        <f t="shared" si="165"/>
        <v>0</v>
      </c>
      <c r="AI91" s="962">
        <f t="shared" ref="AI91:AI96" si="167">AE91+AI90</f>
        <v>0</v>
      </c>
      <c r="AJ91" s="962">
        <f t="shared" ref="AJ91:AJ96" si="168">AG91+AJ90</f>
        <v>0</v>
      </c>
      <c r="AM91" s="962">
        <f t="shared" ref="AM91:AM94" si="169">IF(AND($B91="cp",$C91="m"),$Z91,0)</f>
        <v>0</v>
      </c>
      <c r="AN91" s="962">
        <f t="shared" ref="AN91:AN94" si="170">IF(AND($B91="jc",$C91="m"),$Z91,0)</f>
        <v>0</v>
      </c>
      <c r="AO91" s="962">
        <f t="shared" ref="AO91:AO94" si="171">IF(AND($B91="cp",$C91="aa"),$Z91,0)</f>
        <v>0</v>
      </c>
      <c r="AP91" s="962">
        <f t="shared" ref="AP91:AP94" si="172">IF(AND($B91="jc",$C91="aa"),$Z91,0)</f>
        <v>0</v>
      </c>
      <c r="AR91" s="917">
        <f>IF(AND(AC91&lt;=$AR$3,B91="CP"),1,0)</f>
        <v>0</v>
      </c>
      <c r="AS91" s="917">
        <f>IF(AND(AC91&lt;=$AR$3,C91="CP"),1,0)</f>
        <v>0</v>
      </c>
    </row>
    <row r="92" spans="1:45" ht="16.5" x14ac:dyDescent="0.3">
      <c r="A92" s="964" t="s">
        <v>14</v>
      </c>
      <c r="B92" s="15" t="b">
        <f>IF(Paramétrage!$O$44="",FALSE,Paramétrage!$O$44)</f>
        <v>0</v>
      </c>
      <c r="C92" s="263"/>
      <c r="D92" s="15" t="b">
        <f>IF(Paramétrage!$Q$44="",FALSE,Paramétrage!$Q$44)</f>
        <v>0</v>
      </c>
      <c r="E92" s="264"/>
      <c r="F92" s="15" t="b">
        <f>IF(Paramétrage!$R$44="",FALSE,Paramétrage!$R$44)</f>
        <v>0</v>
      </c>
      <c r="G92" s="264"/>
      <c r="H92" s="17" t="b">
        <f>IF(Paramétrage!$T$44="",FALSE,Paramétrage!$T$44)</f>
        <v>0</v>
      </c>
      <c r="I92" s="263"/>
      <c r="J92" s="127" t="b">
        <f>IF(Paramétrage!$U$44="",FALSE,Paramétrage!$U$44)</f>
        <v>0</v>
      </c>
      <c r="K92" s="263"/>
      <c r="L92" s="28" t="b">
        <f>IF(Paramétrage!$W$44="",FALSE,Paramétrage!$W$44)</f>
        <v>0</v>
      </c>
      <c r="M92" s="263"/>
      <c r="N92" s="956">
        <f t="shared" si="154"/>
        <v>0</v>
      </c>
      <c r="O92" s="956">
        <f t="shared" si="155"/>
        <v>0</v>
      </c>
      <c r="P92" s="956">
        <f t="shared" si="156"/>
        <v>0</v>
      </c>
      <c r="Q92" s="956">
        <f t="shared" si="157"/>
        <v>0</v>
      </c>
      <c r="R92" s="957">
        <f t="shared" si="158"/>
        <v>0</v>
      </c>
      <c r="S92" s="262"/>
      <c r="T92" s="958" t="str">
        <f>IF(AND(B92=FALSE,C92=""),"",IF(AND(B92=0,C92=0),"",(IF(OR(C92="cp",C92="f",C92="jc",C92="css"),"",IF(OR(C92="",C92="aa",C92="m"),(IF(OR(B92="cp",B92="f",B92="jc",B92="css"),"",B92*24+24-MAX(D91,H91,L91)*24)),C92*24+24-MAX(M91,I91,E91)*24)))))</f>
        <v/>
      </c>
      <c r="U92" s="959" t="str">
        <f>IF(P92=0,"",IF(P92&lt;Paramétrage!$S$12,"PB",IF(AND(Q92&lt;Paramétrage!$S$12,Q92&lt;&gt;0),"PB","")))</f>
        <v/>
      </c>
      <c r="V92" s="959" t="str">
        <f t="shared" si="160"/>
        <v/>
      </c>
      <c r="W92" s="959" t="str">
        <f t="shared" si="161"/>
        <v/>
      </c>
      <c r="X92" s="960" t="str">
        <f t="shared" si="162"/>
        <v/>
      </c>
      <c r="Y92" s="959" t="str">
        <f t="shared" si="163"/>
        <v/>
      </c>
      <c r="Z92" s="836"/>
      <c r="AA92" s="837"/>
      <c r="AC92" s="934">
        <f t="shared" si="166"/>
        <v>42845</v>
      </c>
      <c r="AD92" s="961">
        <f>IF(AND(N(AC92)&gt;=Paramétrage!$AU$11,N(AC92)&lt;=Paramétrage!$AU$12),IF(C92="cp",1,0),0)</f>
        <v>0</v>
      </c>
      <c r="AE92" s="962">
        <f t="shared" si="164"/>
        <v>0</v>
      </c>
      <c r="AF92" s="961">
        <f>IF(AND(N(AC92)&gt;=Paramétrage!$AX$11,N(AC92)&lt;=Paramétrage!$AX$12),IF(C92="cp",1,0),0)</f>
        <v>0</v>
      </c>
      <c r="AG92" s="962">
        <f t="shared" si="165"/>
        <v>0</v>
      </c>
      <c r="AI92" s="962">
        <f t="shared" si="167"/>
        <v>0</v>
      </c>
      <c r="AJ92" s="962">
        <f t="shared" si="168"/>
        <v>0</v>
      </c>
      <c r="AM92" s="962">
        <f t="shared" si="169"/>
        <v>0</v>
      </c>
      <c r="AN92" s="962">
        <f t="shared" si="170"/>
        <v>0</v>
      </c>
      <c r="AO92" s="962">
        <f t="shared" si="171"/>
        <v>0</v>
      </c>
      <c r="AP92" s="962">
        <f t="shared" si="172"/>
        <v>0</v>
      </c>
      <c r="AR92" s="917">
        <f>IF(AND(AC92&lt;=$AR$3,B92="CP"),1,0)</f>
        <v>0</v>
      </c>
      <c r="AS92" s="917">
        <f>IF(AND(AC92&lt;=$AR$3,C92="CP"),1,0)</f>
        <v>0</v>
      </c>
    </row>
    <row r="93" spans="1:45" ht="16.5" x14ac:dyDescent="0.3">
      <c r="A93" s="964" t="s">
        <v>15</v>
      </c>
      <c r="B93" s="15" t="b">
        <f>IF(Paramétrage!$O$45="",FALSE,Paramétrage!$O$45)</f>
        <v>0</v>
      </c>
      <c r="C93" s="263"/>
      <c r="D93" s="15" t="b">
        <f>IF(Paramétrage!$Q$45="",FALSE,Paramétrage!$Q$45)</f>
        <v>0</v>
      </c>
      <c r="E93" s="264"/>
      <c r="F93" s="15" t="b">
        <f>IF(Paramétrage!$R$45="",FALSE,Paramétrage!$R$45)</f>
        <v>0</v>
      </c>
      <c r="G93" s="264"/>
      <c r="H93" s="17" t="b">
        <f>IF(Paramétrage!$T$45="",FALSE,Paramétrage!$T$45)</f>
        <v>0</v>
      </c>
      <c r="I93" s="263"/>
      <c r="J93" s="127" t="b">
        <f>IF(Paramétrage!$U$45="",FALSE,Paramétrage!$U$45)</f>
        <v>0</v>
      </c>
      <c r="K93" s="263"/>
      <c r="L93" s="28" t="b">
        <f>IF(Paramétrage!$W$45="",FALSE,Paramétrage!$W$45)</f>
        <v>0</v>
      </c>
      <c r="M93" s="263"/>
      <c r="N93" s="956">
        <f>IF(OR(B93="aa",B93="cp",B93="f",B93="jc",B93="m",B93="css"),0,(L93-J93)+(H93-F93)+(D93-B93))</f>
        <v>0</v>
      </c>
      <c r="O93" s="956">
        <f>SUM(AM93:AP93)+IF(OR(C93="m",C93="aa"),N93,IF(C93="css",0,IF(C93="cp",0,IF(C93="jc",0,IF(C93="f",0,E93-C93+I93-G93+M93-K93)))))</f>
        <v>0</v>
      </c>
      <c r="P93" s="956">
        <f t="shared" si="156"/>
        <v>0</v>
      </c>
      <c r="Q93" s="956">
        <f t="shared" si="157"/>
        <v>0</v>
      </c>
      <c r="R93" s="957">
        <f>IF(OR(C93="aa",C93="cp",C93="f",C93="jc",C93="m",C93="css"),0,IF(C93=0,MAX(B93,D93,F93,H93,J93,L93)-MIN(B93,D93,F93,H93,J93,L93),IF(C93&lt;&gt;0,MAX(C93,E93,G93,I93,K93,M93)-MIN(C93,E93,G93,I93,K93,M93))))</f>
        <v>0</v>
      </c>
      <c r="S93" s="262"/>
      <c r="T93" s="958" t="str">
        <f t="shared" ref="T93:T96" si="173">IF(AND(B93=FALSE,C93=""),"",IF(AND(B93=0,C93=0),"",(IF(OR(C93="cp",C93="f",C93="jc",C93="css"),"",IF(OR(C93="",C93="aa",C93="m"),(IF(OR(B93="cp",B93="f",B93="jc",B93="css"),"",B93*24+24-MAX(D92,H92,L92)*24)),C93*24+24-MAX(M92,I92,E92)*24)))))</f>
        <v/>
      </c>
      <c r="U93" s="959" t="str">
        <f>IF(P93=0,"",IF(P93&lt;Paramétrage!$S$12,"PB",IF(AND(Q93&lt;Paramétrage!$S$12,Q93&lt;&gt;0),"PB","")))</f>
        <v/>
      </c>
      <c r="V93" s="959" t="str">
        <f t="shared" si="160"/>
        <v/>
      </c>
      <c r="W93" s="959" t="str">
        <f t="shared" si="161"/>
        <v/>
      </c>
      <c r="X93" s="960" t="str">
        <f>IF(AND(N93=0,O93=0),"",(IF(OR(C93="aa",C93="cp",C93="f",C93="jc",C93="m",C93="css"),"",IF(C93="",IF(OR(D93-B93&gt;6/24,H93-F93&gt;6/24,L93-J93&gt;6/24),"PB",""),IF(OR(E93-C93&gt;6/24,I93-G93&gt;6/24,M93-K93&gt;6/24),"PB","")))))</f>
        <v/>
      </c>
      <c r="Y93" s="959" t="str">
        <f t="shared" si="163"/>
        <v/>
      </c>
      <c r="Z93" s="836"/>
      <c r="AA93" s="837"/>
      <c r="AC93" s="934">
        <f t="shared" si="166"/>
        <v>42846</v>
      </c>
      <c r="AD93" s="961">
        <f>IF(AND(N(AC93)&gt;=Paramétrage!$AU$11,N(AC93)&lt;=Paramétrage!$AU$12),IF(C93="cp",1,0),0)</f>
        <v>0</v>
      </c>
      <c r="AE93" s="962">
        <f t="shared" si="164"/>
        <v>0</v>
      </c>
      <c r="AF93" s="961">
        <f>IF(AND(N(AC93)&gt;=Paramétrage!$AX$11,N(AC93)&lt;=Paramétrage!$AX$12),IF(C93="cp",1,0),0)</f>
        <v>0</v>
      </c>
      <c r="AG93" s="962">
        <f t="shared" si="165"/>
        <v>0</v>
      </c>
      <c r="AI93" s="962">
        <f t="shared" si="167"/>
        <v>0</v>
      </c>
      <c r="AJ93" s="962">
        <f t="shared" si="168"/>
        <v>0</v>
      </c>
      <c r="AM93" s="962">
        <f t="shared" si="169"/>
        <v>0</v>
      </c>
      <c r="AN93" s="962">
        <f t="shared" si="170"/>
        <v>0</v>
      </c>
      <c r="AO93" s="962">
        <f t="shared" si="171"/>
        <v>0</v>
      </c>
      <c r="AP93" s="962">
        <f t="shared" si="172"/>
        <v>0</v>
      </c>
      <c r="AR93" s="917">
        <f>IF(AND(AC93&lt;=$AR$3,B93="CP"),1,0)</f>
        <v>0</v>
      </c>
      <c r="AS93" s="917">
        <f>IF(AND(AC93&lt;=$AR$3,C93="CP"),1,0)</f>
        <v>0</v>
      </c>
    </row>
    <row r="94" spans="1:45" ht="16.5" x14ac:dyDescent="0.3">
      <c r="A94" s="964" t="s">
        <v>16</v>
      </c>
      <c r="B94" s="15" t="b">
        <f>IF(Paramétrage!$O$46="",FALSE,Paramétrage!$O$46)</f>
        <v>0</v>
      </c>
      <c r="C94" s="263"/>
      <c r="D94" s="15" t="b">
        <f>IF(Paramétrage!$Q$46="",FALSE,Paramétrage!$Q$46)</f>
        <v>0</v>
      </c>
      <c r="E94" s="264"/>
      <c r="F94" s="15" t="b">
        <f>IF(Paramétrage!$R$46="",FALSE,Paramétrage!$R$46)</f>
        <v>0</v>
      </c>
      <c r="G94" s="264"/>
      <c r="H94" s="17" t="b">
        <f>IF(Paramétrage!$T$46="",FALSE,Paramétrage!$T$46)</f>
        <v>0</v>
      </c>
      <c r="I94" s="263"/>
      <c r="J94" s="127" t="b">
        <f>IF(Paramétrage!$U$46="",FALSE,Paramétrage!$U$46)</f>
        <v>0</v>
      </c>
      <c r="K94" s="263"/>
      <c r="L94" s="28" t="b">
        <f>IF(Paramétrage!$W$46="",FALSE,Paramétrage!$W$46)</f>
        <v>0</v>
      </c>
      <c r="M94" s="263"/>
      <c r="N94" s="956">
        <f>IF(OR(B94="aa",B94="cp",B94="f",B94="jc",B94="m",B94="css"),0,(L94-J94)+(H94-F94)+(D94-B94))</f>
        <v>0</v>
      </c>
      <c r="O94" s="956">
        <f>SUM(AM94:AP94)+IF(OR(C94="m",C94="aa"),N94,IF(C94="css",0,IF(C94="cp",0,IF(C94="jc",0,IF(C94="f",0,E94-C94+I94-G94+M94-K94)))))</f>
        <v>0</v>
      </c>
      <c r="P94" s="956">
        <f t="shared" si="156"/>
        <v>0</v>
      </c>
      <c r="Q94" s="956">
        <f t="shared" si="157"/>
        <v>0</v>
      </c>
      <c r="R94" s="957">
        <f>IF(OR(C94="aa",C94="cp",C94="f",C94="jc",C94="m",C94="css"),0,IF(C94=0,MAX(B94,D94,F94,H94,J94,L94)-MIN(B94,D94,F94,H94,J94,L94),IF(C94&lt;&gt;0,MAX(C94,E94,G94,I94,K94,M94)-MIN(C94,E94,G94,I94,K94,M94))))</f>
        <v>0</v>
      </c>
      <c r="S94" s="262"/>
      <c r="T94" s="958" t="str">
        <f t="shared" si="173"/>
        <v/>
      </c>
      <c r="U94" s="959" t="str">
        <f>IF(P94=0,"",IF(P94&lt;Paramétrage!$S$12,"PB",IF(AND(Q94&lt;Paramétrage!$S$12,Q94&lt;&gt;0),"PB","")))</f>
        <v/>
      </c>
      <c r="V94" s="959" t="str">
        <f t="shared" si="160"/>
        <v/>
      </c>
      <c r="W94" s="959" t="str">
        <f t="shared" si="161"/>
        <v/>
      </c>
      <c r="X94" s="960" t="str">
        <f>IF(AND(N94=0,O94=0),"",(IF(OR(C94="aa",C94="cp",C94="f",C94="jc",C94="m",C94="css"),"",IF(C94="",IF(OR(D94-B94&gt;6/24,H94-F94&gt;6/24,L94-J94&gt;6/24),"PB",""),IF(OR(E94-C94&gt;6/24,I94-G94&gt;6/24,M94-K94&gt;6/24),"PB","")))))</f>
        <v/>
      </c>
      <c r="Y94" s="959" t="str">
        <f t="shared" si="163"/>
        <v/>
      </c>
      <c r="Z94" s="836"/>
      <c r="AA94" s="837"/>
      <c r="AC94" s="934">
        <f t="shared" si="166"/>
        <v>42847</v>
      </c>
      <c r="AD94" s="961">
        <f>IF(AND(N(AC94)&gt;=Paramétrage!$AU$11,N(AC94)&lt;=Paramétrage!$AU$12),IF(C94="cp",1,0),0)</f>
        <v>0</v>
      </c>
      <c r="AE94" s="962">
        <f t="shared" si="164"/>
        <v>0</v>
      </c>
      <c r="AF94" s="961">
        <f>IF(AND(N(AC94)&gt;=Paramétrage!$AX$11,N(AC94)&lt;=Paramétrage!$AX$12),IF(C94="cp",1,0),0)</f>
        <v>0</v>
      </c>
      <c r="AG94" s="962">
        <f t="shared" si="165"/>
        <v>0</v>
      </c>
      <c r="AI94" s="962">
        <f t="shared" si="167"/>
        <v>0</v>
      </c>
      <c r="AJ94" s="962">
        <f t="shared" si="168"/>
        <v>0</v>
      </c>
      <c r="AM94" s="962">
        <f t="shared" si="169"/>
        <v>0</v>
      </c>
      <c r="AN94" s="962">
        <f t="shared" si="170"/>
        <v>0</v>
      </c>
      <c r="AO94" s="962">
        <f t="shared" si="171"/>
        <v>0</v>
      </c>
      <c r="AP94" s="962">
        <f t="shared" si="172"/>
        <v>0</v>
      </c>
      <c r="AR94" s="917">
        <f>IF(AND(AC94&lt;=$AR$3,B94="CP"),1,0)</f>
        <v>0</v>
      </c>
      <c r="AS94" s="917">
        <f>IF(AND(AC94&lt;=$AR$3,C94="CP"),1,0)</f>
        <v>0</v>
      </c>
    </row>
    <row r="95" spans="1:45" ht="16.5" x14ac:dyDescent="0.3">
      <c r="A95" s="964" t="s">
        <v>19</v>
      </c>
      <c r="B95" s="15" t="b">
        <f>IF(Paramétrage!$O$47="",FALSE,Paramétrage!$O$47)</f>
        <v>0</v>
      </c>
      <c r="C95" s="263"/>
      <c r="D95" s="15" t="b">
        <f>IF(Paramétrage!$Q$47="",FALSE,Paramétrage!$Q$47)</f>
        <v>0</v>
      </c>
      <c r="E95" s="264"/>
      <c r="F95" s="15" t="b">
        <f>IF(Paramétrage!$R$47="",FALSE,Paramétrage!$R$47)</f>
        <v>0</v>
      </c>
      <c r="G95" s="264"/>
      <c r="H95" s="17" t="b">
        <f>IF(Paramétrage!$T$47="",FALSE,Paramétrage!$T$47)</f>
        <v>0</v>
      </c>
      <c r="I95" s="263"/>
      <c r="J95" s="127" t="b">
        <f>IF(Paramétrage!$U$47="",FALSE,Paramétrage!$U$47)</f>
        <v>0</v>
      </c>
      <c r="K95" s="263"/>
      <c r="L95" s="28" t="b">
        <f>IF(Paramétrage!$W$47="",FALSE,Paramétrage!$W$47)</f>
        <v>0</v>
      </c>
      <c r="M95" s="263"/>
      <c r="N95" s="956">
        <f>IF(OR(B95="aa",B95="cp",B95="f",B95="jc",B95="m",B95="css"),0,(L95-J95)+(H95-F95)+(D95-B95))</f>
        <v>0</v>
      </c>
      <c r="O95" s="956">
        <f>IF(OR(C95="m",C95="aa"),N95,IF(C95="cp",0,IF(OR(C95="css",C95="jc"),0,IF(C95="f",0,E95-C95+I95-G95+M95-K95))))</f>
        <v>0</v>
      </c>
      <c r="P95" s="956">
        <f t="shared" si="156"/>
        <v>0</v>
      </c>
      <c r="Q95" s="956">
        <f t="shared" si="157"/>
        <v>0</v>
      </c>
      <c r="R95" s="957">
        <f>IF(OR(C95="aa",C95="cp",C95="f",C95="jc",C95="m",C95="css"),0,IF(C95=0,MAX(B95,D95,F95,H95,J95,L95)-MIN(B95,D95,F95,H95,J95,L95),IF(C95&lt;&gt;0,MAX(C95,E95,G95,I95,K95,M95)-MIN(C95,E95,G95,I95,K95,M95))))</f>
        <v>0</v>
      </c>
      <c r="S95" s="262"/>
      <c r="T95" s="958" t="str">
        <f t="shared" si="173"/>
        <v/>
      </c>
      <c r="U95" s="959" t="str">
        <f>IF(P95=0,"",IF(P95&lt;Paramétrage!$S$12,"PB",IF(AND(Q95&lt;Paramétrage!$S$12,Q95&lt;&gt;0),"PB","")))</f>
        <v/>
      </c>
      <c r="V95" s="959" t="str">
        <f t="shared" si="160"/>
        <v/>
      </c>
      <c r="W95" s="959" t="str">
        <f t="shared" si="161"/>
        <v/>
      </c>
      <c r="X95" s="960" t="str">
        <f>IF(AND(N95=0,O95=0),"",(IF(OR(C95="aa",C95="cp",C95="f",C95="jc",C95="m",C95="css"),"",IF(C95="",IF(OR(D95-B95&gt;6/24,H95-F95&gt;6/24,L95-J95&gt;6/24),"PB",""),IF(OR(E95-C95&gt;6/24,I95-G95&gt;6/24,M95-K95&gt;6/24),"PB","")))))</f>
        <v/>
      </c>
      <c r="Y95" s="959" t="str">
        <f t="shared" si="163"/>
        <v/>
      </c>
      <c r="Z95" s="836"/>
      <c r="AA95" s="837"/>
      <c r="AC95" s="934">
        <f t="shared" si="166"/>
        <v>42848</v>
      </c>
      <c r="AD95" s="961">
        <f>IF(AND(N(AC95)&gt;=Paramétrage!$AU$11,N(AC95)&lt;=Paramétrage!$AU$12),IF(C95="cp",1,0),0)</f>
        <v>0</v>
      </c>
      <c r="AE95" s="962">
        <f t="shared" si="164"/>
        <v>0</v>
      </c>
      <c r="AF95" s="961">
        <f>IF(AND(N(AC95)&gt;=Paramétrage!$AX$11,N(AC95)&lt;=Paramétrage!$AX$12),IF(C95="cp",1,0),0)</f>
        <v>0</v>
      </c>
      <c r="AG95" s="962">
        <f t="shared" si="165"/>
        <v>0</v>
      </c>
      <c r="AI95" s="962">
        <f t="shared" si="167"/>
        <v>0</v>
      </c>
      <c r="AJ95" s="962">
        <f t="shared" si="168"/>
        <v>0</v>
      </c>
      <c r="AM95" s="962"/>
      <c r="AN95" s="962"/>
      <c r="AO95" s="962"/>
      <c r="AP95" s="962"/>
    </row>
    <row r="96" spans="1:45" ht="17.25" thickBot="1" x14ac:dyDescent="0.35">
      <c r="A96" s="966" t="s">
        <v>20</v>
      </c>
      <c r="B96" s="15" t="b">
        <f>IF(Paramétrage!$O$48="",FALSE,Paramétrage!$O$48)</f>
        <v>0</v>
      </c>
      <c r="C96" s="263"/>
      <c r="D96" s="15" t="b">
        <f>IF(Paramétrage!$Q$48="",FALSE,Paramétrage!$Q$48)</f>
        <v>0</v>
      </c>
      <c r="E96" s="264"/>
      <c r="F96" s="15" t="b">
        <f>IF(Paramétrage!$R$48="",FALSE,Paramétrage!$R$48)</f>
        <v>0</v>
      </c>
      <c r="G96" s="264"/>
      <c r="H96" s="17" t="b">
        <f>IF(Paramétrage!$T$48="",FALSE,Paramétrage!$T$48)</f>
        <v>0</v>
      </c>
      <c r="I96" s="263"/>
      <c r="J96" s="127" t="b">
        <f>IF(Paramétrage!$U$48="",FALSE,Paramétrage!$U$48)</f>
        <v>0</v>
      </c>
      <c r="K96" s="263"/>
      <c r="L96" s="28" t="b">
        <f>IF(Paramétrage!$W$48="",FALSE,Paramétrage!$W$48)</f>
        <v>0</v>
      </c>
      <c r="M96" s="263"/>
      <c r="N96" s="956">
        <f>IF(OR(B96="aa",B96="m"),M96,IF(B96="cp",0,IF(B96="jc",0,IF(B96="f",0,(D96-B96)*Paramétrage!$S$13+(H96-F96)*Paramétrage!$S$13+(L96-J96)*Paramétrage!$S$13+(D96-B96+H96-F96+L96-J96)))))</f>
        <v>0</v>
      </c>
      <c r="O96" s="956">
        <f>IF(OR(C96="aa",C96="m"),N96,IF(C96="cp",0,IF(C96="jc",0,IF(C96="f",0,(E96-C96)*Paramétrage!$S$13+(I96-G96)*Paramétrage!$S$13+(M96-K96)*Paramétrage!$S$13+(E96-C96+I96-G96+M96-K96)))))</f>
        <v>0</v>
      </c>
      <c r="P96" s="956">
        <f t="shared" si="156"/>
        <v>0</v>
      </c>
      <c r="Q96" s="956">
        <f t="shared" si="157"/>
        <v>0</v>
      </c>
      <c r="R96" s="957">
        <f t="shared" ref="R96" si="174">IF(OR(C96="aa",C96="cp",C96="f",C96="jc",C96="m",C96=0),MAX(B96,D96,F96,H96,J96,L96)-MIN(B96,D96,F96,H96,J96,L96),IF(C96&lt;&gt;0,MAX(C96,E96,G96,I96,K96,M96)-MIN(C96,E96,G96,I96,K96,M96)))</f>
        <v>0</v>
      </c>
      <c r="S96" s="262"/>
      <c r="T96" s="958" t="str">
        <f t="shared" si="173"/>
        <v/>
      </c>
      <c r="U96" s="959" t="str">
        <f>IF(P96=0,"",IF(P96&lt;Paramétrage!$S$12,"PB",IF(AND(Q96&lt;Paramétrage!$S$12,Q96&lt;&gt;0),"PB","")))</f>
        <v/>
      </c>
      <c r="V96" s="959" t="str">
        <f t="shared" si="160"/>
        <v/>
      </c>
      <c r="W96" s="959" t="str">
        <f t="shared" si="161"/>
        <v/>
      </c>
      <c r="X96" s="960" t="str">
        <f t="shared" ref="X96" si="175">IF(AND(N96=0,O96=0),"",(IF(OR(C96="aa",C96="cp",C96="f",C96="jc",C96="m"),"",IF(C96="",IF(OR(D96-B96&gt;6/24,H96-F96&gt;6/24,L96-J96&gt;6/24),"PB",""),IF(OR(E96-C96&gt;6/24,I96-G96&gt;6/24,M96-K96&gt;6/24),"PB","")))))</f>
        <v/>
      </c>
      <c r="Y96" s="959" t="str">
        <f t="shared" si="163"/>
        <v/>
      </c>
      <c r="Z96" s="836"/>
      <c r="AA96" s="837"/>
      <c r="AC96" s="934">
        <f t="shared" si="166"/>
        <v>42849</v>
      </c>
      <c r="AD96" s="961">
        <f>IF(AND(N(AC96)&gt;=Paramétrage!$AU$11,N(AC96)&lt;=Paramétrage!$AU$12),IF(C96="cp",1,0),0)</f>
        <v>0</v>
      </c>
      <c r="AE96" s="962">
        <f t="shared" si="164"/>
        <v>0</v>
      </c>
      <c r="AF96" s="961">
        <f>IF(AND(N(AC96)&gt;=Paramétrage!$AX$11,N(AC96)&lt;=Paramétrage!$AX$12),IF(C96="cp",1,0),0)</f>
        <v>0</v>
      </c>
      <c r="AG96" s="962">
        <f t="shared" si="165"/>
        <v>0</v>
      </c>
      <c r="AI96" s="962">
        <f t="shared" si="167"/>
        <v>0</v>
      </c>
      <c r="AJ96" s="962">
        <f t="shared" si="168"/>
        <v>0</v>
      </c>
      <c r="AM96" s="962"/>
      <c r="AN96" s="962"/>
      <c r="AO96" s="962"/>
      <c r="AP96" s="962"/>
    </row>
    <row r="97" spans="1:45" s="935" customFormat="1" x14ac:dyDescent="0.25">
      <c r="A97" s="969" t="s">
        <v>39</v>
      </c>
      <c r="B97" s="970"/>
      <c r="C97" s="970"/>
      <c r="D97" s="970"/>
      <c r="E97" s="970"/>
      <c r="F97" s="970"/>
      <c r="G97" s="970"/>
      <c r="H97" s="970"/>
      <c r="I97" s="970"/>
      <c r="J97" s="970"/>
      <c r="K97" s="971"/>
      <c r="L97" s="970"/>
      <c r="M97" s="970"/>
      <c r="N97" s="972">
        <f>SUM(N90:N96)</f>
        <v>0</v>
      </c>
      <c r="O97" s="972">
        <f>SUM(O90:O96)</f>
        <v>0</v>
      </c>
      <c r="P97" s="972">
        <f>SUM(P90:P96)</f>
        <v>0</v>
      </c>
      <c r="Q97" s="972">
        <f>SUM(Q90:Q96)</f>
        <v>0</v>
      </c>
      <c r="R97" s="972"/>
      <c r="S97" s="972"/>
      <c r="T97" s="973"/>
      <c r="U97" s="974"/>
      <c r="V97" s="975" t="str">
        <f>IF((O97*24)&gt;48,"PB","")</f>
        <v/>
      </c>
      <c r="W97" s="974"/>
      <c r="X97" s="974"/>
      <c r="Y97" s="974"/>
      <c r="Z97" s="1053" t="s">
        <v>59</v>
      </c>
      <c r="AA97" s="1055">
        <f>+O97-N97</f>
        <v>0</v>
      </c>
      <c r="AB97" s="917"/>
      <c r="AC97" s="934"/>
      <c r="AE97" s="917"/>
      <c r="AF97" s="917"/>
      <c r="AG97" s="917"/>
      <c r="AH97" s="917"/>
      <c r="AI97" s="917"/>
      <c r="AJ97" s="917"/>
      <c r="AK97" s="917"/>
      <c r="AL97" s="917"/>
      <c r="AM97" s="917"/>
      <c r="AN97" s="917"/>
      <c r="AO97" s="917"/>
      <c r="AP97" s="917"/>
      <c r="AR97" s="917"/>
      <c r="AS97" s="917"/>
    </row>
    <row r="98" spans="1:45" s="935" customFormat="1" x14ac:dyDescent="0.25">
      <c r="A98" s="969"/>
      <c r="B98" s="969"/>
      <c r="C98" s="969"/>
      <c r="D98" s="969"/>
      <c r="E98" s="969"/>
      <c r="F98" s="1052"/>
      <c r="G98" s="1052"/>
      <c r="H98" s="1052"/>
      <c r="I98" s="1052"/>
      <c r="J98" s="1052"/>
      <c r="K98" s="969"/>
      <c r="L98" s="969"/>
      <c r="M98" s="969"/>
      <c r="N98" s="973"/>
      <c r="O98" s="969"/>
      <c r="P98" s="980"/>
      <c r="Q98" s="980"/>
      <c r="R98" s="980"/>
      <c r="S98" s="981"/>
      <c r="T98" s="980"/>
      <c r="U98" s="980"/>
      <c r="V98" s="980"/>
      <c r="W98" s="980"/>
      <c r="X98" s="980"/>
      <c r="Y98" s="980"/>
      <c r="Z98" s="1053"/>
      <c r="AA98" s="1055"/>
      <c r="AB98" s="967"/>
      <c r="AC98" s="934"/>
      <c r="AE98" s="917"/>
      <c r="AF98" s="917"/>
      <c r="AG98" s="917"/>
      <c r="AH98" s="917"/>
      <c r="AI98" s="917"/>
      <c r="AJ98" s="917"/>
      <c r="AK98" s="917"/>
      <c r="AL98" s="917"/>
      <c r="AM98" s="917"/>
      <c r="AN98" s="917"/>
      <c r="AO98" s="917"/>
      <c r="AP98" s="917"/>
      <c r="AR98" s="917"/>
      <c r="AS98" s="917"/>
    </row>
    <row r="99" spans="1:45" s="935" customFormat="1" ht="16.5" x14ac:dyDescent="0.3">
      <c r="A99" s="969"/>
      <c r="B99" s="969"/>
      <c r="C99" s="969"/>
      <c r="D99" s="969"/>
      <c r="E99" s="969"/>
      <c r="F99" s="928">
        <f>+F87+7</f>
        <v>42850</v>
      </c>
      <c r="G99" s="928"/>
      <c r="H99" s="929" t="s">
        <v>58</v>
      </c>
      <c r="I99" s="928">
        <f>+F99+6</f>
        <v>42856</v>
      </c>
      <c r="J99" s="930"/>
      <c r="K99" s="969"/>
      <c r="L99" s="969"/>
      <c r="M99" s="969"/>
      <c r="N99" s="973"/>
      <c r="O99" s="969"/>
      <c r="P99" s="980"/>
      <c r="Q99" s="980"/>
      <c r="R99" s="980"/>
      <c r="S99" s="981"/>
      <c r="T99" s="980"/>
      <c r="U99" s="980"/>
      <c r="V99" s="980"/>
      <c r="W99" s="980"/>
      <c r="X99" s="980"/>
      <c r="Y99" s="980"/>
      <c r="Z99" s="1053"/>
      <c r="AA99" s="1054"/>
      <c r="AB99" s="917"/>
      <c r="AC99" s="934"/>
      <c r="AE99" s="917"/>
      <c r="AF99" s="917"/>
      <c r="AG99" s="917"/>
      <c r="AH99" s="917"/>
      <c r="AI99" s="917"/>
      <c r="AJ99" s="917"/>
      <c r="AK99" s="917"/>
      <c r="AL99" s="917"/>
      <c r="AM99" s="917"/>
      <c r="AN99" s="917"/>
      <c r="AO99" s="917"/>
      <c r="AP99" s="917"/>
      <c r="AR99" s="917"/>
      <c r="AS99" s="917"/>
    </row>
    <row r="100" spans="1:45" ht="14.45" customHeight="1" x14ac:dyDescent="0.25">
      <c r="A100" s="994"/>
      <c r="B100" s="938" t="s">
        <v>17</v>
      </c>
      <c r="C100" s="938"/>
      <c r="D100" s="938" t="s">
        <v>18</v>
      </c>
      <c r="E100" s="938"/>
      <c r="F100" s="938" t="s">
        <v>17</v>
      </c>
      <c r="G100" s="938"/>
      <c r="H100" s="938" t="s">
        <v>18</v>
      </c>
      <c r="I100" s="938"/>
      <c r="J100" s="938" t="s">
        <v>17</v>
      </c>
      <c r="K100" s="938"/>
      <c r="L100" s="938" t="s">
        <v>18</v>
      </c>
      <c r="M100" s="938"/>
      <c r="N100" s="939" t="s">
        <v>61</v>
      </c>
      <c r="O100" s="939" t="s">
        <v>62</v>
      </c>
      <c r="P100" s="939" t="s">
        <v>60</v>
      </c>
      <c r="Q100" s="939" t="s">
        <v>63</v>
      </c>
      <c r="R100" s="939" t="s">
        <v>64</v>
      </c>
      <c r="S100" s="940" t="s">
        <v>223</v>
      </c>
      <c r="T100" s="939" t="s">
        <v>70</v>
      </c>
      <c r="U100" s="941" t="s">
        <v>65</v>
      </c>
      <c r="V100" s="942"/>
      <c r="W100" s="942"/>
      <c r="X100" s="942"/>
      <c r="Y100" s="943"/>
      <c r="Z100" s="944" t="s">
        <v>22</v>
      </c>
      <c r="AA100" s="944"/>
      <c r="AC100" s="934"/>
    </row>
    <row r="101" spans="1:45" ht="26.25" thickBot="1" x14ac:dyDescent="0.4">
      <c r="A101" s="937" t="str">
        <f>"S"&amp;WEEKNUM(F99,21)</f>
        <v>S17</v>
      </c>
      <c r="B101" s="949" t="s">
        <v>0</v>
      </c>
      <c r="C101" s="950" t="s">
        <v>1</v>
      </c>
      <c r="D101" s="949" t="s">
        <v>0</v>
      </c>
      <c r="E101" s="950" t="s">
        <v>1</v>
      </c>
      <c r="F101" s="949" t="s">
        <v>0</v>
      </c>
      <c r="G101" s="950" t="s">
        <v>1</v>
      </c>
      <c r="H101" s="949" t="s">
        <v>0</v>
      </c>
      <c r="I101" s="950" t="s">
        <v>1</v>
      </c>
      <c r="J101" s="949" t="s">
        <v>0</v>
      </c>
      <c r="K101" s="950" t="s">
        <v>1</v>
      </c>
      <c r="L101" s="949" t="s">
        <v>0</v>
      </c>
      <c r="M101" s="950" t="s">
        <v>1</v>
      </c>
      <c r="N101" s="951"/>
      <c r="O101" s="951"/>
      <c r="P101" s="951"/>
      <c r="Q101" s="951"/>
      <c r="R101" s="951"/>
      <c r="S101" s="951"/>
      <c r="T101" s="939"/>
      <c r="U101" s="952" t="s">
        <v>66</v>
      </c>
      <c r="V101" s="952" t="s">
        <v>67</v>
      </c>
      <c r="W101" s="952" t="s">
        <v>68</v>
      </c>
      <c r="X101" s="952" t="s">
        <v>137</v>
      </c>
      <c r="Y101" s="952" t="s">
        <v>69</v>
      </c>
      <c r="Z101" s="944"/>
      <c r="AA101" s="944"/>
      <c r="AC101" s="934"/>
      <c r="AM101" s="917" t="s">
        <v>274</v>
      </c>
    </row>
    <row r="102" spans="1:45" ht="16.5" customHeight="1" x14ac:dyDescent="0.3">
      <c r="A102" s="955" t="s">
        <v>12</v>
      </c>
      <c r="B102" s="15" t="b">
        <f>IF(Paramétrage!$O$42="",FALSE,Paramétrage!$O$42)</f>
        <v>0</v>
      </c>
      <c r="C102" s="263"/>
      <c r="D102" s="16" t="b">
        <f>IF(Paramétrage!$Q$42="",FALSE,Paramétrage!$Q$42)</f>
        <v>0</v>
      </c>
      <c r="E102" s="264"/>
      <c r="F102" s="15" t="b">
        <f>IF(Paramétrage!$R$42="",FALSE,Paramétrage!$R$42)</f>
        <v>0</v>
      </c>
      <c r="G102" s="264"/>
      <c r="H102" s="17" t="b">
        <f>IF(Paramétrage!$T$42="",FALSE,Paramétrage!$T$42)</f>
        <v>0</v>
      </c>
      <c r="I102" s="263"/>
      <c r="J102" s="127" t="b">
        <f>IF(Paramétrage!$U$42="",FALSE,Paramétrage!$U$42)</f>
        <v>0</v>
      </c>
      <c r="K102" s="263"/>
      <c r="L102" s="28" t="b">
        <f>IF(Paramétrage!$W$42="",FALSE,Paramétrage!$W$42)</f>
        <v>0</v>
      </c>
      <c r="M102" s="263"/>
      <c r="N102" s="956">
        <f t="shared" ref="N102:N104" si="176">IF(OR(B102="aa",B102="cp",B102="f",B102="jc",B102="m",B102="css"),0,(L102-J102)+(H102-F102)+(D102-B102))</f>
        <v>0</v>
      </c>
      <c r="O102" s="956">
        <f t="shared" ref="O102:O104" si="177">SUM(AM102:AP102)+IF(OR(C102="m",C102="aa"),N102,IF(C102="css",0,IF(C102="cp",0,IF(C102="jc",0,IF(C102="f",0,E102-C102+I102-G102+M102-K102)))))</f>
        <v>0</v>
      </c>
      <c r="P102" s="956">
        <f t="shared" ref="P102:P108" si="178">IF(OR(C102="aa",C102="cp",C102="f",C102="jc",C102="m",C102="css"),0,IF(C102="",IF(OR(F102="",F102=FALSE),0,F102-D102),IF(G102="",0,G102-E102)))</f>
        <v>0</v>
      </c>
      <c r="Q102" s="956">
        <f t="shared" ref="Q102:Q108" si="179">IF(P102=0,0,IF(G102="",IF(OR(J102="",J102=FALSE),0,J102-H102),IF(K102="",0,K102-I102)))</f>
        <v>0</v>
      </c>
      <c r="R102" s="957">
        <f t="shared" ref="R102:R104" si="180">IF(OR(C102="aa",C102="cp",C102="f",C102="jc",C102="m",C102="css"),0,IF(C102=0,MAX(B102,D102,F102,H102,J102,L102)-MIN(B102,D102,F102,H102,J102,L102),IF(C102&lt;&gt;0,MAX(C102,E102,G102,I102,K102,M102)-MIN(C102,E102,G102,I102,K102,M102))))</f>
        <v>0</v>
      </c>
      <c r="S102" s="262"/>
      <c r="T102" s="958" t="str">
        <f t="shared" ref="T102:T103" si="181">IF(AND(B102=FALSE,C102=""),"",IF(AND(B102=0,C102=0),"",(IF(OR(C102="cp",C102="f",C102="jc",C102="css"),"",IF(OR(C102="",C102="aa",C102="m"),(IF(OR(B102="cp",B102="f",B102="jc",B102="css"),"",B102*24+24-MAX(D101,H101,L101)*24)),C102*24+24-MAX(M101,I101,E101)*24)))))</f>
        <v/>
      </c>
      <c r="U102" s="959" t="str">
        <f>IF(P102=0,"",IF(P102&lt;Paramétrage!$S$12,"PB",IF(AND(Q102&lt;Paramétrage!$S$12,Q102&lt;&gt;0),"PB","")))</f>
        <v/>
      </c>
      <c r="V102" s="959" t="str">
        <f t="shared" ref="V102:V108" si="182">IF(C102="",IF((N102*24)&gt;10,"PB",""),IF((O102*24)&gt;10,"PB",""))</f>
        <v/>
      </c>
      <c r="W102" s="959" t="str">
        <f t="shared" ref="W102:W108" si="183">IF((R102*24)&gt;12,"PB","")</f>
        <v/>
      </c>
      <c r="X102" s="960" t="str">
        <f t="shared" ref="X102:X104" si="184">IF(AND(N102=0,O102=0),"",(IF(OR(C102="aa",C102="cp",C102="f",C102="jc",C102="m",C102="css"),"",IF(C102="",IF(OR(D102-B102&gt;6/24,H102-F102&gt;6/24,L102-J102&gt;6/24),"PB",""),IF(OR(E102-C102&gt;6/24,I102-G102&gt;6/24,M102-K102&gt;6/24),"PB","")))))</f>
        <v/>
      </c>
      <c r="Y102" s="959" t="str">
        <f t="shared" ref="Y102:Y108" si="185">IF(T102="","",IF(T102&lt;11,"PB",""))</f>
        <v/>
      </c>
      <c r="Z102" s="836"/>
      <c r="AA102" s="837"/>
      <c r="AC102" s="934">
        <f>AC96+1</f>
        <v>42850</v>
      </c>
      <c r="AD102" s="961">
        <f>IF(AND(N(AC102)&gt;=Paramétrage!$AU$11,N(AC102)&lt;=Paramétrage!$AU$12),IF(C102="cp",1,0),0)</f>
        <v>0</v>
      </c>
      <c r="AE102" s="962">
        <f t="shared" ref="AE102:AE108" si="186">IF(O102&lt;&gt;"erreur",N102,O102)</f>
        <v>0</v>
      </c>
      <c r="AF102" s="961">
        <f>IF(AND(N(AC102)&gt;=Paramétrage!$AX$11,N(AC102)&lt;=Paramétrage!$AX$12),IF(C102="cp",1,0),0)</f>
        <v>0</v>
      </c>
      <c r="AG102" s="962">
        <f>O102</f>
        <v>0</v>
      </c>
      <c r="AI102" s="962">
        <f>AE102+AI96</f>
        <v>0</v>
      </c>
      <c r="AJ102" s="962">
        <f>AG102+AJ96</f>
        <v>0</v>
      </c>
      <c r="AM102" s="962">
        <f>IF(AND($B102="cp",$C102="m"),$Z102,0)</f>
        <v>0</v>
      </c>
      <c r="AN102" s="962">
        <f>IF(AND($B102="jc",$C102="m"),$Z102,0)</f>
        <v>0</v>
      </c>
      <c r="AO102" s="962">
        <f>IF(AND($B102="cp",$C102="aa"),$Z102,0)</f>
        <v>0</v>
      </c>
      <c r="AP102" s="962">
        <f>IF(AND($B102="jc",$C102="aa"),$Z102,0)</f>
        <v>0</v>
      </c>
      <c r="AR102" s="917">
        <f>IF(AND(AC102&lt;=$AR$3,B102="CP"),1,0)</f>
        <v>0</v>
      </c>
      <c r="AS102" s="917">
        <f>IF(AND(AC102&lt;=$AR$3,C102="CP"),1,0)</f>
        <v>0</v>
      </c>
    </row>
    <row r="103" spans="1:45" ht="16.5" customHeight="1" x14ac:dyDescent="0.3">
      <c r="A103" s="964" t="s">
        <v>13</v>
      </c>
      <c r="B103" s="15" t="b">
        <f>IF(Paramétrage!$O$43="",FALSE,Paramétrage!$O$43)</f>
        <v>0</v>
      </c>
      <c r="C103" s="263"/>
      <c r="D103" s="16" t="b">
        <f>IF(Paramétrage!$Q$43="",FALSE,Paramétrage!$Q$43)</f>
        <v>0</v>
      </c>
      <c r="E103" s="264"/>
      <c r="F103" s="15" t="b">
        <f>IF(Paramétrage!$R$43="",FALSE,Paramétrage!$R$43)</f>
        <v>0</v>
      </c>
      <c r="G103" s="264"/>
      <c r="H103" s="17" t="b">
        <f>IF(Paramétrage!$T$43="",FALSE,Paramétrage!$T$43)</f>
        <v>0</v>
      </c>
      <c r="I103" s="263"/>
      <c r="J103" s="127" t="b">
        <f>IF(Paramétrage!$U$43="",FALSE,Paramétrage!$U$43)</f>
        <v>0</v>
      </c>
      <c r="K103" s="263"/>
      <c r="L103" s="28" t="b">
        <f>IF(Paramétrage!$W$43="",FALSE,Paramétrage!$W$43)</f>
        <v>0</v>
      </c>
      <c r="M103" s="263"/>
      <c r="N103" s="956">
        <f t="shared" si="176"/>
        <v>0</v>
      </c>
      <c r="O103" s="956">
        <f t="shared" si="177"/>
        <v>0</v>
      </c>
      <c r="P103" s="956">
        <f t="shared" si="178"/>
        <v>0</v>
      </c>
      <c r="Q103" s="956">
        <f t="shared" si="179"/>
        <v>0</v>
      </c>
      <c r="R103" s="957">
        <f t="shared" si="180"/>
        <v>0</v>
      </c>
      <c r="S103" s="262"/>
      <c r="T103" s="958" t="str">
        <f t="shared" si="181"/>
        <v/>
      </c>
      <c r="U103" s="959" t="str">
        <f>IF(P103=0,"",IF(P103&lt;Paramétrage!$S$12,"PB",IF(AND(Q103&lt;Paramétrage!$S$12,Q103&lt;&gt;0),"PB","")))</f>
        <v/>
      </c>
      <c r="V103" s="959" t="str">
        <f t="shared" si="182"/>
        <v/>
      </c>
      <c r="W103" s="959" t="str">
        <f t="shared" si="183"/>
        <v/>
      </c>
      <c r="X103" s="960" t="str">
        <f t="shared" si="184"/>
        <v/>
      </c>
      <c r="Y103" s="959" t="str">
        <f t="shared" si="185"/>
        <v/>
      </c>
      <c r="Z103" s="836"/>
      <c r="AA103" s="837"/>
      <c r="AC103" s="934">
        <f t="shared" ref="AC103:AC108" si="187">AC102+1</f>
        <v>42851</v>
      </c>
      <c r="AD103" s="961">
        <f>IF(AND(N(AC103)&gt;=Paramétrage!$AU$11,N(AC103)&lt;=Paramétrage!$AU$12),IF(C103="cp",1,0),0)</f>
        <v>0</v>
      </c>
      <c r="AE103" s="962">
        <f t="shared" si="186"/>
        <v>0</v>
      </c>
      <c r="AF103" s="961">
        <f>IF(AND(N(AC103)&gt;=Paramétrage!$AX$11,N(AC103)&lt;=Paramétrage!$AX$12),IF(C103="cp",1,0),0)</f>
        <v>0</v>
      </c>
      <c r="AG103" s="962">
        <f t="shared" ref="AG103:AG108" si="188">O103</f>
        <v>0</v>
      </c>
      <c r="AI103" s="962">
        <f t="shared" ref="AI103:AI108" si="189">AE103+AI102</f>
        <v>0</v>
      </c>
      <c r="AJ103" s="962">
        <f t="shared" ref="AJ103:AJ108" si="190">AG103+AJ102</f>
        <v>0</v>
      </c>
      <c r="AM103" s="962">
        <f t="shared" ref="AM103:AM106" si="191">IF(AND($B103="cp",$C103="m"),$Z103,0)</f>
        <v>0</v>
      </c>
      <c r="AN103" s="962">
        <f t="shared" ref="AN103:AN106" si="192">IF(AND($B103="jc",$C103="m"),$Z103,0)</f>
        <v>0</v>
      </c>
      <c r="AO103" s="962">
        <f t="shared" ref="AO103:AO106" si="193">IF(AND($B103="cp",$C103="aa"),$Z103,0)</f>
        <v>0</v>
      </c>
      <c r="AP103" s="962">
        <f t="shared" ref="AP103:AP106" si="194">IF(AND($B103="jc",$C103="aa"),$Z103,0)</f>
        <v>0</v>
      </c>
      <c r="AR103" s="917">
        <f>IF(AND(AC103&lt;=$AR$3,B103="CP"),1,0)</f>
        <v>0</v>
      </c>
      <c r="AS103" s="917">
        <f>IF(AND(AC103&lt;=$AR$3,C103="CP"),1,0)</f>
        <v>0</v>
      </c>
    </row>
    <row r="104" spans="1:45" ht="16.5" customHeight="1" x14ac:dyDescent="0.3">
      <c r="A104" s="964" t="s">
        <v>14</v>
      </c>
      <c r="B104" s="15" t="b">
        <f>IF(Paramétrage!$O$44="",FALSE,Paramétrage!$O$44)</f>
        <v>0</v>
      </c>
      <c r="C104" s="263"/>
      <c r="D104" s="16" t="b">
        <f>IF(Paramétrage!$Q$44="",FALSE,Paramétrage!$Q$44)</f>
        <v>0</v>
      </c>
      <c r="E104" s="264"/>
      <c r="F104" s="15" t="b">
        <f>IF(Paramétrage!$R$44="",FALSE,Paramétrage!$R$44)</f>
        <v>0</v>
      </c>
      <c r="G104" s="264"/>
      <c r="H104" s="17" t="b">
        <f>IF(Paramétrage!$T$44="",FALSE,Paramétrage!$T$44)</f>
        <v>0</v>
      </c>
      <c r="I104" s="263"/>
      <c r="J104" s="127" t="b">
        <f>IF(Paramétrage!$U$44="",FALSE,Paramétrage!$U$44)</f>
        <v>0</v>
      </c>
      <c r="K104" s="263"/>
      <c r="L104" s="28" t="b">
        <f>IF(Paramétrage!$W$44="",FALSE,Paramétrage!$W$44)</f>
        <v>0</v>
      </c>
      <c r="M104" s="263"/>
      <c r="N104" s="956">
        <f t="shared" si="176"/>
        <v>0</v>
      </c>
      <c r="O104" s="956">
        <f t="shared" si="177"/>
        <v>0</v>
      </c>
      <c r="P104" s="956">
        <f t="shared" si="178"/>
        <v>0</v>
      </c>
      <c r="Q104" s="956">
        <f t="shared" si="179"/>
        <v>0</v>
      </c>
      <c r="R104" s="957">
        <f t="shared" si="180"/>
        <v>0</v>
      </c>
      <c r="S104" s="262"/>
      <c r="T104" s="958" t="str">
        <f>IF(AND(B104=FALSE,C104=""),"",IF(AND(B104=0,C104=0),"",(IF(OR(C104="cp",C104="f",C104="jc",C104="css"),"",IF(OR(C104="",C104="aa",C104="m"),(IF(OR(B104="cp",B104="f",B104="jc",B104="css"),"",B104*24+24-MAX(D103,H103,L103)*24)),C104*24+24-MAX(M103,I103,E103)*24)))))</f>
        <v/>
      </c>
      <c r="U104" s="959" t="str">
        <f>IF(P104=0,"",IF(P104&lt;Paramétrage!$S$12,"PB",IF(AND(Q104&lt;Paramétrage!$S$12,Q104&lt;&gt;0),"PB","")))</f>
        <v/>
      </c>
      <c r="V104" s="959" t="str">
        <f t="shared" si="182"/>
        <v/>
      </c>
      <c r="W104" s="959" t="str">
        <f t="shared" si="183"/>
        <v/>
      </c>
      <c r="X104" s="960" t="str">
        <f t="shared" si="184"/>
        <v/>
      </c>
      <c r="Y104" s="959" t="str">
        <f t="shared" si="185"/>
        <v/>
      </c>
      <c r="Z104" s="836"/>
      <c r="AA104" s="837"/>
      <c r="AC104" s="934">
        <f t="shared" si="187"/>
        <v>42852</v>
      </c>
      <c r="AD104" s="961">
        <f>IF(AND(N(AC104)&gt;=Paramétrage!$AU$11,N(AC104)&lt;=Paramétrage!$AU$12),IF(C104="cp",1,0),0)</f>
        <v>0</v>
      </c>
      <c r="AE104" s="962">
        <f t="shared" si="186"/>
        <v>0</v>
      </c>
      <c r="AF104" s="961">
        <f>IF(AND(N(AC104)&gt;=Paramétrage!$AX$11,N(AC104)&lt;=Paramétrage!$AX$12),IF(C104="cp",1,0),0)</f>
        <v>0</v>
      </c>
      <c r="AG104" s="962">
        <f t="shared" si="188"/>
        <v>0</v>
      </c>
      <c r="AI104" s="962">
        <f t="shared" si="189"/>
        <v>0</v>
      </c>
      <c r="AJ104" s="962">
        <f t="shared" si="190"/>
        <v>0</v>
      </c>
      <c r="AM104" s="962">
        <f t="shared" si="191"/>
        <v>0</v>
      </c>
      <c r="AN104" s="962">
        <f t="shared" si="192"/>
        <v>0</v>
      </c>
      <c r="AO104" s="962">
        <f t="shared" si="193"/>
        <v>0</v>
      </c>
      <c r="AP104" s="962">
        <f t="shared" si="194"/>
        <v>0</v>
      </c>
      <c r="AR104" s="917">
        <f>IF(AND(AC104&lt;=$AR$3,B104="CP"),1,0)</f>
        <v>0</v>
      </c>
      <c r="AS104" s="917">
        <f>IF(AND(AC104&lt;=$AR$3,C104="CP"),1,0)</f>
        <v>0</v>
      </c>
    </row>
    <row r="105" spans="1:45" ht="16.5" customHeight="1" x14ac:dyDescent="0.3">
      <c r="A105" s="964" t="s">
        <v>15</v>
      </c>
      <c r="B105" s="15" t="b">
        <f>IF(Paramétrage!$O$45="",FALSE,Paramétrage!$O$45)</f>
        <v>0</v>
      </c>
      <c r="C105" s="263"/>
      <c r="D105" s="16" t="b">
        <f>IF(Paramétrage!$Q$45="",FALSE,Paramétrage!$Q$45)</f>
        <v>0</v>
      </c>
      <c r="E105" s="264"/>
      <c r="F105" s="15" t="b">
        <f>IF(Paramétrage!$R$45="",FALSE,Paramétrage!$R$45)</f>
        <v>0</v>
      </c>
      <c r="G105" s="264"/>
      <c r="H105" s="17" t="b">
        <f>IF(Paramétrage!$T$45="",FALSE,Paramétrage!$T$45)</f>
        <v>0</v>
      </c>
      <c r="I105" s="263"/>
      <c r="J105" s="127" t="b">
        <f>IF(Paramétrage!$U$45="",FALSE,Paramétrage!$U$45)</f>
        <v>0</v>
      </c>
      <c r="K105" s="263"/>
      <c r="L105" s="28" t="b">
        <f>IF(Paramétrage!$W$45="",FALSE,Paramétrage!$W$45)</f>
        <v>0</v>
      </c>
      <c r="M105" s="263"/>
      <c r="N105" s="956">
        <f>IF(OR(B105="aa",B105="cp",B105="f",B105="jc",B105="m",B105="css"),0,(L105-J105)+(H105-F105)+(D105-B105))</f>
        <v>0</v>
      </c>
      <c r="O105" s="956">
        <f>SUM(AM105:AP105)+IF(OR(C105="m",C105="aa"),N105,IF(C105="css",0,IF(C105="cp",0,IF(C105="jc",0,IF(C105="f",0,E105-C105+I105-G105+M105-K105)))))</f>
        <v>0</v>
      </c>
      <c r="P105" s="956">
        <f t="shared" si="178"/>
        <v>0</v>
      </c>
      <c r="Q105" s="956">
        <f t="shared" si="179"/>
        <v>0</v>
      </c>
      <c r="R105" s="957">
        <f>IF(OR(C105="aa",C105="cp",C105="f",C105="jc",C105="m",C105="css"),0,IF(C105=0,MAX(B105,D105,F105,H105,J105,L105)-MIN(B105,D105,F105,H105,J105,L105),IF(C105&lt;&gt;0,MAX(C105,E105,G105,I105,K105,M105)-MIN(C105,E105,G105,I105,K105,M105))))</f>
        <v>0</v>
      </c>
      <c r="S105" s="262"/>
      <c r="T105" s="958" t="str">
        <f t="shared" ref="T105:T108" si="195">IF(AND(B105=FALSE,C105=""),"",IF(AND(B105=0,C105=0),"",(IF(OR(C105="cp",C105="f",C105="jc",C105="css"),"",IF(OR(C105="",C105="aa",C105="m"),(IF(OR(B105="cp",B105="f",B105="jc",B105="css"),"",B105*24+24-MAX(D104,H104,L104)*24)),C105*24+24-MAX(M104,I104,E104)*24)))))</f>
        <v/>
      </c>
      <c r="U105" s="959" t="str">
        <f>IF(P105=0,"",IF(P105&lt;Paramétrage!$S$12,"PB",IF(AND(Q105&lt;Paramétrage!$S$12,Q105&lt;&gt;0),"PB","")))</f>
        <v/>
      </c>
      <c r="V105" s="959" t="str">
        <f t="shared" si="182"/>
        <v/>
      </c>
      <c r="W105" s="959" t="str">
        <f t="shared" si="183"/>
        <v/>
      </c>
      <c r="X105" s="960" t="str">
        <f>IF(AND(N105=0,O105=0),"",(IF(OR(C105="aa",C105="cp",C105="f",C105="jc",C105="m",C105="css"),"",IF(C105="",IF(OR(D105-B105&gt;6/24,H105-F105&gt;6/24,L105-J105&gt;6/24),"PB",""),IF(OR(E105-C105&gt;6/24,I105-G105&gt;6/24,M105-K105&gt;6/24),"PB","")))))</f>
        <v/>
      </c>
      <c r="Y105" s="959" t="str">
        <f t="shared" si="185"/>
        <v/>
      </c>
      <c r="Z105" s="836"/>
      <c r="AA105" s="837"/>
      <c r="AC105" s="934">
        <f t="shared" si="187"/>
        <v>42853</v>
      </c>
      <c r="AD105" s="961">
        <f>IF(AND(N(AC105)&gt;=Paramétrage!$AU$11,N(AC105)&lt;=Paramétrage!$AU$12),IF(C105="cp",1,0),0)</f>
        <v>0</v>
      </c>
      <c r="AE105" s="962">
        <f t="shared" si="186"/>
        <v>0</v>
      </c>
      <c r="AF105" s="961">
        <f>IF(AND(N(AC105)&gt;=Paramétrage!$AX$11,N(AC105)&lt;=Paramétrage!$AX$12),IF(C105="cp",1,0),0)</f>
        <v>0</v>
      </c>
      <c r="AG105" s="962">
        <f t="shared" si="188"/>
        <v>0</v>
      </c>
      <c r="AI105" s="962">
        <f t="shared" si="189"/>
        <v>0</v>
      </c>
      <c r="AJ105" s="962">
        <f t="shared" si="190"/>
        <v>0</v>
      </c>
      <c r="AM105" s="962">
        <f t="shared" si="191"/>
        <v>0</v>
      </c>
      <c r="AN105" s="962">
        <f t="shared" si="192"/>
        <v>0</v>
      </c>
      <c r="AO105" s="962">
        <f t="shared" si="193"/>
        <v>0</v>
      </c>
      <c r="AP105" s="962">
        <f t="shared" si="194"/>
        <v>0</v>
      </c>
      <c r="AR105" s="917">
        <f>IF(AND(AC105&lt;=$AR$3,B105="CP"),1,0)</f>
        <v>0</v>
      </c>
      <c r="AS105" s="917">
        <f>IF(AND(AC105&lt;=$AR$3,C105="CP"),1,0)</f>
        <v>0</v>
      </c>
    </row>
    <row r="106" spans="1:45" ht="16.5" customHeight="1" x14ac:dyDescent="0.3">
      <c r="A106" s="964" t="s">
        <v>16</v>
      </c>
      <c r="B106" s="15" t="b">
        <f>IF(Paramétrage!$O$46="",FALSE,Paramétrage!$O$46)</f>
        <v>0</v>
      </c>
      <c r="C106" s="263"/>
      <c r="D106" s="16" t="b">
        <f>IF(Paramétrage!$Q$46="",FALSE,Paramétrage!$Q$46)</f>
        <v>0</v>
      </c>
      <c r="E106" s="264"/>
      <c r="F106" s="15" t="b">
        <f>IF(Paramétrage!$R$46="",FALSE,Paramétrage!$R$46)</f>
        <v>0</v>
      </c>
      <c r="G106" s="264"/>
      <c r="H106" s="17" t="b">
        <f>IF(Paramétrage!$T$46="",FALSE,Paramétrage!$T$46)</f>
        <v>0</v>
      </c>
      <c r="I106" s="263"/>
      <c r="J106" s="127" t="b">
        <f>IF(Paramétrage!$U$46="",FALSE,Paramétrage!$U$46)</f>
        <v>0</v>
      </c>
      <c r="K106" s="263"/>
      <c r="L106" s="28" t="b">
        <f>IF(Paramétrage!$W$46="",FALSE,Paramétrage!$W$46)</f>
        <v>0</v>
      </c>
      <c r="M106" s="263"/>
      <c r="N106" s="956">
        <f>IF(OR(B106="aa",B106="cp",B106="f",B106="jc",B106="m",B106="css"),0,(L106-J106)+(H106-F106)+(D106-B106))</f>
        <v>0</v>
      </c>
      <c r="O106" s="956">
        <f>SUM(AM106:AP106)+IF(OR(C106="m",C106="aa"),N106,IF(C106="css",0,IF(C106="cp",0,IF(C106="jc",0,IF(C106="f",0,E106-C106+I106-G106+M106-K106)))))</f>
        <v>0</v>
      </c>
      <c r="P106" s="956">
        <f t="shared" si="178"/>
        <v>0</v>
      </c>
      <c r="Q106" s="956">
        <f t="shared" si="179"/>
        <v>0</v>
      </c>
      <c r="R106" s="957">
        <f>IF(OR(C106="aa",C106="cp",C106="f",C106="jc",C106="m",C106="css"),0,IF(C106=0,MAX(B106,D106,F106,H106,J106,L106)-MIN(B106,D106,F106,H106,J106,L106),IF(C106&lt;&gt;0,MAX(C106,E106,G106,I106,K106,M106)-MIN(C106,E106,G106,I106,K106,M106))))</f>
        <v>0</v>
      </c>
      <c r="S106" s="262"/>
      <c r="T106" s="958" t="str">
        <f t="shared" si="195"/>
        <v/>
      </c>
      <c r="U106" s="959" t="str">
        <f>IF(P106=0,"",IF(P106&lt;Paramétrage!$S$12,"PB",IF(AND(Q106&lt;Paramétrage!$S$12,Q106&lt;&gt;0),"PB","")))</f>
        <v/>
      </c>
      <c r="V106" s="959" t="str">
        <f t="shared" si="182"/>
        <v/>
      </c>
      <c r="W106" s="959" t="str">
        <f t="shared" si="183"/>
        <v/>
      </c>
      <c r="X106" s="960" t="str">
        <f>IF(AND(N106=0,O106=0),"",(IF(OR(C106="aa",C106="cp",C106="f",C106="jc",C106="m",C106="css"),"",IF(C106="",IF(OR(D106-B106&gt;6/24,H106-F106&gt;6/24,L106-J106&gt;6/24),"PB",""),IF(OR(E106-C106&gt;6/24,I106-G106&gt;6/24,M106-K106&gt;6/24),"PB","")))))</f>
        <v/>
      </c>
      <c r="Y106" s="959" t="str">
        <f t="shared" si="185"/>
        <v/>
      </c>
      <c r="Z106" s="836"/>
      <c r="AA106" s="837"/>
      <c r="AC106" s="934">
        <f t="shared" si="187"/>
        <v>42854</v>
      </c>
      <c r="AD106" s="961">
        <f>IF(AND(N(AC106)&gt;=Paramétrage!$AU$11,N(AC106)&lt;=Paramétrage!$AU$12),IF(C106="cp",1,0),0)</f>
        <v>0</v>
      </c>
      <c r="AE106" s="962">
        <f t="shared" si="186"/>
        <v>0</v>
      </c>
      <c r="AF106" s="961">
        <f>IF(AND(N(AC106)&gt;=Paramétrage!$AX$11,N(AC106)&lt;=Paramétrage!$AX$12),IF(C106="cp",1,0),0)</f>
        <v>0</v>
      </c>
      <c r="AG106" s="962">
        <f t="shared" si="188"/>
        <v>0</v>
      </c>
      <c r="AI106" s="962">
        <f t="shared" si="189"/>
        <v>0</v>
      </c>
      <c r="AJ106" s="962">
        <f t="shared" si="190"/>
        <v>0</v>
      </c>
      <c r="AM106" s="962">
        <f t="shared" si="191"/>
        <v>0</v>
      </c>
      <c r="AN106" s="962">
        <f t="shared" si="192"/>
        <v>0</v>
      </c>
      <c r="AO106" s="962">
        <f t="shared" si="193"/>
        <v>0</v>
      </c>
      <c r="AP106" s="962">
        <f t="shared" si="194"/>
        <v>0</v>
      </c>
      <c r="AR106" s="917">
        <f>IF(AND(AC106&lt;=$AR$3,B106="CP"),1,0)</f>
        <v>0</v>
      </c>
      <c r="AS106" s="917">
        <f>IF(AND(AC106&lt;=$AR$3,C106="CP"),1,0)</f>
        <v>0</v>
      </c>
    </row>
    <row r="107" spans="1:45" ht="16.5" customHeight="1" x14ac:dyDescent="0.3">
      <c r="A107" s="964" t="s">
        <v>19</v>
      </c>
      <c r="B107" s="15" t="b">
        <f>IF(Paramétrage!$O$47="",FALSE,Paramétrage!$O$47)</f>
        <v>0</v>
      </c>
      <c r="C107" s="263"/>
      <c r="D107" s="16" t="b">
        <f>IF(Paramétrage!$Q$47="",FALSE,Paramétrage!$Q$47)</f>
        <v>0</v>
      </c>
      <c r="E107" s="264"/>
      <c r="F107" s="15" t="b">
        <f>IF(Paramétrage!$R$47="",FALSE,Paramétrage!$R$47)</f>
        <v>0</v>
      </c>
      <c r="G107" s="264"/>
      <c r="H107" s="17" t="b">
        <f>IF(Paramétrage!$T$47="",FALSE,Paramétrage!$T$47)</f>
        <v>0</v>
      </c>
      <c r="I107" s="263"/>
      <c r="J107" s="127" t="b">
        <f>IF(Paramétrage!$U$47="",FALSE,Paramétrage!$U$47)</f>
        <v>0</v>
      </c>
      <c r="K107" s="263"/>
      <c r="L107" s="28" t="b">
        <f>IF(Paramétrage!$W$47="",FALSE,Paramétrage!$W$47)</f>
        <v>0</v>
      </c>
      <c r="M107" s="263"/>
      <c r="N107" s="956">
        <f>IF(OR(B107="aa",B107="cp",B107="f",B107="jc",B107="m",B107="css"),0,(L107-J107)+(H107-F107)+(D107-B107))</f>
        <v>0</v>
      </c>
      <c r="O107" s="956">
        <f>IF(OR(C107="m",C107="aa"),N107,IF(C107="cp",0,IF(OR(C107="css",C107="jc"),0,IF(C107="f",0,E107-C107+I107-G107+M107-K107))))</f>
        <v>0</v>
      </c>
      <c r="P107" s="956">
        <f t="shared" si="178"/>
        <v>0</v>
      </c>
      <c r="Q107" s="956">
        <f t="shared" si="179"/>
        <v>0</v>
      </c>
      <c r="R107" s="957">
        <f>IF(OR(C107="aa",C107="cp",C107="f",C107="jc",C107="m",C107="css"),0,IF(C107=0,MAX(B107,D107,F107,H107,J107,L107)-MIN(B107,D107,F107,H107,J107,L107),IF(C107&lt;&gt;0,MAX(C107,E107,G107,I107,K107,M107)-MIN(C107,E107,G107,I107,K107,M107))))</f>
        <v>0</v>
      </c>
      <c r="S107" s="262"/>
      <c r="T107" s="958" t="str">
        <f t="shared" si="195"/>
        <v/>
      </c>
      <c r="U107" s="959" t="str">
        <f>IF(P107=0,"",IF(P107&lt;Paramétrage!$S$12,"PB",IF(AND(Q107&lt;Paramétrage!$S$12,Q107&lt;&gt;0),"PB","")))</f>
        <v/>
      </c>
      <c r="V107" s="959" t="str">
        <f t="shared" si="182"/>
        <v/>
      </c>
      <c r="W107" s="959" t="str">
        <f t="shared" si="183"/>
        <v/>
      </c>
      <c r="X107" s="960" t="str">
        <f>IF(AND(N107=0,O107=0),"",(IF(OR(C107="aa",C107="cp",C107="f",C107="jc",C107="m",C107="css"),"",IF(C107="",IF(OR(D107-B107&gt;6/24,H107-F107&gt;6/24,L107-J107&gt;6/24),"PB",""),IF(OR(E107-C107&gt;6/24,I107-G107&gt;6/24,M107-K107&gt;6/24),"PB","")))))</f>
        <v/>
      </c>
      <c r="Y107" s="959" t="str">
        <f t="shared" si="185"/>
        <v/>
      </c>
      <c r="Z107" s="836"/>
      <c r="AA107" s="837"/>
      <c r="AC107" s="934">
        <f t="shared" si="187"/>
        <v>42855</v>
      </c>
      <c r="AD107" s="961">
        <f>IF(AND(N(AC107)&gt;=Paramétrage!$AU$11,N(AC107)&lt;=Paramétrage!$AU$12),IF(C107="cp",1,0),0)</f>
        <v>0</v>
      </c>
      <c r="AE107" s="962">
        <f t="shared" si="186"/>
        <v>0</v>
      </c>
      <c r="AF107" s="961">
        <f>IF(AND(N(AC107)&gt;=Paramétrage!$AX$11,N(AC107)&lt;=Paramétrage!$AX$12),IF(C107="cp",1,0),0)</f>
        <v>0</v>
      </c>
      <c r="AG107" s="962">
        <f t="shared" si="188"/>
        <v>0</v>
      </c>
      <c r="AI107" s="962">
        <f t="shared" si="189"/>
        <v>0</v>
      </c>
      <c r="AJ107" s="962">
        <f t="shared" si="190"/>
        <v>0</v>
      </c>
      <c r="AM107" s="962"/>
      <c r="AN107" s="962"/>
      <c r="AO107" s="962"/>
      <c r="AP107" s="962"/>
    </row>
    <row r="108" spans="1:45" ht="16.5" customHeight="1" thickBot="1" x14ac:dyDescent="0.35">
      <c r="A108" s="966" t="s">
        <v>20</v>
      </c>
      <c r="B108" s="15" t="b">
        <f>IF(Paramétrage!$O$48="",FALSE,Paramétrage!$O$48)</f>
        <v>0</v>
      </c>
      <c r="C108" s="263"/>
      <c r="D108" s="16" t="b">
        <f>IF(Paramétrage!$Q$48="",FALSE,Paramétrage!$Q$48)</f>
        <v>0</v>
      </c>
      <c r="E108" s="264"/>
      <c r="F108" s="15" t="b">
        <f>IF(Paramétrage!$R$48="",FALSE,Paramétrage!$R$48)</f>
        <v>0</v>
      </c>
      <c r="G108" s="264"/>
      <c r="H108" s="17" t="b">
        <f>IF(Paramétrage!$T$48="",FALSE,Paramétrage!$T$48)</f>
        <v>0</v>
      </c>
      <c r="I108" s="263"/>
      <c r="J108" s="127" t="b">
        <f>IF(Paramétrage!$U$48="",FALSE,Paramétrage!$U$48)</f>
        <v>0</v>
      </c>
      <c r="K108" s="263"/>
      <c r="L108" s="28" t="b">
        <f>IF(Paramétrage!$W$48="",FALSE,Paramétrage!$W$48)</f>
        <v>0</v>
      </c>
      <c r="M108" s="263"/>
      <c r="N108" s="956">
        <f>IF(OR(B108="aa",B108="m"),M108,IF(B108="cp",0,IF(B108="jc",0,IF(B108="f",0,(D108-B108)*Paramétrage!$S$13+(H108-F108)*Paramétrage!$S$13+(L108-J108)*Paramétrage!$S$13+(D108-B108+H108-F108+L108-J108)))))</f>
        <v>0</v>
      </c>
      <c r="O108" s="956">
        <f>IF(OR(C108="aa",C108="m"),N108,IF(C108="cp",0,IF(C108="jc",0,IF(C108="f",0,(E108-C108)*Paramétrage!$S$13+(I108-G108)*Paramétrage!$S$13+(M108-K108)*Paramétrage!$S$13+(E108-C108+I108-G108+M108-K108)))))</f>
        <v>0</v>
      </c>
      <c r="P108" s="956">
        <f t="shared" si="178"/>
        <v>0</v>
      </c>
      <c r="Q108" s="956">
        <f t="shared" si="179"/>
        <v>0</v>
      </c>
      <c r="R108" s="957">
        <f t="shared" ref="R108" si="196">IF(OR(C108="aa",C108="cp",C108="f",C108="jc",C108="m",C108=0),MAX(B108,D108,F108,H108,J108,L108)-MIN(B108,D108,F108,H108,J108,L108),IF(C108&lt;&gt;0,MAX(C108,E108,G108,I108,K108,M108)-MIN(C108,E108,G108,I108,K108,M108)))</f>
        <v>0</v>
      </c>
      <c r="S108" s="262"/>
      <c r="T108" s="958" t="str">
        <f t="shared" si="195"/>
        <v/>
      </c>
      <c r="U108" s="959" t="str">
        <f>IF(P108=0,"",IF(P108&lt;Paramétrage!$S$12,"PB",IF(AND(Q108&lt;Paramétrage!$S$12,Q108&lt;&gt;0),"PB","")))</f>
        <v/>
      </c>
      <c r="V108" s="959" t="str">
        <f t="shared" si="182"/>
        <v/>
      </c>
      <c r="W108" s="959" t="str">
        <f t="shared" si="183"/>
        <v/>
      </c>
      <c r="X108" s="960" t="str">
        <f t="shared" ref="X108" si="197">IF(AND(N108=0,O108=0),"",(IF(OR(C108="aa",C108="cp",C108="f",C108="jc",C108="m"),"",IF(C108="",IF(OR(D108-B108&gt;6/24,H108-F108&gt;6/24,L108-J108&gt;6/24),"PB",""),IF(OR(E108-C108&gt;6/24,I108-G108&gt;6/24,M108-K108&gt;6/24),"PB","")))))</f>
        <v/>
      </c>
      <c r="Y108" s="959" t="str">
        <f t="shared" si="185"/>
        <v/>
      </c>
      <c r="Z108" s="836"/>
      <c r="AA108" s="837"/>
      <c r="AC108" s="934">
        <f t="shared" si="187"/>
        <v>42856</v>
      </c>
      <c r="AD108" s="961">
        <f>IF(AND(N(AC108)&gt;=Paramétrage!$AU$11,N(AC108)&lt;=Paramétrage!$AU$12),IF(C108="cp",1,0),0)</f>
        <v>0</v>
      </c>
      <c r="AE108" s="962">
        <f t="shared" si="186"/>
        <v>0</v>
      </c>
      <c r="AF108" s="961">
        <f>IF(AND(N(AC108)&gt;=Paramétrage!$AX$11,N(AC108)&lt;=Paramétrage!$AX$12),IF(C108="cp",1,0),0)</f>
        <v>0</v>
      </c>
      <c r="AG108" s="962">
        <f t="shared" si="188"/>
        <v>0</v>
      </c>
      <c r="AI108" s="962">
        <f t="shared" si="189"/>
        <v>0</v>
      </c>
      <c r="AJ108" s="962">
        <f t="shared" si="190"/>
        <v>0</v>
      </c>
      <c r="AM108" s="962"/>
      <c r="AN108" s="962"/>
      <c r="AO108" s="962"/>
      <c r="AP108" s="962"/>
    </row>
    <row r="109" spans="1:45" s="935" customFormat="1" x14ac:dyDescent="0.25">
      <c r="A109" s="969" t="s">
        <v>40</v>
      </c>
      <c r="B109" s="970"/>
      <c r="C109" s="970"/>
      <c r="D109" s="970"/>
      <c r="E109" s="970"/>
      <c r="F109" s="970"/>
      <c r="G109" s="970"/>
      <c r="H109" s="970"/>
      <c r="I109" s="970"/>
      <c r="J109" s="970"/>
      <c r="K109" s="971"/>
      <c r="L109" s="970"/>
      <c r="M109" s="970"/>
      <c r="N109" s="972">
        <f>SUM(N102:N108)</f>
        <v>0</v>
      </c>
      <c r="O109" s="972">
        <f>SUM(O102:O108)</f>
        <v>0</v>
      </c>
      <c r="P109" s="972">
        <f>SUM(P102:P108)</f>
        <v>0</v>
      </c>
      <c r="Q109" s="972">
        <f>SUM(Q102:Q108)</f>
        <v>0</v>
      </c>
      <c r="R109" s="972"/>
      <c r="S109" s="972"/>
      <c r="T109" s="973"/>
      <c r="U109" s="974"/>
      <c r="V109" s="975" t="str">
        <f>IF((O109*24)&gt;48,"PB","")</f>
        <v/>
      </c>
      <c r="W109" s="974"/>
      <c r="X109" s="974"/>
      <c r="Y109" s="974"/>
      <c r="Z109" s="1053" t="s">
        <v>59</v>
      </c>
      <c r="AA109" s="1055">
        <f>+O109-N109</f>
        <v>0</v>
      </c>
      <c r="AB109" s="917"/>
      <c r="AC109" s="934"/>
      <c r="AE109" s="917"/>
      <c r="AF109" s="917"/>
      <c r="AG109" s="917"/>
      <c r="AH109" s="917"/>
      <c r="AI109" s="917"/>
      <c r="AJ109" s="917"/>
      <c r="AK109" s="917"/>
      <c r="AL109" s="917"/>
      <c r="AM109" s="917"/>
      <c r="AN109" s="917"/>
      <c r="AO109" s="917"/>
      <c r="AP109" s="917"/>
      <c r="AR109" s="917"/>
      <c r="AS109" s="917"/>
    </row>
    <row r="110" spans="1:45" s="935" customFormat="1" x14ac:dyDescent="0.25">
      <c r="A110" s="969"/>
      <c r="B110" s="969"/>
      <c r="C110" s="969"/>
      <c r="D110" s="969"/>
      <c r="E110" s="969"/>
      <c r="F110" s="1052"/>
      <c r="G110" s="1052"/>
      <c r="H110" s="1052"/>
      <c r="I110" s="1052"/>
      <c r="J110" s="1052"/>
      <c r="K110" s="969"/>
      <c r="L110" s="969"/>
      <c r="M110" s="969"/>
      <c r="N110" s="972"/>
      <c r="O110" s="972"/>
      <c r="P110" s="981"/>
      <c r="Q110" s="981"/>
      <c r="R110" s="981"/>
      <c r="S110" s="981"/>
      <c r="T110" s="980"/>
      <c r="U110" s="980"/>
      <c r="V110" s="980"/>
      <c r="W110" s="980"/>
      <c r="X110" s="980"/>
      <c r="Y110" s="980"/>
      <c r="Z110" s="1053"/>
      <c r="AA110" s="1055"/>
      <c r="AB110" s="917"/>
      <c r="AC110" s="934"/>
      <c r="AE110" s="917"/>
      <c r="AF110" s="917"/>
      <c r="AG110" s="917"/>
      <c r="AH110" s="917"/>
      <c r="AI110" s="917"/>
      <c r="AJ110" s="917"/>
      <c r="AK110" s="917"/>
      <c r="AL110" s="917"/>
      <c r="AM110" s="917"/>
      <c r="AN110" s="917"/>
      <c r="AO110" s="917"/>
      <c r="AP110" s="917"/>
      <c r="AR110" s="917"/>
      <c r="AS110" s="917"/>
    </row>
    <row r="111" spans="1:45" s="935" customFormat="1" ht="16.5" x14ac:dyDescent="0.3">
      <c r="A111" s="969"/>
      <c r="B111" s="969"/>
      <c r="C111" s="969"/>
      <c r="D111" s="969"/>
      <c r="E111" s="969"/>
      <c r="F111" s="928">
        <f>+'T3'!F99+7</f>
        <v>42857</v>
      </c>
      <c r="G111" s="928"/>
      <c r="H111" s="929" t="s">
        <v>58</v>
      </c>
      <c r="I111" s="928">
        <f>+F111+6</f>
        <v>42863</v>
      </c>
      <c r="J111" s="930"/>
      <c r="K111" s="969"/>
      <c r="L111" s="969"/>
      <c r="M111" s="969"/>
      <c r="N111" s="973"/>
      <c r="O111" s="969"/>
      <c r="P111" s="980"/>
      <c r="Q111" s="980"/>
      <c r="R111" s="980"/>
      <c r="S111" s="981"/>
      <c r="T111" s="980"/>
      <c r="U111" s="980"/>
      <c r="V111" s="980"/>
      <c r="W111" s="980"/>
      <c r="X111" s="980"/>
      <c r="Y111" s="980"/>
      <c r="Z111" s="1053"/>
      <c r="AA111" s="1054"/>
      <c r="AB111" s="967"/>
      <c r="AC111" s="934"/>
      <c r="AE111" s="917"/>
      <c r="AF111" s="917"/>
      <c r="AG111" s="917"/>
      <c r="AH111" s="917"/>
      <c r="AI111" s="917"/>
      <c r="AJ111" s="917"/>
      <c r="AK111" s="917"/>
      <c r="AL111" s="917"/>
      <c r="AM111" s="917"/>
      <c r="AN111" s="917"/>
      <c r="AO111" s="917"/>
      <c r="AP111" s="917"/>
      <c r="AR111" s="917"/>
      <c r="AS111" s="917"/>
    </row>
    <row r="112" spans="1:45" ht="14.45" customHeight="1" x14ac:dyDescent="0.25">
      <c r="A112" s="994"/>
      <c r="B112" s="938" t="s">
        <v>17</v>
      </c>
      <c r="C112" s="938"/>
      <c r="D112" s="938" t="s">
        <v>18</v>
      </c>
      <c r="E112" s="938"/>
      <c r="F112" s="938" t="s">
        <v>17</v>
      </c>
      <c r="G112" s="938"/>
      <c r="H112" s="938" t="s">
        <v>18</v>
      </c>
      <c r="I112" s="938"/>
      <c r="J112" s="938" t="s">
        <v>17</v>
      </c>
      <c r="K112" s="938"/>
      <c r="L112" s="938" t="s">
        <v>18</v>
      </c>
      <c r="M112" s="938"/>
      <c r="N112" s="939" t="s">
        <v>61</v>
      </c>
      <c r="O112" s="939" t="s">
        <v>62</v>
      </c>
      <c r="P112" s="939" t="s">
        <v>60</v>
      </c>
      <c r="Q112" s="939" t="s">
        <v>63</v>
      </c>
      <c r="R112" s="939" t="s">
        <v>64</v>
      </c>
      <c r="S112" s="940" t="s">
        <v>223</v>
      </c>
      <c r="T112" s="939" t="s">
        <v>70</v>
      </c>
      <c r="U112" s="941" t="s">
        <v>65</v>
      </c>
      <c r="V112" s="942"/>
      <c r="W112" s="942"/>
      <c r="X112" s="942"/>
      <c r="Y112" s="943"/>
      <c r="Z112" s="944" t="s">
        <v>22</v>
      </c>
      <c r="AA112" s="944"/>
      <c r="AC112" s="934"/>
    </row>
    <row r="113" spans="1:45" ht="26.25" thickBot="1" x14ac:dyDescent="0.4">
      <c r="A113" s="937" t="str">
        <f>"S"&amp;WEEKNUM(F111,21)</f>
        <v>S18</v>
      </c>
      <c r="B113" s="949" t="s">
        <v>0</v>
      </c>
      <c r="C113" s="950" t="s">
        <v>1</v>
      </c>
      <c r="D113" s="949" t="s">
        <v>0</v>
      </c>
      <c r="E113" s="950" t="s">
        <v>1</v>
      </c>
      <c r="F113" s="949" t="s">
        <v>0</v>
      </c>
      <c r="G113" s="950" t="s">
        <v>1</v>
      </c>
      <c r="H113" s="949" t="s">
        <v>0</v>
      </c>
      <c r="I113" s="950" t="s">
        <v>1</v>
      </c>
      <c r="J113" s="949" t="s">
        <v>0</v>
      </c>
      <c r="K113" s="950" t="s">
        <v>1</v>
      </c>
      <c r="L113" s="949" t="s">
        <v>0</v>
      </c>
      <c r="M113" s="950" t="s">
        <v>1</v>
      </c>
      <c r="N113" s="951"/>
      <c r="O113" s="951"/>
      <c r="P113" s="951"/>
      <c r="Q113" s="951"/>
      <c r="R113" s="951"/>
      <c r="S113" s="951"/>
      <c r="T113" s="939"/>
      <c r="U113" s="952" t="s">
        <v>66</v>
      </c>
      <c r="V113" s="952" t="s">
        <v>67</v>
      </c>
      <c r="W113" s="952" t="s">
        <v>68</v>
      </c>
      <c r="X113" s="952" t="s">
        <v>137</v>
      </c>
      <c r="Y113" s="952" t="s">
        <v>69</v>
      </c>
      <c r="Z113" s="944"/>
      <c r="AA113" s="944"/>
      <c r="AC113" s="934"/>
      <c r="AM113" s="917" t="s">
        <v>274</v>
      </c>
    </row>
    <row r="114" spans="1:45" ht="16.5" x14ac:dyDescent="0.3">
      <c r="A114" s="955" t="s">
        <v>12</v>
      </c>
      <c r="B114" s="15" t="b">
        <f>IF(Paramétrage!$O$42="",FALSE,Paramétrage!$O$42)</f>
        <v>0</v>
      </c>
      <c r="C114" s="263"/>
      <c r="D114" s="16" t="b">
        <f>IF(Paramétrage!$Q$42="",FALSE,Paramétrage!$Q$42)</f>
        <v>0</v>
      </c>
      <c r="E114" s="264"/>
      <c r="F114" s="15" t="b">
        <f>IF(Paramétrage!$R$42="",FALSE,Paramétrage!$R$42)</f>
        <v>0</v>
      </c>
      <c r="G114" s="264"/>
      <c r="H114" s="17" t="b">
        <f>IF(Paramétrage!$T$42="",FALSE,Paramétrage!$T$42)</f>
        <v>0</v>
      </c>
      <c r="I114" s="263"/>
      <c r="J114" s="127" t="b">
        <f>IF(Paramétrage!$U$42="",FALSE,Paramétrage!$U$42)</f>
        <v>0</v>
      </c>
      <c r="K114" s="263"/>
      <c r="L114" s="28" t="b">
        <f>IF(Paramétrage!$W$42="",FALSE,Paramétrage!$W$42)</f>
        <v>0</v>
      </c>
      <c r="M114" s="263"/>
      <c r="N114" s="956">
        <f t="shared" ref="N114:N116" si="198">IF(OR(B114="aa",B114="cp",B114="f",B114="jc",B114="m",B114="css"),0,(L114-J114)+(H114-F114)+(D114-B114))</f>
        <v>0</v>
      </c>
      <c r="O114" s="956">
        <f t="shared" ref="O114:O116" si="199">SUM(AM114:AP114)+IF(OR(C114="m",C114="aa"),N114,IF(C114="css",0,IF(C114="cp",0,IF(C114="jc",0,IF(C114="f",0,E114-C114+I114-G114+M114-K114)))))</f>
        <v>0</v>
      </c>
      <c r="P114" s="956">
        <f>IF(OR(C114="aa",C114="cp",C114="f",C114="jc",C114="m",C114="css"),0,IF(C114="",IF(OR(F114="",F114=FALSE),0,F114-D114),IF(G114="",0,G114-E114)))</f>
        <v>0</v>
      </c>
      <c r="Q114" s="956">
        <f>IF(P114=0,0,IF(G114="",IF(OR(J114="",J114=FALSE),0,J114-H114),IF(K114="",0,K114-I114)))</f>
        <v>0</v>
      </c>
      <c r="R114" s="957">
        <f t="shared" ref="R114:R116" si="200">IF(OR(C114="aa",C114="cp",C114="f",C114="jc",C114="m",C114="css"),0,IF(C114=0,MAX(B114,D114,F114,H114,J114,L114)-MIN(B114,D114,F114,H114,J114,L114),IF(C114&lt;&gt;0,MAX(C114,E114,G114,I114,K114,M114)-MIN(C114,E114,G114,I114,K114,M114))))</f>
        <v>0</v>
      </c>
      <c r="S114" s="262"/>
      <c r="T114" s="958" t="str">
        <f t="shared" ref="T114:T115" si="201">IF(AND(B114=FALSE,C114=""),"",IF(AND(B114=0,C114=0),"",(IF(OR(C114="cp",C114="f",C114="jc",C114="css"),"",IF(OR(C114="",C114="aa",C114="m"),(IF(OR(B114="cp",B114="f",B114="jc",B114="css"),"",B114*24+24-MAX(D113,H113,L113)*24)),C114*24+24-MAX(M113,I113,E113)*24)))))</f>
        <v/>
      </c>
      <c r="U114" s="959" t="str">
        <f>IF(P114=0,"",IF(P114&lt;Paramétrage!$S$12,"PB",IF(AND(Q114&lt;Paramétrage!$S$12,Q114&lt;&gt;0),"PB","")))</f>
        <v/>
      </c>
      <c r="V114" s="959" t="str">
        <f t="shared" ref="V114:V120" si="202">IF(C114="",IF((N114*24)&gt;10,"PB",""),IF((O114*24)&gt;10,"PB",""))</f>
        <v/>
      </c>
      <c r="W114" s="959" t="str">
        <f t="shared" ref="W114:W120" si="203">IF((R114*24)&gt;12,"PB","")</f>
        <v/>
      </c>
      <c r="X114" s="960" t="str">
        <f t="shared" ref="X114:X116" si="204">IF(AND(N114=0,O114=0),"",(IF(OR(C114="aa",C114="cp",C114="f",C114="jc",C114="m",C114="css"),"",IF(C114="",IF(OR(D114-B114&gt;6/24,H114-F114&gt;6/24,L114-J114&gt;6/24),"PB",""),IF(OR(E114-C114&gt;6/24,I114-G114&gt;6/24,M114-K114&gt;6/24),"PB","")))))</f>
        <v/>
      </c>
      <c r="Y114" s="959" t="str">
        <f t="shared" ref="Y114:Y120" si="205">IF(T114="","",IF(T114&lt;11,"PB",""))</f>
        <v/>
      </c>
      <c r="Z114" s="836"/>
      <c r="AA114" s="837"/>
      <c r="AC114" s="934">
        <f>AC108+1</f>
        <v>42857</v>
      </c>
      <c r="AD114" s="961">
        <f>IF(AND(N(AC114)&gt;=Paramétrage!$AU$11,N(AC114)&lt;=Paramétrage!$AU$12),IF(C114="cp",1,0),0)</f>
        <v>0</v>
      </c>
      <c r="AE114" s="962">
        <f t="shared" ref="AE114:AE120" si="206">IF(O114&lt;&gt;"erreur",N114,O114)</f>
        <v>0</v>
      </c>
      <c r="AF114" s="961">
        <f>IF(AND(N(AC114)&gt;=Paramétrage!$AX$11,N(AC114)&lt;=Paramétrage!$AX$12),IF(C114="cp",1,0),0)</f>
        <v>0</v>
      </c>
      <c r="AG114" s="962">
        <f t="shared" ref="AG114:AG120" si="207">O114</f>
        <v>0</v>
      </c>
      <c r="AI114" s="962">
        <f>AE114+AI108</f>
        <v>0</v>
      </c>
      <c r="AJ114" s="962">
        <f>AG114+AJ108</f>
        <v>0</v>
      </c>
      <c r="AM114" s="962">
        <f>IF(AND($B114="cp",$C114="m"),$Z114,0)</f>
        <v>0</v>
      </c>
      <c r="AN114" s="962">
        <f>IF(AND($B114="jc",$C114="m"),$Z114,0)</f>
        <v>0</v>
      </c>
      <c r="AO114" s="962">
        <f>IF(AND($B114="cp",$C114="aa"),$Z114,0)</f>
        <v>0</v>
      </c>
      <c r="AP114" s="962">
        <f>IF(AND($B114="jc",$C114="aa"),$Z114,0)</f>
        <v>0</v>
      </c>
      <c r="AR114" s="917">
        <f>IF(AND(AC114&lt;=$AR$3,B114="CP"),1,0)</f>
        <v>0</v>
      </c>
      <c r="AS114" s="917">
        <f>IF(AND(AC114&lt;=$AR$3,C114="CP"),1,0)</f>
        <v>0</v>
      </c>
    </row>
    <row r="115" spans="1:45" ht="16.5" x14ac:dyDescent="0.3">
      <c r="A115" s="964" t="s">
        <v>13</v>
      </c>
      <c r="B115" s="15" t="b">
        <f>IF(Paramétrage!$O$43="",FALSE,Paramétrage!$O$43)</f>
        <v>0</v>
      </c>
      <c r="C115" s="263"/>
      <c r="D115" s="16" t="b">
        <f>IF(Paramétrage!$Q$43="",FALSE,Paramétrage!$Q$43)</f>
        <v>0</v>
      </c>
      <c r="E115" s="264"/>
      <c r="F115" s="15" t="b">
        <f>IF(Paramétrage!$R$43="",FALSE,Paramétrage!$R$43)</f>
        <v>0</v>
      </c>
      <c r="G115" s="264"/>
      <c r="H115" s="17" t="b">
        <f>IF(Paramétrage!$T$43="",FALSE,Paramétrage!$T$43)</f>
        <v>0</v>
      </c>
      <c r="I115" s="263"/>
      <c r="J115" s="127" t="b">
        <f>IF(Paramétrage!$U$43="",FALSE,Paramétrage!$U$43)</f>
        <v>0</v>
      </c>
      <c r="K115" s="263"/>
      <c r="L115" s="28" t="b">
        <f>IF(Paramétrage!$W$43="",FALSE,Paramétrage!$W$43)</f>
        <v>0</v>
      </c>
      <c r="M115" s="263"/>
      <c r="N115" s="956">
        <f t="shared" si="198"/>
        <v>0</v>
      </c>
      <c r="O115" s="956">
        <f t="shared" si="199"/>
        <v>0</v>
      </c>
      <c r="P115" s="956">
        <f>IF(OR(C115="aa",C115="cp",C115="f",C115="jc",C115="m",C115="css"),0,IF(C115="",IF(OR(F115="",F115=FALSE),0,F115-D115),IF(G115="",0,G115-E115)))</f>
        <v>0</v>
      </c>
      <c r="Q115" s="956">
        <f>IF(P115=0,0,IF(G115="",IF(OR(J115="",J115=FALSE),0,J115-H115),IF(K115="",0,K115-I115)))</f>
        <v>0</v>
      </c>
      <c r="R115" s="957">
        <f t="shared" si="200"/>
        <v>0</v>
      </c>
      <c r="S115" s="262"/>
      <c r="T115" s="958" t="str">
        <f t="shared" si="201"/>
        <v/>
      </c>
      <c r="U115" s="959" t="str">
        <f>IF(P115=0,"",IF(P115&lt;Paramétrage!$S$12,"PB",IF(AND(Q115&lt;Paramétrage!$S$12,Q115&lt;&gt;0),"PB","")))</f>
        <v/>
      </c>
      <c r="V115" s="959" t="str">
        <f t="shared" si="202"/>
        <v/>
      </c>
      <c r="W115" s="959" t="str">
        <f t="shared" si="203"/>
        <v/>
      </c>
      <c r="X115" s="960" t="str">
        <f t="shared" si="204"/>
        <v/>
      </c>
      <c r="Y115" s="959" t="str">
        <f t="shared" si="205"/>
        <v/>
      </c>
      <c r="Z115" s="836"/>
      <c r="AA115" s="837"/>
      <c r="AC115" s="934">
        <f t="shared" ref="AC115:AC120" si="208">AC114+1</f>
        <v>42858</v>
      </c>
      <c r="AD115" s="961">
        <f>IF(AND(N(AC115)&gt;=Paramétrage!$AU$11,N(AC115)&lt;=Paramétrage!$AU$12),IF(C115="cp",1,0),0)</f>
        <v>0</v>
      </c>
      <c r="AE115" s="962">
        <f t="shared" si="206"/>
        <v>0</v>
      </c>
      <c r="AF115" s="961">
        <f>IF(AND(N(AC115)&gt;=Paramétrage!$AX$11,N(AC115)&lt;=Paramétrage!$AX$12),IF(C115="cp",1,0),0)</f>
        <v>0</v>
      </c>
      <c r="AG115" s="962">
        <f t="shared" si="207"/>
        <v>0</v>
      </c>
      <c r="AI115" s="962">
        <f t="shared" ref="AI115:AI120" si="209">AE115+AI114</f>
        <v>0</v>
      </c>
      <c r="AJ115" s="962">
        <f t="shared" ref="AJ115:AJ120" si="210">AG115+AJ114</f>
        <v>0</v>
      </c>
      <c r="AM115" s="962">
        <f t="shared" ref="AM115:AM118" si="211">IF(AND($B115="cp",$C115="m"),$Z115,0)</f>
        <v>0</v>
      </c>
      <c r="AN115" s="962">
        <f t="shared" ref="AN115:AN118" si="212">IF(AND($B115="jc",$C115="m"),$Z115,0)</f>
        <v>0</v>
      </c>
      <c r="AO115" s="962">
        <f t="shared" ref="AO115:AO118" si="213">IF(AND($B115="cp",$C115="aa"),$Z115,0)</f>
        <v>0</v>
      </c>
      <c r="AP115" s="962">
        <f t="shared" ref="AP115:AP118" si="214">IF(AND($B115="jc",$C115="aa"),$Z115,0)</f>
        <v>0</v>
      </c>
      <c r="AR115" s="917">
        <f>IF(AND(AC115&lt;=$AR$3,B115="CP"),1,0)</f>
        <v>0</v>
      </c>
      <c r="AS115" s="917">
        <f>IF(AND(AC115&lt;=$AR$3,C115="CP"),1,0)</f>
        <v>0</v>
      </c>
    </row>
    <row r="116" spans="1:45" ht="16.5" x14ac:dyDescent="0.3">
      <c r="A116" s="964" t="s">
        <v>14</v>
      </c>
      <c r="B116" s="15" t="b">
        <f>IF(Paramétrage!$O$44="",FALSE,Paramétrage!$O$44)</f>
        <v>0</v>
      </c>
      <c r="C116" s="263"/>
      <c r="D116" s="16" t="b">
        <f>IF(Paramétrage!$Q$44="",FALSE,Paramétrage!$Q$44)</f>
        <v>0</v>
      </c>
      <c r="E116" s="264"/>
      <c r="F116" s="15" t="b">
        <f>IF(Paramétrage!$R$44="",FALSE,Paramétrage!$R$44)</f>
        <v>0</v>
      </c>
      <c r="G116" s="264"/>
      <c r="H116" s="17" t="b">
        <f>IF(Paramétrage!$T$44="",FALSE,Paramétrage!$T$44)</f>
        <v>0</v>
      </c>
      <c r="I116" s="263"/>
      <c r="J116" s="127" t="b">
        <f>IF(Paramétrage!$U$44="",FALSE,Paramétrage!$U$44)</f>
        <v>0</v>
      </c>
      <c r="K116" s="263"/>
      <c r="L116" s="28" t="b">
        <f>IF(Paramétrage!$W$44="",FALSE,Paramétrage!$W$44)</f>
        <v>0</v>
      </c>
      <c r="M116" s="263"/>
      <c r="N116" s="956">
        <f t="shared" si="198"/>
        <v>0</v>
      </c>
      <c r="O116" s="956">
        <f t="shared" si="199"/>
        <v>0</v>
      </c>
      <c r="P116" s="956">
        <f t="shared" ref="P116:P120" si="215">IF(OR(C116="aa",C116="cp",C116="f",C116="jc",C116="m",C116="css"),0,IF(C116="",IF(OR(F116="",F116=FALSE),0,F116-D116),IF(G116="",0,G116-E116)))</f>
        <v>0</v>
      </c>
      <c r="Q116" s="956">
        <f t="shared" ref="Q116:Q120" si="216">IF(P116=0,0,IF(G116="",IF(OR(J116="",J116=FALSE),0,J116-H116),IF(K116="",0,K116-I116)))</f>
        <v>0</v>
      </c>
      <c r="R116" s="957">
        <f t="shared" si="200"/>
        <v>0</v>
      </c>
      <c r="S116" s="262"/>
      <c r="T116" s="958" t="str">
        <f>IF(AND(B116=FALSE,C116=""),"",IF(AND(B116=0,C116=0),"",(IF(OR(C116="cp",C116="f",C116="jc",C116="css"),"",IF(OR(C116="",C116="aa",C116="m"),(IF(OR(B116="cp",B116="f",B116="jc",B116="css"),"",B116*24+24-MAX(D115,H115,L115)*24)),C116*24+24-MAX(M115,I115,E115)*24)))))</f>
        <v/>
      </c>
      <c r="U116" s="959" t="str">
        <f>IF(P116=0,"",IF(P116&lt;Paramétrage!$S$12,"PB",IF(AND(Q116&lt;Paramétrage!$S$12,Q116&lt;&gt;0),"PB","")))</f>
        <v/>
      </c>
      <c r="V116" s="959" t="str">
        <f t="shared" si="202"/>
        <v/>
      </c>
      <c r="W116" s="959" t="str">
        <f t="shared" si="203"/>
        <v/>
      </c>
      <c r="X116" s="960" t="str">
        <f t="shared" si="204"/>
        <v/>
      </c>
      <c r="Y116" s="959" t="str">
        <f t="shared" si="205"/>
        <v/>
      </c>
      <c r="Z116" s="836"/>
      <c r="AA116" s="837"/>
      <c r="AC116" s="934">
        <f t="shared" si="208"/>
        <v>42859</v>
      </c>
      <c r="AD116" s="961">
        <f>IF(AND(N(AC116)&gt;=Paramétrage!$AU$11,N(AC116)&lt;=Paramétrage!$AU$12),IF(C116="cp",1,0),0)</f>
        <v>0</v>
      </c>
      <c r="AE116" s="962">
        <f t="shared" si="206"/>
        <v>0</v>
      </c>
      <c r="AF116" s="961">
        <f>IF(AND(N(AC116)&gt;=Paramétrage!$AX$11,N(AC116)&lt;=Paramétrage!$AX$12),IF(C116="cp",1,0),0)</f>
        <v>0</v>
      </c>
      <c r="AG116" s="962">
        <f t="shared" si="207"/>
        <v>0</v>
      </c>
      <c r="AI116" s="962">
        <f t="shared" si="209"/>
        <v>0</v>
      </c>
      <c r="AJ116" s="962">
        <f t="shared" si="210"/>
        <v>0</v>
      </c>
      <c r="AM116" s="962">
        <f t="shared" si="211"/>
        <v>0</v>
      </c>
      <c r="AN116" s="962">
        <f t="shared" si="212"/>
        <v>0</v>
      </c>
      <c r="AO116" s="962">
        <f t="shared" si="213"/>
        <v>0</v>
      </c>
      <c r="AP116" s="962">
        <f t="shared" si="214"/>
        <v>0</v>
      </c>
      <c r="AR116" s="917">
        <f>IF(AND(AC116&lt;=$AR$3,B116="CP"),1,0)</f>
        <v>0</v>
      </c>
      <c r="AS116" s="917">
        <f>IF(AND(AC116&lt;=$AR$3,C116="CP"),1,0)</f>
        <v>0</v>
      </c>
    </row>
    <row r="117" spans="1:45" ht="16.5" x14ac:dyDescent="0.3">
      <c r="A117" s="964" t="s">
        <v>15</v>
      </c>
      <c r="B117" s="15" t="b">
        <f>IF(Paramétrage!$O$45="",FALSE,Paramétrage!$O$45)</f>
        <v>0</v>
      </c>
      <c r="C117" s="263"/>
      <c r="D117" s="16" t="b">
        <f>IF(Paramétrage!$Q$45="",FALSE,Paramétrage!$Q$45)</f>
        <v>0</v>
      </c>
      <c r="E117" s="264"/>
      <c r="F117" s="15" t="b">
        <f>IF(Paramétrage!$R$45="",FALSE,Paramétrage!$R$45)</f>
        <v>0</v>
      </c>
      <c r="G117" s="264"/>
      <c r="H117" s="17" t="b">
        <f>IF(Paramétrage!$T$45="",FALSE,Paramétrage!$T$45)</f>
        <v>0</v>
      </c>
      <c r="I117" s="263"/>
      <c r="J117" s="127" t="b">
        <f>IF(Paramétrage!$U$45="",FALSE,Paramétrage!$U$45)</f>
        <v>0</v>
      </c>
      <c r="K117" s="263"/>
      <c r="L117" s="28" t="b">
        <f>IF(Paramétrage!$W$45="",FALSE,Paramétrage!$W$45)</f>
        <v>0</v>
      </c>
      <c r="M117" s="263"/>
      <c r="N117" s="956">
        <f>IF(OR(B117="aa",B117="cp",B117="f",B117="jc",B117="m",B117="css"),0,(L117-J117)+(H117-F117)+(D117-B117))</f>
        <v>0</v>
      </c>
      <c r="O117" s="956">
        <f>SUM(AM117:AP117)+IF(OR(C117="m",C117="aa"),N117,IF(C117="css",0,IF(C117="cp",0,IF(C117="jc",0,IF(C117="f",0,E117-C117+I117-G117+M117-K117)))))</f>
        <v>0</v>
      </c>
      <c r="P117" s="956">
        <f t="shared" si="215"/>
        <v>0</v>
      </c>
      <c r="Q117" s="956">
        <f t="shared" si="216"/>
        <v>0</v>
      </c>
      <c r="R117" s="957">
        <f>IF(OR(C117="aa",C117="cp",C117="f",C117="jc",C117="m",C117="css"),0,IF(C117=0,MAX(B117,D117,F117,H117,J117,L117)-MIN(B117,D117,F117,H117,J117,L117),IF(C117&lt;&gt;0,MAX(C117,E117,G117,I117,K117,M117)-MIN(C117,E117,G117,I117,K117,M117))))</f>
        <v>0</v>
      </c>
      <c r="S117" s="262"/>
      <c r="T117" s="958" t="str">
        <f t="shared" ref="T117:T120" si="217">IF(AND(B117=FALSE,C117=""),"",IF(AND(B117=0,C117=0),"",(IF(OR(C117="cp",C117="f",C117="jc",C117="css"),"",IF(OR(C117="",C117="aa",C117="m"),(IF(OR(B117="cp",B117="f",B117="jc",B117="css"),"",B117*24+24-MAX(D116,H116,L116)*24)),C117*24+24-MAX(M116,I116,E116)*24)))))</f>
        <v/>
      </c>
      <c r="U117" s="959" t="str">
        <f>IF(P117=0,"",IF(P117&lt;Paramétrage!$S$12,"PB",IF(AND(Q117&lt;Paramétrage!$S$12,Q117&lt;&gt;0),"PB","")))</f>
        <v/>
      </c>
      <c r="V117" s="959" t="str">
        <f t="shared" si="202"/>
        <v/>
      </c>
      <c r="W117" s="959" t="str">
        <f t="shared" si="203"/>
        <v/>
      </c>
      <c r="X117" s="960" t="str">
        <f>IF(AND(N117=0,O117=0),"",(IF(OR(C117="aa",C117="cp",C117="f",C117="jc",C117="m",C117="css"),"",IF(C117="",IF(OR(D117-B117&gt;6/24,H117-F117&gt;6/24,L117-J117&gt;6/24),"PB",""),IF(OR(E117-C117&gt;6/24,I117-G117&gt;6/24,M117-K117&gt;6/24),"PB","")))))</f>
        <v/>
      </c>
      <c r="Y117" s="959" t="str">
        <f t="shared" si="205"/>
        <v/>
      </c>
      <c r="Z117" s="836"/>
      <c r="AA117" s="837"/>
      <c r="AC117" s="934">
        <f t="shared" si="208"/>
        <v>42860</v>
      </c>
      <c r="AD117" s="961">
        <f>IF(AND(N(AC117)&gt;=Paramétrage!$AU$11,N(AC117)&lt;=Paramétrage!$AU$12),IF(C117="cp",1,0),0)</f>
        <v>0</v>
      </c>
      <c r="AE117" s="962">
        <f t="shared" si="206"/>
        <v>0</v>
      </c>
      <c r="AF117" s="961">
        <f>IF(AND(N(AC117)&gt;=Paramétrage!$AX$11,N(AC117)&lt;=Paramétrage!$AX$12),IF(C117="cp",1,0),0)</f>
        <v>0</v>
      </c>
      <c r="AG117" s="962">
        <f t="shared" si="207"/>
        <v>0</v>
      </c>
      <c r="AI117" s="962">
        <f t="shared" si="209"/>
        <v>0</v>
      </c>
      <c r="AJ117" s="962">
        <f t="shared" si="210"/>
        <v>0</v>
      </c>
      <c r="AM117" s="962">
        <f t="shared" si="211"/>
        <v>0</v>
      </c>
      <c r="AN117" s="962">
        <f t="shared" si="212"/>
        <v>0</v>
      </c>
      <c r="AO117" s="962">
        <f t="shared" si="213"/>
        <v>0</v>
      </c>
      <c r="AP117" s="962">
        <f t="shared" si="214"/>
        <v>0</v>
      </c>
      <c r="AR117" s="917">
        <f>IF(AND(AC117&lt;=$AR$3,B117="CP"),1,0)</f>
        <v>0</v>
      </c>
      <c r="AS117" s="917">
        <f>IF(AND(AC117&lt;=$AR$3,C117="CP"),1,0)</f>
        <v>0</v>
      </c>
    </row>
    <row r="118" spans="1:45" ht="16.5" x14ac:dyDescent="0.3">
      <c r="A118" s="964" t="s">
        <v>16</v>
      </c>
      <c r="B118" s="15" t="b">
        <f>IF(Paramétrage!$O$46="",FALSE,Paramétrage!$O$46)</f>
        <v>0</v>
      </c>
      <c r="C118" s="263"/>
      <c r="D118" s="16" t="b">
        <f>IF(Paramétrage!$Q$46="",FALSE,Paramétrage!$Q$46)</f>
        <v>0</v>
      </c>
      <c r="E118" s="264"/>
      <c r="F118" s="15" t="b">
        <f>IF(Paramétrage!$R$46="",FALSE,Paramétrage!$R$46)</f>
        <v>0</v>
      </c>
      <c r="G118" s="264"/>
      <c r="H118" s="17" t="b">
        <f>IF(Paramétrage!$T$46="",FALSE,Paramétrage!$T$46)</f>
        <v>0</v>
      </c>
      <c r="I118" s="263"/>
      <c r="J118" s="127" t="b">
        <f>IF(Paramétrage!$U$46="",FALSE,Paramétrage!$U$46)</f>
        <v>0</v>
      </c>
      <c r="K118" s="263"/>
      <c r="L118" s="28" t="b">
        <f>IF(Paramétrage!$W$46="",FALSE,Paramétrage!$W$46)</f>
        <v>0</v>
      </c>
      <c r="M118" s="263"/>
      <c r="N118" s="956">
        <f>IF(OR(B118="aa",B118="cp",B118="f",B118="jc",B118="m",B118="css"),0,(L118-J118)+(H118-F118)+(D118-B118))</f>
        <v>0</v>
      </c>
      <c r="O118" s="956">
        <f>SUM(AM118:AP118)+IF(OR(C118="m",C118="aa"),N118,IF(C118="css",0,IF(C118="cp",0,IF(C118="jc",0,IF(C118="f",0,E118-C118+I118-G118+M118-K118)))))</f>
        <v>0</v>
      </c>
      <c r="P118" s="956">
        <f t="shared" si="215"/>
        <v>0</v>
      </c>
      <c r="Q118" s="956">
        <f t="shared" si="216"/>
        <v>0</v>
      </c>
      <c r="R118" s="957">
        <f>IF(OR(C118="aa",C118="cp",C118="f",C118="jc",C118="m",C118="css"),0,IF(C118=0,MAX(B118,D118,F118,H118,J118,L118)-MIN(B118,D118,F118,H118,J118,L118),IF(C118&lt;&gt;0,MAX(C118,E118,G118,I118,K118,M118)-MIN(C118,E118,G118,I118,K118,M118))))</f>
        <v>0</v>
      </c>
      <c r="S118" s="262"/>
      <c r="T118" s="958" t="str">
        <f t="shared" si="217"/>
        <v/>
      </c>
      <c r="U118" s="959" t="str">
        <f>IF(P118=0,"",IF(P118&lt;Paramétrage!$S$12,"PB",IF(AND(Q118&lt;Paramétrage!$S$12,Q118&lt;&gt;0),"PB","")))</f>
        <v/>
      </c>
      <c r="V118" s="959" t="str">
        <f t="shared" si="202"/>
        <v/>
      </c>
      <c r="W118" s="959" t="str">
        <f t="shared" si="203"/>
        <v/>
      </c>
      <c r="X118" s="960" t="str">
        <f>IF(AND(N118=0,O118=0),"",(IF(OR(C118="aa",C118="cp",C118="f",C118="jc",C118="m",C118="css"),"",IF(C118="",IF(OR(D118-B118&gt;6/24,H118-F118&gt;6/24,L118-J118&gt;6/24),"PB",""),IF(OR(E118-C118&gt;6/24,I118-G118&gt;6/24,M118-K118&gt;6/24),"PB","")))))</f>
        <v/>
      </c>
      <c r="Y118" s="959" t="str">
        <f t="shared" si="205"/>
        <v/>
      </c>
      <c r="Z118" s="836"/>
      <c r="AA118" s="837"/>
      <c r="AC118" s="934">
        <f t="shared" si="208"/>
        <v>42861</v>
      </c>
      <c r="AD118" s="961">
        <f>IF(AND(N(AC118)&gt;=Paramétrage!$AU$11,N(AC118)&lt;=Paramétrage!$AU$12),IF(C118="cp",1,0),0)</f>
        <v>0</v>
      </c>
      <c r="AE118" s="962">
        <f t="shared" si="206"/>
        <v>0</v>
      </c>
      <c r="AF118" s="961">
        <f>IF(AND(N(AC118)&gt;=Paramétrage!$AX$11,N(AC118)&lt;=Paramétrage!$AX$12),IF(C118="cp",1,0),0)</f>
        <v>0</v>
      </c>
      <c r="AG118" s="962">
        <f t="shared" si="207"/>
        <v>0</v>
      </c>
      <c r="AI118" s="962">
        <f t="shared" si="209"/>
        <v>0</v>
      </c>
      <c r="AJ118" s="962">
        <f t="shared" si="210"/>
        <v>0</v>
      </c>
      <c r="AM118" s="962">
        <f t="shared" si="211"/>
        <v>0</v>
      </c>
      <c r="AN118" s="962">
        <f t="shared" si="212"/>
        <v>0</v>
      </c>
      <c r="AO118" s="962">
        <f t="shared" si="213"/>
        <v>0</v>
      </c>
      <c r="AP118" s="962">
        <f t="shared" si="214"/>
        <v>0</v>
      </c>
      <c r="AR118" s="917">
        <f>IF(AND(AC118&lt;=$AR$3,B118="CP"),1,0)</f>
        <v>0</v>
      </c>
      <c r="AS118" s="917">
        <f>IF(AND(AC118&lt;=$AR$3,C118="CP"),1,0)</f>
        <v>0</v>
      </c>
    </row>
    <row r="119" spans="1:45" ht="16.5" x14ac:dyDescent="0.3">
      <c r="A119" s="964" t="s">
        <v>19</v>
      </c>
      <c r="B119" s="15" t="b">
        <f>IF(Paramétrage!$O$47="",FALSE,Paramétrage!$O$47)</f>
        <v>0</v>
      </c>
      <c r="C119" s="263"/>
      <c r="D119" s="16" t="b">
        <f>IF(Paramétrage!$Q$47="",FALSE,Paramétrage!$Q$47)</f>
        <v>0</v>
      </c>
      <c r="E119" s="264"/>
      <c r="F119" s="15" t="b">
        <f>IF(Paramétrage!$R$47="",FALSE,Paramétrage!$R$47)</f>
        <v>0</v>
      </c>
      <c r="G119" s="264"/>
      <c r="H119" s="17" t="b">
        <f>IF(Paramétrage!$T$47="",FALSE,Paramétrage!$T$47)</f>
        <v>0</v>
      </c>
      <c r="I119" s="263"/>
      <c r="J119" s="127" t="b">
        <f>IF(Paramétrage!$U$47="",FALSE,Paramétrage!$U$47)</f>
        <v>0</v>
      </c>
      <c r="K119" s="263"/>
      <c r="L119" s="28" t="b">
        <f>IF(Paramétrage!$W$47="",FALSE,Paramétrage!$W$47)</f>
        <v>0</v>
      </c>
      <c r="M119" s="263"/>
      <c r="N119" s="956">
        <f>IF(OR(B119="aa",B119="cp",B119="f",B119="jc",B119="m",B119="css"),0,(L119-J119)+(H119-F119)+(D119-B119))</f>
        <v>0</v>
      </c>
      <c r="O119" s="956">
        <f>IF(OR(C119="m",C119="aa"),N119,IF(C119="cp",0,IF(OR(C119="css",C119="jc"),0,IF(C119="f",0,E119-C119+I119-G119+M119-K119))))</f>
        <v>0</v>
      </c>
      <c r="P119" s="956">
        <f t="shared" si="215"/>
        <v>0</v>
      </c>
      <c r="Q119" s="956">
        <f t="shared" si="216"/>
        <v>0</v>
      </c>
      <c r="R119" s="957">
        <f>IF(OR(C119="aa",C119="cp",C119="f",C119="jc",C119="m",C119="css"),0,IF(C119=0,MAX(B119,D119,F119,H119,J119,L119)-MIN(B119,D119,F119,H119,J119,L119),IF(C119&lt;&gt;0,MAX(C119,E119,G119,I119,K119,M119)-MIN(C119,E119,G119,I119,K119,M119))))</f>
        <v>0</v>
      </c>
      <c r="S119" s="262"/>
      <c r="T119" s="958" t="str">
        <f t="shared" si="217"/>
        <v/>
      </c>
      <c r="U119" s="959" t="str">
        <f>IF(P119=0,"",IF(P119&lt;Paramétrage!$S$12,"PB",IF(AND(Q119&lt;Paramétrage!$S$12,Q119&lt;&gt;0),"PB","")))</f>
        <v/>
      </c>
      <c r="V119" s="959" t="str">
        <f t="shared" si="202"/>
        <v/>
      </c>
      <c r="W119" s="959" t="str">
        <f t="shared" si="203"/>
        <v/>
      </c>
      <c r="X119" s="960" t="str">
        <f>IF(AND(N119=0,O119=0),"",(IF(OR(C119="aa",C119="cp",C119="f",C119="jc",C119="m",C119="css"),"",IF(C119="",IF(OR(D119-B119&gt;6/24,H119-F119&gt;6/24,L119-J119&gt;6/24),"PB",""),IF(OR(E119-C119&gt;6/24,I119-G119&gt;6/24,M119-K119&gt;6/24),"PB","")))))</f>
        <v/>
      </c>
      <c r="Y119" s="959" t="str">
        <f t="shared" si="205"/>
        <v/>
      </c>
      <c r="Z119" s="836"/>
      <c r="AA119" s="837"/>
      <c r="AC119" s="934">
        <f t="shared" si="208"/>
        <v>42862</v>
      </c>
      <c r="AD119" s="961">
        <f>IF(AND(N(AC119)&gt;=Paramétrage!$AU$11,N(AC119)&lt;=Paramétrage!$AU$12),IF(C119="cp",1,0),0)</f>
        <v>0</v>
      </c>
      <c r="AE119" s="962">
        <f t="shared" si="206"/>
        <v>0</v>
      </c>
      <c r="AF119" s="961">
        <f>IF(AND(N(AC119)&gt;=Paramétrage!$AX$11,N(AC119)&lt;=Paramétrage!$AX$12),IF(C119="cp",1,0),0)</f>
        <v>0</v>
      </c>
      <c r="AG119" s="962">
        <f t="shared" si="207"/>
        <v>0</v>
      </c>
      <c r="AI119" s="962">
        <f t="shared" si="209"/>
        <v>0</v>
      </c>
      <c r="AJ119" s="962">
        <f t="shared" si="210"/>
        <v>0</v>
      </c>
      <c r="AM119" s="962"/>
      <c r="AN119" s="962"/>
      <c r="AO119" s="962"/>
      <c r="AP119" s="962"/>
    </row>
    <row r="120" spans="1:45" ht="17.25" thickBot="1" x14ac:dyDescent="0.35">
      <c r="A120" s="966" t="s">
        <v>20</v>
      </c>
      <c r="B120" s="15" t="b">
        <f>IF(Paramétrage!$O$48="",FALSE,Paramétrage!$O$48)</f>
        <v>0</v>
      </c>
      <c r="C120" s="263"/>
      <c r="D120" s="16" t="b">
        <f>IF(Paramétrage!$Q$48="",FALSE,Paramétrage!$Q$48)</f>
        <v>0</v>
      </c>
      <c r="E120" s="264"/>
      <c r="F120" s="15" t="b">
        <f>IF(Paramétrage!$R$48="",FALSE,Paramétrage!$R$48)</f>
        <v>0</v>
      </c>
      <c r="G120" s="264"/>
      <c r="H120" s="17" t="b">
        <f>IF(Paramétrage!$T$48="",FALSE,Paramétrage!$T$48)</f>
        <v>0</v>
      </c>
      <c r="I120" s="263"/>
      <c r="J120" s="127" t="b">
        <f>IF(Paramétrage!$U$48="",FALSE,Paramétrage!$U$48)</f>
        <v>0</v>
      </c>
      <c r="K120" s="263"/>
      <c r="L120" s="28" t="b">
        <f>IF(Paramétrage!$W$48="",FALSE,Paramétrage!$W$48)</f>
        <v>0</v>
      </c>
      <c r="M120" s="263"/>
      <c r="N120" s="956">
        <f>IF(OR(B120="aa",B120="m"),M120,IF(B120="cp",0,IF(B120="jc",0,IF(B120="f",0,(D120-B120)*Paramétrage!$S$13+(H120-F120)*Paramétrage!$S$13+(L120-J120)*Paramétrage!$S$13+(D120-B120+H120-F120+L120-J120)))))</f>
        <v>0</v>
      </c>
      <c r="O120" s="956">
        <f>IF(OR(C120="aa",C120="m"),N120,IF(C120="cp",0,IF(C120="jc",0,IF(C120="f",0,(E120-C120)*Paramétrage!$S$13+(I120-G120)*Paramétrage!$S$13+(M120-K120)*Paramétrage!$S$13+(E120-C120+I120-G120+M120-K120)))))</f>
        <v>0</v>
      </c>
      <c r="P120" s="956">
        <f t="shared" si="215"/>
        <v>0</v>
      </c>
      <c r="Q120" s="956">
        <f t="shared" si="216"/>
        <v>0</v>
      </c>
      <c r="R120" s="957">
        <f t="shared" ref="R120" si="218">IF(OR(C120="aa",C120="cp",C120="f",C120="jc",C120="m",C120=0),MAX(B120,D120,F120,H120,J120,L120)-MIN(B120,D120,F120,H120,J120,L120),IF(C120&lt;&gt;0,MAX(C120,E120,G120,I120,K120,M120)-MIN(C120,E120,G120,I120,K120,M120)))</f>
        <v>0</v>
      </c>
      <c r="S120" s="262"/>
      <c r="T120" s="958" t="str">
        <f t="shared" si="217"/>
        <v/>
      </c>
      <c r="U120" s="959" t="str">
        <f>IF(P120=0,"",IF(P120&lt;Paramétrage!$S$12,"PB",IF(AND(Q120&lt;Paramétrage!$S$12,Q120&lt;&gt;0),"PB","")))</f>
        <v/>
      </c>
      <c r="V120" s="959" t="str">
        <f t="shared" si="202"/>
        <v/>
      </c>
      <c r="W120" s="959" t="str">
        <f t="shared" si="203"/>
        <v/>
      </c>
      <c r="X120" s="960" t="str">
        <f t="shared" ref="X120" si="219">IF(AND(N120=0,O120=0),"",(IF(OR(C120="aa",C120="cp",C120="f",C120="jc",C120="m"),"",IF(C120="",IF(OR(D120-B120&gt;6/24,H120-F120&gt;6/24,L120-J120&gt;6/24),"PB",""),IF(OR(E120-C120&gt;6/24,I120-G120&gt;6/24,M120-K120&gt;6/24),"PB","")))))</f>
        <v/>
      </c>
      <c r="Y120" s="959" t="str">
        <f t="shared" si="205"/>
        <v/>
      </c>
      <c r="Z120" s="836"/>
      <c r="AA120" s="837"/>
      <c r="AC120" s="934">
        <f t="shared" si="208"/>
        <v>42863</v>
      </c>
      <c r="AD120" s="961">
        <f>IF(AND(N(AC120)&gt;=Paramétrage!$AU$11,N(AC120)&lt;=Paramétrage!$AU$12),IF(C120="cp",1,0),0)</f>
        <v>0</v>
      </c>
      <c r="AE120" s="962">
        <f t="shared" si="206"/>
        <v>0</v>
      </c>
      <c r="AF120" s="961">
        <f>IF(AND(N(AC120)&gt;=Paramétrage!$AX$11,N(AC120)&lt;=Paramétrage!$AX$12),IF(C120="cp",1,0),0)</f>
        <v>0</v>
      </c>
      <c r="AG120" s="962">
        <f t="shared" si="207"/>
        <v>0</v>
      </c>
      <c r="AI120" s="962">
        <f t="shared" si="209"/>
        <v>0</v>
      </c>
      <c r="AJ120" s="962">
        <f t="shared" si="210"/>
        <v>0</v>
      </c>
      <c r="AM120" s="962"/>
      <c r="AN120" s="962"/>
      <c r="AO120" s="962"/>
      <c r="AP120" s="962"/>
    </row>
    <row r="121" spans="1:45" s="935" customFormat="1" x14ac:dyDescent="0.25">
      <c r="A121" s="969" t="s">
        <v>41</v>
      </c>
      <c r="B121" s="970"/>
      <c r="C121" s="970"/>
      <c r="D121" s="970"/>
      <c r="E121" s="970"/>
      <c r="F121" s="970"/>
      <c r="G121" s="970"/>
      <c r="H121" s="970"/>
      <c r="I121" s="970"/>
      <c r="J121" s="970"/>
      <c r="K121" s="971"/>
      <c r="L121" s="970"/>
      <c r="M121" s="970"/>
      <c r="N121" s="972">
        <f>SUM(N114:N120)</f>
        <v>0</v>
      </c>
      <c r="O121" s="972">
        <f>SUM(O114:O120)</f>
        <v>0</v>
      </c>
      <c r="P121" s="972">
        <f>SUM(P114:P120)</f>
        <v>0</v>
      </c>
      <c r="Q121" s="972">
        <f>SUM(Q114:Q120)</f>
        <v>0</v>
      </c>
      <c r="R121" s="972"/>
      <c r="S121" s="972"/>
      <c r="T121" s="973"/>
      <c r="U121" s="974"/>
      <c r="V121" s="975" t="str">
        <f>IF((O121*24)&gt;48,"PB","")</f>
        <v/>
      </c>
      <c r="W121" s="974"/>
      <c r="X121" s="974"/>
      <c r="Y121" s="974"/>
      <c r="Z121" s="1053" t="s">
        <v>59</v>
      </c>
      <c r="AA121" s="1055">
        <f>+O121-N121</f>
        <v>0</v>
      </c>
      <c r="AB121" s="917"/>
      <c r="AC121" s="934"/>
      <c r="AE121" s="917"/>
      <c r="AG121" s="917"/>
      <c r="AH121" s="917"/>
      <c r="AI121" s="917"/>
      <c r="AJ121" s="917"/>
      <c r="AK121" s="917"/>
      <c r="AL121" s="917"/>
      <c r="AM121" s="917"/>
      <c r="AN121" s="917"/>
      <c r="AO121" s="917"/>
      <c r="AP121" s="917"/>
      <c r="AR121" s="917"/>
      <c r="AS121" s="917"/>
    </row>
    <row r="122" spans="1:45" x14ac:dyDescent="0.25">
      <c r="A122" s="994"/>
      <c r="B122" s="994"/>
      <c r="C122" s="994"/>
      <c r="D122" s="994"/>
      <c r="E122" s="994"/>
      <c r="F122" s="994"/>
      <c r="G122" s="994"/>
      <c r="H122" s="994"/>
      <c r="I122" s="994"/>
      <c r="J122" s="994"/>
      <c r="K122" s="994"/>
      <c r="L122" s="994"/>
      <c r="M122" s="994"/>
      <c r="N122" s="994"/>
      <c r="O122" s="994"/>
      <c r="P122" s="994"/>
      <c r="Q122" s="994"/>
      <c r="R122" s="994"/>
      <c r="S122" s="1061"/>
      <c r="T122" s="994"/>
      <c r="U122" s="994"/>
      <c r="V122" s="994"/>
      <c r="W122" s="994"/>
      <c r="X122" s="994"/>
      <c r="Y122" s="994"/>
      <c r="Z122" s="1053"/>
      <c r="AA122" s="1055"/>
      <c r="AC122" s="934"/>
      <c r="AD122" s="935"/>
      <c r="AF122" s="935"/>
    </row>
    <row r="123" spans="1:45" ht="16.5" x14ac:dyDescent="0.3">
      <c r="A123" s="927"/>
      <c r="B123" s="927"/>
      <c r="C123" s="927"/>
      <c r="D123" s="927"/>
      <c r="E123" s="927"/>
      <c r="F123" s="928">
        <f>+F111+7</f>
        <v>42864</v>
      </c>
      <c r="G123" s="928"/>
      <c r="H123" s="929" t="s">
        <v>58</v>
      </c>
      <c r="I123" s="928">
        <f>+F123+6</f>
        <v>42870</v>
      </c>
      <c r="J123" s="930"/>
      <c r="K123" s="927"/>
      <c r="L123" s="927"/>
      <c r="M123" s="927"/>
      <c r="N123" s="927"/>
      <c r="O123" s="927"/>
      <c r="P123" s="927"/>
      <c r="Q123" s="927"/>
      <c r="R123" s="927"/>
      <c r="S123" s="1062"/>
      <c r="T123" s="927"/>
      <c r="U123" s="927"/>
      <c r="V123" s="927"/>
      <c r="W123" s="927"/>
      <c r="X123" s="927"/>
      <c r="Y123" s="927"/>
      <c r="Z123" s="1056"/>
      <c r="AA123" s="994"/>
      <c r="AB123" s="933"/>
      <c r="AC123" s="934"/>
      <c r="AF123" s="935"/>
    </row>
    <row r="124" spans="1:45" ht="13.9" customHeight="1" x14ac:dyDescent="0.35">
      <c r="A124" s="937"/>
      <c r="B124" s="938" t="s">
        <v>17</v>
      </c>
      <c r="C124" s="938"/>
      <c r="D124" s="938" t="s">
        <v>18</v>
      </c>
      <c r="E124" s="938"/>
      <c r="F124" s="938" t="s">
        <v>17</v>
      </c>
      <c r="G124" s="938"/>
      <c r="H124" s="938" t="s">
        <v>18</v>
      </c>
      <c r="I124" s="938"/>
      <c r="J124" s="938" t="s">
        <v>17</v>
      </c>
      <c r="K124" s="938"/>
      <c r="L124" s="938" t="s">
        <v>18</v>
      </c>
      <c r="M124" s="938"/>
      <c r="N124" s="939" t="s">
        <v>61</v>
      </c>
      <c r="O124" s="939" t="s">
        <v>62</v>
      </c>
      <c r="P124" s="939" t="s">
        <v>60</v>
      </c>
      <c r="Q124" s="939" t="s">
        <v>63</v>
      </c>
      <c r="R124" s="939" t="s">
        <v>64</v>
      </c>
      <c r="S124" s="940" t="s">
        <v>223</v>
      </c>
      <c r="T124" s="939" t="s">
        <v>70</v>
      </c>
      <c r="U124" s="941" t="s">
        <v>65</v>
      </c>
      <c r="V124" s="942"/>
      <c r="W124" s="942"/>
      <c r="X124" s="942"/>
      <c r="Y124" s="943"/>
      <c r="Z124" s="944" t="s">
        <v>22</v>
      </c>
      <c r="AA124" s="944"/>
      <c r="AB124" s="945"/>
      <c r="AC124" s="934"/>
    </row>
    <row r="125" spans="1:45" ht="26.25" thickBot="1" x14ac:dyDescent="0.4">
      <c r="A125" s="937" t="str">
        <f>"S"&amp;WEEKNUM(F123,21)</f>
        <v>S19</v>
      </c>
      <c r="B125" s="949" t="s">
        <v>0</v>
      </c>
      <c r="C125" s="950" t="s">
        <v>1</v>
      </c>
      <c r="D125" s="949" t="s">
        <v>0</v>
      </c>
      <c r="E125" s="950" t="s">
        <v>1</v>
      </c>
      <c r="F125" s="949" t="s">
        <v>0</v>
      </c>
      <c r="G125" s="950" t="s">
        <v>1</v>
      </c>
      <c r="H125" s="949" t="s">
        <v>0</v>
      </c>
      <c r="I125" s="950" t="s">
        <v>1</v>
      </c>
      <c r="J125" s="949" t="s">
        <v>0</v>
      </c>
      <c r="K125" s="950" t="s">
        <v>1</v>
      </c>
      <c r="L125" s="949" t="s">
        <v>0</v>
      </c>
      <c r="M125" s="950" t="s">
        <v>1</v>
      </c>
      <c r="N125" s="951"/>
      <c r="O125" s="951"/>
      <c r="P125" s="951"/>
      <c r="Q125" s="951"/>
      <c r="R125" s="951"/>
      <c r="S125" s="951"/>
      <c r="T125" s="939"/>
      <c r="U125" s="952" t="s">
        <v>66</v>
      </c>
      <c r="V125" s="952" t="s">
        <v>67</v>
      </c>
      <c r="W125" s="952" t="s">
        <v>68</v>
      </c>
      <c r="X125" s="952" t="s">
        <v>137</v>
      </c>
      <c r="Y125" s="952" t="s">
        <v>69</v>
      </c>
      <c r="Z125" s="944"/>
      <c r="AA125" s="944"/>
      <c r="AB125" s="1057"/>
      <c r="AC125" s="934"/>
      <c r="AM125" s="917" t="s">
        <v>274</v>
      </c>
    </row>
    <row r="126" spans="1:45" ht="16.5" customHeight="1" x14ac:dyDescent="0.3">
      <c r="A126" s="955" t="s">
        <v>12</v>
      </c>
      <c r="B126" s="15" t="b">
        <f>IF(Paramétrage!$O$42="",FALSE,Paramétrage!$O$42)</f>
        <v>0</v>
      </c>
      <c r="C126" s="263"/>
      <c r="D126" s="16" t="b">
        <f>IF(Paramétrage!$Q$42="",FALSE,Paramétrage!$Q$42)</f>
        <v>0</v>
      </c>
      <c r="E126" s="264"/>
      <c r="F126" s="15" t="b">
        <f>IF(Paramétrage!$R$42="",FALSE,Paramétrage!$R$42)</f>
        <v>0</v>
      </c>
      <c r="G126" s="264"/>
      <c r="H126" s="17" t="b">
        <f>IF(Paramétrage!$T$42="",FALSE,Paramétrage!$T$42)</f>
        <v>0</v>
      </c>
      <c r="I126" s="263"/>
      <c r="J126" s="127" t="b">
        <f>IF(Paramétrage!$U$42="",FALSE,Paramétrage!$U$42)</f>
        <v>0</v>
      </c>
      <c r="K126" s="263"/>
      <c r="L126" s="28" t="b">
        <f>IF(Paramétrage!$W$42="",FALSE,Paramétrage!$W$42)</f>
        <v>0</v>
      </c>
      <c r="M126" s="263"/>
      <c r="N126" s="956">
        <f t="shared" ref="N126:N128" si="220">IF(OR(B126="aa",B126="cp",B126="f",B126="jc",B126="m",B126="css"),0,(L126-J126)+(H126-F126)+(D126-B126))</f>
        <v>0</v>
      </c>
      <c r="O126" s="956">
        <f t="shared" ref="O126:O128" si="221">SUM(AM126:AP126)+IF(OR(C126="m",C126="aa"),N126,IF(C126="css",0,IF(C126="cp",0,IF(C126="jc",0,IF(C126="f",0,E126-C126+I126-G126+M126-K126)))))</f>
        <v>0</v>
      </c>
      <c r="P126" s="956">
        <f t="shared" ref="P126:P132" si="222">IF(OR(C126="aa",C126="cp",C126="f",C126="jc",C126="m",C126="css"),0,IF(C126="",IF(OR(F126="",F126=FALSE),0,F126-D126),IF(G126="",0,G126-E126)))</f>
        <v>0</v>
      </c>
      <c r="Q126" s="956">
        <f t="shared" ref="Q126:Q132" si="223">IF(P126=0,0,IF(G126="",IF(OR(J126="",J126=FALSE),0,J126-H126),IF(K126="",0,K126-I126)))</f>
        <v>0</v>
      </c>
      <c r="R126" s="957">
        <f t="shared" ref="R126:R128" si="224">IF(OR(C126="aa",C126="cp",C126="f",C126="jc",C126="m",C126="css"),0,IF(C126=0,MAX(B126,D126,F126,H126,J126,L126)-MIN(B126,D126,F126,H126,J126,L126),IF(C126&lt;&gt;0,MAX(C126,E126,G126,I126,K126,M126)-MIN(C126,E126,G126,I126,K126,M126))))</f>
        <v>0</v>
      </c>
      <c r="S126" s="262"/>
      <c r="T126" s="958" t="str">
        <f t="shared" ref="T126:T127" si="225">IF(AND(B126=FALSE,C126=""),"",IF(AND(B126=0,C126=0),"",(IF(OR(C126="cp",C126="f",C126="jc",C126="css"),"",IF(OR(C126="",C126="aa",C126="m"),(IF(OR(B126="cp",B126="f",B126="jc",B126="css"),"",B126*24+24-MAX(D125,H125,L125)*24)),C126*24+24-MAX(M125,I125,E125)*24)))))</f>
        <v/>
      </c>
      <c r="U126" s="959" t="str">
        <f>IF(P126=0,"",IF(P126&lt;Paramétrage!$S$12,"PB",IF(AND(Q126&lt;Paramétrage!$S$12,Q126&lt;&gt;0),"PB","")))</f>
        <v/>
      </c>
      <c r="V126" s="959" t="str">
        <f t="shared" ref="V126:V132" si="226">IF(C126="",IF((N126*24)&gt;10,"PB",""),IF((O126*24)&gt;10,"PB",""))</f>
        <v/>
      </c>
      <c r="W126" s="959" t="str">
        <f t="shared" ref="W126:W132" si="227">IF((R126*24)&gt;12,"PB","")</f>
        <v/>
      </c>
      <c r="X126" s="960" t="str">
        <f t="shared" ref="X126:X128" si="228">IF(AND(N126=0,O126=0),"",(IF(OR(C126="aa",C126="cp",C126="f",C126="jc",C126="m",C126="css"),"",IF(C126="",IF(OR(D126-B126&gt;6/24,H126-F126&gt;6/24,L126-J126&gt;6/24),"PB",""),IF(OR(E126-C126&gt;6/24,I126-G126&gt;6/24,M126-K126&gt;6/24),"PB","")))))</f>
        <v/>
      </c>
      <c r="Y126" s="959" t="str">
        <f t="shared" ref="Y126:Y132" si="229">IF(T126="","",IF(T126&lt;11,"PB",""))</f>
        <v/>
      </c>
      <c r="Z126" s="836"/>
      <c r="AA126" s="837"/>
      <c r="AB126" s="953"/>
      <c r="AC126" s="934">
        <f>AC120+1</f>
        <v>42864</v>
      </c>
      <c r="AD126" s="961">
        <f>IF(AND(N(AC126)&gt;=Paramétrage!$AU$11,N(AC126)&lt;=Paramétrage!$AU$12),IF(C126="cp",1,0),0)</f>
        <v>0</v>
      </c>
      <c r="AE126" s="962">
        <f t="shared" ref="AE126:AE132" si="230">IF(O126&lt;&gt;"erreur",N126,O126)</f>
        <v>0</v>
      </c>
      <c r="AF126" s="961">
        <f>IF(AND(N(AC126)&gt;=Paramétrage!$AX$11,N(AC126)&lt;=Paramétrage!$AX$12),IF(C126="cp",1,0),0)</f>
        <v>0</v>
      </c>
      <c r="AG126" s="962">
        <f>O126</f>
        <v>0</v>
      </c>
      <c r="AI126" s="962">
        <f>AE126+AI120</f>
        <v>0</v>
      </c>
      <c r="AJ126" s="962">
        <f>AG126+AJ120</f>
        <v>0</v>
      </c>
      <c r="AM126" s="962">
        <f>IF(AND($B126="cp",$C126="m"),$Z126,0)</f>
        <v>0</v>
      </c>
      <c r="AN126" s="962">
        <f>IF(AND($B126="jc",$C126="m"),$Z126,0)</f>
        <v>0</v>
      </c>
      <c r="AO126" s="962">
        <f>IF(AND($B126="cp",$C126="aa"),$Z126,0)</f>
        <v>0</v>
      </c>
      <c r="AP126" s="962">
        <f>IF(AND($B126="jc",$C126="aa"),$Z126,0)</f>
        <v>0</v>
      </c>
      <c r="AR126" s="917">
        <f>IF(AND(AC126&lt;=$AR$3,B126="CP"),1,0)</f>
        <v>0</v>
      </c>
      <c r="AS126" s="917">
        <f>IF(AND(AC126&lt;=$AR$3,C126="CP"),1,0)</f>
        <v>0</v>
      </c>
    </row>
    <row r="127" spans="1:45" ht="16.5" customHeight="1" x14ac:dyDescent="0.3">
      <c r="A127" s="964" t="s">
        <v>13</v>
      </c>
      <c r="B127" s="15" t="b">
        <f>IF(Paramétrage!$O$43="",FALSE,Paramétrage!$O$43)</f>
        <v>0</v>
      </c>
      <c r="C127" s="263"/>
      <c r="D127" s="16" t="b">
        <f>IF(Paramétrage!$Q$43="",FALSE,Paramétrage!$Q$43)</f>
        <v>0</v>
      </c>
      <c r="E127" s="264"/>
      <c r="F127" s="15" t="b">
        <f>IF(Paramétrage!$R$43="",FALSE,Paramétrage!$R$43)</f>
        <v>0</v>
      </c>
      <c r="G127" s="264"/>
      <c r="H127" s="17" t="b">
        <f>IF(Paramétrage!$T$43="",FALSE,Paramétrage!$T$43)</f>
        <v>0</v>
      </c>
      <c r="I127" s="263"/>
      <c r="J127" s="127" t="b">
        <f>IF(Paramétrage!$U$43="",FALSE,Paramétrage!$U$43)</f>
        <v>0</v>
      </c>
      <c r="K127" s="263"/>
      <c r="L127" s="28" t="b">
        <f>IF(Paramétrage!$W$43="",FALSE,Paramétrage!$W$43)</f>
        <v>0</v>
      </c>
      <c r="M127" s="263"/>
      <c r="N127" s="956">
        <f t="shared" si="220"/>
        <v>0</v>
      </c>
      <c r="O127" s="956">
        <f t="shared" si="221"/>
        <v>0</v>
      </c>
      <c r="P127" s="956">
        <f t="shared" si="222"/>
        <v>0</v>
      </c>
      <c r="Q127" s="956">
        <f t="shared" si="223"/>
        <v>0</v>
      </c>
      <c r="R127" s="957">
        <f t="shared" si="224"/>
        <v>0</v>
      </c>
      <c r="S127" s="262"/>
      <c r="T127" s="958" t="str">
        <f t="shared" si="225"/>
        <v/>
      </c>
      <c r="U127" s="959" t="str">
        <f>IF(P127=0,"",IF(P127&lt;Paramétrage!$S$12,"PB",IF(AND(Q127&lt;Paramétrage!$S$12,Q127&lt;&gt;0),"PB","")))</f>
        <v/>
      </c>
      <c r="V127" s="959" t="str">
        <f t="shared" si="226"/>
        <v/>
      </c>
      <c r="W127" s="959" t="str">
        <f t="shared" si="227"/>
        <v/>
      </c>
      <c r="X127" s="960" t="str">
        <f t="shared" si="228"/>
        <v/>
      </c>
      <c r="Y127" s="959" t="str">
        <f t="shared" si="229"/>
        <v/>
      </c>
      <c r="Z127" s="836"/>
      <c r="AA127" s="837"/>
      <c r="AB127" s="953"/>
      <c r="AC127" s="934">
        <f t="shared" ref="AC127:AC132" si="231">AC126+1</f>
        <v>42865</v>
      </c>
      <c r="AD127" s="961">
        <f>IF(AND(N(AC127)&gt;=Paramétrage!$AU$11,N(AC127)&lt;=Paramétrage!$AU$12),IF(C127="cp",1,0),0)</f>
        <v>0</v>
      </c>
      <c r="AE127" s="962">
        <f t="shared" si="230"/>
        <v>0</v>
      </c>
      <c r="AF127" s="961">
        <f>IF(AND(N(AC127)&gt;=Paramétrage!$AX$11,N(AC127)&lt;=Paramétrage!$AX$12),IF(C127="cp",1,0),0)</f>
        <v>0</v>
      </c>
      <c r="AG127" s="962">
        <f t="shared" ref="AG127:AG132" si="232">O127</f>
        <v>0</v>
      </c>
      <c r="AI127" s="962">
        <f t="shared" ref="AI127:AI132" si="233">AE127+AI126</f>
        <v>0</v>
      </c>
      <c r="AJ127" s="962">
        <f t="shared" ref="AJ127:AJ132" si="234">AG127+AJ126</f>
        <v>0</v>
      </c>
      <c r="AM127" s="962">
        <f t="shared" ref="AM127:AM130" si="235">IF(AND($B127="cp",$C127="m"),$Z127,0)</f>
        <v>0</v>
      </c>
      <c r="AN127" s="962">
        <f t="shared" ref="AN127:AN130" si="236">IF(AND($B127="jc",$C127="m"),$Z127,0)</f>
        <v>0</v>
      </c>
      <c r="AO127" s="962">
        <f t="shared" ref="AO127:AO130" si="237">IF(AND($B127="cp",$C127="aa"),$Z127,0)</f>
        <v>0</v>
      </c>
      <c r="AP127" s="962">
        <f t="shared" ref="AP127:AP130" si="238">IF(AND($B127="jc",$C127="aa"),$Z127,0)</f>
        <v>0</v>
      </c>
      <c r="AR127" s="917">
        <f>IF(AND(AC127&lt;=$AR$3,B127="CP"),1,0)</f>
        <v>0</v>
      </c>
      <c r="AS127" s="917">
        <f>IF(AND(AC127&lt;=$AR$3,C127="CP"),1,0)</f>
        <v>0</v>
      </c>
    </row>
    <row r="128" spans="1:45" ht="16.5" customHeight="1" x14ac:dyDescent="0.3">
      <c r="A128" s="964" t="s">
        <v>14</v>
      </c>
      <c r="B128" s="15" t="b">
        <f>IF(Paramétrage!$O$44="",FALSE,Paramétrage!$O$44)</f>
        <v>0</v>
      </c>
      <c r="C128" s="263"/>
      <c r="D128" s="16" t="b">
        <f>IF(Paramétrage!$Q$44="",FALSE,Paramétrage!$Q$44)</f>
        <v>0</v>
      </c>
      <c r="E128" s="264"/>
      <c r="F128" s="15" t="b">
        <f>IF(Paramétrage!$R$44="",FALSE,Paramétrage!$R$44)</f>
        <v>0</v>
      </c>
      <c r="G128" s="264"/>
      <c r="H128" s="17" t="b">
        <f>IF(Paramétrage!$T$44="",FALSE,Paramétrage!$T$44)</f>
        <v>0</v>
      </c>
      <c r="I128" s="263"/>
      <c r="J128" s="127" t="b">
        <f>IF(Paramétrage!$U$44="",FALSE,Paramétrage!$U$44)</f>
        <v>0</v>
      </c>
      <c r="K128" s="263"/>
      <c r="L128" s="28" t="b">
        <f>IF(Paramétrage!$W$44="",FALSE,Paramétrage!$W$44)</f>
        <v>0</v>
      </c>
      <c r="M128" s="263"/>
      <c r="N128" s="956">
        <f t="shared" si="220"/>
        <v>0</v>
      </c>
      <c r="O128" s="956">
        <f t="shared" si="221"/>
        <v>0</v>
      </c>
      <c r="P128" s="956">
        <f t="shared" si="222"/>
        <v>0</v>
      </c>
      <c r="Q128" s="956">
        <f t="shared" si="223"/>
        <v>0</v>
      </c>
      <c r="R128" s="957">
        <f t="shared" si="224"/>
        <v>0</v>
      </c>
      <c r="S128" s="262"/>
      <c r="T128" s="958" t="str">
        <f>IF(AND(B128=FALSE,C128=""),"",IF(AND(B128=0,C128=0),"",(IF(OR(C128="cp",C128="f",C128="jc",C128="css"),"",IF(OR(C128="",C128="aa",C128="m"),(IF(OR(B128="cp",B128="f",B128="jc",B128="css"),"",B128*24+24-MAX(D127,H127,L127)*24)),C128*24+24-MAX(M127,I127,E127)*24)))))</f>
        <v/>
      </c>
      <c r="U128" s="959" t="str">
        <f>IF(P128=0,"",IF(P128&lt;Paramétrage!$S$12,"PB",IF(AND(Q128&lt;Paramétrage!$S$12,Q128&lt;&gt;0),"PB","")))</f>
        <v/>
      </c>
      <c r="V128" s="959" t="str">
        <f t="shared" si="226"/>
        <v/>
      </c>
      <c r="W128" s="959" t="str">
        <f t="shared" si="227"/>
        <v/>
      </c>
      <c r="X128" s="960" t="str">
        <f t="shared" si="228"/>
        <v/>
      </c>
      <c r="Y128" s="959" t="str">
        <f t="shared" si="229"/>
        <v/>
      </c>
      <c r="Z128" s="836"/>
      <c r="AA128" s="837"/>
      <c r="AB128" s="953"/>
      <c r="AC128" s="934">
        <f t="shared" si="231"/>
        <v>42866</v>
      </c>
      <c r="AD128" s="961">
        <f>IF(AND(N(AC128)&gt;=Paramétrage!$AU$11,N(AC128)&lt;=Paramétrage!$AU$12),IF(C128="cp",1,0),0)</f>
        <v>0</v>
      </c>
      <c r="AE128" s="962">
        <f t="shared" si="230"/>
        <v>0</v>
      </c>
      <c r="AF128" s="961">
        <f>IF(AND(N(AC128)&gt;=Paramétrage!$AX$11,N(AC128)&lt;=Paramétrage!$AX$12),IF(C128="cp",1,0),0)</f>
        <v>0</v>
      </c>
      <c r="AG128" s="962">
        <f t="shared" si="232"/>
        <v>0</v>
      </c>
      <c r="AI128" s="962">
        <f t="shared" si="233"/>
        <v>0</v>
      </c>
      <c r="AJ128" s="962">
        <f t="shared" si="234"/>
        <v>0</v>
      </c>
      <c r="AM128" s="962">
        <f t="shared" si="235"/>
        <v>0</v>
      </c>
      <c r="AN128" s="962">
        <f t="shared" si="236"/>
        <v>0</v>
      </c>
      <c r="AO128" s="962">
        <f t="shared" si="237"/>
        <v>0</v>
      </c>
      <c r="AP128" s="962">
        <f t="shared" si="238"/>
        <v>0</v>
      </c>
      <c r="AR128" s="917">
        <f>IF(AND(AC128&lt;=$AR$3,B128="CP"),1,0)</f>
        <v>0</v>
      </c>
      <c r="AS128" s="917">
        <f>IF(AND(AC128&lt;=$AR$3,C128="CP"),1,0)</f>
        <v>0</v>
      </c>
    </row>
    <row r="129" spans="1:45" ht="16.5" customHeight="1" x14ac:dyDescent="0.3">
      <c r="A129" s="964" t="s">
        <v>15</v>
      </c>
      <c r="B129" s="15" t="b">
        <f>IF(Paramétrage!$O$45="",FALSE,Paramétrage!$O$45)</f>
        <v>0</v>
      </c>
      <c r="C129" s="263"/>
      <c r="D129" s="16" t="b">
        <f>IF(Paramétrage!$Q$45="",FALSE,Paramétrage!$Q$45)</f>
        <v>0</v>
      </c>
      <c r="E129" s="264"/>
      <c r="F129" s="15" t="b">
        <f>IF(Paramétrage!$R$45="",FALSE,Paramétrage!$R$45)</f>
        <v>0</v>
      </c>
      <c r="G129" s="264"/>
      <c r="H129" s="17" t="b">
        <f>IF(Paramétrage!$T$45="",FALSE,Paramétrage!$T$45)</f>
        <v>0</v>
      </c>
      <c r="I129" s="263"/>
      <c r="J129" s="127" t="b">
        <f>IF(Paramétrage!$U$45="",FALSE,Paramétrage!$U$45)</f>
        <v>0</v>
      </c>
      <c r="K129" s="263"/>
      <c r="L129" s="28" t="b">
        <f>IF(Paramétrage!$W$45="",FALSE,Paramétrage!$W$45)</f>
        <v>0</v>
      </c>
      <c r="M129" s="263"/>
      <c r="N129" s="956">
        <f>IF(OR(B129="aa",B129="cp",B129="f",B129="jc",B129="m",B129="css"),0,(L129-J129)+(H129-F129)+(D129-B129))</f>
        <v>0</v>
      </c>
      <c r="O129" s="956">
        <f>SUM(AM129:AP129)+IF(OR(C129="m",C129="aa"),N129,IF(C129="css",0,IF(C129="cp",0,IF(C129="jc",0,IF(C129="f",0,E129-C129+I129-G129+M129-K129)))))</f>
        <v>0</v>
      </c>
      <c r="P129" s="956">
        <f t="shared" si="222"/>
        <v>0</v>
      </c>
      <c r="Q129" s="956">
        <f t="shared" si="223"/>
        <v>0</v>
      </c>
      <c r="R129" s="957">
        <f>IF(OR(C129="aa",C129="cp",C129="f",C129="jc",C129="m",C129="css"),0,IF(C129=0,MAX(B129,D129,F129,H129,J129,L129)-MIN(B129,D129,F129,H129,J129,L129),IF(C129&lt;&gt;0,MAX(C129,E129,G129,I129,K129,M129)-MIN(C129,E129,G129,I129,K129,M129))))</f>
        <v>0</v>
      </c>
      <c r="S129" s="262"/>
      <c r="T129" s="958" t="str">
        <f t="shared" ref="T129:T132" si="239">IF(AND(B129=FALSE,C129=""),"",IF(AND(B129=0,C129=0),"",(IF(OR(C129="cp",C129="f",C129="jc",C129="css"),"",IF(OR(C129="",C129="aa",C129="m"),(IF(OR(B129="cp",B129="f",B129="jc",B129="css"),"",B129*24+24-MAX(D128,H128,L128)*24)),C129*24+24-MAX(M128,I128,E128)*24)))))</f>
        <v/>
      </c>
      <c r="U129" s="959" t="str">
        <f>IF(P129=0,"",IF(P129&lt;Paramétrage!$S$12,"PB",IF(AND(Q129&lt;Paramétrage!$S$12,Q129&lt;&gt;0),"PB","")))</f>
        <v/>
      </c>
      <c r="V129" s="959" t="str">
        <f t="shared" si="226"/>
        <v/>
      </c>
      <c r="W129" s="959" t="str">
        <f t="shared" si="227"/>
        <v/>
      </c>
      <c r="X129" s="960" t="str">
        <f>IF(AND(N129=0,O129=0),"",(IF(OR(C129="aa",C129="cp",C129="f",C129="jc",C129="m",C129="css"),"",IF(C129="",IF(OR(D129-B129&gt;6/24,H129-F129&gt;6/24,L129-J129&gt;6/24),"PB",""),IF(OR(E129-C129&gt;6/24,I129-G129&gt;6/24,M129-K129&gt;6/24),"PB","")))))</f>
        <v/>
      </c>
      <c r="Y129" s="959" t="str">
        <f t="shared" si="229"/>
        <v/>
      </c>
      <c r="Z129" s="836"/>
      <c r="AA129" s="837"/>
      <c r="AB129" s="953"/>
      <c r="AC129" s="934">
        <f t="shared" si="231"/>
        <v>42867</v>
      </c>
      <c r="AD129" s="961">
        <f>IF(AND(N(AC129)&gt;=Paramétrage!$AU$11,N(AC129)&lt;=Paramétrage!$AU$12),IF(C129="cp",1,0),0)</f>
        <v>0</v>
      </c>
      <c r="AE129" s="962">
        <f t="shared" si="230"/>
        <v>0</v>
      </c>
      <c r="AF129" s="961">
        <f>IF(AND(N(AC129)&gt;=Paramétrage!$AX$11,N(AC129)&lt;=Paramétrage!$AX$12),IF(C129="cp",1,0),0)</f>
        <v>0</v>
      </c>
      <c r="AG129" s="962">
        <f t="shared" si="232"/>
        <v>0</v>
      </c>
      <c r="AI129" s="962">
        <f t="shared" si="233"/>
        <v>0</v>
      </c>
      <c r="AJ129" s="962">
        <f t="shared" si="234"/>
        <v>0</v>
      </c>
      <c r="AM129" s="962">
        <f t="shared" si="235"/>
        <v>0</v>
      </c>
      <c r="AN129" s="962">
        <f t="shared" si="236"/>
        <v>0</v>
      </c>
      <c r="AO129" s="962">
        <f t="shared" si="237"/>
        <v>0</v>
      </c>
      <c r="AP129" s="962">
        <f t="shared" si="238"/>
        <v>0</v>
      </c>
      <c r="AR129" s="917">
        <f>IF(AND(AC129&lt;=$AR$3,B129="CP"),1,0)</f>
        <v>0</v>
      </c>
      <c r="AS129" s="917">
        <f>IF(AND(AC129&lt;=$AR$3,C129="CP"),1,0)</f>
        <v>0</v>
      </c>
    </row>
    <row r="130" spans="1:45" ht="16.5" customHeight="1" x14ac:dyDescent="0.3">
      <c r="A130" s="964" t="s">
        <v>16</v>
      </c>
      <c r="B130" s="15" t="b">
        <f>IF(Paramétrage!$O$46="",FALSE,Paramétrage!$O$46)</f>
        <v>0</v>
      </c>
      <c r="C130" s="263"/>
      <c r="D130" s="16" t="b">
        <f>IF(Paramétrage!$Q$46="",FALSE,Paramétrage!$Q$46)</f>
        <v>0</v>
      </c>
      <c r="E130" s="264"/>
      <c r="F130" s="15" t="b">
        <f>IF(Paramétrage!$R$46="",FALSE,Paramétrage!$R$46)</f>
        <v>0</v>
      </c>
      <c r="G130" s="264"/>
      <c r="H130" s="17" t="b">
        <f>IF(Paramétrage!$T$46="",FALSE,Paramétrage!$T$46)</f>
        <v>0</v>
      </c>
      <c r="I130" s="263"/>
      <c r="J130" s="127" t="b">
        <f>IF(Paramétrage!$U$46="",FALSE,Paramétrage!$U$46)</f>
        <v>0</v>
      </c>
      <c r="K130" s="263"/>
      <c r="L130" s="28" t="b">
        <f>IF(Paramétrage!$W$46="",FALSE,Paramétrage!$W$46)</f>
        <v>0</v>
      </c>
      <c r="M130" s="263"/>
      <c r="N130" s="956">
        <f>IF(OR(B130="aa",B130="cp",B130="f",B130="jc",B130="m",B130="css"),0,(L130-J130)+(H130-F130)+(D130-B130))</f>
        <v>0</v>
      </c>
      <c r="O130" s="956">
        <f>SUM(AM130:AP130)+IF(OR(C130="m",C130="aa"),N130,IF(C130="css",0,IF(C130="cp",0,IF(C130="jc",0,IF(C130="f",0,E130-C130+I130-G130+M130-K130)))))</f>
        <v>0</v>
      </c>
      <c r="P130" s="956">
        <f t="shared" si="222"/>
        <v>0</v>
      </c>
      <c r="Q130" s="956">
        <f t="shared" si="223"/>
        <v>0</v>
      </c>
      <c r="R130" s="957">
        <f>IF(OR(C130="aa",C130="cp",C130="f",C130="jc",C130="m",C130="css"),0,IF(C130=0,MAX(B130,D130,F130,H130,J130,L130)-MIN(B130,D130,F130,H130,J130,L130),IF(C130&lt;&gt;0,MAX(C130,E130,G130,I130,K130,M130)-MIN(C130,E130,G130,I130,K130,M130))))</f>
        <v>0</v>
      </c>
      <c r="S130" s="262"/>
      <c r="T130" s="958" t="str">
        <f t="shared" si="239"/>
        <v/>
      </c>
      <c r="U130" s="959" t="str">
        <f>IF(P130=0,"",IF(P130&lt;Paramétrage!$S$12,"PB",IF(AND(Q130&lt;Paramétrage!$S$12,Q130&lt;&gt;0),"PB","")))</f>
        <v/>
      </c>
      <c r="V130" s="959" t="str">
        <f t="shared" si="226"/>
        <v/>
      </c>
      <c r="W130" s="959" t="str">
        <f t="shared" si="227"/>
        <v/>
      </c>
      <c r="X130" s="960" t="str">
        <f>IF(AND(N130=0,O130=0),"",(IF(OR(C130="aa",C130="cp",C130="f",C130="jc",C130="m",C130="css"),"",IF(C130="",IF(OR(D130-B130&gt;6/24,H130-F130&gt;6/24,L130-J130&gt;6/24),"PB",""),IF(OR(E130-C130&gt;6/24,I130-G130&gt;6/24,M130-K130&gt;6/24),"PB","")))))</f>
        <v/>
      </c>
      <c r="Y130" s="959" t="str">
        <f t="shared" si="229"/>
        <v/>
      </c>
      <c r="Z130" s="836"/>
      <c r="AA130" s="837"/>
      <c r="AB130" s="953"/>
      <c r="AC130" s="934">
        <f t="shared" si="231"/>
        <v>42868</v>
      </c>
      <c r="AD130" s="961">
        <f>IF(AND(N(AC130)&gt;=Paramétrage!$AU$11,N(AC130)&lt;=Paramétrage!$AU$12),IF(C130="cp",1,0),0)</f>
        <v>0</v>
      </c>
      <c r="AE130" s="962">
        <f t="shared" si="230"/>
        <v>0</v>
      </c>
      <c r="AF130" s="961">
        <f>IF(AND(N(AC130)&gt;=Paramétrage!$AX$11,N(AC130)&lt;=Paramétrage!$AX$12),IF(C130="cp",1,0),0)</f>
        <v>0</v>
      </c>
      <c r="AG130" s="962">
        <f t="shared" si="232"/>
        <v>0</v>
      </c>
      <c r="AI130" s="962">
        <f t="shared" si="233"/>
        <v>0</v>
      </c>
      <c r="AJ130" s="962">
        <f t="shared" si="234"/>
        <v>0</v>
      </c>
      <c r="AM130" s="962">
        <f t="shared" si="235"/>
        <v>0</v>
      </c>
      <c r="AN130" s="962">
        <f t="shared" si="236"/>
        <v>0</v>
      </c>
      <c r="AO130" s="962">
        <f t="shared" si="237"/>
        <v>0</v>
      </c>
      <c r="AP130" s="962">
        <f t="shared" si="238"/>
        <v>0</v>
      </c>
      <c r="AR130" s="917">
        <f>IF(AND(AC130&lt;=$AR$3,B130="CP"),1,0)</f>
        <v>0</v>
      </c>
      <c r="AS130" s="917">
        <f>IF(AND(AC130&lt;=$AR$3,C130="CP"),1,0)</f>
        <v>0</v>
      </c>
    </row>
    <row r="131" spans="1:45" ht="16.5" customHeight="1" x14ac:dyDescent="0.3">
      <c r="A131" s="964" t="s">
        <v>19</v>
      </c>
      <c r="B131" s="15" t="b">
        <f>IF(Paramétrage!$O$47="",FALSE,Paramétrage!$O$47)</f>
        <v>0</v>
      </c>
      <c r="C131" s="263"/>
      <c r="D131" s="16" t="b">
        <f>IF(Paramétrage!$Q$47="",FALSE,Paramétrage!$Q$47)</f>
        <v>0</v>
      </c>
      <c r="E131" s="264"/>
      <c r="F131" s="15" t="b">
        <f>IF(Paramétrage!$R$47="",FALSE,Paramétrage!$R$47)</f>
        <v>0</v>
      </c>
      <c r="G131" s="264"/>
      <c r="H131" s="17" t="b">
        <f>IF(Paramétrage!$T$47="",FALSE,Paramétrage!$T$47)</f>
        <v>0</v>
      </c>
      <c r="I131" s="263"/>
      <c r="J131" s="127" t="b">
        <f>IF(Paramétrage!$U$47="",FALSE,Paramétrage!$U$47)</f>
        <v>0</v>
      </c>
      <c r="K131" s="263"/>
      <c r="L131" s="28" t="b">
        <f>IF(Paramétrage!$W$47="",FALSE,Paramétrage!$W$47)</f>
        <v>0</v>
      </c>
      <c r="M131" s="263"/>
      <c r="N131" s="956">
        <f>IF(OR(B131="aa",B131="cp",B131="f",B131="jc",B131="m",B131="css"),0,(L131-J131)+(H131-F131)+(D131-B131))</f>
        <v>0</v>
      </c>
      <c r="O131" s="956">
        <f>IF(OR(C131="m",C131="aa"),N131,IF(C131="cp",0,IF(OR(C131="css",C131="jc"),0,IF(C131="f",0,E131-C131+I131-G131+M131-K131))))</f>
        <v>0</v>
      </c>
      <c r="P131" s="956">
        <f t="shared" si="222"/>
        <v>0</v>
      </c>
      <c r="Q131" s="956">
        <f t="shared" si="223"/>
        <v>0</v>
      </c>
      <c r="R131" s="957">
        <f>IF(OR(C131="aa",C131="cp",C131="f",C131="jc",C131="m",C131="css"),0,IF(C131=0,MAX(B131,D131,F131,H131,J131,L131)-MIN(B131,D131,F131,H131,J131,L131),IF(C131&lt;&gt;0,MAX(C131,E131,G131,I131,K131,M131)-MIN(C131,E131,G131,I131,K131,M131))))</f>
        <v>0</v>
      </c>
      <c r="S131" s="262"/>
      <c r="T131" s="958" t="str">
        <f t="shared" si="239"/>
        <v/>
      </c>
      <c r="U131" s="959" t="str">
        <f>IF(P131=0,"",IF(P131&lt;Paramétrage!$S$12,"PB",IF(AND(Q131&lt;Paramétrage!$S$12,Q131&lt;&gt;0),"PB","")))</f>
        <v/>
      </c>
      <c r="V131" s="959" t="str">
        <f t="shared" si="226"/>
        <v/>
      </c>
      <c r="W131" s="959" t="str">
        <f t="shared" si="227"/>
        <v/>
      </c>
      <c r="X131" s="960" t="str">
        <f>IF(AND(N131=0,O131=0),"",(IF(OR(C131="aa",C131="cp",C131="f",C131="jc",C131="m",C131="css"),"",IF(C131="",IF(OR(D131-B131&gt;6/24,H131-F131&gt;6/24,L131-J131&gt;6/24),"PB",""),IF(OR(E131-C131&gt;6/24,I131-G131&gt;6/24,M131-K131&gt;6/24),"PB","")))))</f>
        <v/>
      </c>
      <c r="Y131" s="959" t="str">
        <f t="shared" si="229"/>
        <v/>
      </c>
      <c r="Z131" s="836"/>
      <c r="AA131" s="837"/>
      <c r="AB131" s="953"/>
      <c r="AC131" s="934">
        <f t="shared" si="231"/>
        <v>42869</v>
      </c>
      <c r="AD131" s="961">
        <f>IF(AND(N(AC131)&gt;=Paramétrage!$AU$11,N(AC131)&lt;=Paramétrage!$AU$12),IF(C131="cp",1,0),0)</f>
        <v>0</v>
      </c>
      <c r="AE131" s="962">
        <f t="shared" si="230"/>
        <v>0</v>
      </c>
      <c r="AF131" s="961">
        <f>IF(AND(N(AC131)&gt;=Paramétrage!$AX$11,N(AC131)&lt;=Paramétrage!$AX$12),IF(C131="cp",1,0),0)</f>
        <v>0</v>
      </c>
      <c r="AG131" s="962">
        <f t="shared" si="232"/>
        <v>0</v>
      </c>
      <c r="AI131" s="962">
        <f t="shared" si="233"/>
        <v>0</v>
      </c>
      <c r="AJ131" s="962">
        <f t="shared" si="234"/>
        <v>0</v>
      </c>
      <c r="AM131" s="962"/>
      <c r="AN131" s="962"/>
      <c r="AO131" s="962"/>
      <c r="AP131" s="962"/>
    </row>
    <row r="132" spans="1:45" ht="16.5" customHeight="1" thickBot="1" x14ac:dyDescent="0.35">
      <c r="A132" s="966" t="s">
        <v>20</v>
      </c>
      <c r="B132" s="15" t="b">
        <f>IF(Paramétrage!$O$48="",FALSE,Paramétrage!$O$48)</f>
        <v>0</v>
      </c>
      <c r="C132" s="263"/>
      <c r="D132" s="16" t="b">
        <f>IF(Paramétrage!$Q$48="",FALSE,Paramétrage!$Q$48)</f>
        <v>0</v>
      </c>
      <c r="E132" s="264"/>
      <c r="F132" s="15" t="b">
        <f>IF(Paramétrage!$R$48="",FALSE,Paramétrage!$R$48)</f>
        <v>0</v>
      </c>
      <c r="G132" s="264"/>
      <c r="H132" s="17" t="b">
        <f>IF(Paramétrage!$T$48="",FALSE,Paramétrage!$T$48)</f>
        <v>0</v>
      </c>
      <c r="I132" s="263"/>
      <c r="J132" s="127" t="b">
        <f>IF(Paramétrage!$U$48="",FALSE,Paramétrage!$U$48)</f>
        <v>0</v>
      </c>
      <c r="K132" s="263"/>
      <c r="L132" s="28" t="b">
        <f>IF(Paramétrage!$W$48="",FALSE,Paramétrage!$W$48)</f>
        <v>0</v>
      </c>
      <c r="M132" s="263"/>
      <c r="N132" s="956">
        <f>IF(OR(B132="aa",B132="m"),M132,IF(B132="cp",0,IF(B132="jc",0,IF(B132="f",0,(D132-B132)*Paramétrage!$S$13+(H132-F132)*Paramétrage!$S$13+(L132-J132)*Paramétrage!$S$13+(D132-B132+H132-F132+L132-J132)))))</f>
        <v>0</v>
      </c>
      <c r="O132" s="956">
        <f>IF(OR(C132="aa",C132="m"),N132,IF(C132="cp",0,IF(C132="jc",0,IF(C132="f",0,(E132-C132)*Paramétrage!$S$13+(I132-G132)*Paramétrage!$S$13+(M132-K132)*Paramétrage!$S$13+(E132-C132+I132-G132+M132-K132)))))</f>
        <v>0</v>
      </c>
      <c r="P132" s="956">
        <f t="shared" si="222"/>
        <v>0</v>
      </c>
      <c r="Q132" s="956">
        <f t="shared" si="223"/>
        <v>0</v>
      </c>
      <c r="R132" s="957">
        <f t="shared" ref="R132" si="240">IF(OR(C132="aa",C132="cp",C132="f",C132="jc",C132="m",C132=0),MAX(B132,D132,F132,H132,J132,L132)-MIN(B132,D132,F132,H132,J132,L132),IF(C132&lt;&gt;0,MAX(C132,E132,G132,I132,K132,M132)-MIN(C132,E132,G132,I132,K132,M132)))</f>
        <v>0</v>
      </c>
      <c r="S132" s="262"/>
      <c r="T132" s="958" t="str">
        <f t="shared" si="239"/>
        <v/>
      </c>
      <c r="U132" s="959" t="str">
        <f>IF(P132=0,"",IF(P132&lt;Paramétrage!$S$12,"PB",IF(AND(Q132&lt;Paramétrage!$S$12,Q132&lt;&gt;0),"PB","")))</f>
        <v/>
      </c>
      <c r="V132" s="959" t="str">
        <f t="shared" si="226"/>
        <v/>
      </c>
      <c r="W132" s="959" t="str">
        <f t="shared" si="227"/>
        <v/>
      </c>
      <c r="X132" s="960" t="str">
        <f t="shared" ref="X132" si="241">IF(AND(N132=0,O132=0),"",(IF(OR(C132="aa",C132="cp",C132="f",C132="jc",C132="m"),"",IF(C132="",IF(OR(D132-B132&gt;6/24,H132-F132&gt;6/24,L132-J132&gt;6/24),"PB",""),IF(OR(E132-C132&gt;6/24,I132-G132&gt;6/24,M132-K132&gt;6/24),"PB","")))))</f>
        <v/>
      </c>
      <c r="Y132" s="959" t="str">
        <f t="shared" si="229"/>
        <v/>
      </c>
      <c r="Z132" s="836"/>
      <c r="AA132" s="837"/>
      <c r="AB132" s="953"/>
      <c r="AC132" s="934">
        <f t="shared" si="231"/>
        <v>42870</v>
      </c>
      <c r="AD132" s="961">
        <f>IF(AND(N(AC132)&gt;=Paramétrage!$AU$11,N(AC132)&lt;=Paramétrage!$AU$12),IF(C132="cp",1,0),0)</f>
        <v>0</v>
      </c>
      <c r="AE132" s="962">
        <f t="shared" si="230"/>
        <v>0</v>
      </c>
      <c r="AF132" s="961">
        <f>IF(AND(N(AC132)&gt;=Paramétrage!$AX$11,N(AC132)&lt;=Paramétrage!$AX$12),IF(C132="cp",1,0),0)</f>
        <v>0</v>
      </c>
      <c r="AG132" s="962">
        <f t="shared" si="232"/>
        <v>0</v>
      </c>
      <c r="AI132" s="962">
        <f t="shared" si="233"/>
        <v>0</v>
      </c>
      <c r="AJ132" s="962">
        <f t="shared" si="234"/>
        <v>0</v>
      </c>
      <c r="AM132" s="962"/>
      <c r="AN132" s="962"/>
      <c r="AO132" s="962"/>
      <c r="AP132" s="962"/>
    </row>
    <row r="133" spans="1:45" s="935" customFormat="1" x14ac:dyDescent="0.25">
      <c r="A133" s="969" t="s">
        <v>42</v>
      </c>
      <c r="B133" s="970"/>
      <c r="C133" s="970"/>
      <c r="D133" s="970"/>
      <c r="E133" s="970"/>
      <c r="F133" s="970"/>
      <c r="G133" s="970"/>
      <c r="H133" s="970"/>
      <c r="I133" s="970"/>
      <c r="J133" s="970"/>
      <c r="K133" s="971"/>
      <c r="L133" s="970"/>
      <c r="M133" s="970"/>
      <c r="N133" s="972">
        <f>SUM(N126:N132)</f>
        <v>0</v>
      </c>
      <c r="O133" s="972">
        <f>SUM(O126:O132)</f>
        <v>0</v>
      </c>
      <c r="P133" s="972">
        <f>SUM(P126:P132)</f>
        <v>0</v>
      </c>
      <c r="Q133" s="972">
        <f>SUM(Q126:Q132)</f>
        <v>0</v>
      </c>
      <c r="R133" s="972"/>
      <c r="S133" s="972"/>
      <c r="T133" s="973"/>
      <c r="U133" s="974"/>
      <c r="V133" s="975" t="str">
        <f>IF((O133*24)&gt;48,"PB","")</f>
        <v/>
      </c>
      <c r="W133" s="974"/>
      <c r="X133" s="974"/>
      <c r="Y133" s="974"/>
      <c r="Z133" s="1053" t="s">
        <v>59</v>
      </c>
      <c r="AA133" s="1055">
        <f>+O133-N133</f>
        <v>0</v>
      </c>
      <c r="AB133" s="967"/>
      <c r="AC133" s="934"/>
      <c r="AE133" s="917"/>
      <c r="AF133" s="917"/>
      <c r="AG133" s="917"/>
      <c r="AH133" s="917"/>
      <c r="AI133" s="917"/>
      <c r="AJ133" s="917"/>
      <c r="AK133" s="917"/>
      <c r="AL133" s="917"/>
      <c r="AM133" s="917"/>
      <c r="AN133" s="917"/>
      <c r="AO133" s="917"/>
      <c r="AP133" s="917"/>
      <c r="AR133" s="917"/>
      <c r="AS133" s="917"/>
    </row>
    <row r="134" spans="1:45" s="935" customFormat="1" x14ac:dyDescent="0.25">
      <c r="A134" s="969"/>
      <c r="B134" s="969"/>
      <c r="C134" s="969"/>
      <c r="D134" s="969"/>
      <c r="E134" s="969"/>
      <c r="F134" s="1052"/>
      <c r="G134" s="1052"/>
      <c r="H134" s="1052"/>
      <c r="I134" s="1052"/>
      <c r="J134" s="1052"/>
      <c r="K134" s="969"/>
      <c r="L134" s="969"/>
      <c r="M134" s="969"/>
      <c r="N134" s="973"/>
      <c r="O134" s="979"/>
      <c r="P134" s="980"/>
      <c r="Q134" s="980"/>
      <c r="R134" s="980"/>
      <c r="S134" s="981"/>
      <c r="T134" s="980"/>
      <c r="U134" s="980"/>
      <c r="V134" s="980"/>
      <c r="W134" s="980"/>
      <c r="X134" s="980"/>
      <c r="Y134" s="980"/>
      <c r="Z134" s="1053"/>
      <c r="AA134" s="1055"/>
      <c r="AB134" s="953"/>
      <c r="AC134" s="934"/>
      <c r="AE134" s="917"/>
      <c r="AF134" s="917"/>
      <c r="AG134" s="917"/>
      <c r="AH134" s="917"/>
      <c r="AI134" s="917"/>
      <c r="AJ134" s="917"/>
      <c r="AK134" s="917"/>
      <c r="AL134" s="917"/>
      <c r="AM134" s="917"/>
      <c r="AN134" s="917"/>
      <c r="AO134" s="917"/>
      <c r="AP134" s="917"/>
      <c r="AR134" s="917"/>
      <c r="AS134" s="917"/>
    </row>
    <row r="135" spans="1:45" s="935" customFormat="1" ht="16.5" x14ac:dyDescent="0.3">
      <c r="A135" s="969"/>
      <c r="B135" s="969"/>
      <c r="C135" s="969"/>
      <c r="D135" s="969"/>
      <c r="E135" s="969"/>
      <c r="F135" s="928">
        <f>+F123+7</f>
        <v>42871</v>
      </c>
      <c r="G135" s="928"/>
      <c r="H135" s="929" t="s">
        <v>58</v>
      </c>
      <c r="I135" s="928">
        <f>+F135+6</f>
        <v>42877</v>
      </c>
      <c r="J135" s="930"/>
      <c r="K135" s="969"/>
      <c r="L135" s="969"/>
      <c r="M135" s="969"/>
      <c r="N135" s="973"/>
      <c r="O135" s="979"/>
      <c r="P135" s="980"/>
      <c r="Q135" s="980"/>
      <c r="R135" s="980"/>
      <c r="S135" s="981"/>
      <c r="T135" s="980"/>
      <c r="U135" s="980"/>
      <c r="V135" s="980"/>
      <c r="W135" s="980"/>
      <c r="X135" s="980"/>
      <c r="Y135" s="980"/>
      <c r="Z135" s="1053"/>
      <c r="AA135" s="1054"/>
      <c r="AB135" s="953"/>
      <c r="AC135" s="934"/>
      <c r="AE135" s="917"/>
      <c r="AF135" s="917"/>
      <c r="AG135" s="917"/>
      <c r="AH135" s="917"/>
      <c r="AI135" s="917"/>
      <c r="AJ135" s="917"/>
      <c r="AK135" s="917"/>
      <c r="AL135" s="917"/>
      <c r="AM135" s="917"/>
      <c r="AN135" s="917"/>
      <c r="AO135" s="917"/>
      <c r="AP135" s="917"/>
      <c r="AR135" s="917"/>
      <c r="AS135" s="917"/>
    </row>
    <row r="136" spans="1:45" ht="14.45" customHeight="1" x14ac:dyDescent="0.3">
      <c r="A136" s="984"/>
      <c r="B136" s="1063" t="s">
        <v>17</v>
      </c>
      <c r="C136" s="1063"/>
      <c r="D136" s="1063" t="s">
        <v>18</v>
      </c>
      <c r="E136" s="1063"/>
      <c r="F136" s="1063" t="s">
        <v>17</v>
      </c>
      <c r="G136" s="1063"/>
      <c r="H136" s="1063" t="s">
        <v>18</v>
      </c>
      <c r="I136" s="1063"/>
      <c r="J136" s="1063" t="s">
        <v>17</v>
      </c>
      <c r="K136" s="1063"/>
      <c r="L136" s="1063" t="s">
        <v>18</v>
      </c>
      <c r="M136" s="1063"/>
      <c r="N136" s="939" t="s">
        <v>61</v>
      </c>
      <c r="O136" s="939" t="s">
        <v>62</v>
      </c>
      <c r="P136" s="939" t="s">
        <v>60</v>
      </c>
      <c r="Q136" s="939" t="s">
        <v>63</v>
      </c>
      <c r="R136" s="939" t="s">
        <v>64</v>
      </c>
      <c r="S136" s="940" t="s">
        <v>223</v>
      </c>
      <c r="T136" s="939" t="s">
        <v>70</v>
      </c>
      <c r="U136" s="941" t="s">
        <v>65</v>
      </c>
      <c r="V136" s="942"/>
      <c r="W136" s="942"/>
      <c r="X136" s="942"/>
      <c r="Y136" s="943"/>
      <c r="Z136" s="944" t="s">
        <v>22</v>
      </c>
      <c r="AA136" s="944"/>
      <c r="AB136" s="953"/>
      <c r="AC136" s="934"/>
    </row>
    <row r="137" spans="1:45" ht="26.25" thickBot="1" x14ac:dyDescent="0.4">
      <c r="A137" s="937" t="str">
        <f>"S"&amp;WEEKNUM(F135,21)</f>
        <v>S20</v>
      </c>
      <c r="B137" s="1064" t="s">
        <v>0</v>
      </c>
      <c r="C137" s="1065" t="s">
        <v>1</v>
      </c>
      <c r="D137" s="1064" t="s">
        <v>0</v>
      </c>
      <c r="E137" s="1065" t="s">
        <v>1</v>
      </c>
      <c r="F137" s="1064" t="s">
        <v>0</v>
      </c>
      <c r="G137" s="1065" t="s">
        <v>1</v>
      </c>
      <c r="H137" s="1064" t="s">
        <v>0</v>
      </c>
      <c r="I137" s="1065" t="s">
        <v>1</v>
      </c>
      <c r="J137" s="1064" t="s">
        <v>0</v>
      </c>
      <c r="K137" s="1065" t="s">
        <v>1</v>
      </c>
      <c r="L137" s="1064" t="s">
        <v>0</v>
      </c>
      <c r="M137" s="1065" t="s">
        <v>1</v>
      </c>
      <c r="N137" s="951"/>
      <c r="O137" s="951"/>
      <c r="P137" s="951"/>
      <c r="Q137" s="951"/>
      <c r="R137" s="951"/>
      <c r="S137" s="951"/>
      <c r="T137" s="939"/>
      <c r="U137" s="952" t="s">
        <v>66</v>
      </c>
      <c r="V137" s="952" t="s">
        <v>67</v>
      </c>
      <c r="W137" s="952" t="s">
        <v>68</v>
      </c>
      <c r="X137" s="952" t="s">
        <v>137</v>
      </c>
      <c r="Y137" s="952" t="s">
        <v>69</v>
      </c>
      <c r="Z137" s="944"/>
      <c r="AA137" s="944"/>
      <c r="AB137" s="953"/>
      <c r="AC137" s="934"/>
      <c r="AM137" s="917" t="s">
        <v>274</v>
      </c>
    </row>
    <row r="138" spans="1:45" ht="16.5" customHeight="1" x14ac:dyDescent="0.3">
      <c r="A138" s="955" t="s">
        <v>12</v>
      </c>
      <c r="B138" s="15" t="b">
        <f>IF(Paramétrage!$O$42="",FALSE,Paramétrage!$O$42)</f>
        <v>0</v>
      </c>
      <c r="C138" s="263"/>
      <c r="D138" s="16" t="b">
        <f>IF(Paramétrage!$Q$42="",FALSE,Paramétrage!$Q$42)</f>
        <v>0</v>
      </c>
      <c r="E138" s="264"/>
      <c r="F138" s="15" t="b">
        <f>IF(Paramétrage!$R$42="",FALSE,Paramétrage!$R$42)</f>
        <v>0</v>
      </c>
      <c r="G138" s="264"/>
      <c r="H138" s="17" t="b">
        <f>IF(Paramétrage!$T$42="",FALSE,Paramétrage!$T$42)</f>
        <v>0</v>
      </c>
      <c r="I138" s="263"/>
      <c r="J138" s="127" t="b">
        <f>IF(Paramétrage!$U$42="",FALSE,Paramétrage!$U$42)</f>
        <v>0</v>
      </c>
      <c r="K138" s="263"/>
      <c r="L138" s="28" t="b">
        <f>IF(Paramétrage!$W$42="",FALSE,Paramétrage!$W$42)</f>
        <v>0</v>
      </c>
      <c r="M138" s="263"/>
      <c r="N138" s="956">
        <f t="shared" ref="N138:N140" si="242">IF(OR(B138="aa",B138="cp",B138="f",B138="jc",B138="m",B138="css"),0,(L138-J138)+(H138-F138)+(D138-B138))</f>
        <v>0</v>
      </c>
      <c r="O138" s="956">
        <f t="shared" ref="O138:O140" si="243">SUM(AM138:AP138)+IF(OR(C138="m",C138="aa"),N138,IF(C138="css",0,IF(C138="cp",0,IF(C138="jc",0,IF(C138="f",0,E138-C138+I138-G138+M138-K138)))))</f>
        <v>0</v>
      </c>
      <c r="P138" s="956">
        <f t="shared" ref="P138:P144" si="244">IF(OR(C138="aa",C138="cp",C138="f",C138="jc",C138="m",C138="css"),0,IF(C138="",IF(OR(F138="",F138=FALSE),0,F138-D138),IF(G138="",0,G138-E138)))</f>
        <v>0</v>
      </c>
      <c r="Q138" s="956">
        <f t="shared" ref="Q138:Q144" si="245">IF(P138=0,0,IF(G138="",IF(OR(J138="",J138=FALSE),0,J138-H138),IF(K138="",0,K138-I138)))</f>
        <v>0</v>
      </c>
      <c r="R138" s="957">
        <f t="shared" ref="R138:R140" si="246">IF(OR(C138="aa",C138="cp",C138="f",C138="jc",C138="m",C138="css"),0,IF(C138=0,MAX(B138,D138,F138,H138,J138,L138)-MIN(B138,D138,F138,H138,J138,L138),IF(C138&lt;&gt;0,MAX(C138,E138,G138,I138,K138,M138)-MIN(C138,E138,G138,I138,K138,M138))))</f>
        <v>0</v>
      </c>
      <c r="S138" s="262"/>
      <c r="T138" s="958" t="str">
        <f t="shared" ref="T138:T139" si="247">IF(AND(B138=FALSE,C138=""),"",IF(AND(B138=0,C138=0),"",(IF(OR(C138="cp",C138="f",C138="jc",C138="css"),"",IF(OR(C138="",C138="aa",C138="m"),(IF(OR(B138="cp",B138="f",B138="jc",B138="css"),"",B138*24+24-MAX(D137,H137,L137)*24)),C138*24+24-MAX(M137,I137,E137)*24)))))</f>
        <v/>
      </c>
      <c r="U138" s="959" t="str">
        <f>IF(P138=0,"",IF(P138&lt;Paramétrage!$S$12,"PB",IF(AND(Q138&lt;Paramétrage!$S$12,Q138&lt;&gt;0),"PB","")))</f>
        <v/>
      </c>
      <c r="V138" s="959" t="str">
        <f t="shared" ref="V138:V144" si="248">IF(C138="",IF((N138*24)&gt;10,"PB",""),IF((O138*24)&gt;10,"PB",""))</f>
        <v/>
      </c>
      <c r="W138" s="959" t="str">
        <f t="shared" ref="W138:W144" si="249">IF((R138*24)&gt;12,"PB","")</f>
        <v/>
      </c>
      <c r="X138" s="960" t="str">
        <f t="shared" ref="X138:X140" si="250">IF(AND(N138=0,O138=0),"",(IF(OR(C138="aa",C138="cp",C138="f",C138="jc",C138="m",C138="css"),"",IF(C138="",IF(OR(D138-B138&gt;6/24,H138-F138&gt;6/24,L138-J138&gt;6/24),"PB",""),IF(OR(E138-C138&gt;6/24,I138-G138&gt;6/24,M138-K138&gt;6/24),"PB","")))))</f>
        <v/>
      </c>
      <c r="Y138" s="959" t="str">
        <f t="shared" ref="Y138:Y144" si="251">IF(T138="","",IF(T138&lt;11,"PB",""))</f>
        <v/>
      </c>
      <c r="Z138" s="836"/>
      <c r="AA138" s="837"/>
      <c r="AB138" s="953"/>
      <c r="AC138" s="934">
        <f>AC132+1</f>
        <v>42871</v>
      </c>
      <c r="AD138" s="961">
        <f>IF(AND(N(AC138)&gt;=Paramétrage!$AU$11,N(AC138)&lt;=Paramétrage!$AU$12),IF(C138="cp",1,0),0)</f>
        <v>0</v>
      </c>
      <c r="AE138" s="962">
        <f t="shared" ref="AE138:AE144" si="252">IF(O138&lt;&gt;"erreur",N138,O138)</f>
        <v>0</v>
      </c>
      <c r="AF138" s="961">
        <f>IF(AND(N(AC138)&gt;=Paramétrage!$AX$11,N(AC138)&lt;=Paramétrage!$AX$12),IF(C138="cp",1,0),0)</f>
        <v>0</v>
      </c>
      <c r="AG138" s="962">
        <f t="shared" ref="AG138:AG144" si="253">O138</f>
        <v>0</v>
      </c>
      <c r="AI138" s="962">
        <f>AE138+AI132</f>
        <v>0</v>
      </c>
      <c r="AJ138" s="962">
        <f>AG138+AJ132</f>
        <v>0</v>
      </c>
      <c r="AM138" s="962">
        <f>IF(AND($B138="cp",$C138="m"),$Z138,0)</f>
        <v>0</v>
      </c>
      <c r="AN138" s="962">
        <f>IF(AND($B138="jc",$C138="m"),$Z138,0)</f>
        <v>0</v>
      </c>
      <c r="AO138" s="962">
        <f>IF(AND($B138="cp",$C138="aa"),$Z138,0)</f>
        <v>0</v>
      </c>
      <c r="AP138" s="962">
        <f>IF(AND($B138="jc",$C138="aa"),$Z138,0)</f>
        <v>0</v>
      </c>
      <c r="AR138" s="917">
        <f>IF(AND(AC138&lt;=$AR$3,B138="CP"),1,0)</f>
        <v>0</v>
      </c>
      <c r="AS138" s="917">
        <f>IF(AND(AC138&lt;=$AR$3,C138="CP"),1,0)</f>
        <v>0</v>
      </c>
    </row>
    <row r="139" spans="1:45" ht="16.5" customHeight="1" x14ac:dyDescent="0.3">
      <c r="A139" s="964" t="s">
        <v>13</v>
      </c>
      <c r="B139" s="15" t="b">
        <f>IF(Paramétrage!$O$43="",FALSE,Paramétrage!$O$43)</f>
        <v>0</v>
      </c>
      <c r="C139" s="263"/>
      <c r="D139" s="16" t="b">
        <f>IF(Paramétrage!$Q$43="",FALSE,Paramétrage!$Q$43)</f>
        <v>0</v>
      </c>
      <c r="E139" s="264"/>
      <c r="F139" s="15" t="b">
        <f>IF(Paramétrage!$R$43="",FALSE,Paramétrage!$R$43)</f>
        <v>0</v>
      </c>
      <c r="G139" s="264"/>
      <c r="H139" s="17" t="b">
        <f>IF(Paramétrage!$T$43="",FALSE,Paramétrage!$T$43)</f>
        <v>0</v>
      </c>
      <c r="I139" s="263"/>
      <c r="J139" s="127" t="b">
        <f>IF(Paramétrage!$U$43="",FALSE,Paramétrage!$U$43)</f>
        <v>0</v>
      </c>
      <c r="K139" s="263"/>
      <c r="L139" s="28" t="b">
        <f>IF(Paramétrage!$W$43="",FALSE,Paramétrage!$W$43)</f>
        <v>0</v>
      </c>
      <c r="M139" s="263"/>
      <c r="N139" s="956">
        <f t="shared" si="242"/>
        <v>0</v>
      </c>
      <c r="O139" s="956">
        <f t="shared" si="243"/>
        <v>0</v>
      </c>
      <c r="P139" s="956">
        <f t="shared" si="244"/>
        <v>0</v>
      </c>
      <c r="Q139" s="956">
        <f t="shared" si="245"/>
        <v>0</v>
      </c>
      <c r="R139" s="957">
        <f t="shared" si="246"/>
        <v>0</v>
      </c>
      <c r="S139" s="262"/>
      <c r="T139" s="958" t="str">
        <f t="shared" si="247"/>
        <v/>
      </c>
      <c r="U139" s="959" t="str">
        <f>IF(P139=0,"",IF(P139&lt;Paramétrage!$S$12,"PB",IF(AND(Q139&lt;Paramétrage!$S$12,Q139&lt;&gt;0),"PB","")))</f>
        <v/>
      </c>
      <c r="V139" s="959" t="str">
        <f t="shared" si="248"/>
        <v/>
      </c>
      <c r="W139" s="959" t="str">
        <f t="shared" si="249"/>
        <v/>
      </c>
      <c r="X139" s="960" t="str">
        <f t="shared" si="250"/>
        <v/>
      </c>
      <c r="Y139" s="959" t="str">
        <f t="shared" si="251"/>
        <v/>
      </c>
      <c r="Z139" s="836"/>
      <c r="AA139" s="837"/>
      <c r="AB139" s="953"/>
      <c r="AC139" s="934">
        <f t="shared" ref="AC139:AC144" si="254">AC138+1</f>
        <v>42872</v>
      </c>
      <c r="AD139" s="961">
        <f>IF(AND(N(AC139)&gt;=Paramétrage!$AU$11,N(AC139)&lt;=Paramétrage!$AU$12),IF(C139="cp",1,0),0)</f>
        <v>0</v>
      </c>
      <c r="AE139" s="962">
        <f t="shared" si="252"/>
        <v>0</v>
      </c>
      <c r="AF139" s="961">
        <f>IF(AND(N(AC139)&gt;=Paramétrage!$AX$11,N(AC139)&lt;=Paramétrage!$AX$12),IF(C139="cp",1,0),0)</f>
        <v>0</v>
      </c>
      <c r="AG139" s="962">
        <f t="shared" si="253"/>
        <v>0</v>
      </c>
      <c r="AI139" s="962">
        <f t="shared" ref="AI139:AI144" si="255">AE139+AI138</f>
        <v>0</v>
      </c>
      <c r="AJ139" s="962">
        <f t="shared" ref="AJ139:AJ144" si="256">AG139+AJ138</f>
        <v>0</v>
      </c>
      <c r="AM139" s="962">
        <f t="shared" ref="AM139:AM142" si="257">IF(AND($B139="cp",$C139="m"),$Z139,0)</f>
        <v>0</v>
      </c>
      <c r="AN139" s="962">
        <f t="shared" ref="AN139:AN142" si="258">IF(AND($B139="jc",$C139="m"),$Z139,0)</f>
        <v>0</v>
      </c>
      <c r="AO139" s="962">
        <f t="shared" ref="AO139:AO142" si="259">IF(AND($B139="cp",$C139="aa"),$Z139,0)</f>
        <v>0</v>
      </c>
      <c r="AP139" s="962">
        <f t="shared" ref="AP139:AP142" si="260">IF(AND($B139="jc",$C139="aa"),$Z139,0)</f>
        <v>0</v>
      </c>
      <c r="AR139" s="917">
        <f>IF(AND(AC139&lt;=$AR$3,B139="CP"),1,0)</f>
        <v>0</v>
      </c>
      <c r="AS139" s="917">
        <f>IF(AND(AC139&lt;=$AR$3,C139="CP"),1,0)</f>
        <v>0</v>
      </c>
    </row>
    <row r="140" spans="1:45" ht="16.5" customHeight="1" x14ac:dyDescent="0.3">
      <c r="A140" s="964" t="s">
        <v>14</v>
      </c>
      <c r="B140" s="15" t="b">
        <f>IF(Paramétrage!$O$44="",FALSE,Paramétrage!$O$44)</f>
        <v>0</v>
      </c>
      <c r="C140" s="263"/>
      <c r="D140" s="16" t="b">
        <f>IF(Paramétrage!$Q$44="",FALSE,Paramétrage!$Q$44)</f>
        <v>0</v>
      </c>
      <c r="E140" s="264"/>
      <c r="F140" s="15" t="b">
        <f>IF(Paramétrage!$R$44="",FALSE,Paramétrage!$R$44)</f>
        <v>0</v>
      </c>
      <c r="G140" s="264"/>
      <c r="H140" s="17" t="b">
        <f>IF(Paramétrage!$T$44="",FALSE,Paramétrage!$T$44)</f>
        <v>0</v>
      </c>
      <c r="I140" s="263"/>
      <c r="J140" s="127" t="b">
        <f>IF(Paramétrage!$U$44="",FALSE,Paramétrage!$U$44)</f>
        <v>0</v>
      </c>
      <c r="K140" s="263"/>
      <c r="L140" s="28" t="b">
        <f>IF(Paramétrage!$W$44="",FALSE,Paramétrage!$W$44)</f>
        <v>0</v>
      </c>
      <c r="M140" s="263"/>
      <c r="N140" s="956">
        <f t="shared" si="242"/>
        <v>0</v>
      </c>
      <c r="O140" s="956">
        <f t="shared" si="243"/>
        <v>0</v>
      </c>
      <c r="P140" s="956">
        <f t="shared" si="244"/>
        <v>0</v>
      </c>
      <c r="Q140" s="956">
        <f t="shared" si="245"/>
        <v>0</v>
      </c>
      <c r="R140" s="957">
        <f t="shared" si="246"/>
        <v>0</v>
      </c>
      <c r="S140" s="262"/>
      <c r="T140" s="958" t="str">
        <f>IF(AND(B140=FALSE,C140=""),"",IF(AND(B140=0,C140=0),"",(IF(OR(C140="cp",C140="f",C140="jc",C140="css"),"",IF(OR(C140="",C140="aa",C140="m"),(IF(OR(B140="cp",B140="f",B140="jc",B140="css"),"",B140*24+24-MAX(D139,H139,L139)*24)),C140*24+24-MAX(M139,I139,E139)*24)))))</f>
        <v/>
      </c>
      <c r="U140" s="959" t="str">
        <f>IF(P140=0,"",IF(P140&lt;Paramétrage!$S$12,"PB",IF(AND(Q140&lt;Paramétrage!$S$12,Q140&lt;&gt;0),"PB","")))</f>
        <v/>
      </c>
      <c r="V140" s="959" t="str">
        <f t="shared" si="248"/>
        <v/>
      </c>
      <c r="W140" s="959" t="str">
        <f t="shared" si="249"/>
        <v/>
      </c>
      <c r="X140" s="960" t="str">
        <f t="shared" si="250"/>
        <v/>
      </c>
      <c r="Y140" s="959" t="str">
        <f t="shared" si="251"/>
        <v/>
      </c>
      <c r="Z140" s="836"/>
      <c r="AA140" s="837"/>
      <c r="AB140" s="953"/>
      <c r="AC140" s="934">
        <f t="shared" si="254"/>
        <v>42873</v>
      </c>
      <c r="AD140" s="961">
        <f>IF(AND(N(AC140)&gt;=Paramétrage!$AU$11,N(AC140)&lt;=Paramétrage!$AU$12),IF(C140="cp",1,0),0)</f>
        <v>0</v>
      </c>
      <c r="AE140" s="962">
        <f t="shared" si="252"/>
        <v>0</v>
      </c>
      <c r="AF140" s="961">
        <f>IF(AND(N(AC140)&gt;=Paramétrage!$AX$11,N(AC140)&lt;=Paramétrage!$AX$12),IF(C140="cp",1,0),0)</f>
        <v>0</v>
      </c>
      <c r="AG140" s="962">
        <f t="shared" si="253"/>
        <v>0</v>
      </c>
      <c r="AI140" s="962">
        <f t="shared" si="255"/>
        <v>0</v>
      </c>
      <c r="AJ140" s="962">
        <f t="shared" si="256"/>
        <v>0</v>
      </c>
      <c r="AM140" s="962">
        <f t="shared" si="257"/>
        <v>0</v>
      </c>
      <c r="AN140" s="962">
        <f t="shared" si="258"/>
        <v>0</v>
      </c>
      <c r="AO140" s="962">
        <f t="shared" si="259"/>
        <v>0</v>
      </c>
      <c r="AP140" s="962">
        <f t="shared" si="260"/>
        <v>0</v>
      </c>
      <c r="AR140" s="917">
        <f>IF(AND(AC140&lt;=$AR$3,B140="CP"),1,0)</f>
        <v>0</v>
      </c>
      <c r="AS140" s="917">
        <f>IF(AND(AC140&lt;=$AR$3,C140="CP"),1,0)</f>
        <v>0</v>
      </c>
    </row>
    <row r="141" spans="1:45" ht="16.5" customHeight="1" x14ac:dyDescent="0.3">
      <c r="A141" s="964" t="s">
        <v>15</v>
      </c>
      <c r="B141" s="15" t="b">
        <f>IF(Paramétrage!$O$45="",FALSE,Paramétrage!$O$45)</f>
        <v>0</v>
      </c>
      <c r="C141" s="263"/>
      <c r="D141" s="16" t="b">
        <f>IF(Paramétrage!$Q$45="",FALSE,Paramétrage!$Q$45)</f>
        <v>0</v>
      </c>
      <c r="E141" s="264"/>
      <c r="F141" s="15" t="b">
        <f>IF(Paramétrage!$R$45="",FALSE,Paramétrage!$R$45)</f>
        <v>0</v>
      </c>
      <c r="G141" s="264"/>
      <c r="H141" s="17" t="b">
        <f>IF(Paramétrage!$T$45="",FALSE,Paramétrage!$T$45)</f>
        <v>0</v>
      </c>
      <c r="I141" s="263"/>
      <c r="J141" s="127" t="b">
        <f>IF(Paramétrage!$U$45="",FALSE,Paramétrage!$U$45)</f>
        <v>0</v>
      </c>
      <c r="K141" s="263"/>
      <c r="L141" s="28" t="b">
        <f>IF(Paramétrage!$W$45="",FALSE,Paramétrage!$W$45)</f>
        <v>0</v>
      </c>
      <c r="M141" s="263"/>
      <c r="N141" s="956">
        <f>IF(OR(B141="aa",B141="cp",B141="f",B141="jc",B141="m",B141="css"),0,(L141-J141)+(H141-F141)+(D141-B141))</f>
        <v>0</v>
      </c>
      <c r="O141" s="956">
        <f>SUM(AM141:AP141)+IF(OR(C141="m",C141="aa"),N141,IF(C141="css",0,IF(C141="cp",0,IF(C141="jc",0,IF(C141="f",0,E141-C141+I141-G141+M141-K141)))))</f>
        <v>0</v>
      </c>
      <c r="P141" s="956">
        <f t="shared" si="244"/>
        <v>0</v>
      </c>
      <c r="Q141" s="956">
        <f t="shared" si="245"/>
        <v>0</v>
      </c>
      <c r="R141" s="957">
        <f>IF(OR(C141="aa",C141="cp",C141="f",C141="jc",C141="m",C141="css"),0,IF(C141=0,MAX(B141,D141,F141,H141,J141,L141)-MIN(B141,D141,F141,H141,J141,L141),IF(C141&lt;&gt;0,MAX(C141,E141,G141,I141,K141,M141)-MIN(C141,E141,G141,I141,K141,M141))))</f>
        <v>0</v>
      </c>
      <c r="S141" s="262"/>
      <c r="T141" s="958" t="str">
        <f t="shared" ref="T141:T144" si="261">IF(AND(B141=FALSE,C141=""),"",IF(AND(B141=0,C141=0),"",(IF(OR(C141="cp",C141="f",C141="jc",C141="css"),"",IF(OR(C141="",C141="aa",C141="m"),(IF(OR(B141="cp",B141="f",B141="jc",B141="css"),"",B141*24+24-MAX(D140,H140,L140)*24)),C141*24+24-MAX(M140,I140,E140)*24)))))</f>
        <v/>
      </c>
      <c r="U141" s="959" t="str">
        <f>IF(P141=0,"",IF(P141&lt;Paramétrage!$S$12,"PB",IF(AND(Q141&lt;Paramétrage!$S$12,Q141&lt;&gt;0),"PB","")))</f>
        <v/>
      </c>
      <c r="V141" s="959" t="str">
        <f t="shared" si="248"/>
        <v/>
      </c>
      <c r="W141" s="959" t="str">
        <f t="shared" si="249"/>
        <v/>
      </c>
      <c r="X141" s="960" t="str">
        <f>IF(AND(N141=0,O141=0),"",(IF(OR(C141="aa",C141="cp",C141="f",C141="jc",C141="m",C141="css"),"",IF(C141="",IF(OR(D141-B141&gt;6/24,H141-F141&gt;6/24,L141-J141&gt;6/24),"PB",""),IF(OR(E141-C141&gt;6/24,I141-G141&gt;6/24,M141-K141&gt;6/24),"PB","")))))</f>
        <v/>
      </c>
      <c r="Y141" s="959" t="str">
        <f t="shared" si="251"/>
        <v/>
      </c>
      <c r="Z141" s="836"/>
      <c r="AA141" s="837"/>
      <c r="AB141" s="953"/>
      <c r="AC141" s="934">
        <f t="shared" si="254"/>
        <v>42874</v>
      </c>
      <c r="AD141" s="961">
        <f>IF(AND(N(AC141)&gt;=Paramétrage!$AU$11,N(AC141)&lt;=Paramétrage!$AU$12),IF(C141="cp",1,0),0)</f>
        <v>0</v>
      </c>
      <c r="AE141" s="962">
        <f t="shared" si="252"/>
        <v>0</v>
      </c>
      <c r="AF141" s="961">
        <f>IF(AND(N(AC141)&gt;=Paramétrage!$AX$11,N(AC141)&lt;=Paramétrage!$AX$12),IF(C141="cp",1,0),0)</f>
        <v>0</v>
      </c>
      <c r="AG141" s="962">
        <f t="shared" si="253"/>
        <v>0</v>
      </c>
      <c r="AI141" s="962">
        <f t="shared" si="255"/>
        <v>0</v>
      </c>
      <c r="AJ141" s="962">
        <f t="shared" si="256"/>
        <v>0</v>
      </c>
      <c r="AM141" s="962">
        <f t="shared" si="257"/>
        <v>0</v>
      </c>
      <c r="AN141" s="962">
        <f t="shared" si="258"/>
        <v>0</v>
      </c>
      <c r="AO141" s="962">
        <f t="shared" si="259"/>
        <v>0</v>
      </c>
      <c r="AP141" s="962">
        <f t="shared" si="260"/>
        <v>0</v>
      </c>
      <c r="AR141" s="917">
        <f>IF(AND(AC141&lt;=$AR$3,B141="CP"),1,0)</f>
        <v>0</v>
      </c>
      <c r="AS141" s="917">
        <f>IF(AND(AC141&lt;=$AR$3,C141="CP"),1,0)</f>
        <v>0</v>
      </c>
    </row>
    <row r="142" spans="1:45" ht="16.5" customHeight="1" x14ac:dyDescent="0.3">
      <c r="A142" s="964" t="s">
        <v>16</v>
      </c>
      <c r="B142" s="15" t="b">
        <f>IF(Paramétrage!$O$46="",FALSE,Paramétrage!$O$46)</f>
        <v>0</v>
      </c>
      <c r="C142" s="263"/>
      <c r="D142" s="16" t="b">
        <f>IF(Paramétrage!$Q$46="",FALSE,Paramétrage!$Q$46)</f>
        <v>0</v>
      </c>
      <c r="E142" s="264"/>
      <c r="F142" s="15" t="b">
        <f>IF(Paramétrage!$R$46="",FALSE,Paramétrage!$R$46)</f>
        <v>0</v>
      </c>
      <c r="G142" s="264"/>
      <c r="H142" s="17" t="b">
        <f>IF(Paramétrage!$T$46="",FALSE,Paramétrage!$T$46)</f>
        <v>0</v>
      </c>
      <c r="I142" s="263"/>
      <c r="J142" s="127" t="b">
        <f>IF(Paramétrage!$U$46="",FALSE,Paramétrage!$U$46)</f>
        <v>0</v>
      </c>
      <c r="K142" s="263"/>
      <c r="L142" s="28" t="b">
        <f>IF(Paramétrage!$W$46="",FALSE,Paramétrage!$W$46)</f>
        <v>0</v>
      </c>
      <c r="M142" s="263"/>
      <c r="N142" s="956">
        <f>IF(OR(B142="aa",B142="cp",B142="f",B142="jc",B142="m",B142="css"),0,(L142-J142)+(H142-F142)+(D142-B142))</f>
        <v>0</v>
      </c>
      <c r="O142" s="956">
        <f>SUM(AM142:AP142)+IF(OR(C142="m",C142="aa"),N142,IF(C142="css",0,IF(C142="cp",0,IF(C142="jc",0,IF(C142="f",0,E142-C142+I142-G142+M142-K142)))))</f>
        <v>0</v>
      </c>
      <c r="P142" s="956">
        <f t="shared" si="244"/>
        <v>0</v>
      </c>
      <c r="Q142" s="956">
        <f t="shared" si="245"/>
        <v>0</v>
      </c>
      <c r="R142" s="957">
        <f>IF(OR(C142="aa",C142="cp",C142="f",C142="jc",C142="m",C142="css"),0,IF(C142=0,MAX(B142,D142,F142,H142,J142,L142)-MIN(B142,D142,F142,H142,J142,L142),IF(C142&lt;&gt;0,MAX(C142,E142,G142,I142,K142,M142)-MIN(C142,E142,G142,I142,K142,M142))))</f>
        <v>0</v>
      </c>
      <c r="S142" s="262"/>
      <c r="T142" s="958" t="str">
        <f t="shared" si="261"/>
        <v/>
      </c>
      <c r="U142" s="959" t="str">
        <f>IF(P142=0,"",IF(P142&lt;Paramétrage!$S$12,"PB",IF(AND(Q142&lt;Paramétrage!$S$12,Q142&lt;&gt;0),"PB","")))</f>
        <v/>
      </c>
      <c r="V142" s="959" t="str">
        <f t="shared" si="248"/>
        <v/>
      </c>
      <c r="W142" s="959" t="str">
        <f t="shared" si="249"/>
        <v/>
      </c>
      <c r="X142" s="960" t="str">
        <f>IF(AND(N142=0,O142=0),"",(IF(OR(C142="aa",C142="cp",C142="f",C142="jc",C142="m",C142="css"),"",IF(C142="",IF(OR(D142-B142&gt;6/24,H142-F142&gt;6/24,L142-J142&gt;6/24),"PB",""),IF(OR(E142-C142&gt;6/24,I142-G142&gt;6/24,M142-K142&gt;6/24),"PB","")))))</f>
        <v/>
      </c>
      <c r="Y142" s="959" t="str">
        <f t="shared" si="251"/>
        <v/>
      </c>
      <c r="Z142" s="836"/>
      <c r="AA142" s="837"/>
      <c r="AB142" s="953"/>
      <c r="AC142" s="934">
        <f t="shared" si="254"/>
        <v>42875</v>
      </c>
      <c r="AD142" s="961">
        <f>IF(AND(N(AC142)&gt;=Paramétrage!$AU$11,N(AC142)&lt;=Paramétrage!$AU$12),IF(C142="cp",1,0),0)</f>
        <v>0</v>
      </c>
      <c r="AE142" s="962">
        <f t="shared" si="252"/>
        <v>0</v>
      </c>
      <c r="AF142" s="961">
        <f>IF(AND(N(AC142)&gt;=Paramétrage!$AX$11,N(AC142)&lt;=Paramétrage!$AX$12),IF(C142="cp",1,0),0)</f>
        <v>0</v>
      </c>
      <c r="AG142" s="962">
        <f t="shared" si="253"/>
        <v>0</v>
      </c>
      <c r="AI142" s="962">
        <f t="shared" si="255"/>
        <v>0</v>
      </c>
      <c r="AJ142" s="962">
        <f t="shared" si="256"/>
        <v>0</v>
      </c>
      <c r="AM142" s="962">
        <f t="shared" si="257"/>
        <v>0</v>
      </c>
      <c r="AN142" s="962">
        <f t="shared" si="258"/>
        <v>0</v>
      </c>
      <c r="AO142" s="962">
        <f t="shared" si="259"/>
        <v>0</v>
      </c>
      <c r="AP142" s="962">
        <f t="shared" si="260"/>
        <v>0</v>
      </c>
      <c r="AR142" s="917">
        <f>IF(AND(AC142&lt;=$AR$3,B142="CP"),1,0)</f>
        <v>0</v>
      </c>
      <c r="AS142" s="917">
        <f>IF(AND(AC142&lt;=$AR$3,C142="CP"),1,0)</f>
        <v>0</v>
      </c>
    </row>
    <row r="143" spans="1:45" ht="16.5" customHeight="1" x14ac:dyDescent="0.3">
      <c r="A143" s="964" t="s">
        <v>19</v>
      </c>
      <c r="B143" s="15" t="b">
        <f>IF(Paramétrage!$O$47="",FALSE,Paramétrage!$O$47)</f>
        <v>0</v>
      </c>
      <c r="C143" s="263"/>
      <c r="D143" s="16" t="b">
        <f>IF(Paramétrage!$Q$47="",FALSE,Paramétrage!$Q$47)</f>
        <v>0</v>
      </c>
      <c r="E143" s="264"/>
      <c r="F143" s="15" t="b">
        <f>IF(Paramétrage!$R$47="",FALSE,Paramétrage!$R$47)</f>
        <v>0</v>
      </c>
      <c r="G143" s="264"/>
      <c r="H143" s="17" t="b">
        <f>IF(Paramétrage!$T$47="",FALSE,Paramétrage!$T$47)</f>
        <v>0</v>
      </c>
      <c r="I143" s="263"/>
      <c r="J143" s="127" t="b">
        <f>IF(Paramétrage!$U$47="",FALSE,Paramétrage!$U$47)</f>
        <v>0</v>
      </c>
      <c r="K143" s="263"/>
      <c r="L143" s="28" t="b">
        <f>IF(Paramétrage!$W$47="",FALSE,Paramétrage!$W$47)</f>
        <v>0</v>
      </c>
      <c r="M143" s="263"/>
      <c r="N143" s="956">
        <f>IF(OR(B143="aa",B143="cp",B143="f",B143="jc",B143="m",B143="css"),0,(L143-J143)+(H143-F143)+(D143-B143))</f>
        <v>0</v>
      </c>
      <c r="O143" s="956">
        <f>IF(OR(C143="m",C143="aa"),N143,IF(C143="cp",0,IF(OR(C143="css",C143="jc"),0,IF(C143="f",0,E143-C143+I143-G143+M143-K143))))</f>
        <v>0</v>
      </c>
      <c r="P143" s="956">
        <f t="shared" si="244"/>
        <v>0</v>
      </c>
      <c r="Q143" s="956">
        <f t="shared" si="245"/>
        <v>0</v>
      </c>
      <c r="R143" s="957">
        <f>IF(OR(C143="aa",C143="cp",C143="f",C143="jc",C143="m",C143="css"),0,IF(C143=0,MAX(B143,D143,F143,H143,J143,L143)-MIN(B143,D143,F143,H143,J143,L143),IF(C143&lt;&gt;0,MAX(C143,E143,G143,I143,K143,M143)-MIN(C143,E143,G143,I143,K143,M143))))</f>
        <v>0</v>
      </c>
      <c r="S143" s="262"/>
      <c r="T143" s="958" t="str">
        <f t="shared" si="261"/>
        <v/>
      </c>
      <c r="U143" s="959" t="str">
        <f>IF(P143=0,"",IF(P143&lt;Paramétrage!$S$12,"PB",IF(AND(Q143&lt;Paramétrage!$S$12,Q143&lt;&gt;0),"PB","")))</f>
        <v/>
      </c>
      <c r="V143" s="959" t="str">
        <f t="shared" si="248"/>
        <v/>
      </c>
      <c r="W143" s="959" t="str">
        <f t="shared" si="249"/>
        <v/>
      </c>
      <c r="X143" s="960" t="str">
        <f>IF(AND(N143=0,O143=0),"",(IF(OR(C143="aa",C143="cp",C143="f",C143="jc",C143="m",C143="css"),"",IF(C143="",IF(OR(D143-B143&gt;6/24,H143-F143&gt;6/24,L143-J143&gt;6/24),"PB",""),IF(OR(E143-C143&gt;6/24,I143-G143&gt;6/24,M143-K143&gt;6/24),"PB","")))))</f>
        <v/>
      </c>
      <c r="Y143" s="959" t="str">
        <f t="shared" si="251"/>
        <v/>
      </c>
      <c r="Z143" s="836"/>
      <c r="AA143" s="837"/>
      <c r="AB143" s="953"/>
      <c r="AC143" s="934">
        <f t="shared" si="254"/>
        <v>42876</v>
      </c>
      <c r="AD143" s="961">
        <f>IF(AND(N(AC143)&gt;=Paramétrage!$AU$11,N(AC143)&lt;=Paramétrage!$AU$12),IF(C143="cp",1,0),0)</f>
        <v>0</v>
      </c>
      <c r="AE143" s="962">
        <f t="shared" si="252"/>
        <v>0</v>
      </c>
      <c r="AF143" s="961">
        <f>IF(AND(N(AC143)&gt;=Paramétrage!$AX$11,N(AC143)&lt;=Paramétrage!$AX$12),IF(C143="cp",1,0),0)</f>
        <v>0</v>
      </c>
      <c r="AG143" s="962">
        <f t="shared" si="253"/>
        <v>0</v>
      </c>
      <c r="AI143" s="962">
        <f t="shared" si="255"/>
        <v>0</v>
      </c>
      <c r="AJ143" s="962">
        <f t="shared" si="256"/>
        <v>0</v>
      </c>
      <c r="AM143" s="962"/>
      <c r="AN143" s="962"/>
      <c r="AO143" s="962"/>
      <c r="AP143" s="962"/>
    </row>
    <row r="144" spans="1:45" ht="16.5" customHeight="1" thickBot="1" x14ac:dyDescent="0.35">
      <c r="A144" s="966" t="s">
        <v>20</v>
      </c>
      <c r="B144" s="15" t="b">
        <f>IF(Paramétrage!$O$48="",FALSE,Paramétrage!$O$48)</f>
        <v>0</v>
      </c>
      <c r="C144" s="263"/>
      <c r="D144" s="16" t="b">
        <f>IF(Paramétrage!$Q$48="",FALSE,Paramétrage!$Q$48)</f>
        <v>0</v>
      </c>
      <c r="E144" s="264"/>
      <c r="F144" s="15" t="b">
        <f>IF(Paramétrage!$R$48="",FALSE,Paramétrage!$R$48)</f>
        <v>0</v>
      </c>
      <c r="G144" s="264"/>
      <c r="H144" s="17" t="b">
        <f>IF(Paramétrage!$T$48="",FALSE,Paramétrage!$T$48)</f>
        <v>0</v>
      </c>
      <c r="I144" s="263"/>
      <c r="J144" s="127" t="b">
        <f>IF(Paramétrage!$U$48="",FALSE,Paramétrage!$U$48)</f>
        <v>0</v>
      </c>
      <c r="K144" s="263"/>
      <c r="L144" s="28" t="b">
        <f>IF(Paramétrage!$W$48="",FALSE,Paramétrage!$W$48)</f>
        <v>0</v>
      </c>
      <c r="M144" s="263"/>
      <c r="N144" s="956">
        <f>IF(OR(B144="aa",B144="m"),M144,IF(B144="cp",0,IF(B144="jc",0,IF(B144="f",0,(D144-B144)*Paramétrage!$S$13+(H144-F144)*Paramétrage!$S$13+(L144-J144)*Paramétrage!$S$13+(D144-B144+H144-F144+L144-J144)))))</f>
        <v>0</v>
      </c>
      <c r="O144" s="956">
        <f>IF(OR(C144="aa",C144="m"),N144,IF(C144="cp",0,IF(C144="jc",0,IF(C144="f",0,(E144-C144)*Paramétrage!$S$13+(I144-G144)*Paramétrage!$S$13+(M144-K144)*Paramétrage!$S$13+(E144-C144+I144-G144+M144-K144)))))</f>
        <v>0</v>
      </c>
      <c r="P144" s="956">
        <f t="shared" si="244"/>
        <v>0</v>
      </c>
      <c r="Q144" s="956">
        <f t="shared" si="245"/>
        <v>0</v>
      </c>
      <c r="R144" s="957">
        <f t="shared" ref="R144" si="262">IF(OR(C144="aa",C144="cp",C144="f",C144="jc",C144="m",C144=0),MAX(B144,D144,F144,H144,J144,L144)-MIN(B144,D144,F144,H144,J144,L144),IF(C144&lt;&gt;0,MAX(C144,E144,G144,I144,K144,M144)-MIN(C144,E144,G144,I144,K144,M144)))</f>
        <v>0</v>
      </c>
      <c r="S144" s="262"/>
      <c r="T144" s="958" t="str">
        <f t="shared" si="261"/>
        <v/>
      </c>
      <c r="U144" s="959" t="str">
        <f>IF(P144=0,"",IF(P144&lt;Paramétrage!$S$12,"PB",IF(AND(Q144&lt;Paramétrage!$S$12,Q144&lt;&gt;0),"PB","")))</f>
        <v/>
      </c>
      <c r="V144" s="959" t="str">
        <f t="shared" si="248"/>
        <v/>
      </c>
      <c r="W144" s="959" t="str">
        <f t="shared" si="249"/>
        <v/>
      </c>
      <c r="X144" s="960" t="str">
        <f t="shared" ref="X144" si="263">IF(AND(N144=0,O144=0),"",(IF(OR(C144="aa",C144="cp",C144="f",C144="jc",C144="m"),"",IF(C144="",IF(OR(D144-B144&gt;6/24,H144-F144&gt;6/24,L144-J144&gt;6/24),"PB",""),IF(OR(E144-C144&gt;6/24,I144-G144&gt;6/24,M144-K144&gt;6/24),"PB","")))))</f>
        <v/>
      </c>
      <c r="Y144" s="959" t="str">
        <f t="shared" si="251"/>
        <v/>
      </c>
      <c r="Z144" s="836"/>
      <c r="AA144" s="837"/>
      <c r="AB144" s="953"/>
      <c r="AC144" s="934">
        <f t="shared" si="254"/>
        <v>42877</v>
      </c>
      <c r="AD144" s="961">
        <f>IF(AND(N(AC144)&gt;=Paramétrage!$AU$11,N(AC144)&lt;=Paramétrage!$AU$12),IF(C144="cp",1,0),0)</f>
        <v>0</v>
      </c>
      <c r="AE144" s="962">
        <f t="shared" si="252"/>
        <v>0</v>
      </c>
      <c r="AF144" s="961">
        <f>IF(AND(N(AC144)&gt;=Paramétrage!$AX$11,N(AC144)&lt;=Paramétrage!$AX$12),IF(C144="cp",1,0),0)</f>
        <v>0</v>
      </c>
      <c r="AG144" s="962">
        <f t="shared" si="253"/>
        <v>0</v>
      </c>
      <c r="AI144" s="962">
        <f t="shared" si="255"/>
        <v>0</v>
      </c>
      <c r="AJ144" s="962">
        <f t="shared" si="256"/>
        <v>0</v>
      </c>
      <c r="AM144" s="962"/>
      <c r="AN144" s="962"/>
      <c r="AO144" s="962"/>
      <c r="AP144" s="962"/>
    </row>
    <row r="145" spans="1:45" s="935" customFormat="1" x14ac:dyDescent="0.25">
      <c r="A145" s="969" t="s">
        <v>43</v>
      </c>
      <c r="B145" s="970"/>
      <c r="C145" s="970"/>
      <c r="D145" s="970"/>
      <c r="E145" s="970"/>
      <c r="F145" s="970"/>
      <c r="G145" s="970"/>
      <c r="H145" s="970"/>
      <c r="I145" s="970"/>
      <c r="J145" s="970"/>
      <c r="K145" s="971"/>
      <c r="L145" s="970"/>
      <c r="M145" s="970"/>
      <c r="N145" s="972">
        <f>SUM(N138:N144)</f>
        <v>0</v>
      </c>
      <c r="O145" s="972">
        <f>SUM(O138:O144)</f>
        <v>0</v>
      </c>
      <c r="P145" s="972">
        <f>SUM(P138:P144)</f>
        <v>0</v>
      </c>
      <c r="Q145" s="972">
        <f>SUM(Q138:Q144)</f>
        <v>0</v>
      </c>
      <c r="R145" s="972"/>
      <c r="S145" s="972"/>
      <c r="T145" s="973"/>
      <c r="U145" s="974"/>
      <c r="V145" s="975" t="str">
        <f>IF((O145*24)&gt;48,"PB","")</f>
        <v/>
      </c>
      <c r="W145" s="974"/>
      <c r="X145" s="974"/>
      <c r="Y145" s="974"/>
      <c r="Z145" s="1053" t="s">
        <v>59</v>
      </c>
      <c r="AA145" s="1055">
        <f>+O145-N145</f>
        <v>0</v>
      </c>
      <c r="AB145" s="967"/>
      <c r="AC145" s="934"/>
      <c r="AE145" s="917"/>
      <c r="AF145" s="917"/>
      <c r="AG145" s="917"/>
      <c r="AH145" s="917"/>
      <c r="AI145" s="917"/>
      <c r="AJ145" s="917"/>
      <c r="AK145" s="917"/>
      <c r="AL145" s="917"/>
      <c r="AM145" s="917"/>
      <c r="AN145" s="917"/>
      <c r="AO145" s="917"/>
      <c r="AP145" s="917"/>
      <c r="AR145" s="917"/>
      <c r="AS145" s="917"/>
    </row>
    <row r="146" spans="1:45" s="935" customFormat="1" x14ac:dyDescent="0.25">
      <c r="A146" s="969"/>
      <c r="B146" s="969"/>
      <c r="C146" s="969"/>
      <c r="D146" s="969"/>
      <c r="E146" s="969"/>
      <c r="F146" s="1052"/>
      <c r="G146" s="1052"/>
      <c r="H146" s="1052"/>
      <c r="I146" s="1052"/>
      <c r="J146" s="1052"/>
      <c r="K146" s="969"/>
      <c r="L146" s="969"/>
      <c r="M146" s="969"/>
      <c r="N146" s="973"/>
      <c r="O146" s="969"/>
      <c r="P146" s="980"/>
      <c r="Q146" s="980"/>
      <c r="R146" s="980"/>
      <c r="S146" s="981"/>
      <c r="T146" s="980"/>
      <c r="U146" s="980"/>
      <c r="V146" s="980"/>
      <c r="W146" s="980"/>
      <c r="X146" s="980"/>
      <c r="Y146" s="980"/>
      <c r="Z146" s="1053"/>
      <c r="AA146" s="1055"/>
      <c r="AB146" s="953"/>
      <c r="AC146" s="934"/>
      <c r="AE146" s="917"/>
      <c r="AF146" s="917"/>
      <c r="AG146" s="917"/>
      <c r="AH146" s="917"/>
      <c r="AI146" s="917"/>
      <c r="AJ146" s="917"/>
      <c r="AK146" s="917"/>
      <c r="AL146" s="917"/>
      <c r="AM146" s="917"/>
      <c r="AN146" s="917"/>
      <c r="AO146" s="917"/>
      <c r="AP146" s="917"/>
      <c r="AR146" s="917"/>
      <c r="AS146" s="917"/>
    </row>
    <row r="147" spans="1:45" s="935" customFormat="1" ht="16.5" x14ac:dyDescent="0.3">
      <c r="A147" s="969"/>
      <c r="B147" s="969"/>
      <c r="C147" s="969"/>
      <c r="D147" s="969"/>
      <c r="E147" s="969"/>
      <c r="F147" s="928">
        <f>+F135+7</f>
        <v>42878</v>
      </c>
      <c r="G147" s="928"/>
      <c r="H147" s="929" t="s">
        <v>58</v>
      </c>
      <c r="I147" s="928">
        <f>+F147+6</f>
        <v>42884</v>
      </c>
      <c r="J147" s="930"/>
      <c r="K147" s="969"/>
      <c r="L147" s="969"/>
      <c r="M147" s="969"/>
      <c r="N147" s="973"/>
      <c r="O147" s="969"/>
      <c r="P147" s="980"/>
      <c r="Q147" s="980"/>
      <c r="R147" s="980"/>
      <c r="S147" s="981"/>
      <c r="T147" s="980"/>
      <c r="U147" s="980"/>
      <c r="V147" s="980"/>
      <c r="W147" s="980"/>
      <c r="X147" s="980"/>
      <c r="Y147" s="980"/>
      <c r="Z147" s="1053"/>
      <c r="AA147" s="1054"/>
      <c r="AB147" s="953"/>
      <c r="AC147" s="934"/>
      <c r="AE147" s="917"/>
      <c r="AF147" s="917"/>
      <c r="AG147" s="917"/>
      <c r="AH147" s="917"/>
      <c r="AI147" s="917"/>
      <c r="AJ147" s="917"/>
      <c r="AK147" s="917"/>
      <c r="AL147" s="917"/>
      <c r="AM147" s="917"/>
      <c r="AN147" s="917"/>
      <c r="AO147" s="917"/>
      <c r="AP147" s="917"/>
      <c r="AR147" s="917"/>
      <c r="AS147" s="917"/>
    </row>
    <row r="148" spans="1:45" ht="14.45" customHeight="1" x14ac:dyDescent="0.3">
      <c r="A148" s="994"/>
      <c r="B148" s="1063" t="s">
        <v>17</v>
      </c>
      <c r="C148" s="1063"/>
      <c r="D148" s="1063" t="s">
        <v>18</v>
      </c>
      <c r="E148" s="1063"/>
      <c r="F148" s="1063" t="s">
        <v>17</v>
      </c>
      <c r="G148" s="1063"/>
      <c r="H148" s="1063" t="s">
        <v>18</v>
      </c>
      <c r="I148" s="1063"/>
      <c r="J148" s="1063" t="s">
        <v>17</v>
      </c>
      <c r="K148" s="1063"/>
      <c r="L148" s="1063" t="s">
        <v>18</v>
      </c>
      <c r="M148" s="1063"/>
      <c r="N148" s="939" t="s">
        <v>61</v>
      </c>
      <c r="O148" s="939" t="s">
        <v>62</v>
      </c>
      <c r="P148" s="939" t="s">
        <v>60</v>
      </c>
      <c r="Q148" s="939" t="s">
        <v>63</v>
      </c>
      <c r="R148" s="939" t="s">
        <v>64</v>
      </c>
      <c r="S148" s="940" t="s">
        <v>223</v>
      </c>
      <c r="T148" s="939" t="s">
        <v>70</v>
      </c>
      <c r="U148" s="941" t="s">
        <v>65</v>
      </c>
      <c r="V148" s="942"/>
      <c r="W148" s="942"/>
      <c r="X148" s="942"/>
      <c r="Y148" s="943"/>
      <c r="Z148" s="944" t="s">
        <v>22</v>
      </c>
      <c r="AA148" s="944"/>
      <c r="AB148" s="953"/>
      <c r="AC148" s="934"/>
    </row>
    <row r="149" spans="1:45" ht="26.25" thickBot="1" x14ac:dyDescent="0.4">
      <c r="A149" s="937" t="str">
        <f>"S"&amp;WEEKNUM(F147,21)</f>
        <v>S21</v>
      </c>
      <c r="B149" s="1064" t="s">
        <v>0</v>
      </c>
      <c r="C149" s="1065" t="s">
        <v>1</v>
      </c>
      <c r="D149" s="1064" t="s">
        <v>0</v>
      </c>
      <c r="E149" s="1065" t="s">
        <v>1</v>
      </c>
      <c r="F149" s="1064" t="s">
        <v>0</v>
      </c>
      <c r="G149" s="1065" t="s">
        <v>1</v>
      </c>
      <c r="H149" s="1064" t="s">
        <v>0</v>
      </c>
      <c r="I149" s="1065" t="s">
        <v>1</v>
      </c>
      <c r="J149" s="1064" t="s">
        <v>0</v>
      </c>
      <c r="K149" s="1065" t="s">
        <v>1</v>
      </c>
      <c r="L149" s="1064" t="s">
        <v>0</v>
      </c>
      <c r="M149" s="1065" t="s">
        <v>1</v>
      </c>
      <c r="N149" s="951"/>
      <c r="O149" s="951"/>
      <c r="P149" s="951"/>
      <c r="Q149" s="951"/>
      <c r="R149" s="951"/>
      <c r="S149" s="951"/>
      <c r="T149" s="939"/>
      <c r="U149" s="952" t="s">
        <v>66</v>
      </c>
      <c r="V149" s="952" t="s">
        <v>67</v>
      </c>
      <c r="W149" s="952" t="s">
        <v>68</v>
      </c>
      <c r="X149" s="952" t="s">
        <v>137</v>
      </c>
      <c r="Y149" s="952" t="s">
        <v>69</v>
      </c>
      <c r="Z149" s="944"/>
      <c r="AA149" s="944"/>
      <c r="AB149" s="953"/>
      <c r="AC149" s="934"/>
      <c r="AM149" s="917" t="s">
        <v>274</v>
      </c>
    </row>
    <row r="150" spans="1:45" ht="16.5" customHeight="1" x14ac:dyDescent="0.3">
      <c r="A150" s="955" t="s">
        <v>12</v>
      </c>
      <c r="B150" s="15" t="b">
        <f>IF(Paramétrage!$O$42="",FALSE,Paramétrage!$O$42)</f>
        <v>0</v>
      </c>
      <c r="C150" s="263"/>
      <c r="D150" s="16" t="b">
        <f>IF(Paramétrage!$Q$42="",FALSE,Paramétrage!$Q$42)</f>
        <v>0</v>
      </c>
      <c r="E150" s="264"/>
      <c r="F150" s="15" t="b">
        <f>IF(Paramétrage!$R$42="",FALSE,Paramétrage!$R$42)</f>
        <v>0</v>
      </c>
      <c r="G150" s="264"/>
      <c r="H150" s="17" t="b">
        <f>IF(Paramétrage!$T$42="",FALSE,Paramétrage!$T$42)</f>
        <v>0</v>
      </c>
      <c r="I150" s="263"/>
      <c r="J150" s="127" t="b">
        <f>IF(Paramétrage!$U$42="",FALSE,Paramétrage!$U$42)</f>
        <v>0</v>
      </c>
      <c r="K150" s="263"/>
      <c r="L150" s="28" t="b">
        <f>IF(Paramétrage!$W$42="",FALSE,Paramétrage!$W$42)</f>
        <v>0</v>
      </c>
      <c r="M150" s="263"/>
      <c r="N150" s="956">
        <f t="shared" ref="N150:N152" si="264">IF(OR(B150="aa",B150="cp",B150="f",B150="jc",B150="m",B150="css"),0,(L150-J150)+(H150-F150)+(D150-B150))</f>
        <v>0</v>
      </c>
      <c r="O150" s="956">
        <f t="shared" ref="O150:O152" si="265">SUM(AM150:AP150)+IF(OR(C150="m",C150="aa"),N150,IF(C150="css",0,IF(C150="cp",0,IF(C150="jc",0,IF(C150="f",0,E150-C150+I150-G150+M150-K150)))))</f>
        <v>0</v>
      </c>
      <c r="P150" s="956">
        <f t="shared" ref="P150:P156" si="266">IF(OR(C150="aa",C150="cp",C150="f",C150="jc",C150="m",C150="css"),0,IF(C150="",IF(OR(F150="",F150=FALSE),0,F150-D150),IF(G150="",0,G150-E150)))</f>
        <v>0</v>
      </c>
      <c r="Q150" s="956">
        <f t="shared" ref="Q150:Q156" si="267">IF(P150=0,0,IF(G150="",IF(OR(J150="",J150=FALSE),0,J150-H150),IF(K150="",0,K150-I150)))</f>
        <v>0</v>
      </c>
      <c r="R150" s="957">
        <f t="shared" ref="R150:R152" si="268">IF(OR(C150="aa",C150="cp",C150="f",C150="jc",C150="m",C150="css"),0,IF(C150=0,MAX(B150,D150,F150,H150,J150,L150)-MIN(B150,D150,F150,H150,J150,L150),IF(C150&lt;&gt;0,MAX(C150,E150,G150,I150,K150,M150)-MIN(C150,E150,G150,I150,K150,M150))))</f>
        <v>0</v>
      </c>
      <c r="S150" s="262"/>
      <c r="T150" s="958" t="str">
        <f t="shared" ref="T150:T151" si="269">IF(AND(B150=FALSE,C150=""),"",IF(AND(B150=0,C150=0),"",(IF(OR(C150="cp",C150="f",C150="jc",C150="css"),"",IF(OR(C150="",C150="aa",C150="m"),(IF(OR(B150="cp",B150="f",B150="jc",B150="css"),"",B150*24+24-MAX(D149,H149,L149)*24)),C150*24+24-MAX(M149,I149,E149)*24)))))</f>
        <v/>
      </c>
      <c r="U150" s="959" t="str">
        <f>IF(P150=0,"",IF(P150&lt;Paramétrage!$S$12,"PB",IF(AND(Q150&lt;Paramétrage!$S$12,Q150&lt;&gt;0),"PB","")))</f>
        <v/>
      </c>
      <c r="V150" s="959" t="str">
        <f t="shared" ref="V150:V156" si="270">IF(C150="",IF((N150*24)&gt;10,"PB",""),IF((O150*24)&gt;10,"PB",""))</f>
        <v/>
      </c>
      <c r="W150" s="959" t="str">
        <f t="shared" ref="W150:W156" si="271">IF((R150*24)&gt;12,"PB","")</f>
        <v/>
      </c>
      <c r="X150" s="960" t="str">
        <f t="shared" ref="X150:X152" si="272">IF(AND(N150=0,O150=0),"",(IF(OR(C150="aa",C150="cp",C150="f",C150="jc",C150="m",C150="css"),"",IF(C150="",IF(OR(D150-B150&gt;6/24,H150-F150&gt;6/24,L150-J150&gt;6/24),"PB",""),IF(OR(E150-C150&gt;6/24,I150-G150&gt;6/24,M150-K150&gt;6/24),"PB","")))))</f>
        <v/>
      </c>
      <c r="Y150" s="959" t="str">
        <f t="shared" ref="Y150:Y156" si="273">IF(T150="","",IF(T150&lt;11,"PB",""))</f>
        <v/>
      </c>
      <c r="Z150" s="836"/>
      <c r="AA150" s="837"/>
      <c r="AB150" s="953"/>
      <c r="AC150" s="934">
        <f>AC144+1</f>
        <v>42878</v>
      </c>
      <c r="AD150" s="961">
        <f>IF(AND(N(AC150)&gt;=Paramétrage!$AU$11,N(AC150)&lt;=Paramétrage!$AU$12),IF(C150="cp",1,0),0)</f>
        <v>0</v>
      </c>
      <c r="AE150" s="962">
        <f t="shared" ref="AE150:AE156" si="274">IF(O150&lt;&gt;"erreur",N150,O150)</f>
        <v>0</v>
      </c>
      <c r="AF150" s="961">
        <f>IF(AND(N(AC150)&gt;=Paramétrage!$AX$11,N(AC150)&lt;=Paramétrage!$AX$12),IF(C150="cp",1,0),0)</f>
        <v>0</v>
      </c>
      <c r="AG150" s="962">
        <f>O150</f>
        <v>0</v>
      </c>
      <c r="AI150" s="962">
        <f>AE150+AI144</f>
        <v>0</v>
      </c>
      <c r="AJ150" s="962">
        <f>AG150+AJ144</f>
        <v>0</v>
      </c>
      <c r="AM150" s="962">
        <f>IF(AND($B150="cp",$C150="m"),$Z150,0)</f>
        <v>0</v>
      </c>
      <c r="AN150" s="962">
        <f>IF(AND($B150="jc",$C150="m"),$Z150,0)</f>
        <v>0</v>
      </c>
      <c r="AO150" s="962">
        <f>IF(AND($B150="cp",$C150="aa"),$Z150,0)</f>
        <v>0</v>
      </c>
      <c r="AP150" s="962">
        <f>IF(AND($B150="jc",$C150="aa"),$Z150,0)</f>
        <v>0</v>
      </c>
      <c r="AR150" s="917">
        <f>IF(AND(AC150&lt;=$AR$3,B150="CP"),1,0)</f>
        <v>0</v>
      </c>
      <c r="AS150" s="917">
        <f>IF(AND(AC150&lt;=$AR$3,C150="CP"),1,0)</f>
        <v>0</v>
      </c>
    </row>
    <row r="151" spans="1:45" ht="16.5" customHeight="1" x14ac:dyDescent="0.3">
      <c r="A151" s="964" t="s">
        <v>13</v>
      </c>
      <c r="B151" s="15" t="b">
        <f>IF(Paramétrage!$O$43="",FALSE,Paramétrage!$O$43)</f>
        <v>0</v>
      </c>
      <c r="C151" s="263"/>
      <c r="D151" s="16" t="b">
        <f>IF(Paramétrage!$Q$43="",FALSE,Paramétrage!$Q$43)</f>
        <v>0</v>
      </c>
      <c r="E151" s="264"/>
      <c r="F151" s="15" t="b">
        <f>IF(Paramétrage!$R$43="",FALSE,Paramétrage!$R$43)</f>
        <v>0</v>
      </c>
      <c r="G151" s="264"/>
      <c r="H151" s="17" t="b">
        <f>IF(Paramétrage!$T$43="",FALSE,Paramétrage!$T$43)</f>
        <v>0</v>
      </c>
      <c r="I151" s="263"/>
      <c r="J151" s="127" t="b">
        <f>IF(Paramétrage!$U$43="",FALSE,Paramétrage!$U$43)</f>
        <v>0</v>
      </c>
      <c r="K151" s="263"/>
      <c r="L151" s="28" t="b">
        <f>IF(Paramétrage!$W$43="",FALSE,Paramétrage!$W$43)</f>
        <v>0</v>
      </c>
      <c r="M151" s="263"/>
      <c r="N151" s="956">
        <f t="shared" si="264"/>
        <v>0</v>
      </c>
      <c r="O151" s="956">
        <f t="shared" si="265"/>
        <v>0</v>
      </c>
      <c r="P151" s="956">
        <f t="shared" si="266"/>
        <v>0</v>
      </c>
      <c r="Q151" s="956">
        <f t="shared" si="267"/>
        <v>0</v>
      </c>
      <c r="R151" s="957">
        <f t="shared" si="268"/>
        <v>0</v>
      </c>
      <c r="S151" s="262"/>
      <c r="T151" s="958" t="str">
        <f t="shared" si="269"/>
        <v/>
      </c>
      <c r="U151" s="959" t="str">
        <f>IF(P151=0,"",IF(P151&lt;Paramétrage!$S$12,"PB",IF(AND(Q151&lt;Paramétrage!$S$12,Q151&lt;&gt;0),"PB","")))</f>
        <v/>
      </c>
      <c r="V151" s="959" t="str">
        <f t="shared" si="270"/>
        <v/>
      </c>
      <c r="W151" s="959" t="str">
        <f t="shared" si="271"/>
        <v/>
      </c>
      <c r="X151" s="960" t="str">
        <f t="shared" si="272"/>
        <v/>
      </c>
      <c r="Y151" s="959" t="str">
        <f t="shared" si="273"/>
        <v/>
      </c>
      <c r="Z151" s="836"/>
      <c r="AA151" s="837"/>
      <c r="AB151" s="953"/>
      <c r="AC151" s="934">
        <f t="shared" ref="AC151:AC156" si="275">AC150+1</f>
        <v>42879</v>
      </c>
      <c r="AD151" s="961">
        <f>IF(AND(N(AC151)&gt;=Paramétrage!$AU$11,N(AC151)&lt;=Paramétrage!$AU$12),IF(C151="cp",1,0),0)</f>
        <v>0</v>
      </c>
      <c r="AE151" s="962">
        <f t="shared" si="274"/>
        <v>0</v>
      </c>
      <c r="AF151" s="961">
        <f>IF(AND(N(AC151)&gt;=Paramétrage!$AX$11,N(AC151)&lt;=Paramétrage!$AX$12),IF(C151="cp",1,0),0)</f>
        <v>0</v>
      </c>
      <c r="AG151" s="962">
        <f t="shared" ref="AG151:AG156" si="276">O151</f>
        <v>0</v>
      </c>
      <c r="AI151" s="962">
        <f t="shared" ref="AI151:AI156" si="277">AE151+AI150</f>
        <v>0</v>
      </c>
      <c r="AJ151" s="962">
        <f t="shared" ref="AJ151:AJ156" si="278">AG151+AJ150</f>
        <v>0</v>
      </c>
      <c r="AM151" s="962">
        <f t="shared" ref="AM151:AM154" si="279">IF(AND($B151="cp",$C151="m"),$Z151,0)</f>
        <v>0</v>
      </c>
      <c r="AN151" s="962">
        <f t="shared" ref="AN151:AN154" si="280">IF(AND($B151="jc",$C151="m"),$Z151,0)</f>
        <v>0</v>
      </c>
      <c r="AO151" s="962">
        <f t="shared" ref="AO151:AO154" si="281">IF(AND($B151="cp",$C151="aa"),$Z151,0)</f>
        <v>0</v>
      </c>
      <c r="AP151" s="962">
        <f t="shared" ref="AP151:AP154" si="282">IF(AND($B151="jc",$C151="aa"),$Z151,0)</f>
        <v>0</v>
      </c>
      <c r="AR151" s="917">
        <f>IF(AND(AC151&lt;=$AR$3,B151="CP"),1,0)</f>
        <v>0</v>
      </c>
      <c r="AS151" s="917">
        <f>IF(AND(AC151&lt;=$AR$3,C151="CP"),1,0)</f>
        <v>0</v>
      </c>
    </row>
    <row r="152" spans="1:45" ht="16.5" customHeight="1" x14ac:dyDescent="0.3">
      <c r="A152" s="964" t="s">
        <v>14</v>
      </c>
      <c r="B152" s="15" t="b">
        <f>IF(Paramétrage!$O$44="",FALSE,Paramétrage!$O$44)</f>
        <v>0</v>
      </c>
      <c r="C152" s="263"/>
      <c r="D152" s="16" t="b">
        <f>IF(Paramétrage!$Q$44="",FALSE,Paramétrage!$Q$44)</f>
        <v>0</v>
      </c>
      <c r="E152" s="264"/>
      <c r="F152" s="15" t="b">
        <f>IF(Paramétrage!$R$44="",FALSE,Paramétrage!$R$44)</f>
        <v>0</v>
      </c>
      <c r="G152" s="264"/>
      <c r="H152" s="17" t="b">
        <f>IF(Paramétrage!$T$44="",FALSE,Paramétrage!$T$44)</f>
        <v>0</v>
      </c>
      <c r="I152" s="263"/>
      <c r="J152" s="127" t="b">
        <f>IF(Paramétrage!$U$44="",FALSE,Paramétrage!$U$44)</f>
        <v>0</v>
      </c>
      <c r="K152" s="263"/>
      <c r="L152" s="28" t="b">
        <f>IF(Paramétrage!$W$44="",FALSE,Paramétrage!$W$44)</f>
        <v>0</v>
      </c>
      <c r="M152" s="263"/>
      <c r="N152" s="956">
        <f t="shared" si="264"/>
        <v>0</v>
      </c>
      <c r="O152" s="956">
        <f t="shared" si="265"/>
        <v>0</v>
      </c>
      <c r="P152" s="956">
        <f t="shared" si="266"/>
        <v>0</v>
      </c>
      <c r="Q152" s="956">
        <f t="shared" si="267"/>
        <v>0</v>
      </c>
      <c r="R152" s="957">
        <f t="shared" si="268"/>
        <v>0</v>
      </c>
      <c r="S152" s="262"/>
      <c r="T152" s="958" t="str">
        <f>IF(AND(B152=FALSE,C152=""),"",IF(AND(B152=0,C152=0),"",(IF(OR(C152="cp",C152="f",C152="jc",C152="css"),"",IF(OR(C152="",C152="aa",C152="m"),(IF(OR(B152="cp",B152="f",B152="jc",B152="css"),"",B152*24+24-MAX(D151,H151,L151)*24)),C152*24+24-MAX(M151,I151,E151)*24)))))</f>
        <v/>
      </c>
      <c r="U152" s="959" t="str">
        <f>IF(P152=0,"",IF(P152&lt;Paramétrage!$S$12,"PB",IF(AND(Q152&lt;Paramétrage!$S$12,Q152&lt;&gt;0),"PB","")))</f>
        <v/>
      </c>
      <c r="V152" s="959" t="str">
        <f t="shared" si="270"/>
        <v/>
      </c>
      <c r="W152" s="959" t="str">
        <f t="shared" si="271"/>
        <v/>
      </c>
      <c r="X152" s="960" t="str">
        <f t="shared" si="272"/>
        <v/>
      </c>
      <c r="Y152" s="959" t="str">
        <f t="shared" si="273"/>
        <v/>
      </c>
      <c r="Z152" s="836"/>
      <c r="AA152" s="837"/>
      <c r="AB152" s="953"/>
      <c r="AC152" s="934">
        <f t="shared" si="275"/>
        <v>42880</v>
      </c>
      <c r="AD152" s="961">
        <f>IF(AND(N(AC152)&gt;=Paramétrage!$AU$11,N(AC152)&lt;=Paramétrage!$AU$12),IF(C152="cp",1,0),0)</f>
        <v>0</v>
      </c>
      <c r="AE152" s="962">
        <f t="shared" si="274"/>
        <v>0</v>
      </c>
      <c r="AF152" s="961">
        <f>IF(AND(N(AC152)&gt;=Paramétrage!$AX$11,N(AC152)&lt;=Paramétrage!$AX$12),IF(C152="cp",1,0),0)</f>
        <v>0</v>
      </c>
      <c r="AG152" s="962">
        <f t="shared" si="276"/>
        <v>0</v>
      </c>
      <c r="AI152" s="962">
        <f t="shared" si="277"/>
        <v>0</v>
      </c>
      <c r="AJ152" s="962">
        <f t="shared" si="278"/>
        <v>0</v>
      </c>
      <c r="AM152" s="962">
        <f t="shared" si="279"/>
        <v>0</v>
      </c>
      <c r="AN152" s="962">
        <f t="shared" si="280"/>
        <v>0</v>
      </c>
      <c r="AO152" s="962">
        <f t="shared" si="281"/>
        <v>0</v>
      </c>
      <c r="AP152" s="962">
        <f t="shared" si="282"/>
        <v>0</v>
      </c>
      <c r="AR152" s="917">
        <f>IF(AND(AC152&lt;=$AR$3,B152="CP"),1,0)</f>
        <v>0</v>
      </c>
      <c r="AS152" s="917">
        <f>IF(AND(AC152&lt;=$AR$3,C152="CP"),1,0)</f>
        <v>0</v>
      </c>
    </row>
    <row r="153" spans="1:45" ht="16.5" customHeight="1" x14ac:dyDescent="0.3">
      <c r="A153" s="964" t="s">
        <v>15</v>
      </c>
      <c r="B153" s="15" t="b">
        <f>IF(Paramétrage!$O$45="",FALSE,Paramétrage!$O$45)</f>
        <v>0</v>
      </c>
      <c r="C153" s="263"/>
      <c r="D153" s="16" t="b">
        <f>IF(Paramétrage!$Q$45="",FALSE,Paramétrage!$Q$45)</f>
        <v>0</v>
      </c>
      <c r="E153" s="264"/>
      <c r="F153" s="15" t="b">
        <f>IF(Paramétrage!$R$45="",FALSE,Paramétrage!$R$45)</f>
        <v>0</v>
      </c>
      <c r="G153" s="264"/>
      <c r="H153" s="17" t="b">
        <f>IF(Paramétrage!$T$45="",FALSE,Paramétrage!$T$45)</f>
        <v>0</v>
      </c>
      <c r="I153" s="263"/>
      <c r="J153" s="127" t="b">
        <f>IF(Paramétrage!$U$45="",FALSE,Paramétrage!$U$45)</f>
        <v>0</v>
      </c>
      <c r="K153" s="263"/>
      <c r="L153" s="28" t="b">
        <f>IF(Paramétrage!$W$45="",FALSE,Paramétrage!$W$45)</f>
        <v>0</v>
      </c>
      <c r="M153" s="263"/>
      <c r="N153" s="956">
        <f>IF(OR(B153="aa",B153="cp",B153="f",B153="jc",B153="m",B153="css"),0,(L153-J153)+(H153-F153)+(D153-B153))</f>
        <v>0</v>
      </c>
      <c r="O153" s="956">
        <f>SUM(AM153:AP153)+IF(OR(C153="m",C153="aa"),N153,IF(C153="css",0,IF(C153="cp",0,IF(C153="jc",0,IF(C153="f",0,E153-C153+I153-G153+M153-K153)))))</f>
        <v>0</v>
      </c>
      <c r="P153" s="956">
        <f t="shared" si="266"/>
        <v>0</v>
      </c>
      <c r="Q153" s="956">
        <f t="shared" si="267"/>
        <v>0</v>
      </c>
      <c r="R153" s="957">
        <f>IF(OR(C153="aa",C153="cp",C153="f",C153="jc",C153="m",C153="css"),0,IF(C153=0,MAX(B153,D153,F153,H153,J153,L153)-MIN(B153,D153,F153,H153,J153,L153),IF(C153&lt;&gt;0,MAX(C153,E153,G153,I153,K153,M153)-MIN(C153,E153,G153,I153,K153,M153))))</f>
        <v>0</v>
      </c>
      <c r="S153" s="262"/>
      <c r="T153" s="958" t="str">
        <f t="shared" ref="T153:T156" si="283">IF(AND(B153=FALSE,C153=""),"",IF(AND(B153=0,C153=0),"",(IF(OR(C153="cp",C153="f",C153="jc",C153="css"),"",IF(OR(C153="",C153="aa",C153="m"),(IF(OR(B153="cp",B153="f",B153="jc",B153="css"),"",B153*24+24-MAX(D152,H152,L152)*24)),C153*24+24-MAX(M152,I152,E152)*24)))))</f>
        <v/>
      </c>
      <c r="U153" s="959" t="str">
        <f>IF(P153=0,"",IF(P153&lt;Paramétrage!$S$12,"PB",IF(AND(Q153&lt;Paramétrage!$S$12,Q153&lt;&gt;0),"PB","")))</f>
        <v/>
      </c>
      <c r="V153" s="959" t="str">
        <f t="shared" si="270"/>
        <v/>
      </c>
      <c r="W153" s="959" t="str">
        <f t="shared" si="271"/>
        <v/>
      </c>
      <c r="X153" s="960" t="str">
        <f>IF(AND(N153=0,O153=0),"",(IF(OR(C153="aa",C153="cp",C153="f",C153="jc",C153="m",C153="css"),"",IF(C153="",IF(OR(D153-B153&gt;6/24,H153-F153&gt;6/24,L153-J153&gt;6/24),"PB",""),IF(OR(E153-C153&gt;6/24,I153-G153&gt;6/24,M153-K153&gt;6/24),"PB","")))))</f>
        <v/>
      </c>
      <c r="Y153" s="959" t="str">
        <f t="shared" si="273"/>
        <v/>
      </c>
      <c r="Z153" s="836"/>
      <c r="AA153" s="837"/>
      <c r="AB153" s="953"/>
      <c r="AC153" s="934">
        <f t="shared" si="275"/>
        <v>42881</v>
      </c>
      <c r="AD153" s="961">
        <f>IF(AND(N(AC153)&gt;=Paramétrage!$AU$11,N(AC153)&lt;=Paramétrage!$AU$12),IF(C153="cp",1,0),0)</f>
        <v>0</v>
      </c>
      <c r="AE153" s="962">
        <f t="shared" si="274"/>
        <v>0</v>
      </c>
      <c r="AF153" s="961">
        <f>IF(AND(N(AC153)&gt;=Paramétrage!$AX$11,N(AC153)&lt;=Paramétrage!$AX$12),IF(C153="cp",1,0),0)</f>
        <v>0</v>
      </c>
      <c r="AG153" s="962">
        <f t="shared" si="276"/>
        <v>0</v>
      </c>
      <c r="AI153" s="962">
        <f t="shared" si="277"/>
        <v>0</v>
      </c>
      <c r="AJ153" s="962">
        <f t="shared" si="278"/>
        <v>0</v>
      </c>
      <c r="AM153" s="962">
        <f t="shared" si="279"/>
        <v>0</v>
      </c>
      <c r="AN153" s="962">
        <f t="shared" si="280"/>
        <v>0</v>
      </c>
      <c r="AO153" s="962">
        <f t="shared" si="281"/>
        <v>0</v>
      </c>
      <c r="AP153" s="962">
        <f t="shared" si="282"/>
        <v>0</v>
      </c>
      <c r="AR153" s="917">
        <f>IF(AND(AC153&lt;=$AR$3,B153="CP"),1,0)</f>
        <v>0</v>
      </c>
      <c r="AS153" s="917">
        <f>IF(AND(AC153&lt;=$AR$3,C153="CP"),1,0)</f>
        <v>0</v>
      </c>
    </row>
    <row r="154" spans="1:45" ht="16.5" customHeight="1" x14ac:dyDescent="0.3">
      <c r="A154" s="964" t="s">
        <v>16</v>
      </c>
      <c r="B154" s="15" t="b">
        <f>IF(Paramétrage!$O$46="",FALSE,Paramétrage!$O$46)</f>
        <v>0</v>
      </c>
      <c r="C154" s="263"/>
      <c r="D154" s="16" t="b">
        <f>IF(Paramétrage!$Q$46="",FALSE,Paramétrage!$Q$46)</f>
        <v>0</v>
      </c>
      <c r="E154" s="264"/>
      <c r="F154" s="15" t="b">
        <f>IF(Paramétrage!$R$46="",FALSE,Paramétrage!$R$46)</f>
        <v>0</v>
      </c>
      <c r="G154" s="264"/>
      <c r="H154" s="17" t="b">
        <f>IF(Paramétrage!$T$46="",FALSE,Paramétrage!$T$46)</f>
        <v>0</v>
      </c>
      <c r="I154" s="263"/>
      <c r="J154" s="127" t="b">
        <f>IF(Paramétrage!$U$46="",FALSE,Paramétrage!$U$46)</f>
        <v>0</v>
      </c>
      <c r="K154" s="263"/>
      <c r="L154" s="28" t="b">
        <f>IF(Paramétrage!$W$46="",FALSE,Paramétrage!$W$46)</f>
        <v>0</v>
      </c>
      <c r="M154" s="263"/>
      <c r="N154" s="956">
        <f>IF(OR(B154="aa",B154="cp",B154="f",B154="jc",B154="m",B154="css"),0,(L154-J154)+(H154-F154)+(D154-B154))</f>
        <v>0</v>
      </c>
      <c r="O154" s="956">
        <f>SUM(AM154:AP154)+IF(OR(C154="m",C154="aa"),N154,IF(C154="css",0,IF(C154="cp",0,IF(C154="jc",0,IF(C154="f",0,E154-C154+I154-G154+M154-K154)))))</f>
        <v>0</v>
      </c>
      <c r="P154" s="956">
        <f t="shared" si="266"/>
        <v>0</v>
      </c>
      <c r="Q154" s="956">
        <f t="shared" si="267"/>
        <v>0</v>
      </c>
      <c r="R154" s="957">
        <f>IF(OR(C154="aa",C154="cp",C154="f",C154="jc",C154="m",C154="css"),0,IF(C154=0,MAX(B154,D154,F154,H154,J154,L154)-MIN(B154,D154,F154,H154,J154,L154),IF(C154&lt;&gt;0,MAX(C154,E154,G154,I154,K154,M154)-MIN(C154,E154,G154,I154,K154,M154))))</f>
        <v>0</v>
      </c>
      <c r="S154" s="262"/>
      <c r="T154" s="958" t="str">
        <f t="shared" si="283"/>
        <v/>
      </c>
      <c r="U154" s="959" t="str">
        <f>IF(P154=0,"",IF(P154&lt;Paramétrage!$S$12,"PB",IF(AND(Q154&lt;Paramétrage!$S$12,Q154&lt;&gt;0),"PB","")))</f>
        <v/>
      </c>
      <c r="V154" s="959" t="str">
        <f t="shared" si="270"/>
        <v/>
      </c>
      <c r="W154" s="959" t="str">
        <f t="shared" si="271"/>
        <v/>
      </c>
      <c r="X154" s="960" t="str">
        <f>IF(AND(N154=0,O154=0),"",(IF(OR(C154="aa",C154="cp",C154="f",C154="jc",C154="m",C154="css"),"",IF(C154="",IF(OR(D154-B154&gt;6/24,H154-F154&gt;6/24,L154-J154&gt;6/24),"PB",""),IF(OR(E154-C154&gt;6/24,I154-G154&gt;6/24,M154-K154&gt;6/24),"PB","")))))</f>
        <v/>
      </c>
      <c r="Y154" s="959" t="str">
        <f t="shared" si="273"/>
        <v/>
      </c>
      <c r="Z154" s="836"/>
      <c r="AA154" s="837"/>
      <c r="AB154" s="953"/>
      <c r="AC154" s="934">
        <f t="shared" si="275"/>
        <v>42882</v>
      </c>
      <c r="AD154" s="961">
        <f>IF(AND(N(AC154)&gt;=Paramétrage!$AU$11,N(AC154)&lt;=Paramétrage!$AU$12),IF(C154="cp",1,0),0)</f>
        <v>0</v>
      </c>
      <c r="AE154" s="962">
        <f t="shared" si="274"/>
        <v>0</v>
      </c>
      <c r="AF154" s="961">
        <f>IF(AND(N(AC154)&gt;=Paramétrage!$AX$11,N(AC154)&lt;=Paramétrage!$AX$12),IF(C154="cp",1,0),0)</f>
        <v>0</v>
      </c>
      <c r="AG154" s="962">
        <f t="shared" si="276"/>
        <v>0</v>
      </c>
      <c r="AI154" s="962">
        <f t="shared" si="277"/>
        <v>0</v>
      </c>
      <c r="AJ154" s="962">
        <f t="shared" si="278"/>
        <v>0</v>
      </c>
      <c r="AM154" s="962">
        <f t="shared" si="279"/>
        <v>0</v>
      </c>
      <c r="AN154" s="962">
        <f t="shared" si="280"/>
        <v>0</v>
      </c>
      <c r="AO154" s="962">
        <f t="shared" si="281"/>
        <v>0</v>
      </c>
      <c r="AP154" s="962">
        <f t="shared" si="282"/>
        <v>0</v>
      </c>
      <c r="AR154" s="917">
        <f>IF(AND(AC154&lt;=$AR$3,B154="CP"),1,0)</f>
        <v>0</v>
      </c>
      <c r="AS154" s="917">
        <f>IF(AND(AC154&lt;=$AR$3,C154="CP"),1,0)</f>
        <v>0</v>
      </c>
    </row>
    <row r="155" spans="1:45" ht="16.5" customHeight="1" x14ac:dyDescent="0.3">
      <c r="A155" s="964" t="s">
        <v>19</v>
      </c>
      <c r="B155" s="15" t="b">
        <f>IF(Paramétrage!$O$47="",FALSE,Paramétrage!$O$47)</f>
        <v>0</v>
      </c>
      <c r="C155" s="263"/>
      <c r="D155" s="16" t="b">
        <f>IF(Paramétrage!$Q$47="",FALSE,Paramétrage!$Q$47)</f>
        <v>0</v>
      </c>
      <c r="E155" s="264"/>
      <c r="F155" s="15" t="b">
        <f>IF(Paramétrage!$R$47="",FALSE,Paramétrage!$R$47)</f>
        <v>0</v>
      </c>
      <c r="G155" s="264"/>
      <c r="H155" s="17" t="b">
        <f>IF(Paramétrage!$T$47="",FALSE,Paramétrage!$T$47)</f>
        <v>0</v>
      </c>
      <c r="I155" s="263"/>
      <c r="J155" s="127" t="b">
        <f>IF(Paramétrage!$U$47="",FALSE,Paramétrage!$U$47)</f>
        <v>0</v>
      </c>
      <c r="K155" s="263"/>
      <c r="L155" s="28" t="b">
        <f>IF(Paramétrage!$W$47="",FALSE,Paramétrage!$W$47)</f>
        <v>0</v>
      </c>
      <c r="M155" s="263"/>
      <c r="N155" s="956">
        <f>IF(OR(B155="aa",B155="cp",B155="f",B155="jc",B155="m",B155="css"),0,(L155-J155)+(H155-F155)+(D155-B155))</f>
        <v>0</v>
      </c>
      <c r="O155" s="956">
        <f>IF(OR(C155="m",C155="aa"),N155,IF(C155="cp",0,IF(OR(C155="css",C155="jc"),0,IF(C155="f",0,E155-C155+I155-G155+M155-K155))))</f>
        <v>0</v>
      </c>
      <c r="P155" s="956">
        <f t="shared" si="266"/>
        <v>0</v>
      </c>
      <c r="Q155" s="956">
        <f t="shared" si="267"/>
        <v>0</v>
      </c>
      <c r="R155" s="957">
        <f>IF(OR(C155="aa",C155="cp",C155="f",C155="jc",C155="m",C155="css"),0,IF(C155=0,MAX(B155,D155,F155,H155,J155,L155)-MIN(B155,D155,F155,H155,J155,L155),IF(C155&lt;&gt;0,MAX(C155,E155,G155,I155,K155,M155)-MIN(C155,E155,G155,I155,K155,M155))))</f>
        <v>0</v>
      </c>
      <c r="S155" s="262"/>
      <c r="T155" s="958" t="str">
        <f t="shared" si="283"/>
        <v/>
      </c>
      <c r="U155" s="959" t="str">
        <f>IF(P155=0,"",IF(P155&lt;Paramétrage!$S$12,"PB",IF(AND(Q155&lt;Paramétrage!$S$12,Q155&lt;&gt;0),"PB","")))</f>
        <v/>
      </c>
      <c r="V155" s="959" t="str">
        <f t="shared" si="270"/>
        <v/>
      </c>
      <c r="W155" s="959" t="str">
        <f t="shared" si="271"/>
        <v/>
      </c>
      <c r="X155" s="960" t="str">
        <f>IF(AND(N155=0,O155=0),"",(IF(OR(C155="aa",C155="cp",C155="f",C155="jc",C155="m",C155="css"),"",IF(C155="",IF(OR(D155-B155&gt;6/24,H155-F155&gt;6/24,L155-J155&gt;6/24),"PB",""),IF(OR(E155-C155&gt;6/24,I155-G155&gt;6/24,M155-K155&gt;6/24),"PB","")))))</f>
        <v/>
      </c>
      <c r="Y155" s="959" t="str">
        <f t="shared" si="273"/>
        <v/>
      </c>
      <c r="Z155" s="836"/>
      <c r="AA155" s="837"/>
      <c r="AB155" s="953"/>
      <c r="AC155" s="934">
        <f t="shared" si="275"/>
        <v>42883</v>
      </c>
      <c r="AD155" s="961">
        <f>IF(AND(N(AC155)&gt;=Paramétrage!$AU$11,N(AC155)&lt;=Paramétrage!$AU$12),IF(C155="cp",1,0),0)</f>
        <v>0</v>
      </c>
      <c r="AE155" s="962">
        <f t="shared" si="274"/>
        <v>0</v>
      </c>
      <c r="AF155" s="961">
        <f>IF(AND(N(AC155)&gt;=Paramétrage!$AX$11,N(AC155)&lt;=Paramétrage!$AX$12),IF(C155="cp",1,0),0)</f>
        <v>0</v>
      </c>
      <c r="AG155" s="962">
        <f t="shared" si="276"/>
        <v>0</v>
      </c>
      <c r="AI155" s="962">
        <f t="shared" si="277"/>
        <v>0</v>
      </c>
      <c r="AJ155" s="962">
        <f t="shared" si="278"/>
        <v>0</v>
      </c>
      <c r="AM155" s="962"/>
      <c r="AN155" s="962"/>
      <c r="AO155" s="962"/>
      <c r="AP155" s="962"/>
    </row>
    <row r="156" spans="1:45" ht="16.5" customHeight="1" thickBot="1" x14ac:dyDescent="0.35">
      <c r="A156" s="966" t="s">
        <v>20</v>
      </c>
      <c r="B156" s="15" t="b">
        <f>IF(Paramétrage!$O$48="",FALSE,Paramétrage!$O$48)</f>
        <v>0</v>
      </c>
      <c r="C156" s="263"/>
      <c r="D156" s="16" t="b">
        <f>IF(Paramétrage!$Q$48="",FALSE,Paramétrage!$Q$48)</f>
        <v>0</v>
      </c>
      <c r="E156" s="264"/>
      <c r="F156" s="15" t="b">
        <f>IF(Paramétrage!$R$48="",FALSE,Paramétrage!$R$48)</f>
        <v>0</v>
      </c>
      <c r="G156" s="264"/>
      <c r="H156" s="17" t="b">
        <f>IF(Paramétrage!$T$48="",FALSE,Paramétrage!$T$48)</f>
        <v>0</v>
      </c>
      <c r="I156" s="263"/>
      <c r="J156" s="127" t="b">
        <f>IF(Paramétrage!$U$48="",FALSE,Paramétrage!$U$48)</f>
        <v>0</v>
      </c>
      <c r="K156" s="263"/>
      <c r="L156" s="28" t="b">
        <f>IF(Paramétrage!$W$48="",FALSE,Paramétrage!$W$48)</f>
        <v>0</v>
      </c>
      <c r="M156" s="263"/>
      <c r="N156" s="956">
        <f>IF(OR(B156="aa",B156="m"),M156,IF(B156="cp",0,IF(B156="jc",0,IF(B156="f",0,(D156-B156)*Paramétrage!$S$13+(H156-F156)*Paramétrage!$S$13+(L156-J156)*Paramétrage!$S$13+(D156-B156+H156-F156+L156-J156)))))</f>
        <v>0</v>
      </c>
      <c r="O156" s="956">
        <f>IF(OR(C156="aa",C156="m"),N156,IF(C156="cp",0,IF(C156="jc",0,IF(C156="f",0,(E156-C156)*Paramétrage!$S$13+(I156-G156)*Paramétrage!$S$13+(M156-K156)*Paramétrage!$S$13+(E156-C156+I156-G156+M156-K156)))))</f>
        <v>0</v>
      </c>
      <c r="P156" s="956">
        <f t="shared" si="266"/>
        <v>0</v>
      </c>
      <c r="Q156" s="956">
        <f t="shared" si="267"/>
        <v>0</v>
      </c>
      <c r="R156" s="957">
        <f t="shared" ref="R156" si="284">IF(OR(C156="aa",C156="cp",C156="f",C156="jc",C156="m",C156=0),MAX(B156,D156,F156,H156,J156,L156)-MIN(B156,D156,F156,H156,J156,L156),IF(C156&lt;&gt;0,MAX(C156,E156,G156,I156,K156,M156)-MIN(C156,E156,G156,I156,K156,M156)))</f>
        <v>0</v>
      </c>
      <c r="S156" s="262"/>
      <c r="T156" s="958" t="str">
        <f t="shared" si="283"/>
        <v/>
      </c>
      <c r="U156" s="959" t="str">
        <f>IF(P156=0,"",IF(P156&lt;Paramétrage!$S$12,"PB",IF(AND(Q156&lt;Paramétrage!$S$12,Q156&lt;&gt;0),"PB","")))</f>
        <v/>
      </c>
      <c r="V156" s="959" t="str">
        <f t="shared" si="270"/>
        <v/>
      </c>
      <c r="W156" s="959" t="str">
        <f t="shared" si="271"/>
        <v/>
      </c>
      <c r="X156" s="960" t="str">
        <f t="shared" ref="X156" si="285">IF(AND(N156=0,O156=0),"",(IF(OR(C156="aa",C156="cp",C156="f",C156="jc",C156="m"),"",IF(C156="",IF(OR(D156-B156&gt;6/24,H156-F156&gt;6/24,L156-J156&gt;6/24),"PB",""),IF(OR(E156-C156&gt;6/24,I156-G156&gt;6/24,M156-K156&gt;6/24),"PB","")))))</f>
        <v/>
      </c>
      <c r="Y156" s="959" t="str">
        <f t="shared" si="273"/>
        <v/>
      </c>
      <c r="Z156" s="836"/>
      <c r="AA156" s="837"/>
      <c r="AB156" s="953"/>
      <c r="AC156" s="934">
        <f t="shared" si="275"/>
        <v>42884</v>
      </c>
      <c r="AD156" s="961">
        <f>IF(AND(N(AC156)&gt;=Paramétrage!$AU$11,N(AC156)&lt;=Paramétrage!$AU$12),IF(C156="cp",1,0),0)</f>
        <v>0</v>
      </c>
      <c r="AE156" s="962">
        <f t="shared" si="274"/>
        <v>0</v>
      </c>
      <c r="AF156" s="961">
        <f>IF(AND(N(AC156)&gt;=Paramétrage!$AX$11,N(AC156)&lt;=Paramétrage!$AX$12),IF(C156="cp",1,0),0)</f>
        <v>0</v>
      </c>
      <c r="AG156" s="962">
        <f t="shared" si="276"/>
        <v>0</v>
      </c>
      <c r="AI156" s="962">
        <f t="shared" si="277"/>
        <v>0</v>
      </c>
      <c r="AJ156" s="962">
        <f t="shared" si="278"/>
        <v>0</v>
      </c>
      <c r="AM156" s="962"/>
      <c r="AN156" s="962"/>
      <c r="AO156" s="962"/>
      <c r="AP156" s="962"/>
    </row>
    <row r="157" spans="1:45" s="935" customFormat="1" x14ac:dyDescent="0.25">
      <c r="A157" s="969" t="s">
        <v>44</v>
      </c>
      <c r="B157" s="970"/>
      <c r="C157" s="970"/>
      <c r="D157" s="970"/>
      <c r="E157" s="970"/>
      <c r="F157" s="970"/>
      <c r="G157" s="970"/>
      <c r="H157" s="970"/>
      <c r="I157" s="970"/>
      <c r="J157" s="970"/>
      <c r="K157" s="971"/>
      <c r="L157" s="970"/>
      <c r="M157" s="970"/>
      <c r="N157" s="972">
        <f>SUM(N150:N156)</f>
        <v>0</v>
      </c>
      <c r="O157" s="972">
        <f>SUM(O150:O156)</f>
        <v>0</v>
      </c>
      <c r="P157" s="972">
        <f>SUM(P150:P156)</f>
        <v>0</v>
      </c>
      <c r="Q157" s="972">
        <f>SUM(Q150:Q156)</f>
        <v>0</v>
      </c>
      <c r="R157" s="972"/>
      <c r="S157" s="972"/>
      <c r="T157" s="973"/>
      <c r="U157" s="974"/>
      <c r="V157" s="975" t="str">
        <f>IF((O157*24)&gt;48,"PB","")</f>
        <v/>
      </c>
      <c r="W157" s="974"/>
      <c r="X157" s="974"/>
      <c r="Y157" s="974"/>
      <c r="Z157" s="1053" t="s">
        <v>59</v>
      </c>
      <c r="AA157" s="1055">
        <f>+O157-N157</f>
        <v>0</v>
      </c>
      <c r="AB157" s="967"/>
      <c r="AE157" s="917"/>
      <c r="AF157" s="917"/>
      <c r="AG157" s="917"/>
      <c r="AH157" s="917"/>
      <c r="AI157" s="917"/>
      <c r="AJ157" s="917"/>
      <c r="AK157" s="917"/>
      <c r="AL157" s="917"/>
      <c r="AR157" s="917"/>
      <c r="AS157" s="917"/>
    </row>
    <row r="158" spans="1:45" s="935" customFormat="1" x14ac:dyDescent="0.25">
      <c r="A158" s="969"/>
      <c r="B158" s="969"/>
      <c r="C158" s="969"/>
      <c r="D158" s="969"/>
      <c r="E158" s="969"/>
      <c r="F158" s="1052"/>
      <c r="G158" s="1052"/>
      <c r="H158" s="1052"/>
      <c r="I158" s="1052"/>
      <c r="J158" s="1052"/>
      <c r="K158" s="969"/>
      <c r="L158" s="969"/>
      <c r="M158" s="969"/>
      <c r="N158" s="973"/>
      <c r="O158" s="969"/>
      <c r="P158" s="980"/>
      <c r="Q158" s="980"/>
      <c r="R158" s="980"/>
      <c r="S158" s="980"/>
      <c r="T158" s="980"/>
      <c r="U158" s="980"/>
      <c r="V158" s="980"/>
      <c r="W158" s="980"/>
      <c r="X158" s="980"/>
      <c r="Y158" s="980"/>
      <c r="Z158" s="1053"/>
      <c r="AA158" s="1055"/>
      <c r="AB158" s="953"/>
      <c r="AE158" s="917"/>
      <c r="AF158" s="917"/>
      <c r="AG158" s="917"/>
      <c r="AH158" s="917"/>
      <c r="AI158" s="917"/>
      <c r="AJ158" s="917"/>
      <c r="AK158" s="917"/>
      <c r="AL158" s="917"/>
      <c r="AR158" s="917"/>
      <c r="AS158" s="917"/>
    </row>
    <row r="159" spans="1:45" s="935" customFormat="1" ht="16.5" x14ac:dyDescent="0.3">
      <c r="A159" s="969"/>
      <c r="B159" s="969"/>
      <c r="C159" s="969"/>
      <c r="D159" s="969"/>
      <c r="E159" s="969"/>
      <c r="F159" s="928">
        <f>+F147+7</f>
        <v>42885</v>
      </c>
      <c r="G159" s="928"/>
      <c r="H159" s="929" t="s">
        <v>58</v>
      </c>
      <c r="I159" s="928">
        <f>+F159+6</f>
        <v>42891</v>
      </c>
      <c r="J159" s="930"/>
      <c r="K159" s="969"/>
      <c r="L159" s="969"/>
      <c r="M159" s="969"/>
      <c r="N159" s="973"/>
      <c r="O159" s="969"/>
      <c r="P159" s="980"/>
      <c r="Q159" s="980"/>
      <c r="R159" s="980"/>
      <c r="S159" s="980"/>
      <c r="T159" s="980"/>
      <c r="U159" s="980"/>
      <c r="V159" s="980"/>
      <c r="W159" s="980"/>
      <c r="X159" s="980"/>
      <c r="Y159" s="980"/>
      <c r="Z159" s="1053"/>
      <c r="AA159" s="1054"/>
      <c r="AB159" s="953"/>
      <c r="AC159" s="917"/>
      <c r="AD159" s="917"/>
      <c r="AE159" s="917"/>
      <c r="AF159" s="917"/>
      <c r="AG159" s="917"/>
      <c r="AH159" s="917"/>
      <c r="AI159" s="917"/>
      <c r="AJ159" s="917"/>
      <c r="AK159" s="917"/>
      <c r="AL159" s="917"/>
      <c r="AM159" s="917"/>
      <c r="AN159" s="917"/>
      <c r="AO159" s="917"/>
      <c r="AP159" s="917"/>
      <c r="AR159" s="917"/>
      <c r="AS159" s="917"/>
    </row>
    <row r="160" spans="1:45" ht="14.45" customHeight="1" x14ac:dyDescent="0.3">
      <c r="A160" s="994"/>
      <c r="B160" s="1063" t="s">
        <v>17</v>
      </c>
      <c r="C160" s="1063"/>
      <c r="D160" s="1063" t="s">
        <v>18</v>
      </c>
      <c r="E160" s="1063"/>
      <c r="F160" s="1066" t="s">
        <v>17</v>
      </c>
      <c r="G160" s="1063"/>
      <c r="H160" s="1063" t="s">
        <v>18</v>
      </c>
      <c r="I160" s="1063"/>
      <c r="J160" s="1063" t="s">
        <v>17</v>
      </c>
      <c r="K160" s="1063"/>
      <c r="L160" s="1063" t="s">
        <v>18</v>
      </c>
      <c r="M160" s="1063"/>
      <c r="N160" s="939" t="s">
        <v>61</v>
      </c>
      <c r="O160" s="939" t="s">
        <v>62</v>
      </c>
      <c r="P160" s="939" t="s">
        <v>60</v>
      </c>
      <c r="Q160" s="939" t="s">
        <v>63</v>
      </c>
      <c r="R160" s="939" t="s">
        <v>64</v>
      </c>
      <c r="S160" s="940" t="s">
        <v>223</v>
      </c>
      <c r="T160" s="939" t="s">
        <v>70</v>
      </c>
      <c r="U160" s="941" t="s">
        <v>65</v>
      </c>
      <c r="V160" s="942"/>
      <c r="W160" s="942"/>
      <c r="X160" s="942"/>
      <c r="Y160" s="943"/>
      <c r="Z160" s="944" t="s">
        <v>22</v>
      </c>
      <c r="AA160" s="944"/>
      <c r="AB160" s="953"/>
    </row>
    <row r="161" spans="1:45" ht="26.25" thickBot="1" x14ac:dyDescent="0.4">
      <c r="A161" s="937" t="str">
        <f>"S"&amp;_xlfn.ISOWEEKNUM(F159)</f>
        <v>S22</v>
      </c>
      <c r="B161" s="1064" t="s">
        <v>0</v>
      </c>
      <c r="C161" s="1065" t="s">
        <v>1</v>
      </c>
      <c r="D161" s="1064" t="s">
        <v>0</v>
      </c>
      <c r="E161" s="1065" t="s">
        <v>1</v>
      </c>
      <c r="F161" s="1067" t="s">
        <v>0</v>
      </c>
      <c r="G161" s="1065" t="s">
        <v>1</v>
      </c>
      <c r="H161" s="1064" t="s">
        <v>0</v>
      </c>
      <c r="I161" s="1065" t="s">
        <v>1</v>
      </c>
      <c r="J161" s="1064" t="s">
        <v>0</v>
      </c>
      <c r="K161" s="1065" t="s">
        <v>1</v>
      </c>
      <c r="L161" s="1064" t="s">
        <v>0</v>
      </c>
      <c r="M161" s="1065" t="s">
        <v>1</v>
      </c>
      <c r="N161" s="951"/>
      <c r="O161" s="951"/>
      <c r="P161" s="951"/>
      <c r="Q161" s="951"/>
      <c r="R161" s="951"/>
      <c r="S161" s="951"/>
      <c r="T161" s="939"/>
      <c r="U161" s="952" t="s">
        <v>66</v>
      </c>
      <c r="V161" s="952" t="s">
        <v>67</v>
      </c>
      <c r="W161" s="952" t="s">
        <v>68</v>
      </c>
      <c r="X161" s="952" t="s">
        <v>137</v>
      </c>
      <c r="Y161" s="952" t="s">
        <v>69</v>
      </c>
      <c r="Z161" s="944"/>
      <c r="AA161" s="944"/>
      <c r="AB161" s="953"/>
    </row>
    <row r="162" spans="1:45" ht="16.5" customHeight="1" x14ac:dyDescent="0.3">
      <c r="A162" s="955" t="s">
        <v>12</v>
      </c>
      <c r="B162" s="15" t="b">
        <f>IF(Paramétrage!$O$42="",FALSE,Paramétrage!$O$42)</f>
        <v>0</v>
      </c>
      <c r="C162" s="263"/>
      <c r="D162" s="16" t="b">
        <f>IF(Paramétrage!$Q$42="",FALSE,Paramétrage!$Q$42)</f>
        <v>0</v>
      </c>
      <c r="E162" s="264"/>
      <c r="F162" s="15" t="b">
        <f>IF(Paramétrage!$R$42="",FALSE,Paramétrage!$R$42)</f>
        <v>0</v>
      </c>
      <c r="G162" s="264"/>
      <c r="H162" s="17" t="b">
        <f>IF(Paramétrage!$T$42="",FALSE,Paramétrage!$T$42)</f>
        <v>0</v>
      </c>
      <c r="I162" s="263"/>
      <c r="J162" s="127" t="b">
        <f>IF(Paramétrage!$U$42="",FALSE,Paramétrage!$U$42)</f>
        <v>0</v>
      </c>
      <c r="K162" s="263"/>
      <c r="L162" s="28" t="b">
        <f>IF(Paramétrage!$W$42="",FALSE,Paramétrage!$W$42)</f>
        <v>0</v>
      </c>
      <c r="M162" s="263"/>
      <c r="N162" s="956">
        <f t="shared" ref="N162:N164" si="286">IF(OR(B162="aa",B162="cp",B162="f",B162="jc",B162="m",B162="css"),0,(L162-J162)+(H162-F162)+(D162-B162))</f>
        <v>0</v>
      </c>
      <c r="O162" s="956">
        <f t="shared" ref="O162:O164" si="287">SUM(AM162:AP162)+IF(OR(C162="m",C162="aa"),N162,IF(C162="css",0,IF(C162="cp",0,IF(C162="jc",0,IF(C162="f",0,E162-C162+I162-G162+M162-K162)))))</f>
        <v>0</v>
      </c>
      <c r="P162" s="956">
        <f t="shared" ref="P162:P168" si="288">IF(OR(C162="aa",C162="cp",C162="f",C162="jc",C162="m",C162="css"),0,IF(C162="",IF(OR(F162="",F162=FALSE),0,F162-D162),IF(G162="",0,G162-E162)))</f>
        <v>0</v>
      </c>
      <c r="Q162" s="956">
        <f t="shared" ref="Q162:Q168" si="289">IF(P162=0,0,IF(G162="",IF(OR(J162="",J162=FALSE),0,J162-H162),IF(K162="",0,K162-I162)))</f>
        <v>0</v>
      </c>
      <c r="R162" s="957">
        <f t="shared" ref="R162:R164" si="290">IF(OR(C162="aa",C162="cp",C162="f",C162="jc",C162="m",C162="css"),0,IF(C162=0,MAX(B162,D162,F162,H162,J162,L162)-MIN(B162,D162,F162,H162,J162,L162),IF(C162&lt;&gt;0,MAX(C162,E162,G162,I162,K162,M162)-MIN(C162,E162,G162,I162,K162,M162))))</f>
        <v>0</v>
      </c>
      <c r="S162" s="262"/>
      <c r="T162" s="958" t="str">
        <f t="shared" ref="T162:T163" si="291">IF(AND(B162=FALSE,C162=""),"",IF(AND(B162=0,C162=0),"",(IF(OR(C162="cp",C162="f",C162="jc",C162="css"),"",IF(OR(C162="",C162="aa",C162="m"),(IF(OR(B162="cp",B162="f",B162="jc",B162="css"),"",B162*24+24-MAX(D161,H161,L161)*24)),C162*24+24-MAX(M161,I161,E161)*24)))))</f>
        <v/>
      </c>
      <c r="U162" s="959" t="str">
        <f>IF(P162=0,"",IF(P162&lt;Paramétrage!$S$12,"PB",IF(AND(Q162&lt;Paramétrage!$S$12,Q162&lt;&gt;0),"PB","")))</f>
        <v/>
      </c>
      <c r="V162" s="959" t="str">
        <f t="shared" ref="V162:V168" si="292">IF(C162="",IF((N162*24)&gt;10,"PB",""),IF((O162*24)&gt;10,"PB",""))</f>
        <v/>
      </c>
      <c r="W162" s="959" t="str">
        <f t="shared" ref="W162:W168" si="293">IF((R162*24)&gt;12,"PB","")</f>
        <v/>
      </c>
      <c r="X162" s="960" t="str">
        <f t="shared" ref="X162:X164" si="294">IF(AND(N162=0,O162=0),"",(IF(OR(C162="aa",C162="cp",C162="f",C162="jc",C162="m",C162="css"),"",IF(C162="",IF(OR(D162-B162&gt;6/24,H162-F162&gt;6/24,L162-J162&gt;6/24),"PB",""),IF(OR(E162-C162&gt;6/24,I162-G162&gt;6/24,M162-K162&gt;6/24),"PB","")))))</f>
        <v/>
      </c>
      <c r="Y162" s="959" t="str">
        <f t="shared" ref="Y162:Y168" si="295">IF(T162="","",IF(T162&lt;11,"PB",""))</f>
        <v/>
      </c>
      <c r="Z162" s="836"/>
      <c r="AA162" s="837"/>
      <c r="AB162" s="953"/>
      <c r="AC162" s="934">
        <f>AC156+1</f>
        <v>42885</v>
      </c>
      <c r="AD162" s="961">
        <f>IF(AND(N(AC162)&gt;=Paramétrage!$AU$11,N(AC162)&lt;=Paramétrage!$AU$12),IF(C162="cp",1,0),0)</f>
        <v>0</v>
      </c>
      <c r="AE162" s="962">
        <f t="shared" ref="AE162:AE168" si="296">IF(O162&lt;&gt;"erreur",N162,O162)</f>
        <v>0</v>
      </c>
      <c r="AF162" s="961">
        <f>IF(AND(N(AC162)&gt;=Paramétrage!$AX$11,N(AC162)&lt;=Paramétrage!$AX$12),IF(C162="cp",1,0),0)</f>
        <v>0</v>
      </c>
      <c r="AG162" s="962">
        <f>'T2'!O6</f>
        <v>0</v>
      </c>
      <c r="AI162" s="962">
        <f>AE162+AI156</f>
        <v>0</v>
      </c>
      <c r="AJ162" s="962">
        <f>AG162+AJ156</f>
        <v>0</v>
      </c>
      <c r="AR162" s="917">
        <f>IF(AND(AC162&lt;=$AR$3,B162="CP"),1,0)</f>
        <v>0</v>
      </c>
      <c r="AS162" s="917">
        <f>IF(AND(AC162&lt;=$AR$3,C162="CP"),1,0)</f>
        <v>0</v>
      </c>
    </row>
    <row r="163" spans="1:45" ht="16.5" customHeight="1" x14ac:dyDescent="0.3">
      <c r="A163" s="964" t="s">
        <v>13</v>
      </c>
      <c r="B163" s="15" t="b">
        <f>IF(Paramétrage!$O$43="",FALSE,Paramétrage!$O$43)</f>
        <v>0</v>
      </c>
      <c r="C163" s="263"/>
      <c r="D163" s="16" t="b">
        <f>IF(Paramétrage!$Q$43="",FALSE,Paramétrage!$Q$43)</f>
        <v>0</v>
      </c>
      <c r="E163" s="264"/>
      <c r="F163" s="15" t="b">
        <f>IF(Paramétrage!$R$43="",FALSE,Paramétrage!$R$43)</f>
        <v>0</v>
      </c>
      <c r="G163" s="264"/>
      <c r="H163" s="17" t="b">
        <f>IF(Paramétrage!$T$43="",FALSE,Paramétrage!$T$43)</f>
        <v>0</v>
      </c>
      <c r="I163" s="263"/>
      <c r="J163" s="127" t="b">
        <f>IF(Paramétrage!$U$43="",FALSE,Paramétrage!$U$43)</f>
        <v>0</v>
      </c>
      <c r="K163" s="263"/>
      <c r="L163" s="28" t="b">
        <f>IF(Paramétrage!$W$43="",FALSE,Paramétrage!$W$43)</f>
        <v>0</v>
      </c>
      <c r="M163" s="263"/>
      <c r="N163" s="956">
        <f t="shared" si="286"/>
        <v>0</v>
      </c>
      <c r="O163" s="956">
        <f t="shared" si="287"/>
        <v>0</v>
      </c>
      <c r="P163" s="956">
        <f t="shared" si="288"/>
        <v>0</v>
      </c>
      <c r="Q163" s="956">
        <f t="shared" si="289"/>
        <v>0</v>
      </c>
      <c r="R163" s="957">
        <f t="shared" si="290"/>
        <v>0</v>
      </c>
      <c r="S163" s="262"/>
      <c r="T163" s="958" t="str">
        <f t="shared" si="291"/>
        <v/>
      </c>
      <c r="U163" s="959" t="str">
        <f>IF(P163=0,"",IF(P163&lt;Paramétrage!$S$12,"PB",IF(AND(Q163&lt;Paramétrage!$S$12,Q163&lt;&gt;0),"PB","")))</f>
        <v/>
      </c>
      <c r="V163" s="959" t="str">
        <f t="shared" si="292"/>
        <v/>
      </c>
      <c r="W163" s="959" t="str">
        <f t="shared" si="293"/>
        <v/>
      </c>
      <c r="X163" s="960" t="str">
        <f t="shared" si="294"/>
        <v/>
      </c>
      <c r="Y163" s="959" t="str">
        <f t="shared" si="295"/>
        <v/>
      </c>
      <c r="Z163" s="836"/>
      <c r="AA163" s="837"/>
      <c r="AB163" s="953"/>
      <c r="AC163" s="934">
        <f t="shared" ref="AC163:AC168" si="297">AC162+1</f>
        <v>42886</v>
      </c>
      <c r="AD163" s="961">
        <f>IF(AND(N(AC163)&gt;=Paramétrage!$AU$11,N(AC163)&lt;=Paramétrage!$AU$12),IF(C163="cp",1,0),0)</f>
        <v>0</v>
      </c>
      <c r="AE163" s="962">
        <f t="shared" si="296"/>
        <v>0</v>
      </c>
      <c r="AF163" s="961">
        <f>IF(AND(N(AC163)&gt;=Paramétrage!$AX$11,N(AC163)&lt;=Paramétrage!$AX$12),IF(C163="cp",1,0),0)</f>
        <v>0</v>
      </c>
      <c r="AG163" s="962">
        <f>'T2'!O7</f>
        <v>0</v>
      </c>
      <c r="AI163" s="962">
        <f t="shared" ref="AI163:AI168" si="298">AE163+AI162</f>
        <v>0</v>
      </c>
      <c r="AJ163" s="962">
        <f t="shared" ref="AJ163:AJ168" si="299">AG163+AJ162</f>
        <v>0</v>
      </c>
      <c r="AR163" s="917">
        <f>IF(AND(AC163&lt;=$AR$3,B163="CP"),1,0)</f>
        <v>0</v>
      </c>
      <c r="AS163" s="917">
        <f>IF(AND(AC163&lt;=$AR$3,C163="CP"),1,0)</f>
        <v>0</v>
      </c>
    </row>
    <row r="164" spans="1:45" ht="16.5" customHeight="1" x14ac:dyDescent="0.3">
      <c r="A164" s="964" t="s">
        <v>14</v>
      </c>
      <c r="B164" s="15" t="b">
        <f>IF(Paramétrage!$O$44="",FALSE,Paramétrage!$O$44)</f>
        <v>0</v>
      </c>
      <c r="C164" s="263"/>
      <c r="D164" s="16" t="b">
        <f>IF(Paramétrage!$Q$44="",FALSE,Paramétrage!$Q$44)</f>
        <v>0</v>
      </c>
      <c r="E164" s="264"/>
      <c r="F164" s="15" t="b">
        <f>IF(Paramétrage!$R$44="",FALSE,Paramétrage!$R$44)</f>
        <v>0</v>
      </c>
      <c r="G164" s="264"/>
      <c r="H164" s="17" t="b">
        <f>IF(Paramétrage!$T$44="",FALSE,Paramétrage!$T$44)</f>
        <v>0</v>
      </c>
      <c r="I164" s="263"/>
      <c r="J164" s="127" t="b">
        <f>IF(Paramétrage!$U$44="",FALSE,Paramétrage!$U$44)</f>
        <v>0</v>
      </c>
      <c r="K164" s="263"/>
      <c r="L164" s="28" t="b">
        <f>IF(Paramétrage!$W$44="",FALSE,Paramétrage!$W$44)</f>
        <v>0</v>
      </c>
      <c r="M164" s="263"/>
      <c r="N164" s="956">
        <f t="shared" si="286"/>
        <v>0</v>
      </c>
      <c r="O164" s="956">
        <f t="shared" si="287"/>
        <v>0</v>
      </c>
      <c r="P164" s="956">
        <f t="shared" si="288"/>
        <v>0</v>
      </c>
      <c r="Q164" s="956">
        <f t="shared" si="289"/>
        <v>0</v>
      </c>
      <c r="R164" s="957">
        <f t="shared" si="290"/>
        <v>0</v>
      </c>
      <c r="S164" s="262"/>
      <c r="T164" s="958" t="str">
        <f>IF(AND(B164=FALSE,C164=""),"",IF(AND(B164=0,C164=0),"",(IF(OR(C164="cp",C164="f",C164="jc",C164="css"),"",IF(OR(C164="",C164="aa",C164="m"),(IF(OR(B164="cp",B164="f",B164="jc",B164="css"),"",B164*24+24-MAX(D163,H163,L163)*24)),C164*24+24-MAX(M163,I163,E163)*24)))))</f>
        <v/>
      </c>
      <c r="U164" s="959" t="str">
        <f>IF(P164=0,"",IF(P164&lt;Paramétrage!$S$12,"PB",IF(AND(Q164&lt;Paramétrage!$S$12,Q164&lt;&gt;0),"PB","")))</f>
        <v/>
      </c>
      <c r="V164" s="959" t="str">
        <f t="shared" si="292"/>
        <v/>
      </c>
      <c r="W164" s="959" t="str">
        <f t="shared" si="293"/>
        <v/>
      </c>
      <c r="X164" s="960" t="str">
        <f t="shared" si="294"/>
        <v/>
      </c>
      <c r="Y164" s="959" t="str">
        <f t="shared" si="295"/>
        <v/>
      </c>
      <c r="Z164" s="836"/>
      <c r="AA164" s="837"/>
      <c r="AB164" s="953"/>
      <c r="AC164" s="934">
        <f t="shared" si="297"/>
        <v>42887</v>
      </c>
      <c r="AD164" s="961">
        <f>IF(AND(N(AC164)&gt;=Paramétrage!$AU$11,N(AC164)&lt;=Paramétrage!$AU$12),IF(C164="cp",1,0),0)</f>
        <v>0</v>
      </c>
      <c r="AE164" s="962">
        <f t="shared" si="296"/>
        <v>0</v>
      </c>
      <c r="AF164" s="961">
        <f>IF(AND(N(AC164)&gt;=Paramétrage!$AX$11,N(AC164)&lt;=Paramétrage!$AX$12),IF(C164="cp",1,0),0)</f>
        <v>0</v>
      </c>
      <c r="AG164" s="962">
        <f>'T2'!O8</f>
        <v>0</v>
      </c>
      <c r="AI164" s="962">
        <f t="shared" si="298"/>
        <v>0</v>
      </c>
      <c r="AJ164" s="962">
        <f t="shared" si="299"/>
        <v>0</v>
      </c>
      <c r="AR164" s="917">
        <f>IF(AND(AC164&lt;=$AR$3,B164="CP"),1,0)</f>
        <v>0</v>
      </c>
      <c r="AS164" s="917">
        <f>IF(AND(AC164&lt;=$AR$3,C164="CP"),1,0)</f>
        <v>0</v>
      </c>
    </row>
    <row r="165" spans="1:45" ht="16.5" customHeight="1" x14ac:dyDescent="0.3">
      <c r="A165" s="964" t="s">
        <v>15</v>
      </c>
      <c r="B165" s="15" t="b">
        <f>IF(Paramétrage!$O$45="",FALSE,Paramétrage!$O$45)</f>
        <v>0</v>
      </c>
      <c r="C165" s="263"/>
      <c r="D165" s="16" t="b">
        <f>IF(Paramétrage!$Q$45="",FALSE,Paramétrage!$Q$45)</f>
        <v>0</v>
      </c>
      <c r="E165" s="264"/>
      <c r="F165" s="15" t="b">
        <f>IF(Paramétrage!$R$45="",FALSE,Paramétrage!$R$45)</f>
        <v>0</v>
      </c>
      <c r="G165" s="264"/>
      <c r="H165" s="17" t="b">
        <f>IF(Paramétrage!$T$45="",FALSE,Paramétrage!$T$45)</f>
        <v>0</v>
      </c>
      <c r="I165" s="263"/>
      <c r="J165" s="127" t="b">
        <f>IF(Paramétrage!$U$45="",FALSE,Paramétrage!$U$45)</f>
        <v>0</v>
      </c>
      <c r="K165" s="263"/>
      <c r="L165" s="28" t="b">
        <f>IF(Paramétrage!$W$45="",FALSE,Paramétrage!$W$45)</f>
        <v>0</v>
      </c>
      <c r="M165" s="263"/>
      <c r="N165" s="956">
        <f>IF(OR(B165="aa",B165="cp",B165="f",B165="jc",B165="m",B165="css"),0,(L165-J165)+(H165-F165)+(D165-B165))</f>
        <v>0</v>
      </c>
      <c r="O165" s="956">
        <f>SUM(AM165:AP165)+IF(OR(C165="m",C165="aa"),N165,IF(C165="css",0,IF(C165="cp",0,IF(C165="jc",0,IF(C165="f",0,E165-C165+I165-G165+M165-K165)))))</f>
        <v>0</v>
      </c>
      <c r="P165" s="956">
        <f t="shared" si="288"/>
        <v>0</v>
      </c>
      <c r="Q165" s="956">
        <f t="shared" si="289"/>
        <v>0</v>
      </c>
      <c r="R165" s="957">
        <f>IF(OR(C165="aa",C165="cp",C165="f",C165="jc",C165="m",C165="css"),0,IF(C165=0,MAX(B165,D165,F165,H165,J165,L165)-MIN(B165,D165,F165,H165,J165,L165),IF(C165&lt;&gt;0,MAX(C165,E165,G165,I165,K165,M165)-MIN(C165,E165,G165,I165,K165,M165))))</f>
        <v>0</v>
      </c>
      <c r="S165" s="262"/>
      <c r="T165" s="958" t="str">
        <f t="shared" ref="T165:T168" si="300">IF(AND(B165=FALSE,C165=""),"",IF(AND(B165=0,C165=0),"",(IF(OR(C165="cp",C165="f",C165="jc",C165="css"),"",IF(OR(C165="",C165="aa",C165="m"),(IF(OR(B165="cp",B165="f",B165="jc",B165="css"),"",B165*24+24-MAX(D164,H164,L164)*24)),C165*24+24-MAX(M164,I164,E164)*24)))))</f>
        <v/>
      </c>
      <c r="U165" s="959" t="str">
        <f>IF(P165=0,"",IF(P165&lt;Paramétrage!$S$12,"PB",IF(AND(Q165&lt;Paramétrage!$S$12,Q165&lt;&gt;0),"PB","")))</f>
        <v/>
      </c>
      <c r="V165" s="959" t="str">
        <f t="shared" si="292"/>
        <v/>
      </c>
      <c r="W165" s="959" t="str">
        <f t="shared" si="293"/>
        <v/>
      </c>
      <c r="X165" s="960" t="str">
        <f>IF(AND(N165=0,O165=0),"",(IF(OR(C165="aa",C165="cp",C165="f",C165="jc",C165="m",C165="css"),"",IF(C165="",IF(OR(D165-B165&gt;6/24,H165-F165&gt;6/24,L165-J165&gt;6/24),"PB",""),IF(OR(E165-C165&gt;6/24,I165-G165&gt;6/24,M165-K165&gt;6/24),"PB","")))))</f>
        <v/>
      </c>
      <c r="Y165" s="959" t="str">
        <f t="shared" si="295"/>
        <v/>
      </c>
      <c r="Z165" s="836"/>
      <c r="AA165" s="837"/>
      <c r="AB165" s="953"/>
      <c r="AC165" s="934">
        <f t="shared" si="297"/>
        <v>42888</v>
      </c>
      <c r="AD165" s="961">
        <f>IF(AND(N(AC165)&gt;=Paramétrage!$AU$11,N(AC165)&lt;=Paramétrage!$AU$12),IF(C165="cp",1,0),0)</f>
        <v>0</v>
      </c>
      <c r="AE165" s="962">
        <f t="shared" si="296"/>
        <v>0</v>
      </c>
      <c r="AF165" s="961">
        <f>IF(AND(N(AC165)&gt;=Paramétrage!$AX$11,N(AC165)&lt;=Paramétrage!$AX$12),IF(C165="cp",1,0),0)</f>
        <v>0</v>
      </c>
      <c r="AG165" s="962">
        <f>'T2'!O9</f>
        <v>0</v>
      </c>
      <c r="AI165" s="962">
        <f t="shared" si="298"/>
        <v>0</v>
      </c>
      <c r="AJ165" s="962">
        <f t="shared" si="299"/>
        <v>0</v>
      </c>
      <c r="AR165" s="917">
        <f>IF(AND(AC165&lt;=$AR$3,B165="CP"),1,0)</f>
        <v>0</v>
      </c>
      <c r="AS165" s="917">
        <f>IF(AND(AC165&lt;=$AR$3,C165="CP"),1,0)</f>
        <v>0</v>
      </c>
    </row>
    <row r="166" spans="1:45" ht="16.5" customHeight="1" x14ac:dyDescent="0.3">
      <c r="A166" s="964" t="s">
        <v>16</v>
      </c>
      <c r="B166" s="15" t="b">
        <f>IF(Paramétrage!$O$46="",FALSE,Paramétrage!$O$46)</f>
        <v>0</v>
      </c>
      <c r="C166" s="263"/>
      <c r="D166" s="16" t="b">
        <f>IF(Paramétrage!$Q$46="",FALSE,Paramétrage!$Q$46)</f>
        <v>0</v>
      </c>
      <c r="E166" s="264"/>
      <c r="F166" s="15" t="b">
        <f>IF(Paramétrage!$R$46="",FALSE,Paramétrage!$R$46)</f>
        <v>0</v>
      </c>
      <c r="G166" s="264"/>
      <c r="H166" s="17" t="b">
        <f>IF(Paramétrage!$T$46="",FALSE,Paramétrage!$T$46)</f>
        <v>0</v>
      </c>
      <c r="I166" s="263"/>
      <c r="J166" s="127" t="b">
        <f>IF(Paramétrage!$U$46="",FALSE,Paramétrage!$U$46)</f>
        <v>0</v>
      </c>
      <c r="K166" s="263"/>
      <c r="L166" s="28" t="b">
        <f>IF(Paramétrage!$W$46="",FALSE,Paramétrage!$W$46)</f>
        <v>0</v>
      </c>
      <c r="M166" s="263"/>
      <c r="N166" s="956">
        <f>IF(OR(B166="aa",B166="cp",B166="f",B166="jc",B166="m",B166="css"),0,(L166-J166)+(H166-F166)+(D166-B166))</f>
        <v>0</v>
      </c>
      <c r="O166" s="956">
        <f>SUM(AM166:AP166)+IF(OR(C166="m",C166="aa"),N166,IF(C166="css",0,IF(C166="cp",0,IF(C166="jc",0,IF(C166="f",0,E166-C166+I166-G166+M166-K166)))))</f>
        <v>0</v>
      </c>
      <c r="P166" s="956">
        <f t="shared" si="288"/>
        <v>0</v>
      </c>
      <c r="Q166" s="956">
        <f t="shared" si="289"/>
        <v>0</v>
      </c>
      <c r="R166" s="957">
        <f>IF(OR(C166="aa",C166="cp",C166="f",C166="jc",C166="m",C166="css"),0,IF(C166=0,MAX(B166,D166,F166,H166,J166,L166)-MIN(B166,D166,F166,H166,J166,L166),IF(C166&lt;&gt;0,MAX(C166,E166,G166,I166,K166,M166)-MIN(C166,E166,G166,I166,K166,M166))))</f>
        <v>0</v>
      </c>
      <c r="S166" s="262"/>
      <c r="T166" s="958" t="str">
        <f t="shared" si="300"/>
        <v/>
      </c>
      <c r="U166" s="959" t="str">
        <f>IF(P166=0,"",IF(P166&lt;Paramétrage!$S$12,"PB",IF(AND(Q166&lt;Paramétrage!$S$12,Q166&lt;&gt;0),"PB","")))</f>
        <v/>
      </c>
      <c r="V166" s="959" t="str">
        <f t="shared" si="292"/>
        <v/>
      </c>
      <c r="W166" s="959" t="str">
        <f t="shared" si="293"/>
        <v/>
      </c>
      <c r="X166" s="960" t="str">
        <f>IF(AND(N166=0,O166=0),"",(IF(OR(C166="aa",C166="cp",C166="f",C166="jc",C166="m",C166="css"),"",IF(C166="",IF(OR(D166-B166&gt;6/24,H166-F166&gt;6/24,L166-J166&gt;6/24),"PB",""),IF(OR(E166-C166&gt;6/24,I166-G166&gt;6/24,M166-K166&gt;6/24),"PB","")))))</f>
        <v/>
      </c>
      <c r="Y166" s="959" t="str">
        <f t="shared" si="295"/>
        <v/>
      </c>
      <c r="Z166" s="836"/>
      <c r="AA166" s="837"/>
      <c r="AB166" s="953"/>
      <c r="AC166" s="934">
        <f t="shared" si="297"/>
        <v>42889</v>
      </c>
      <c r="AD166" s="961">
        <f>IF(AND(N(AC166)&gt;=Paramétrage!$AU$11,N(AC166)&lt;=Paramétrage!$AU$12),IF(C166="cp",1,0),0)</f>
        <v>0</v>
      </c>
      <c r="AE166" s="962">
        <f t="shared" si="296"/>
        <v>0</v>
      </c>
      <c r="AF166" s="961">
        <f>IF(AND(N(AC166)&gt;=Paramétrage!$AX$11,N(AC166)&lt;=Paramétrage!$AX$12),IF(C166="cp",1,0),0)</f>
        <v>0</v>
      </c>
      <c r="AG166" s="962">
        <f>'T2'!O10</f>
        <v>0</v>
      </c>
      <c r="AI166" s="962">
        <f t="shared" si="298"/>
        <v>0</v>
      </c>
      <c r="AJ166" s="962">
        <f t="shared" si="299"/>
        <v>0</v>
      </c>
      <c r="AR166" s="917">
        <f>IF(AND(AC166&lt;=$AR$3,B166="CP"),1,0)</f>
        <v>0</v>
      </c>
      <c r="AS166" s="917">
        <f>IF(AND(AC166&lt;=$AR$3,C166="CP"),1,0)</f>
        <v>0</v>
      </c>
    </row>
    <row r="167" spans="1:45" ht="16.5" customHeight="1" x14ac:dyDescent="0.3">
      <c r="A167" s="964" t="s">
        <v>19</v>
      </c>
      <c r="B167" s="15" t="b">
        <f>IF(Paramétrage!$O$47="",FALSE,Paramétrage!$O$47)</f>
        <v>0</v>
      </c>
      <c r="C167" s="263"/>
      <c r="D167" s="16" t="b">
        <f>IF(Paramétrage!$Q$47="",FALSE,Paramétrage!$Q$47)</f>
        <v>0</v>
      </c>
      <c r="E167" s="264"/>
      <c r="F167" s="15" t="b">
        <f>IF(Paramétrage!$R$47="",FALSE,Paramétrage!$R$47)</f>
        <v>0</v>
      </c>
      <c r="G167" s="264"/>
      <c r="H167" s="17" t="b">
        <f>IF(Paramétrage!$T$47="",FALSE,Paramétrage!$T$47)</f>
        <v>0</v>
      </c>
      <c r="I167" s="263"/>
      <c r="J167" s="127" t="b">
        <f>IF(Paramétrage!$U$47="",FALSE,Paramétrage!$U$47)</f>
        <v>0</v>
      </c>
      <c r="K167" s="263"/>
      <c r="L167" s="28" t="b">
        <f>IF(Paramétrage!$W$47="",FALSE,Paramétrage!$W$47)</f>
        <v>0</v>
      </c>
      <c r="M167" s="263"/>
      <c r="N167" s="956">
        <f>IF(OR(B167="aa",B167="cp",B167="f",B167="jc",B167="m",B167="css"),0,(L167-J167)+(H167-F167)+(D167-B167))</f>
        <v>0</v>
      </c>
      <c r="O167" s="956">
        <f>IF(OR(C167="m",C167="aa"),N167,IF(C167="cp",0,IF(OR(C167="css",C167="jc"),0,IF(C167="f",0,E167-C167+I167-G167+M167-K167))))</f>
        <v>0</v>
      </c>
      <c r="P167" s="956">
        <f t="shared" si="288"/>
        <v>0</v>
      </c>
      <c r="Q167" s="956">
        <f t="shared" si="289"/>
        <v>0</v>
      </c>
      <c r="R167" s="957">
        <f>IF(OR(C167="aa",C167="cp",C167="f",C167="jc",C167="m",C167="css"),0,IF(C167=0,MAX(B167,D167,F167,H167,J167,L167)-MIN(B167,D167,F167,H167,J167,L167),IF(C167&lt;&gt;0,MAX(C167,E167,G167,I167,K167,M167)-MIN(C167,E167,G167,I167,K167,M167))))</f>
        <v>0</v>
      </c>
      <c r="S167" s="262"/>
      <c r="T167" s="958" t="str">
        <f t="shared" si="300"/>
        <v/>
      </c>
      <c r="U167" s="959" t="str">
        <f>IF(P167=0,"",IF(P167&lt;Paramétrage!$S$12,"PB",IF(AND(Q167&lt;Paramétrage!$S$12,Q167&lt;&gt;0),"PB","")))</f>
        <v/>
      </c>
      <c r="V167" s="959" t="str">
        <f t="shared" si="292"/>
        <v/>
      </c>
      <c r="W167" s="959" t="str">
        <f t="shared" si="293"/>
        <v/>
      </c>
      <c r="X167" s="960" t="str">
        <f>IF(AND(N167=0,O167=0),"",(IF(OR(C167="aa",C167="cp",C167="f",C167="jc",C167="m",C167="css"),"",IF(C167="",IF(OR(D167-B167&gt;6/24,H167-F167&gt;6/24,L167-J167&gt;6/24),"PB",""),IF(OR(E167-C167&gt;6/24,I167-G167&gt;6/24,M167-K167&gt;6/24),"PB","")))))</f>
        <v/>
      </c>
      <c r="Y167" s="959" t="str">
        <f t="shared" si="295"/>
        <v/>
      </c>
      <c r="Z167" s="836"/>
      <c r="AA167" s="837"/>
      <c r="AB167" s="953"/>
      <c r="AC167" s="934">
        <f t="shared" si="297"/>
        <v>42890</v>
      </c>
      <c r="AD167" s="961">
        <f>IF(AND(N(AC167)&gt;=Paramétrage!$AU$11,N(AC167)&lt;=Paramétrage!$AU$12),IF(C167="cp",1,0),0)</f>
        <v>0</v>
      </c>
      <c r="AE167" s="962">
        <f t="shared" si="296"/>
        <v>0</v>
      </c>
      <c r="AF167" s="961">
        <f>IF(AND(N(AC167)&gt;=Paramétrage!$AX$11,N(AC167)&lt;=Paramétrage!$AX$12),IF(C167="cp",1,0),0)</f>
        <v>0</v>
      </c>
      <c r="AG167" s="962">
        <f>'T2'!O11</f>
        <v>0</v>
      </c>
      <c r="AI167" s="962">
        <f t="shared" si="298"/>
        <v>0</v>
      </c>
      <c r="AJ167" s="962">
        <f t="shared" si="299"/>
        <v>0</v>
      </c>
    </row>
    <row r="168" spans="1:45" ht="16.5" customHeight="1" thickBot="1" x14ac:dyDescent="0.35">
      <c r="A168" s="966" t="s">
        <v>20</v>
      </c>
      <c r="B168" s="15" t="b">
        <f>IF(Paramétrage!$O$48="",FALSE,Paramétrage!$O$48)</f>
        <v>0</v>
      </c>
      <c r="C168" s="263"/>
      <c r="D168" s="16" t="b">
        <f>IF(Paramétrage!$Q$48="",FALSE,Paramétrage!$Q$48)</f>
        <v>0</v>
      </c>
      <c r="E168" s="264"/>
      <c r="F168" s="15" t="b">
        <f>IF(Paramétrage!$R$48="",FALSE,Paramétrage!$R$48)</f>
        <v>0</v>
      </c>
      <c r="G168" s="264"/>
      <c r="H168" s="17" t="b">
        <f>IF(Paramétrage!$T$48="",FALSE,Paramétrage!$T$48)</f>
        <v>0</v>
      </c>
      <c r="I168" s="263"/>
      <c r="J168" s="127" t="b">
        <f>IF(Paramétrage!$U$48="",FALSE,Paramétrage!$U$48)</f>
        <v>0</v>
      </c>
      <c r="K168" s="263"/>
      <c r="L168" s="28" t="b">
        <f>IF(Paramétrage!$W$48="",FALSE,Paramétrage!$W$48)</f>
        <v>0</v>
      </c>
      <c r="M168" s="263"/>
      <c r="N168" s="956">
        <f>IF(OR(B168="aa",B168="m"),M168,IF(B168="cp",0,IF(B168="jc",0,IF(B168="f",0,(D168-B168)*Paramétrage!$S$13+(H168-F168)*Paramétrage!$S$13+(L168-J168)*Paramétrage!$S$13+(D168-B168+H168-F168+L168-J168)))))</f>
        <v>0</v>
      </c>
      <c r="O168" s="956">
        <f>IF(OR(C168="aa",C168="m"),N168,IF(C168="cp",0,IF(C168="jc",0,IF(C168="f",0,(E168-C168)*Paramétrage!$S$13+(I168-G168)*Paramétrage!$S$13+(M168-K168)*Paramétrage!$S$13+(E168-C168+I168-G168+M168-K168)))))</f>
        <v>0</v>
      </c>
      <c r="P168" s="956">
        <f t="shared" si="288"/>
        <v>0</v>
      </c>
      <c r="Q168" s="956">
        <f t="shared" si="289"/>
        <v>0</v>
      </c>
      <c r="R168" s="957">
        <f t="shared" ref="R168" si="301">IF(OR(C168="aa",C168="cp",C168="f",C168="jc",C168="m",C168=0),MAX(B168,D168,F168,H168,J168,L168)-MIN(B168,D168,F168,H168,J168,L168),IF(C168&lt;&gt;0,MAX(C168,E168,G168,I168,K168,M168)-MIN(C168,E168,G168,I168,K168,M168)))</f>
        <v>0</v>
      </c>
      <c r="S168" s="262"/>
      <c r="T168" s="958" t="str">
        <f t="shared" si="300"/>
        <v/>
      </c>
      <c r="U168" s="959" t="str">
        <f>IF(P168=0,"",IF(P168&lt;Paramétrage!$S$12,"PB",IF(AND(Q168&lt;Paramétrage!$S$12,Q168&lt;&gt;0),"PB","")))</f>
        <v/>
      </c>
      <c r="V168" s="959" t="str">
        <f t="shared" si="292"/>
        <v/>
      </c>
      <c r="W168" s="959" t="str">
        <f t="shared" si="293"/>
        <v/>
      </c>
      <c r="X168" s="960" t="str">
        <f t="shared" ref="X168" si="302">IF(AND(N168=0,O168=0),"",(IF(OR(C168="aa",C168="cp",C168="f",C168="jc",C168="m"),"",IF(C168="",IF(OR(D168-B168&gt;6/24,H168-F168&gt;6/24,L168-J168&gt;6/24),"PB",""),IF(OR(E168-C168&gt;6/24,I168-G168&gt;6/24,M168-K168&gt;6/24),"PB","")))))</f>
        <v/>
      </c>
      <c r="Y168" s="959" t="str">
        <f t="shared" si="295"/>
        <v/>
      </c>
      <c r="Z168" s="836"/>
      <c r="AA168" s="837"/>
      <c r="AC168" s="934">
        <f t="shared" si="297"/>
        <v>42891</v>
      </c>
      <c r="AD168" s="961">
        <f>IF(AND(N(AC168)&gt;=Paramétrage!$AU$11,N(AC168)&lt;=Paramétrage!$AU$12),IF(C168="cp",1,0),0)</f>
        <v>0</v>
      </c>
      <c r="AE168" s="962">
        <f t="shared" si="296"/>
        <v>0</v>
      </c>
      <c r="AF168" s="961">
        <f>IF(AND(N(AC168)&gt;=Paramétrage!$AX$11,N(AC168)&lt;=Paramétrage!$AX$12),IF(C168="cp",1,0),0)</f>
        <v>0</v>
      </c>
      <c r="AG168" s="962">
        <f>'T2'!O12</f>
        <v>0</v>
      </c>
      <c r="AI168" s="962">
        <f t="shared" si="298"/>
        <v>0</v>
      </c>
      <c r="AJ168" s="962">
        <f t="shared" si="299"/>
        <v>0</v>
      </c>
    </row>
    <row r="169" spans="1:45" s="935" customFormat="1" x14ac:dyDescent="0.25">
      <c r="A169" s="969" t="s">
        <v>45</v>
      </c>
      <c r="B169" s="970"/>
      <c r="C169" s="970"/>
      <c r="D169" s="970"/>
      <c r="E169" s="970"/>
      <c r="F169" s="970"/>
      <c r="G169" s="970"/>
      <c r="H169" s="970"/>
      <c r="I169" s="970"/>
      <c r="J169" s="970"/>
      <c r="K169" s="971"/>
      <c r="L169" s="970"/>
      <c r="M169" s="970"/>
      <c r="N169" s="972">
        <f>SUM(N162:N168)</f>
        <v>0</v>
      </c>
      <c r="O169" s="972">
        <f>SUM(O162:O168)</f>
        <v>0</v>
      </c>
      <c r="P169" s="972">
        <f>SUM(P162:P168)</f>
        <v>0</v>
      </c>
      <c r="Q169" s="972">
        <f>SUM(Q162:Q168)</f>
        <v>0</v>
      </c>
      <c r="R169" s="972"/>
      <c r="S169" s="973"/>
      <c r="T169" s="973"/>
      <c r="U169" s="974"/>
      <c r="V169" s="975" t="str">
        <f>IF((O169*24)&gt;48,"PB","")</f>
        <v/>
      </c>
      <c r="W169" s="974"/>
      <c r="X169" s="974"/>
      <c r="Y169" s="974"/>
      <c r="Z169" s="1053" t="s">
        <v>59</v>
      </c>
      <c r="AA169" s="1054">
        <f>+O169-N169</f>
        <v>0</v>
      </c>
      <c r="AB169" s="967"/>
      <c r="AC169" s="917"/>
      <c r="AE169" s="917"/>
      <c r="AF169" s="917"/>
      <c r="AG169" s="917"/>
      <c r="AH169" s="917"/>
      <c r="AI169" s="917"/>
      <c r="AJ169" s="917"/>
      <c r="AK169" s="917"/>
      <c r="AL169" s="917"/>
      <c r="AM169" s="917"/>
      <c r="AN169" s="917"/>
      <c r="AO169" s="917"/>
      <c r="AP169" s="917"/>
      <c r="AR169" s="917"/>
      <c r="AS169" s="917"/>
    </row>
    <row r="170" spans="1:45" s="935" customFormat="1" x14ac:dyDescent="0.25">
      <c r="A170" s="969"/>
      <c r="B170" s="969"/>
      <c r="C170" s="969"/>
      <c r="D170" s="969"/>
      <c r="E170" s="969"/>
      <c r="F170" s="1052"/>
      <c r="G170" s="1052"/>
      <c r="H170" s="1052"/>
      <c r="I170" s="1052"/>
      <c r="J170" s="1052"/>
      <c r="K170" s="969"/>
      <c r="L170" s="969"/>
      <c r="M170" s="969"/>
      <c r="N170" s="973"/>
      <c r="O170" s="969"/>
      <c r="P170" s="980"/>
      <c r="Q170" s="980"/>
      <c r="R170" s="980"/>
      <c r="S170" s="980"/>
      <c r="T170" s="980"/>
      <c r="U170" s="980"/>
      <c r="V170" s="980"/>
      <c r="W170" s="980"/>
      <c r="X170" s="980"/>
      <c r="Y170" s="980"/>
      <c r="Z170" s="1053"/>
      <c r="AA170" s="1054"/>
      <c r="AB170" s="917"/>
      <c r="AC170" s="917"/>
      <c r="AE170" s="917"/>
      <c r="AF170" s="917"/>
      <c r="AG170" s="917"/>
      <c r="AH170" s="917"/>
      <c r="AI170" s="917"/>
      <c r="AJ170" s="917"/>
      <c r="AK170" s="917"/>
      <c r="AL170" s="917"/>
      <c r="AM170" s="917"/>
      <c r="AN170" s="917"/>
      <c r="AO170" s="917"/>
      <c r="AP170" s="917"/>
      <c r="AR170" s="917"/>
      <c r="AS170" s="917"/>
    </row>
    <row r="171" spans="1:45" ht="16.5" x14ac:dyDescent="0.3">
      <c r="A171" s="997" t="s">
        <v>231</v>
      </c>
      <c r="B171" s="997"/>
      <c r="C171" s="997"/>
      <c r="D171" s="997"/>
      <c r="E171" s="997"/>
      <c r="F171" s="1068">
        <f>N133+N121+N109+N97+N85+N73+N61+N49+N37+N25+N13+N145+N157+N169</f>
        <v>0</v>
      </c>
      <c r="G171" s="1069"/>
      <c r="H171" s="1058"/>
      <c r="I171" s="1058"/>
      <c r="J171" s="1058"/>
      <c r="K171" s="999"/>
      <c r="L171" s="999"/>
      <c r="M171" s="999"/>
      <c r="N171" s="999"/>
      <c r="O171" s="997"/>
      <c r="P171" s="997"/>
      <c r="Q171" s="997"/>
      <c r="R171" s="1000"/>
      <c r="S171" s="1000"/>
      <c r="T171" s="1000"/>
      <c r="U171" s="1000"/>
      <c r="V171" s="1000"/>
      <c r="W171" s="1000"/>
      <c r="X171" s="1000"/>
      <c r="Y171" s="1000"/>
      <c r="Z171" s="1001"/>
      <c r="AA171" s="1002"/>
      <c r="AB171" s="967"/>
      <c r="AD171" s="935"/>
    </row>
    <row r="172" spans="1:45" ht="18.75" x14ac:dyDescent="0.3">
      <c r="A172" s="1003" t="s">
        <v>232</v>
      </c>
      <c r="B172" s="1003"/>
      <c r="C172" s="1003"/>
      <c r="D172" s="1003"/>
      <c r="E172" s="1003"/>
      <c r="F172" s="1070">
        <f>O133+O121+O109+O97+O85+O73+O61+O49+O37+O25+O13+O145+O157+O169</f>
        <v>0</v>
      </c>
      <c r="G172" s="1071"/>
      <c r="H172" s="1058"/>
      <c r="I172" s="1058"/>
      <c r="J172" s="1058"/>
      <c r="K172" s="999"/>
      <c r="L172" s="999"/>
      <c r="M172" s="999"/>
      <c r="N172" s="999"/>
      <c r="O172" s="997"/>
      <c r="P172" s="997"/>
      <c r="Q172" s="997"/>
      <c r="R172" s="1005" t="s">
        <v>120</v>
      </c>
      <c r="S172" s="1005"/>
      <c r="T172" s="1005"/>
      <c r="U172" s="1005"/>
      <c r="V172" s="1005"/>
      <c r="W172" s="1005"/>
      <c r="X172" s="1005"/>
      <c r="Y172" s="1005"/>
      <c r="Z172" s="1005"/>
      <c r="AA172" s="1005"/>
    </row>
    <row r="173" spans="1:45" ht="16.5" x14ac:dyDescent="0.3">
      <c r="A173" s="1003" t="s">
        <v>233</v>
      </c>
      <c r="B173" s="1003"/>
      <c r="C173" s="1003"/>
      <c r="D173" s="1003"/>
      <c r="E173" s="1003"/>
      <c r="F173" s="1070">
        <f>+annualisation!$B$57</f>
        <v>0</v>
      </c>
      <c r="G173" s="1071"/>
      <c r="H173" s="1058"/>
      <c r="I173" s="1058"/>
      <c r="J173" s="1058"/>
      <c r="K173" s="999"/>
      <c r="L173" s="999"/>
      <c r="M173" s="999"/>
      <c r="N173" s="999"/>
      <c r="O173" s="997"/>
      <c r="P173" s="997"/>
      <c r="Q173" s="997"/>
      <c r="R173" s="1000"/>
      <c r="S173" s="1000"/>
      <c r="T173" s="1000"/>
      <c r="U173" s="1000"/>
      <c r="V173" s="1000"/>
      <c r="W173" s="1000"/>
      <c r="X173" s="1000"/>
      <c r="Y173" s="1000"/>
      <c r="Z173" s="1001"/>
      <c r="AA173" s="1002"/>
    </row>
    <row r="174" spans="1:45" ht="16.5" customHeight="1" x14ac:dyDescent="0.3">
      <c r="A174" s="1003" t="s">
        <v>71</v>
      </c>
      <c r="B174" s="1003"/>
      <c r="C174" s="1003"/>
      <c r="D174" s="1003"/>
      <c r="E174" s="1003"/>
      <c r="F174" s="1070">
        <f>+annualisation!F78</f>
        <v>0</v>
      </c>
      <c r="G174" s="1071"/>
      <c r="H174" s="1058"/>
      <c r="I174" s="1058"/>
      <c r="J174" s="1058"/>
      <c r="K174" s="999"/>
      <c r="L174" s="999"/>
      <c r="M174" s="999"/>
      <c r="N174" s="999"/>
      <c r="O174" s="997"/>
      <c r="P174" s="1006"/>
      <c r="Q174" s="1007" t="s">
        <v>155</v>
      </c>
      <c r="R174" s="1008"/>
      <c r="S174" s="1072" t="str">
        <f>Paramétrage!$K$5&amp;" "&amp;Paramétrage!$C$5</f>
        <v xml:space="preserve"> </v>
      </c>
      <c r="T174" s="1009"/>
      <c r="U174" s="1009"/>
      <c r="V174" s="1009"/>
      <c r="W174" s="1009"/>
      <c r="X174" s="1009"/>
      <c r="Y174" s="1010"/>
      <c r="Z174" s="1073" t="s">
        <v>154</v>
      </c>
      <c r="AA174" s="1074"/>
      <c r="AD174" s="961"/>
      <c r="AF174" s="961"/>
      <c r="AG174" s="962">
        <f>'T2'!O18</f>
        <v>0</v>
      </c>
      <c r="AI174" s="962">
        <f>AE174+AI168</f>
        <v>0</v>
      </c>
      <c r="AJ174" s="962">
        <f>AG174+AJ168</f>
        <v>0</v>
      </c>
    </row>
    <row r="175" spans="1:45" ht="16.5" x14ac:dyDescent="0.3">
      <c r="A175" s="1003" t="s">
        <v>234</v>
      </c>
      <c r="B175" s="1003"/>
      <c r="C175" s="1003"/>
      <c r="D175" s="1003"/>
      <c r="E175" s="1003"/>
      <c r="F175" s="1075">
        <f>COUNTIF(C150:C156,"cp")+COUNTIF(C138:C144,"cp")+COUNTIF(C54:C60,"cp")+COUNTIF(C42:C48,"cp")+COUNTIF(C30:C36,"cp")+COUNTIF(C18:C24,"cp")+COUNTIF(C66:C72,"cp")+COUNTIF(C78:C84,"cp")+COUNTIF(C90:C96,"cp")+COUNTIF(C102:C108,"cp")+COUNTIF(C114:C120,"cp")+COUNTIF(C126:C132,"cp")+COUNTIF(C6:C12,"cp")+COUNTIF(C162:C168,"cp")</f>
        <v>0</v>
      </c>
      <c r="G175" s="1076"/>
      <c r="H175" s="1013" t="s">
        <v>23</v>
      </c>
      <c r="I175" s="1014"/>
      <c r="J175" s="1015" t="str">
        <f>ROUND(Paramétrage!AD11,2)-F175-'T1'!F163-'T2'!F163&amp;" jours"</f>
        <v>25 jours</v>
      </c>
      <c r="K175" s="1016"/>
      <c r="L175" s="999"/>
      <c r="M175" s="999"/>
      <c r="N175" s="999"/>
      <c r="O175" s="997"/>
      <c r="P175" s="997"/>
      <c r="Q175" s="1017"/>
      <c r="R175" s="1018"/>
      <c r="S175" s="1077"/>
      <c r="T175" s="1019"/>
      <c r="U175" s="1019"/>
      <c r="V175" s="1019"/>
      <c r="W175" s="1019"/>
      <c r="X175" s="1019"/>
      <c r="Y175" s="1020"/>
      <c r="Z175" s="1078"/>
      <c r="AA175" s="1079"/>
      <c r="AD175" s="961"/>
      <c r="AF175" s="961"/>
      <c r="AG175" s="962">
        <f>'T2'!O19</f>
        <v>0</v>
      </c>
      <c r="AI175" s="962">
        <f t="shared" ref="AI175:AI180" si="303">AE175+AI174</f>
        <v>0</v>
      </c>
      <c r="AJ175" s="962">
        <f t="shared" ref="AJ175:AJ180" si="304">AG175+AJ174</f>
        <v>0</v>
      </c>
    </row>
    <row r="176" spans="1:45" ht="16.5" x14ac:dyDescent="0.3">
      <c r="A176" s="1003" t="s">
        <v>235</v>
      </c>
      <c r="B176" s="1003"/>
      <c r="C176" s="1003"/>
      <c r="D176" s="1003"/>
      <c r="E176" s="1003"/>
      <c r="F176" s="1075">
        <f>COUNTIF(C150:C156,"jc")+COUNTIF(C138:C144,"jc")+COUNTIF(C54:C60,"jc")+COUNTIF(C42:C48,"jc")+COUNTIF(C30:C36,"jc")+COUNTIF(C18:C24,"jc")+COUNTIF(C66:C72,"jc")+COUNTIF(C78:C84,"jc")+COUNTIF(C90:C96,"jc")+COUNTIF(C102:C108,"jc")+COUNTIF(C114:C120,"jc")+COUNTIF(C126:C132,"jc")+COUNTIF(C6:C12,"jc")+COUNTIF(C162:C168,"jc")</f>
        <v>0</v>
      </c>
      <c r="G176" s="1076"/>
      <c r="H176" s="1058"/>
      <c r="I176" s="1058"/>
      <c r="J176" s="1058"/>
      <c r="K176" s="999"/>
      <c r="L176" s="999"/>
      <c r="M176" s="999"/>
      <c r="N176" s="999"/>
      <c r="O176" s="997"/>
      <c r="P176" s="997"/>
      <c r="Q176" s="1021"/>
      <c r="R176" s="1022"/>
      <c r="S176" s="1080"/>
      <c r="T176" s="1023"/>
      <c r="U176" s="1023"/>
      <c r="V176" s="1023"/>
      <c r="W176" s="1023"/>
      <c r="X176" s="1023"/>
      <c r="Y176" s="1024"/>
      <c r="Z176" s="1081"/>
      <c r="AA176" s="1082"/>
      <c r="AD176" s="961"/>
      <c r="AF176" s="961"/>
      <c r="AG176" s="962">
        <f>'T2'!O20</f>
        <v>0</v>
      </c>
      <c r="AI176" s="962">
        <f t="shared" si="303"/>
        <v>0</v>
      </c>
      <c r="AJ176" s="962">
        <f t="shared" si="304"/>
        <v>0</v>
      </c>
    </row>
    <row r="177" spans="1:36" ht="16.5" x14ac:dyDescent="0.3">
      <c r="A177" s="1003" t="s">
        <v>236</v>
      </c>
      <c r="B177" s="1003"/>
      <c r="C177" s="1003"/>
      <c r="D177" s="1003"/>
      <c r="E177" s="1003"/>
      <c r="F177" s="1075">
        <f>COUNTIF(C150:C156,"m")+COUNTIF(C138:C144,"m")+COUNTIF(C54:C60,"m")+COUNTIF(C42:C48,"m")+COUNTIF(C30:C36,"m")+COUNTIF(C18:C24,"m")+COUNTIF(C66:C72,"m")+COUNTIF(C78:C84,"m")+COUNTIF(C90:C96,"m")+COUNTIF(C102:C108,"m")+COUNTIF(C114:C120,"m")+COUNTIF(C126:C132,"m")+COUNTIF(C6:C12,"m")+COUNTIF(C162:C168,"m")</f>
        <v>0</v>
      </c>
      <c r="G177" s="1076"/>
      <c r="H177" s="1058"/>
      <c r="I177" s="1058"/>
      <c r="J177" s="1058"/>
      <c r="K177" s="999"/>
      <c r="L177" s="999"/>
      <c r="M177" s="999"/>
      <c r="N177" s="999"/>
      <c r="O177" s="997"/>
      <c r="P177" s="1083" t="str">
        <f>A5</f>
        <v>S9</v>
      </c>
      <c r="Q177" s="1026"/>
      <c r="R177" s="1027"/>
      <c r="S177" s="1026"/>
      <c r="T177" s="1028"/>
      <c r="U177" s="1028"/>
      <c r="V177" s="1028"/>
      <c r="W177" s="1028"/>
      <c r="X177" s="1028"/>
      <c r="Y177" s="1027"/>
      <c r="Z177" s="1029"/>
      <c r="AA177" s="1030"/>
      <c r="AD177" s="961"/>
      <c r="AF177" s="961"/>
      <c r="AG177" s="962">
        <f>'T2'!O21</f>
        <v>0</v>
      </c>
      <c r="AI177" s="962">
        <f t="shared" si="303"/>
        <v>0</v>
      </c>
      <c r="AJ177" s="962">
        <f t="shared" si="304"/>
        <v>0</v>
      </c>
    </row>
    <row r="178" spans="1:36" ht="16.5" x14ac:dyDescent="0.3">
      <c r="A178" s="1003" t="s">
        <v>222</v>
      </c>
      <c r="B178" s="1000"/>
      <c r="C178" s="1000"/>
      <c r="D178" s="1000"/>
      <c r="E178" s="1000"/>
      <c r="F178" s="1012">
        <f>COUNTIF(C6:C168,"aa")</f>
        <v>0</v>
      </c>
      <c r="G178" s="1012"/>
      <c r="H178" s="1000"/>
      <c r="I178" s="1000"/>
      <c r="J178" s="999"/>
      <c r="K178" s="999"/>
      <c r="L178" s="999"/>
      <c r="M178" s="999"/>
      <c r="N178" s="999"/>
      <c r="O178" s="997"/>
      <c r="P178" s="1084"/>
      <c r="Q178" s="1031"/>
      <c r="R178" s="1032"/>
      <c r="S178" s="1031"/>
      <c r="T178" s="1033"/>
      <c r="U178" s="1033"/>
      <c r="V178" s="1033"/>
      <c r="W178" s="1033"/>
      <c r="X178" s="1033"/>
      <c r="Y178" s="1032"/>
      <c r="Z178" s="1034"/>
      <c r="AA178" s="1035"/>
      <c r="AD178" s="961"/>
      <c r="AF178" s="961"/>
      <c r="AG178" s="962">
        <f>'T2'!O22</f>
        <v>0</v>
      </c>
      <c r="AI178" s="962">
        <f t="shared" si="303"/>
        <v>0</v>
      </c>
      <c r="AJ178" s="962">
        <f t="shared" si="304"/>
        <v>0</v>
      </c>
    </row>
    <row r="179" spans="1:36" ht="16.5" x14ac:dyDescent="0.3">
      <c r="A179" s="1000"/>
      <c r="B179" s="1000"/>
      <c r="C179" s="1000"/>
      <c r="D179" s="1000"/>
      <c r="E179" s="1000"/>
      <c r="F179" s="1036"/>
      <c r="G179" s="1000"/>
      <c r="H179" s="1000"/>
      <c r="I179" s="1000"/>
      <c r="J179" s="999"/>
      <c r="K179" s="999"/>
      <c r="L179" s="999"/>
      <c r="M179" s="999"/>
      <c r="N179" s="999"/>
      <c r="O179" s="997"/>
      <c r="P179" s="1083" t="str">
        <f>A17</f>
        <v>S10</v>
      </c>
      <c r="Q179" s="1026"/>
      <c r="R179" s="1027"/>
      <c r="S179" s="1026"/>
      <c r="T179" s="1028"/>
      <c r="U179" s="1028"/>
      <c r="V179" s="1028"/>
      <c r="W179" s="1028"/>
      <c r="X179" s="1028"/>
      <c r="Y179" s="1027"/>
      <c r="Z179" s="1029"/>
      <c r="AA179" s="1030"/>
      <c r="AD179" s="961"/>
      <c r="AF179" s="961"/>
      <c r="AG179" s="962">
        <f>'T2'!O23</f>
        <v>0</v>
      </c>
      <c r="AI179" s="962">
        <f t="shared" si="303"/>
        <v>0</v>
      </c>
      <c r="AJ179" s="962">
        <f t="shared" si="304"/>
        <v>0</v>
      </c>
    </row>
    <row r="180" spans="1:36" ht="16.5" x14ac:dyDescent="0.3">
      <c r="A180" s="1000"/>
      <c r="B180" s="1000"/>
      <c r="C180" s="1000"/>
      <c r="D180" s="1000"/>
      <c r="E180" s="1000"/>
      <c r="F180" s="1000"/>
      <c r="G180" s="1000"/>
      <c r="H180" s="1000"/>
      <c r="I180" s="1000"/>
      <c r="J180" s="999"/>
      <c r="K180" s="999"/>
      <c r="L180" s="999"/>
      <c r="M180" s="999"/>
      <c r="N180" s="999"/>
      <c r="O180" s="997"/>
      <c r="P180" s="1084"/>
      <c r="Q180" s="1031"/>
      <c r="R180" s="1032"/>
      <c r="S180" s="1031"/>
      <c r="T180" s="1033"/>
      <c r="U180" s="1033"/>
      <c r="V180" s="1033"/>
      <c r="W180" s="1033"/>
      <c r="X180" s="1033"/>
      <c r="Y180" s="1032"/>
      <c r="Z180" s="1034"/>
      <c r="AA180" s="1035"/>
      <c r="AD180" s="961"/>
      <c r="AF180" s="961"/>
      <c r="AG180" s="962">
        <f>'T2'!O24</f>
        <v>0</v>
      </c>
      <c r="AI180" s="962">
        <f t="shared" si="303"/>
        <v>0</v>
      </c>
      <c r="AJ180" s="962">
        <f t="shared" si="304"/>
        <v>0</v>
      </c>
    </row>
    <row r="181" spans="1:36" ht="16.5" x14ac:dyDescent="0.3">
      <c r="A181" s="1000"/>
      <c r="B181" s="1000"/>
      <c r="C181" s="1000"/>
      <c r="D181" s="1000"/>
      <c r="E181" s="1000"/>
      <c r="F181" s="1000"/>
      <c r="G181" s="1000"/>
      <c r="H181" s="1000"/>
      <c r="I181" s="1000"/>
      <c r="J181" s="999"/>
      <c r="K181" s="999"/>
      <c r="L181" s="999"/>
      <c r="M181" s="999"/>
      <c r="N181" s="999"/>
      <c r="O181" s="997"/>
      <c r="P181" s="1083" t="str">
        <f>A29</f>
        <v>S11</v>
      </c>
      <c r="Q181" s="1026"/>
      <c r="R181" s="1027"/>
      <c r="S181" s="1026"/>
      <c r="T181" s="1028"/>
      <c r="U181" s="1028"/>
      <c r="V181" s="1028"/>
      <c r="W181" s="1028"/>
      <c r="X181" s="1028"/>
      <c r="Y181" s="1027"/>
      <c r="Z181" s="1029"/>
      <c r="AA181" s="1030"/>
    </row>
    <row r="182" spans="1:36" ht="16.5" customHeight="1" x14ac:dyDescent="0.3">
      <c r="A182" s="1005" t="str">
        <f>IF(Paramétrage!F31="o","Signatures","")</f>
        <v/>
      </c>
      <c r="B182" s="1005"/>
      <c r="C182" s="1005"/>
      <c r="D182" s="1005"/>
      <c r="E182" s="1005"/>
      <c r="F182" s="1005"/>
      <c r="G182" s="1005"/>
      <c r="H182" s="1000"/>
      <c r="I182" s="1000"/>
      <c r="J182" s="999"/>
      <c r="K182" s="999"/>
      <c r="L182" s="999"/>
      <c r="M182" s="999"/>
      <c r="N182" s="999"/>
      <c r="O182" s="997"/>
      <c r="P182" s="1084"/>
      <c r="Q182" s="1031"/>
      <c r="R182" s="1032"/>
      <c r="S182" s="1031"/>
      <c r="T182" s="1033"/>
      <c r="U182" s="1033"/>
      <c r="V182" s="1033"/>
      <c r="W182" s="1033"/>
      <c r="X182" s="1033"/>
      <c r="Y182" s="1032"/>
      <c r="Z182" s="1034"/>
      <c r="AA182" s="1035"/>
    </row>
    <row r="183" spans="1:36" ht="16.5" x14ac:dyDescent="0.3">
      <c r="A183" s="1000"/>
      <c r="B183" s="1000"/>
      <c r="C183" s="1000"/>
      <c r="D183" s="1000"/>
      <c r="E183" s="1000"/>
      <c r="F183" s="1000"/>
      <c r="G183" s="1000"/>
      <c r="H183" s="1000"/>
      <c r="I183" s="1000"/>
      <c r="J183" s="999"/>
      <c r="K183" s="999"/>
      <c r="L183" s="999"/>
      <c r="M183" s="999"/>
      <c r="N183" s="999"/>
      <c r="O183" s="997"/>
      <c r="P183" s="1083" t="str">
        <f>A41</f>
        <v>S12</v>
      </c>
      <c r="Q183" s="1026"/>
      <c r="R183" s="1027"/>
      <c r="S183" s="1026"/>
      <c r="T183" s="1028"/>
      <c r="U183" s="1028"/>
      <c r="V183" s="1028"/>
      <c r="W183" s="1028"/>
      <c r="X183" s="1028"/>
      <c r="Y183" s="1027"/>
      <c r="Z183" s="1029"/>
      <c r="AA183" s="1030"/>
    </row>
    <row r="184" spans="1:36" ht="16.5" x14ac:dyDescent="0.3">
      <c r="A184" s="1037" t="str">
        <f>Paramétrage!K5&amp;" "&amp;Paramétrage!C5</f>
        <v xml:space="preserve"> </v>
      </c>
      <c r="B184" s="1037"/>
      <c r="C184" s="1037"/>
      <c r="D184" s="1038" t="s">
        <v>121</v>
      </c>
      <c r="E184" s="1038"/>
      <c r="F184" s="1038"/>
      <c r="G184" s="1038"/>
      <c r="H184" s="1000"/>
      <c r="I184" s="1000"/>
      <c r="J184" s="999"/>
      <c r="K184" s="999"/>
      <c r="L184" s="999"/>
      <c r="M184" s="999"/>
      <c r="N184" s="999"/>
      <c r="O184" s="997"/>
      <c r="P184" s="1084"/>
      <c r="Q184" s="1031"/>
      <c r="R184" s="1032"/>
      <c r="S184" s="1031"/>
      <c r="T184" s="1033"/>
      <c r="U184" s="1033"/>
      <c r="V184" s="1033"/>
      <c r="W184" s="1033"/>
      <c r="X184" s="1033"/>
      <c r="Y184" s="1032"/>
      <c r="Z184" s="1034"/>
      <c r="AA184" s="1035"/>
    </row>
    <row r="185" spans="1:36" ht="16.5" x14ac:dyDescent="0.3">
      <c r="A185" s="1037"/>
      <c r="B185" s="1037"/>
      <c r="C185" s="1037"/>
      <c r="D185" s="1038"/>
      <c r="E185" s="1038"/>
      <c r="F185" s="1038"/>
      <c r="G185" s="1038"/>
      <c r="H185" s="1000"/>
      <c r="I185" s="1000"/>
      <c r="J185" s="999"/>
      <c r="K185" s="999"/>
      <c r="L185" s="999"/>
      <c r="M185" s="999"/>
      <c r="N185" s="999"/>
      <c r="O185" s="997"/>
      <c r="P185" s="1083" t="str">
        <f>A53</f>
        <v>S13</v>
      </c>
      <c r="Q185" s="1026"/>
      <c r="R185" s="1027"/>
      <c r="S185" s="1026"/>
      <c r="T185" s="1028"/>
      <c r="U185" s="1028"/>
      <c r="V185" s="1028"/>
      <c r="W185" s="1028"/>
      <c r="X185" s="1028"/>
      <c r="Y185" s="1027"/>
      <c r="Z185" s="1029"/>
      <c r="AA185" s="1030"/>
    </row>
    <row r="186" spans="1:36" ht="16.5" x14ac:dyDescent="0.3">
      <c r="A186" s="1000"/>
      <c r="B186" s="1000"/>
      <c r="C186" s="1000"/>
      <c r="D186" s="1000"/>
      <c r="E186" s="1000"/>
      <c r="F186" s="1000"/>
      <c r="G186" s="1000"/>
      <c r="H186" s="1000"/>
      <c r="I186" s="1000"/>
      <c r="J186" s="999"/>
      <c r="K186" s="999"/>
      <c r="L186" s="999"/>
      <c r="M186" s="999"/>
      <c r="N186" s="999"/>
      <c r="O186" s="997"/>
      <c r="P186" s="1084"/>
      <c r="Q186" s="1031"/>
      <c r="R186" s="1032"/>
      <c r="S186" s="1031"/>
      <c r="T186" s="1033"/>
      <c r="U186" s="1033"/>
      <c r="V186" s="1033"/>
      <c r="W186" s="1033"/>
      <c r="X186" s="1033"/>
      <c r="Y186" s="1032"/>
      <c r="Z186" s="1034"/>
      <c r="AA186" s="1035"/>
      <c r="AG186" s="962">
        <f>'T2'!O30</f>
        <v>0</v>
      </c>
      <c r="AI186" s="962">
        <f>AE186+AI180</f>
        <v>0</v>
      </c>
      <c r="AJ186" s="962">
        <f>AG186+AJ180</f>
        <v>0</v>
      </c>
    </row>
    <row r="187" spans="1:36" ht="16.5" x14ac:dyDescent="0.3">
      <c r="A187" s="1000"/>
      <c r="B187" s="1000"/>
      <c r="C187" s="1000"/>
      <c r="D187" s="1000"/>
      <c r="E187" s="1000"/>
      <c r="F187" s="1000"/>
      <c r="G187" s="1000"/>
      <c r="H187" s="1000"/>
      <c r="I187" s="1000"/>
      <c r="J187" s="999"/>
      <c r="K187" s="999"/>
      <c r="L187" s="999"/>
      <c r="M187" s="999"/>
      <c r="N187" s="999"/>
      <c r="O187" s="997"/>
      <c r="P187" s="1083" t="str">
        <f>A65</f>
        <v>S14</v>
      </c>
      <c r="Q187" s="1026"/>
      <c r="R187" s="1027"/>
      <c r="S187" s="1026"/>
      <c r="T187" s="1028"/>
      <c r="U187" s="1028"/>
      <c r="V187" s="1028"/>
      <c r="W187" s="1028"/>
      <c r="X187" s="1028"/>
      <c r="Y187" s="1027"/>
      <c r="Z187" s="1029"/>
      <c r="AA187" s="1030"/>
      <c r="AG187" s="962">
        <f>'T2'!O31</f>
        <v>0</v>
      </c>
      <c r="AI187" s="962">
        <f t="shared" ref="AI187:AI192" si="305">AE187+AI186</f>
        <v>0</v>
      </c>
      <c r="AJ187" s="962">
        <f t="shared" ref="AJ187:AJ192" si="306">AG187+AJ186</f>
        <v>0</v>
      </c>
    </row>
    <row r="188" spans="1:36" ht="16.5" x14ac:dyDescent="0.3">
      <c r="A188" s="1000"/>
      <c r="B188" s="1000"/>
      <c r="C188" s="1000"/>
      <c r="D188" s="1000"/>
      <c r="E188" s="1000"/>
      <c r="F188" s="1000"/>
      <c r="G188" s="1000"/>
      <c r="H188" s="1000"/>
      <c r="I188" s="1000"/>
      <c r="J188" s="999"/>
      <c r="K188" s="999"/>
      <c r="L188" s="999"/>
      <c r="M188" s="999"/>
      <c r="N188" s="999"/>
      <c r="O188" s="997"/>
      <c r="P188" s="1084"/>
      <c r="Q188" s="1031"/>
      <c r="R188" s="1032"/>
      <c r="S188" s="1031"/>
      <c r="T188" s="1033"/>
      <c r="U188" s="1033"/>
      <c r="V188" s="1033"/>
      <c r="W188" s="1033"/>
      <c r="X188" s="1033"/>
      <c r="Y188" s="1032"/>
      <c r="Z188" s="1034"/>
      <c r="AA188" s="1035"/>
      <c r="AG188" s="962">
        <f>'T2'!O32</f>
        <v>0</v>
      </c>
      <c r="AI188" s="962">
        <f t="shared" si="305"/>
        <v>0</v>
      </c>
      <c r="AJ188" s="962">
        <f t="shared" si="306"/>
        <v>0</v>
      </c>
    </row>
    <row r="189" spans="1:36" ht="16.5" x14ac:dyDescent="0.3">
      <c r="A189" s="1000"/>
      <c r="B189" s="1000"/>
      <c r="C189" s="1000"/>
      <c r="D189" s="1000"/>
      <c r="E189" s="1000"/>
      <c r="F189" s="1000"/>
      <c r="G189" s="1000"/>
      <c r="H189" s="1000"/>
      <c r="I189" s="1000"/>
      <c r="J189" s="999"/>
      <c r="K189" s="999"/>
      <c r="L189" s="999"/>
      <c r="M189" s="999"/>
      <c r="N189" s="999"/>
      <c r="O189" s="997"/>
      <c r="P189" s="1083" t="str">
        <f>A77</f>
        <v>S15</v>
      </c>
      <c r="Q189" s="1026"/>
      <c r="R189" s="1027"/>
      <c r="S189" s="1026"/>
      <c r="T189" s="1028"/>
      <c r="U189" s="1028"/>
      <c r="V189" s="1028"/>
      <c r="W189" s="1028"/>
      <c r="X189" s="1028"/>
      <c r="Y189" s="1027"/>
      <c r="Z189" s="1029"/>
      <c r="AA189" s="1030"/>
      <c r="AG189" s="962">
        <f>'T2'!O33</f>
        <v>0</v>
      </c>
      <c r="AI189" s="962">
        <f t="shared" si="305"/>
        <v>0</v>
      </c>
      <c r="AJ189" s="962">
        <f t="shared" si="306"/>
        <v>0</v>
      </c>
    </row>
    <row r="190" spans="1:36" ht="16.5" x14ac:dyDescent="0.3">
      <c r="A190" s="1000"/>
      <c r="B190" s="1000"/>
      <c r="C190" s="1000"/>
      <c r="D190" s="1000"/>
      <c r="E190" s="1000"/>
      <c r="F190" s="1000"/>
      <c r="G190" s="1000"/>
      <c r="H190" s="1000"/>
      <c r="I190" s="1000"/>
      <c r="J190" s="999"/>
      <c r="K190" s="999"/>
      <c r="L190" s="999"/>
      <c r="M190" s="999"/>
      <c r="N190" s="999"/>
      <c r="O190" s="997"/>
      <c r="P190" s="1084"/>
      <c r="Q190" s="1031"/>
      <c r="R190" s="1032"/>
      <c r="S190" s="1031"/>
      <c r="T190" s="1033"/>
      <c r="U190" s="1033"/>
      <c r="V190" s="1033"/>
      <c r="W190" s="1033"/>
      <c r="X190" s="1033"/>
      <c r="Y190" s="1032"/>
      <c r="Z190" s="1034"/>
      <c r="AA190" s="1035"/>
      <c r="AG190" s="962">
        <f>'T2'!O34</f>
        <v>0</v>
      </c>
      <c r="AI190" s="962">
        <f t="shared" si="305"/>
        <v>0</v>
      </c>
      <c r="AJ190" s="962">
        <f t="shared" si="306"/>
        <v>0</v>
      </c>
    </row>
    <row r="191" spans="1:36" ht="16.5" x14ac:dyDescent="0.3">
      <c r="A191" s="1000"/>
      <c r="B191" s="1000"/>
      <c r="C191" s="1000"/>
      <c r="D191" s="1000"/>
      <c r="E191" s="1000"/>
      <c r="F191" s="1000"/>
      <c r="G191" s="1000"/>
      <c r="H191" s="1000"/>
      <c r="I191" s="1000"/>
      <c r="J191" s="999"/>
      <c r="K191" s="999"/>
      <c r="L191" s="999"/>
      <c r="M191" s="999"/>
      <c r="N191" s="999"/>
      <c r="O191" s="997"/>
      <c r="P191" s="1083" t="str">
        <f>A89</f>
        <v>S16</v>
      </c>
      <c r="Q191" s="1026"/>
      <c r="R191" s="1027"/>
      <c r="S191" s="1026"/>
      <c r="T191" s="1028"/>
      <c r="U191" s="1028"/>
      <c r="V191" s="1028"/>
      <c r="W191" s="1028"/>
      <c r="X191" s="1028"/>
      <c r="Y191" s="1027"/>
      <c r="Z191" s="1029"/>
      <c r="AA191" s="1030"/>
      <c r="AG191" s="962">
        <f>'T2'!O35</f>
        <v>0</v>
      </c>
      <c r="AI191" s="962">
        <f t="shared" si="305"/>
        <v>0</v>
      </c>
      <c r="AJ191" s="962">
        <f t="shared" si="306"/>
        <v>0</v>
      </c>
    </row>
    <row r="192" spans="1:36" ht="16.5" x14ac:dyDescent="0.3">
      <c r="A192" s="1000"/>
      <c r="B192" s="1000"/>
      <c r="C192" s="1000"/>
      <c r="D192" s="1000"/>
      <c r="E192" s="1000"/>
      <c r="F192" s="1000"/>
      <c r="G192" s="1000"/>
      <c r="H192" s="1000"/>
      <c r="I192" s="1000"/>
      <c r="J192" s="999"/>
      <c r="K192" s="999"/>
      <c r="L192" s="999"/>
      <c r="M192" s="999"/>
      <c r="N192" s="999"/>
      <c r="O192" s="997"/>
      <c r="P192" s="1084"/>
      <c r="Q192" s="1031"/>
      <c r="R192" s="1032"/>
      <c r="S192" s="1031"/>
      <c r="T192" s="1033"/>
      <c r="U192" s="1033"/>
      <c r="V192" s="1033"/>
      <c r="W192" s="1033"/>
      <c r="X192" s="1033"/>
      <c r="Y192" s="1032"/>
      <c r="Z192" s="1034"/>
      <c r="AA192" s="1035"/>
      <c r="AG192" s="962">
        <f>'T2'!O36</f>
        <v>0</v>
      </c>
      <c r="AI192" s="962">
        <f t="shared" si="305"/>
        <v>0</v>
      </c>
      <c r="AJ192" s="962">
        <f t="shared" si="306"/>
        <v>0</v>
      </c>
    </row>
    <row r="193" spans="1:36" ht="16.5" x14ac:dyDescent="0.3">
      <c r="A193" s="1040" t="s">
        <v>347</v>
      </c>
      <c r="B193" s="1000"/>
      <c r="C193" s="1000"/>
      <c r="D193" s="1000"/>
      <c r="E193" s="1000"/>
      <c r="F193" s="1000"/>
      <c r="G193" s="1000"/>
      <c r="H193" s="1000"/>
      <c r="I193" s="1000"/>
      <c r="J193" s="999"/>
      <c r="K193" s="999"/>
      <c r="L193" s="999"/>
      <c r="M193" s="999"/>
      <c r="N193" s="999"/>
      <c r="O193" s="997"/>
      <c r="P193" s="1083" t="str">
        <f>A101</f>
        <v>S17</v>
      </c>
      <c r="Q193" s="1026"/>
      <c r="R193" s="1027"/>
      <c r="S193" s="1026"/>
      <c r="T193" s="1028"/>
      <c r="U193" s="1028"/>
      <c r="V193" s="1028"/>
      <c r="W193" s="1028"/>
      <c r="X193" s="1028"/>
      <c r="Y193" s="1027"/>
      <c r="Z193" s="1029"/>
      <c r="AA193" s="1030"/>
    </row>
    <row r="194" spans="1:36" ht="16.5" x14ac:dyDescent="0.3">
      <c r="A194" s="1000"/>
      <c r="B194" s="1000"/>
      <c r="C194" s="1000"/>
      <c r="D194" s="1000"/>
      <c r="E194" s="1000"/>
      <c r="F194" s="1000"/>
      <c r="G194" s="1000"/>
      <c r="H194" s="1000"/>
      <c r="I194" s="1000"/>
      <c r="J194" s="999"/>
      <c r="K194" s="999"/>
      <c r="L194" s="999"/>
      <c r="M194" s="999"/>
      <c r="N194" s="999"/>
      <c r="O194" s="997"/>
      <c r="P194" s="1084"/>
      <c r="Q194" s="1031"/>
      <c r="R194" s="1032"/>
      <c r="S194" s="1031"/>
      <c r="T194" s="1033"/>
      <c r="U194" s="1033"/>
      <c r="V194" s="1033"/>
      <c r="W194" s="1033"/>
      <c r="X194" s="1033"/>
      <c r="Y194" s="1032"/>
      <c r="Z194" s="1034"/>
      <c r="AA194" s="1035"/>
    </row>
    <row r="195" spans="1:36" ht="16.5" x14ac:dyDescent="0.3">
      <c r="A195" s="1000"/>
      <c r="B195" s="1000"/>
      <c r="C195" s="1000"/>
      <c r="D195" s="1000"/>
      <c r="E195" s="1000"/>
      <c r="F195" s="1000"/>
      <c r="G195" s="1000"/>
      <c r="H195" s="1000"/>
      <c r="I195" s="1000"/>
      <c r="J195" s="999"/>
      <c r="K195" s="999"/>
      <c r="L195" s="999"/>
      <c r="M195" s="999"/>
      <c r="N195" s="999"/>
      <c r="O195" s="997"/>
      <c r="P195" s="1083" t="str">
        <f>A113</f>
        <v>S18</v>
      </c>
      <c r="Q195" s="1026"/>
      <c r="R195" s="1027"/>
      <c r="S195" s="1026"/>
      <c r="T195" s="1028"/>
      <c r="U195" s="1028"/>
      <c r="V195" s="1028"/>
      <c r="W195" s="1028"/>
      <c r="X195" s="1028"/>
      <c r="Y195" s="1027"/>
      <c r="Z195" s="1029"/>
      <c r="AA195" s="1030"/>
    </row>
    <row r="196" spans="1:36" ht="16.5" x14ac:dyDescent="0.3">
      <c r="A196" s="1000"/>
      <c r="B196" s="1000"/>
      <c r="C196" s="1000"/>
      <c r="D196" s="1000"/>
      <c r="E196" s="1000"/>
      <c r="F196" s="1000"/>
      <c r="G196" s="1000"/>
      <c r="H196" s="1000"/>
      <c r="I196" s="1000"/>
      <c r="J196" s="999"/>
      <c r="K196" s="999"/>
      <c r="L196" s="999"/>
      <c r="M196" s="999"/>
      <c r="N196" s="999"/>
      <c r="O196" s="997"/>
      <c r="P196" s="1084"/>
      <c r="Q196" s="1031"/>
      <c r="R196" s="1032"/>
      <c r="S196" s="1031"/>
      <c r="T196" s="1033"/>
      <c r="U196" s="1033"/>
      <c r="V196" s="1033"/>
      <c r="W196" s="1033"/>
      <c r="X196" s="1033"/>
      <c r="Y196" s="1032"/>
      <c r="Z196" s="1034"/>
      <c r="AA196" s="1035"/>
    </row>
    <row r="197" spans="1:36" ht="16.5" x14ac:dyDescent="0.3">
      <c r="A197" s="1000"/>
      <c r="B197" s="1000"/>
      <c r="C197" s="1000"/>
      <c r="D197" s="1000"/>
      <c r="E197" s="1000"/>
      <c r="F197" s="1000"/>
      <c r="G197" s="1000"/>
      <c r="H197" s="1000"/>
      <c r="I197" s="1000"/>
      <c r="J197" s="999"/>
      <c r="K197" s="999"/>
      <c r="L197" s="999"/>
      <c r="M197" s="999"/>
      <c r="N197" s="999"/>
      <c r="O197" s="997"/>
      <c r="P197" s="1083" t="str">
        <f>A125</f>
        <v>S19</v>
      </c>
      <c r="Q197" s="1026"/>
      <c r="R197" s="1027"/>
      <c r="S197" s="1026"/>
      <c r="T197" s="1028"/>
      <c r="U197" s="1028"/>
      <c r="V197" s="1028"/>
      <c r="W197" s="1028"/>
      <c r="X197" s="1028"/>
      <c r="Y197" s="1027"/>
      <c r="Z197" s="1029"/>
      <c r="AA197" s="1030"/>
    </row>
    <row r="198" spans="1:36" ht="16.5" x14ac:dyDescent="0.3">
      <c r="A198" s="1000"/>
      <c r="B198" s="1000"/>
      <c r="C198" s="1000"/>
      <c r="D198" s="1000"/>
      <c r="E198" s="1000"/>
      <c r="F198" s="1000"/>
      <c r="G198" s="1000"/>
      <c r="H198" s="1000"/>
      <c r="I198" s="1000"/>
      <c r="J198" s="999"/>
      <c r="K198" s="999"/>
      <c r="L198" s="999"/>
      <c r="M198" s="999"/>
      <c r="N198" s="999"/>
      <c r="O198" s="997"/>
      <c r="P198" s="1084"/>
      <c r="Q198" s="1031"/>
      <c r="R198" s="1032"/>
      <c r="S198" s="1031"/>
      <c r="T198" s="1033"/>
      <c r="U198" s="1033"/>
      <c r="V198" s="1033"/>
      <c r="W198" s="1033"/>
      <c r="X198" s="1033"/>
      <c r="Y198" s="1032"/>
      <c r="Z198" s="1034"/>
      <c r="AA198" s="1035"/>
      <c r="AG198" s="962">
        <f>'T2'!O42</f>
        <v>0</v>
      </c>
      <c r="AI198" s="962">
        <f>AE198+AI192</f>
        <v>0</v>
      </c>
      <c r="AJ198" s="962">
        <f>AG198+AJ192</f>
        <v>0</v>
      </c>
    </row>
    <row r="199" spans="1:36" ht="16.5" x14ac:dyDescent="0.3">
      <c r="A199" s="1000"/>
      <c r="B199" s="1000"/>
      <c r="C199" s="1000"/>
      <c r="D199" s="1000"/>
      <c r="E199" s="1000"/>
      <c r="F199" s="1000"/>
      <c r="G199" s="1000"/>
      <c r="H199" s="1000"/>
      <c r="I199" s="1000"/>
      <c r="J199" s="999"/>
      <c r="K199" s="999"/>
      <c r="L199" s="999"/>
      <c r="M199" s="999"/>
      <c r="N199" s="999"/>
      <c r="O199" s="997"/>
      <c r="P199" s="1083" t="str">
        <f>A137</f>
        <v>S20</v>
      </c>
      <c r="Q199" s="1085"/>
      <c r="R199" s="1086"/>
      <c r="S199" s="1026"/>
      <c r="T199" s="1028"/>
      <c r="U199" s="1028"/>
      <c r="V199" s="1028"/>
      <c r="W199" s="1028"/>
      <c r="X199" s="1028"/>
      <c r="Y199" s="1027"/>
      <c r="Z199" s="1029"/>
      <c r="AA199" s="1030"/>
      <c r="AG199" s="962">
        <f>'T2'!O43</f>
        <v>0</v>
      </c>
      <c r="AI199" s="962">
        <f t="shared" ref="AI199:AI204" si="307">AE199+AI198</f>
        <v>0</v>
      </c>
      <c r="AJ199" s="962">
        <f t="shared" ref="AJ199:AJ204" si="308">AG199+AJ198</f>
        <v>0</v>
      </c>
    </row>
    <row r="200" spans="1:36" ht="16.5" x14ac:dyDescent="0.3">
      <c r="A200" s="1000"/>
      <c r="B200" s="1000"/>
      <c r="C200" s="1000"/>
      <c r="D200" s="1000"/>
      <c r="E200" s="1000"/>
      <c r="F200" s="1000"/>
      <c r="G200" s="1000"/>
      <c r="H200" s="1000"/>
      <c r="I200" s="1000"/>
      <c r="J200" s="999"/>
      <c r="K200" s="999"/>
      <c r="L200" s="999"/>
      <c r="M200" s="999"/>
      <c r="N200" s="999"/>
      <c r="O200" s="997"/>
      <c r="P200" s="1084"/>
      <c r="Q200" s="1087"/>
      <c r="R200" s="1088"/>
      <c r="S200" s="1031"/>
      <c r="T200" s="1033"/>
      <c r="U200" s="1033"/>
      <c r="V200" s="1033"/>
      <c r="W200" s="1033"/>
      <c r="X200" s="1033"/>
      <c r="Y200" s="1032"/>
      <c r="Z200" s="1034"/>
      <c r="AA200" s="1035"/>
      <c r="AG200" s="962">
        <f>'T2'!O44</f>
        <v>0</v>
      </c>
      <c r="AI200" s="962">
        <f t="shared" si="307"/>
        <v>0</v>
      </c>
      <c r="AJ200" s="962">
        <f t="shared" si="308"/>
        <v>0</v>
      </c>
    </row>
    <row r="201" spans="1:36" ht="16.5" x14ac:dyDescent="0.3">
      <c r="A201" s="1000"/>
      <c r="B201" s="1000"/>
      <c r="C201" s="1000"/>
      <c r="D201" s="1000"/>
      <c r="E201" s="1000"/>
      <c r="F201" s="1000"/>
      <c r="G201" s="1000"/>
      <c r="H201" s="1000"/>
      <c r="I201" s="1000"/>
      <c r="J201" s="999"/>
      <c r="K201" s="999"/>
      <c r="L201" s="999"/>
      <c r="M201" s="999"/>
      <c r="N201" s="999"/>
      <c r="O201" s="997"/>
      <c r="P201" s="1083" t="str">
        <f>A149</f>
        <v>S21</v>
      </c>
      <c r="Q201" s="1026"/>
      <c r="R201" s="1027"/>
      <c r="S201" s="1026"/>
      <c r="T201" s="1028"/>
      <c r="U201" s="1028"/>
      <c r="V201" s="1028"/>
      <c r="W201" s="1028"/>
      <c r="X201" s="1028"/>
      <c r="Y201" s="1027"/>
      <c r="Z201" s="1029"/>
      <c r="AA201" s="1030"/>
      <c r="AG201" s="962">
        <f>'T2'!O45</f>
        <v>0</v>
      </c>
      <c r="AI201" s="962">
        <f t="shared" si="307"/>
        <v>0</v>
      </c>
      <c r="AJ201" s="962">
        <f t="shared" si="308"/>
        <v>0</v>
      </c>
    </row>
    <row r="202" spans="1:36" ht="16.5" x14ac:dyDescent="0.3">
      <c r="A202" s="1000"/>
      <c r="B202" s="1000"/>
      <c r="C202" s="1000"/>
      <c r="D202" s="1000"/>
      <c r="E202" s="1000"/>
      <c r="F202" s="1000"/>
      <c r="G202" s="1000"/>
      <c r="H202" s="1000"/>
      <c r="I202" s="1000"/>
      <c r="J202" s="999"/>
      <c r="K202" s="999"/>
      <c r="L202" s="999"/>
      <c r="M202" s="999"/>
      <c r="N202" s="999"/>
      <c r="O202" s="997"/>
      <c r="P202" s="1084"/>
      <c r="Q202" s="1031"/>
      <c r="R202" s="1032"/>
      <c r="S202" s="1031"/>
      <c r="T202" s="1033"/>
      <c r="U202" s="1033"/>
      <c r="V202" s="1033"/>
      <c r="W202" s="1033"/>
      <c r="X202" s="1033"/>
      <c r="Y202" s="1032"/>
      <c r="Z202" s="1034"/>
      <c r="AA202" s="1035"/>
      <c r="AG202" s="962">
        <f>'T2'!O46</f>
        <v>0</v>
      </c>
      <c r="AI202" s="962">
        <f t="shared" si="307"/>
        <v>0</v>
      </c>
      <c r="AJ202" s="962">
        <f t="shared" si="308"/>
        <v>0</v>
      </c>
    </row>
    <row r="203" spans="1:36" ht="16.5" x14ac:dyDescent="0.3">
      <c r="A203" s="997"/>
      <c r="B203" s="1059"/>
      <c r="C203" s="1059"/>
      <c r="D203" s="1059"/>
      <c r="E203" s="997"/>
      <c r="F203" s="997"/>
      <c r="G203" s="997"/>
      <c r="H203" s="997"/>
      <c r="I203" s="999"/>
      <c r="J203" s="999"/>
      <c r="K203" s="999"/>
      <c r="L203" s="999"/>
      <c r="M203" s="999"/>
      <c r="N203" s="999"/>
      <c r="O203" s="997"/>
      <c r="P203" s="1025" t="str">
        <f>A161</f>
        <v>S22</v>
      </c>
      <c r="Q203" s="1026"/>
      <c r="R203" s="1027"/>
      <c r="S203" s="1026"/>
      <c r="T203" s="1028"/>
      <c r="U203" s="1028"/>
      <c r="V203" s="1028"/>
      <c r="W203" s="1028"/>
      <c r="X203" s="1028"/>
      <c r="Y203" s="1027"/>
      <c r="Z203" s="1029"/>
      <c r="AA203" s="1030"/>
      <c r="AG203" s="962">
        <f>'T2'!O47</f>
        <v>0</v>
      </c>
      <c r="AI203" s="962">
        <f t="shared" si="307"/>
        <v>0</v>
      </c>
      <c r="AJ203" s="962">
        <f t="shared" si="308"/>
        <v>0</v>
      </c>
    </row>
    <row r="204" spans="1:36" ht="16.5" x14ac:dyDescent="0.3">
      <c r="A204" s="997"/>
      <c r="B204" s="997"/>
      <c r="C204" s="997"/>
      <c r="D204" s="997"/>
      <c r="E204" s="997"/>
      <c r="F204" s="997"/>
      <c r="G204" s="997"/>
      <c r="H204" s="997"/>
      <c r="I204" s="999"/>
      <c r="J204" s="999"/>
      <c r="K204" s="999"/>
      <c r="L204" s="999"/>
      <c r="M204" s="999"/>
      <c r="N204" s="999"/>
      <c r="O204" s="999"/>
      <c r="P204" s="1025"/>
      <c r="Q204" s="1031"/>
      <c r="R204" s="1032"/>
      <c r="S204" s="1031"/>
      <c r="T204" s="1033"/>
      <c r="U204" s="1033"/>
      <c r="V204" s="1033"/>
      <c r="W204" s="1033"/>
      <c r="X204" s="1033"/>
      <c r="Y204" s="1032"/>
      <c r="Z204" s="1034"/>
      <c r="AA204" s="1035"/>
      <c r="AG204" s="962">
        <f>'T2'!O48</f>
        <v>0</v>
      </c>
      <c r="AI204" s="962">
        <f t="shared" si="307"/>
        <v>0</v>
      </c>
      <c r="AJ204" s="962">
        <f t="shared" si="308"/>
        <v>0</v>
      </c>
    </row>
    <row r="205" spans="1:36" ht="15.75" thickBot="1" x14ac:dyDescent="0.3">
      <c r="A205" s="999"/>
      <c r="B205" s="999"/>
      <c r="C205" s="999"/>
      <c r="D205" s="999"/>
      <c r="E205" s="999"/>
      <c r="F205" s="999"/>
      <c r="G205" s="999"/>
      <c r="H205" s="999"/>
      <c r="I205" s="999"/>
      <c r="J205" s="999"/>
      <c r="K205" s="999"/>
      <c r="L205" s="999"/>
      <c r="M205" s="999"/>
      <c r="N205" s="999"/>
      <c r="O205" s="999"/>
      <c r="P205" s="999"/>
      <c r="Q205" s="999"/>
      <c r="R205" s="999"/>
      <c r="S205" s="999"/>
      <c r="T205" s="999"/>
      <c r="U205" s="999"/>
      <c r="V205" s="999"/>
      <c r="W205" s="999"/>
      <c r="X205" s="999"/>
      <c r="Y205" s="999"/>
      <c r="Z205" s="999"/>
      <c r="AA205" s="999"/>
    </row>
    <row r="206" spans="1:36" x14ac:dyDescent="0.25">
      <c r="A206" s="1041" t="s">
        <v>123</v>
      </c>
      <c r="B206" s="1042"/>
      <c r="C206" s="1042"/>
      <c r="D206" s="1042"/>
      <c r="E206" s="1042"/>
      <c r="F206" s="1042"/>
      <c r="G206" s="1042"/>
      <c r="H206" s="1042"/>
      <c r="I206" s="1042"/>
      <c r="J206" s="1042"/>
      <c r="K206" s="1042"/>
      <c r="L206" s="1042"/>
      <c r="M206" s="1042"/>
      <c r="N206" s="1042"/>
      <c r="O206" s="1042"/>
      <c r="P206" s="1042"/>
      <c r="Q206" s="1042"/>
      <c r="R206" s="1042"/>
      <c r="S206" s="1042"/>
      <c r="T206" s="1042"/>
      <c r="U206" s="1042"/>
      <c r="V206" s="1042"/>
      <c r="W206" s="1042"/>
      <c r="X206" s="1042"/>
      <c r="Y206" s="1042"/>
      <c r="Z206" s="1042"/>
      <c r="AA206" s="1043"/>
    </row>
    <row r="207" spans="1:36" ht="15.75" thickBot="1" x14ac:dyDescent="0.3">
      <c r="A207" s="1044"/>
      <c r="B207" s="1045"/>
      <c r="C207" s="1045"/>
      <c r="D207" s="1045"/>
      <c r="E207" s="1045"/>
      <c r="F207" s="1045"/>
      <c r="G207" s="1045"/>
      <c r="H207" s="1045"/>
      <c r="I207" s="1045"/>
      <c r="J207" s="1045"/>
      <c r="K207" s="1045"/>
      <c r="L207" s="1045"/>
      <c r="M207" s="1045"/>
      <c r="N207" s="1045"/>
      <c r="O207" s="1045"/>
      <c r="P207" s="1045"/>
      <c r="Q207" s="1045"/>
      <c r="R207" s="1045"/>
      <c r="S207" s="1045"/>
      <c r="T207" s="1045"/>
      <c r="U207" s="1045"/>
      <c r="V207" s="1045"/>
      <c r="W207" s="1045"/>
      <c r="X207" s="1045"/>
      <c r="Y207" s="1045"/>
      <c r="Z207" s="1045"/>
      <c r="AA207" s="1046"/>
    </row>
    <row r="210" spans="33:36" x14ac:dyDescent="0.25">
      <c r="AG210" s="962">
        <f>'T2'!O54</f>
        <v>0</v>
      </c>
      <c r="AI210" s="962">
        <f>AE210+AI204</f>
        <v>0</v>
      </c>
      <c r="AJ210" s="962">
        <f>AG210+AJ204</f>
        <v>0</v>
      </c>
    </row>
    <row r="211" spans="33:36" x14ac:dyDescent="0.25">
      <c r="AG211" s="962">
        <f>'T2'!O55</f>
        <v>0</v>
      </c>
      <c r="AI211" s="962">
        <f t="shared" ref="AI211:AI216" si="309">AE211+AI210</f>
        <v>0</v>
      </c>
      <c r="AJ211" s="962">
        <f t="shared" ref="AJ211:AJ216" si="310">AG211+AJ210</f>
        <v>0</v>
      </c>
    </row>
    <row r="212" spans="33:36" x14ac:dyDescent="0.25">
      <c r="AG212" s="962">
        <f>'T2'!O56</f>
        <v>0</v>
      </c>
      <c r="AI212" s="962">
        <f t="shared" si="309"/>
        <v>0</v>
      </c>
      <c r="AJ212" s="962">
        <f t="shared" si="310"/>
        <v>0</v>
      </c>
    </row>
    <row r="213" spans="33:36" x14ac:dyDescent="0.25">
      <c r="AG213" s="962">
        <f>'T2'!O57</f>
        <v>0</v>
      </c>
      <c r="AI213" s="962">
        <f t="shared" si="309"/>
        <v>0</v>
      </c>
      <c r="AJ213" s="962">
        <f t="shared" si="310"/>
        <v>0</v>
      </c>
    </row>
    <row r="214" spans="33:36" x14ac:dyDescent="0.25">
      <c r="AG214" s="962">
        <f>'T2'!O58</f>
        <v>0</v>
      </c>
      <c r="AI214" s="962">
        <f t="shared" si="309"/>
        <v>0</v>
      </c>
      <c r="AJ214" s="962">
        <f t="shared" si="310"/>
        <v>0</v>
      </c>
    </row>
    <row r="215" spans="33:36" x14ac:dyDescent="0.25">
      <c r="AG215" s="962">
        <f>'T2'!O59</f>
        <v>0</v>
      </c>
      <c r="AI215" s="962">
        <f t="shared" si="309"/>
        <v>0</v>
      </c>
      <c r="AJ215" s="962">
        <f t="shared" si="310"/>
        <v>0</v>
      </c>
    </row>
    <row r="216" spans="33:36" x14ac:dyDescent="0.25">
      <c r="AG216" s="962">
        <f>'T2'!O60</f>
        <v>0</v>
      </c>
      <c r="AI216" s="962">
        <f t="shared" si="309"/>
        <v>0</v>
      </c>
      <c r="AJ216" s="962">
        <f t="shared" si="310"/>
        <v>0</v>
      </c>
    </row>
    <row r="222" spans="33:36" x14ac:dyDescent="0.25">
      <c r="AG222" s="962">
        <f>'T2'!O66</f>
        <v>0</v>
      </c>
      <c r="AI222" s="962">
        <f>AE222+AI216</f>
        <v>0</v>
      </c>
      <c r="AJ222" s="962">
        <f>AG222+AJ216</f>
        <v>0</v>
      </c>
    </row>
    <row r="223" spans="33:36" x14ac:dyDescent="0.25">
      <c r="AG223" s="962">
        <f>'T2'!O67</f>
        <v>0</v>
      </c>
      <c r="AI223" s="962">
        <f t="shared" ref="AI223:AI228" si="311">AE223+AI222</f>
        <v>0</v>
      </c>
      <c r="AJ223" s="962">
        <f t="shared" ref="AJ223:AJ228" si="312">AG223+AJ222</f>
        <v>0</v>
      </c>
    </row>
    <row r="224" spans="33:36" x14ac:dyDescent="0.25">
      <c r="AG224" s="962">
        <f>'T2'!O68</f>
        <v>0</v>
      </c>
      <c r="AI224" s="962">
        <f t="shared" si="311"/>
        <v>0</v>
      </c>
      <c r="AJ224" s="962">
        <f t="shared" si="312"/>
        <v>0</v>
      </c>
    </row>
    <row r="225" spans="33:36" x14ac:dyDescent="0.25">
      <c r="AG225" s="962">
        <f>'T2'!O69</f>
        <v>0</v>
      </c>
      <c r="AI225" s="962">
        <f t="shared" si="311"/>
        <v>0</v>
      </c>
      <c r="AJ225" s="962">
        <f t="shared" si="312"/>
        <v>0</v>
      </c>
    </row>
    <row r="226" spans="33:36" x14ac:dyDescent="0.25">
      <c r="AG226" s="962">
        <f>'T2'!O70</f>
        <v>0</v>
      </c>
      <c r="AI226" s="962">
        <f t="shared" si="311"/>
        <v>0</v>
      </c>
      <c r="AJ226" s="962">
        <f t="shared" si="312"/>
        <v>0</v>
      </c>
    </row>
    <row r="227" spans="33:36" x14ac:dyDescent="0.25">
      <c r="AG227" s="962">
        <f>'T2'!O71</f>
        <v>0</v>
      </c>
      <c r="AI227" s="962">
        <f t="shared" si="311"/>
        <v>0</v>
      </c>
      <c r="AJ227" s="962">
        <f t="shared" si="312"/>
        <v>0</v>
      </c>
    </row>
    <row r="228" spans="33:36" x14ac:dyDescent="0.25">
      <c r="AG228" s="962">
        <f>'T2'!O72</f>
        <v>0</v>
      </c>
      <c r="AI228" s="962">
        <f t="shared" si="311"/>
        <v>0</v>
      </c>
      <c r="AJ228" s="962">
        <f t="shared" si="312"/>
        <v>0</v>
      </c>
    </row>
    <row r="234" spans="33:36" x14ac:dyDescent="0.25">
      <c r="AG234" s="962">
        <f>'T2'!O78</f>
        <v>0</v>
      </c>
      <c r="AI234" s="962">
        <f>AE234+AI228</f>
        <v>0</v>
      </c>
      <c r="AJ234" s="962">
        <f>AG234+AJ228</f>
        <v>0</v>
      </c>
    </row>
    <row r="235" spans="33:36" x14ac:dyDescent="0.25">
      <c r="AG235" s="962">
        <f>'T2'!O79</f>
        <v>0</v>
      </c>
      <c r="AI235" s="962">
        <f t="shared" ref="AI235:AI240" si="313">AE235+AI234</f>
        <v>0</v>
      </c>
      <c r="AJ235" s="962">
        <f t="shared" ref="AJ235:AJ240" si="314">AG235+AJ234</f>
        <v>0</v>
      </c>
    </row>
    <row r="236" spans="33:36" x14ac:dyDescent="0.25">
      <c r="AG236" s="962">
        <f>'T2'!O80</f>
        <v>0</v>
      </c>
      <c r="AI236" s="962">
        <f t="shared" si="313"/>
        <v>0</v>
      </c>
      <c r="AJ236" s="962">
        <f t="shared" si="314"/>
        <v>0</v>
      </c>
    </row>
    <row r="237" spans="33:36" x14ac:dyDescent="0.25">
      <c r="AG237" s="962">
        <f>'T2'!O81</f>
        <v>0</v>
      </c>
      <c r="AI237" s="962">
        <f t="shared" si="313"/>
        <v>0</v>
      </c>
      <c r="AJ237" s="962">
        <f t="shared" si="314"/>
        <v>0</v>
      </c>
    </row>
    <row r="238" spans="33:36" x14ac:dyDescent="0.25">
      <c r="AG238" s="962">
        <f>'T2'!O82</f>
        <v>0</v>
      </c>
      <c r="AI238" s="962">
        <f t="shared" si="313"/>
        <v>0</v>
      </c>
      <c r="AJ238" s="962">
        <f t="shared" si="314"/>
        <v>0</v>
      </c>
    </row>
    <row r="239" spans="33:36" x14ac:dyDescent="0.25">
      <c r="AG239" s="962">
        <f>'T2'!O83</f>
        <v>0</v>
      </c>
      <c r="AI239" s="962">
        <f t="shared" si="313"/>
        <v>0</v>
      </c>
      <c r="AJ239" s="962">
        <f t="shared" si="314"/>
        <v>0</v>
      </c>
    </row>
    <row r="240" spans="33:36" x14ac:dyDescent="0.25">
      <c r="AG240" s="962">
        <f>'T2'!O84</f>
        <v>0</v>
      </c>
      <c r="AI240" s="962">
        <f t="shared" si="313"/>
        <v>0</v>
      </c>
      <c r="AJ240" s="962">
        <f t="shared" si="314"/>
        <v>0</v>
      </c>
    </row>
    <row r="246" spans="33:36" x14ac:dyDescent="0.25">
      <c r="AG246" s="962">
        <f>'T2'!O90</f>
        <v>0</v>
      </c>
      <c r="AI246" s="962">
        <f>AE246+AI240</f>
        <v>0</v>
      </c>
      <c r="AJ246" s="962">
        <f>AG246+AJ240</f>
        <v>0</v>
      </c>
    </row>
    <row r="247" spans="33:36" x14ac:dyDescent="0.25">
      <c r="AG247" s="962">
        <f>'T2'!O91</f>
        <v>0</v>
      </c>
      <c r="AI247" s="962">
        <f t="shared" ref="AI247:AI252" si="315">AE247+AI246</f>
        <v>0</v>
      </c>
      <c r="AJ247" s="962">
        <f t="shared" ref="AJ247:AJ252" si="316">AG247+AJ246</f>
        <v>0</v>
      </c>
    </row>
    <row r="248" spans="33:36" x14ac:dyDescent="0.25">
      <c r="AG248" s="962">
        <f>'T2'!O92</f>
        <v>0</v>
      </c>
      <c r="AI248" s="962">
        <f t="shared" si="315"/>
        <v>0</v>
      </c>
      <c r="AJ248" s="962">
        <f t="shared" si="316"/>
        <v>0</v>
      </c>
    </row>
    <row r="249" spans="33:36" x14ac:dyDescent="0.25">
      <c r="AG249" s="962">
        <f>'T2'!O93</f>
        <v>0</v>
      </c>
      <c r="AI249" s="962">
        <f t="shared" si="315"/>
        <v>0</v>
      </c>
      <c r="AJ249" s="962">
        <f t="shared" si="316"/>
        <v>0</v>
      </c>
    </row>
    <row r="250" spans="33:36" x14ac:dyDescent="0.25">
      <c r="AG250" s="962">
        <f>'T2'!O94</f>
        <v>0</v>
      </c>
      <c r="AI250" s="962">
        <f t="shared" si="315"/>
        <v>0</v>
      </c>
      <c r="AJ250" s="962">
        <f t="shared" si="316"/>
        <v>0</v>
      </c>
    </row>
    <row r="251" spans="33:36" x14ac:dyDescent="0.25">
      <c r="AG251" s="962">
        <f>'T2'!O95</f>
        <v>0</v>
      </c>
      <c r="AI251" s="962">
        <f t="shared" si="315"/>
        <v>0</v>
      </c>
      <c r="AJ251" s="962">
        <f t="shared" si="316"/>
        <v>0</v>
      </c>
    </row>
    <row r="252" spans="33:36" x14ac:dyDescent="0.25">
      <c r="AG252" s="962">
        <f>'T2'!O96</f>
        <v>0</v>
      </c>
      <c r="AI252" s="962">
        <f t="shared" si="315"/>
        <v>0</v>
      </c>
      <c r="AJ252" s="962">
        <f t="shared" si="316"/>
        <v>0</v>
      </c>
    </row>
    <row r="258" spans="33:36" x14ac:dyDescent="0.25">
      <c r="AG258" s="962">
        <f>'T2'!O102</f>
        <v>0</v>
      </c>
      <c r="AI258" s="962">
        <f>AE258+AI252</f>
        <v>0</v>
      </c>
      <c r="AJ258" s="962">
        <f>AG258+AJ252</f>
        <v>0</v>
      </c>
    </row>
    <row r="259" spans="33:36" x14ac:dyDescent="0.25">
      <c r="AG259" s="962">
        <f>'T2'!O103</f>
        <v>0</v>
      </c>
      <c r="AI259" s="962">
        <f t="shared" ref="AI259:AI264" si="317">AE259+AI258</f>
        <v>0</v>
      </c>
      <c r="AJ259" s="962">
        <f t="shared" ref="AJ259:AJ264" si="318">AG259+AJ258</f>
        <v>0</v>
      </c>
    </row>
    <row r="260" spans="33:36" x14ac:dyDescent="0.25">
      <c r="AG260" s="962">
        <f>'T2'!O104</f>
        <v>0</v>
      </c>
      <c r="AI260" s="962">
        <f t="shared" si="317"/>
        <v>0</v>
      </c>
      <c r="AJ260" s="962">
        <f t="shared" si="318"/>
        <v>0</v>
      </c>
    </row>
    <row r="261" spans="33:36" x14ac:dyDescent="0.25">
      <c r="AG261" s="962">
        <f>'T2'!O105</f>
        <v>0</v>
      </c>
      <c r="AI261" s="962">
        <f t="shared" si="317"/>
        <v>0</v>
      </c>
      <c r="AJ261" s="962">
        <f t="shared" si="318"/>
        <v>0</v>
      </c>
    </row>
    <row r="262" spans="33:36" x14ac:dyDescent="0.25">
      <c r="AG262" s="962">
        <f>'T2'!O106</f>
        <v>0</v>
      </c>
      <c r="AI262" s="962">
        <f t="shared" si="317"/>
        <v>0</v>
      </c>
      <c r="AJ262" s="962">
        <f t="shared" si="318"/>
        <v>0</v>
      </c>
    </row>
    <row r="263" spans="33:36" x14ac:dyDescent="0.25">
      <c r="AG263" s="962">
        <f>'T2'!O107</f>
        <v>0</v>
      </c>
      <c r="AI263" s="962">
        <f t="shared" si="317"/>
        <v>0</v>
      </c>
      <c r="AJ263" s="962">
        <f t="shared" si="318"/>
        <v>0</v>
      </c>
    </row>
    <row r="264" spans="33:36" x14ac:dyDescent="0.25">
      <c r="AG264" s="962">
        <f>'T2'!O108</f>
        <v>0</v>
      </c>
      <c r="AI264" s="962">
        <f t="shared" si="317"/>
        <v>0</v>
      </c>
      <c r="AJ264" s="962">
        <f t="shared" si="318"/>
        <v>0</v>
      </c>
    </row>
    <row r="270" spans="33:36" x14ac:dyDescent="0.25">
      <c r="AG270" s="962">
        <f>'T2'!O114</f>
        <v>0</v>
      </c>
      <c r="AI270" s="962">
        <f>AE270+AI264</f>
        <v>0</v>
      </c>
      <c r="AJ270" s="962">
        <f>AG270+AJ264</f>
        <v>0</v>
      </c>
    </row>
    <row r="271" spans="33:36" x14ac:dyDescent="0.25">
      <c r="AG271" s="962">
        <f>'T2'!O115</f>
        <v>0</v>
      </c>
      <c r="AI271" s="962">
        <f t="shared" ref="AI271:AI276" si="319">AE271+AI270</f>
        <v>0</v>
      </c>
      <c r="AJ271" s="962">
        <f t="shared" ref="AJ271:AJ276" si="320">AG271+AJ270</f>
        <v>0</v>
      </c>
    </row>
    <row r="272" spans="33:36" x14ac:dyDescent="0.25">
      <c r="AG272" s="962">
        <f>'T2'!O116</f>
        <v>0</v>
      </c>
      <c r="AI272" s="962">
        <f t="shared" si="319"/>
        <v>0</v>
      </c>
      <c r="AJ272" s="962">
        <f t="shared" si="320"/>
        <v>0</v>
      </c>
    </row>
    <row r="273" spans="33:36" x14ac:dyDescent="0.25">
      <c r="AG273" s="962">
        <f>'T2'!O117</f>
        <v>0</v>
      </c>
      <c r="AI273" s="962">
        <f t="shared" si="319"/>
        <v>0</v>
      </c>
      <c r="AJ273" s="962">
        <f t="shared" si="320"/>
        <v>0</v>
      </c>
    </row>
    <row r="274" spans="33:36" x14ac:dyDescent="0.25">
      <c r="AG274" s="962">
        <f>'T2'!O118</f>
        <v>0</v>
      </c>
      <c r="AI274" s="962">
        <f t="shared" si="319"/>
        <v>0</v>
      </c>
      <c r="AJ274" s="962">
        <f t="shared" si="320"/>
        <v>0</v>
      </c>
    </row>
    <row r="275" spans="33:36" x14ac:dyDescent="0.25">
      <c r="AG275" s="962">
        <f>'T2'!O119</f>
        <v>0</v>
      </c>
      <c r="AI275" s="962">
        <f t="shared" si="319"/>
        <v>0</v>
      </c>
      <c r="AJ275" s="962">
        <f t="shared" si="320"/>
        <v>0</v>
      </c>
    </row>
    <row r="276" spans="33:36" x14ac:dyDescent="0.25">
      <c r="AG276" s="962">
        <f>'T2'!O120</f>
        <v>0</v>
      </c>
      <c r="AI276" s="962">
        <f t="shared" si="319"/>
        <v>0</v>
      </c>
      <c r="AJ276" s="962">
        <f t="shared" si="320"/>
        <v>0</v>
      </c>
    </row>
    <row r="282" spans="33:36" x14ac:dyDescent="0.25">
      <c r="AG282" s="962">
        <f>'T2'!O126</f>
        <v>0</v>
      </c>
      <c r="AI282" s="962">
        <f>AE282+AI276</f>
        <v>0</v>
      </c>
      <c r="AJ282" s="962">
        <f>AG282+AJ276</f>
        <v>0</v>
      </c>
    </row>
    <row r="283" spans="33:36" x14ac:dyDescent="0.25">
      <c r="AG283" s="962">
        <f>'T2'!O127</f>
        <v>0</v>
      </c>
      <c r="AI283" s="962">
        <f t="shared" ref="AI283:AI288" si="321">AE283+AI282</f>
        <v>0</v>
      </c>
      <c r="AJ283" s="962">
        <f t="shared" ref="AJ283:AJ288" si="322">AG283+AJ282</f>
        <v>0</v>
      </c>
    </row>
    <row r="284" spans="33:36" x14ac:dyDescent="0.25">
      <c r="AG284" s="962">
        <f>'T2'!O128</f>
        <v>0</v>
      </c>
      <c r="AI284" s="962">
        <f t="shared" si="321"/>
        <v>0</v>
      </c>
      <c r="AJ284" s="962">
        <f t="shared" si="322"/>
        <v>0</v>
      </c>
    </row>
    <row r="285" spans="33:36" x14ac:dyDescent="0.25">
      <c r="AG285" s="962">
        <f>'T2'!O129</f>
        <v>0</v>
      </c>
      <c r="AI285" s="962">
        <f t="shared" si="321"/>
        <v>0</v>
      </c>
      <c r="AJ285" s="962">
        <f t="shared" si="322"/>
        <v>0</v>
      </c>
    </row>
    <row r="286" spans="33:36" x14ac:dyDescent="0.25">
      <c r="AG286" s="962">
        <f>'T2'!O130</f>
        <v>0</v>
      </c>
      <c r="AI286" s="962">
        <f t="shared" si="321"/>
        <v>0</v>
      </c>
      <c r="AJ286" s="962">
        <f t="shared" si="322"/>
        <v>0</v>
      </c>
    </row>
    <row r="287" spans="33:36" x14ac:dyDescent="0.25">
      <c r="AG287" s="962">
        <f>'T2'!O131</f>
        <v>0</v>
      </c>
      <c r="AI287" s="962">
        <f t="shared" si="321"/>
        <v>0</v>
      </c>
      <c r="AJ287" s="962">
        <f t="shared" si="322"/>
        <v>0</v>
      </c>
    </row>
    <row r="288" spans="33:36" x14ac:dyDescent="0.25">
      <c r="AG288" s="962">
        <f>'T2'!O132</f>
        <v>0</v>
      </c>
      <c r="AI288" s="962">
        <f t="shared" si="321"/>
        <v>0</v>
      </c>
      <c r="AJ288" s="962">
        <f t="shared" si="322"/>
        <v>0</v>
      </c>
    </row>
    <row r="294" spans="33:36" x14ac:dyDescent="0.25">
      <c r="AG294" s="962">
        <f>'T2'!O138</f>
        <v>0</v>
      </c>
      <c r="AI294" s="962">
        <f>AE294+AI288</f>
        <v>0</v>
      </c>
      <c r="AJ294" s="962">
        <f>AG294+AJ288</f>
        <v>0</v>
      </c>
    </row>
    <row r="295" spans="33:36" x14ac:dyDescent="0.25">
      <c r="AG295" s="962">
        <f>'T2'!O139</f>
        <v>0</v>
      </c>
      <c r="AI295" s="962">
        <f t="shared" ref="AI295:AI300" si="323">AE295+AI294</f>
        <v>0</v>
      </c>
      <c r="AJ295" s="962">
        <f t="shared" ref="AJ295:AJ300" si="324">AG295+AJ294</f>
        <v>0</v>
      </c>
    </row>
    <row r="296" spans="33:36" x14ac:dyDescent="0.25">
      <c r="AG296" s="962">
        <f>'T2'!O140</f>
        <v>0</v>
      </c>
      <c r="AI296" s="962">
        <f t="shared" si="323"/>
        <v>0</v>
      </c>
      <c r="AJ296" s="962">
        <f t="shared" si="324"/>
        <v>0</v>
      </c>
    </row>
    <row r="297" spans="33:36" x14ac:dyDescent="0.25">
      <c r="AG297" s="962">
        <f>'T2'!O141</f>
        <v>0</v>
      </c>
      <c r="AI297" s="962">
        <f t="shared" si="323"/>
        <v>0</v>
      </c>
      <c r="AJ297" s="962">
        <f t="shared" si="324"/>
        <v>0</v>
      </c>
    </row>
    <row r="298" spans="33:36" x14ac:dyDescent="0.25">
      <c r="AG298" s="962">
        <f>'T2'!O142</f>
        <v>0</v>
      </c>
      <c r="AI298" s="962">
        <f t="shared" si="323"/>
        <v>0</v>
      </c>
      <c r="AJ298" s="962">
        <f t="shared" si="324"/>
        <v>0</v>
      </c>
    </row>
    <row r="299" spans="33:36" x14ac:dyDescent="0.25">
      <c r="AG299" s="962">
        <f>'T2'!O143</f>
        <v>0</v>
      </c>
      <c r="AI299" s="962">
        <f t="shared" si="323"/>
        <v>0</v>
      </c>
      <c r="AJ299" s="962">
        <f t="shared" si="324"/>
        <v>0</v>
      </c>
    </row>
    <row r="300" spans="33:36" x14ac:dyDescent="0.25">
      <c r="AG300" s="962">
        <f>'T2'!O144</f>
        <v>0</v>
      </c>
      <c r="AI300" s="962">
        <f t="shared" si="323"/>
        <v>0</v>
      </c>
      <c r="AJ300" s="962">
        <f t="shared" si="324"/>
        <v>0</v>
      </c>
    </row>
    <row r="306" spans="33:36" x14ac:dyDescent="0.25">
      <c r="AG306" s="962">
        <f>'T2'!O150</f>
        <v>0</v>
      </c>
      <c r="AI306" s="962">
        <f>AE306+AI300</f>
        <v>0</v>
      </c>
      <c r="AJ306" s="962">
        <f>AG306+AJ300</f>
        <v>0</v>
      </c>
    </row>
    <row r="307" spans="33:36" x14ac:dyDescent="0.25">
      <c r="AG307" s="962">
        <f>'T2'!O151</f>
        <v>0</v>
      </c>
      <c r="AI307" s="962">
        <f t="shared" ref="AI307:AI312" si="325">AE307+AI306</f>
        <v>0</v>
      </c>
      <c r="AJ307" s="962">
        <f t="shared" ref="AJ307:AJ312" si="326">AG307+AJ306</f>
        <v>0</v>
      </c>
    </row>
    <row r="308" spans="33:36" x14ac:dyDescent="0.25">
      <c r="AG308" s="962">
        <f>'T2'!O152</f>
        <v>0</v>
      </c>
      <c r="AI308" s="962">
        <f t="shared" si="325"/>
        <v>0</v>
      </c>
      <c r="AJ308" s="962">
        <f t="shared" si="326"/>
        <v>0</v>
      </c>
    </row>
    <row r="309" spans="33:36" x14ac:dyDescent="0.25">
      <c r="AG309" s="962">
        <f>'T2'!O153</f>
        <v>0</v>
      </c>
      <c r="AI309" s="962">
        <f t="shared" si="325"/>
        <v>0</v>
      </c>
      <c r="AJ309" s="962">
        <f t="shared" si="326"/>
        <v>0</v>
      </c>
    </row>
    <row r="310" spans="33:36" x14ac:dyDescent="0.25">
      <c r="AG310" s="962">
        <f>'T2'!O154</f>
        <v>0</v>
      </c>
      <c r="AI310" s="962">
        <f t="shared" si="325"/>
        <v>0</v>
      </c>
      <c r="AJ310" s="962">
        <f t="shared" si="326"/>
        <v>0</v>
      </c>
    </row>
    <row r="311" spans="33:36" x14ac:dyDescent="0.25">
      <c r="AG311" s="962">
        <f>'T2'!O155</f>
        <v>0</v>
      </c>
      <c r="AI311" s="962">
        <f t="shared" si="325"/>
        <v>0</v>
      </c>
      <c r="AJ311" s="962">
        <f t="shared" si="326"/>
        <v>0</v>
      </c>
    </row>
    <row r="312" spans="33:36" x14ac:dyDescent="0.25">
      <c r="AG312" s="962">
        <f>'T2'!O156</f>
        <v>0</v>
      </c>
      <c r="AI312" s="962">
        <f t="shared" si="325"/>
        <v>0</v>
      </c>
      <c r="AJ312" s="962">
        <f t="shared" si="326"/>
        <v>0</v>
      </c>
    </row>
    <row r="318" spans="33:36" x14ac:dyDescent="0.25">
      <c r="AG318" s="962">
        <f>'T3'!O6</f>
        <v>0</v>
      </c>
      <c r="AI318" s="962">
        <f>AE318+AI312</f>
        <v>0</v>
      </c>
      <c r="AJ318" s="962">
        <f>AG318+AJ312</f>
        <v>0</v>
      </c>
    </row>
    <row r="319" spans="33:36" x14ac:dyDescent="0.25">
      <c r="AG319" s="962">
        <f>'T3'!O7</f>
        <v>0</v>
      </c>
      <c r="AI319" s="962">
        <f t="shared" ref="AI319:AI324" si="327">AE319+AI318</f>
        <v>0</v>
      </c>
      <c r="AJ319" s="962">
        <f t="shared" ref="AJ319:AJ324" si="328">AG319+AJ318</f>
        <v>0</v>
      </c>
    </row>
    <row r="320" spans="33:36" x14ac:dyDescent="0.25">
      <c r="AG320" s="962">
        <f>'T3'!O8</f>
        <v>0</v>
      </c>
      <c r="AI320" s="962">
        <f t="shared" si="327"/>
        <v>0</v>
      </c>
      <c r="AJ320" s="962">
        <f t="shared" si="328"/>
        <v>0</v>
      </c>
    </row>
    <row r="321" spans="33:36" x14ac:dyDescent="0.25">
      <c r="AG321" s="962">
        <f>'T3'!O9</f>
        <v>0</v>
      </c>
      <c r="AI321" s="962">
        <f t="shared" si="327"/>
        <v>0</v>
      </c>
      <c r="AJ321" s="962">
        <f t="shared" si="328"/>
        <v>0</v>
      </c>
    </row>
    <row r="322" spans="33:36" x14ac:dyDescent="0.25">
      <c r="AG322" s="962">
        <f>'T3'!O10</f>
        <v>0</v>
      </c>
      <c r="AI322" s="962">
        <f t="shared" si="327"/>
        <v>0</v>
      </c>
      <c r="AJ322" s="962">
        <f t="shared" si="328"/>
        <v>0</v>
      </c>
    </row>
    <row r="323" spans="33:36" x14ac:dyDescent="0.25">
      <c r="AG323" s="962">
        <f>'T3'!O11</f>
        <v>0</v>
      </c>
      <c r="AI323" s="962">
        <f t="shared" si="327"/>
        <v>0</v>
      </c>
      <c r="AJ323" s="962">
        <f t="shared" si="328"/>
        <v>0</v>
      </c>
    </row>
    <row r="324" spans="33:36" x14ac:dyDescent="0.25">
      <c r="AG324" s="962">
        <f>'T3'!O12</f>
        <v>0</v>
      </c>
      <c r="AI324" s="962">
        <f t="shared" si="327"/>
        <v>0</v>
      </c>
      <c r="AJ324" s="962">
        <f t="shared" si="328"/>
        <v>0</v>
      </c>
    </row>
    <row r="330" spans="33:36" x14ac:dyDescent="0.25">
      <c r="AG330" s="962">
        <f>'T3'!O18</f>
        <v>0</v>
      </c>
      <c r="AI330" s="962">
        <f>AE330+AI324</f>
        <v>0</v>
      </c>
      <c r="AJ330" s="962">
        <f>AG330+AJ324</f>
        <v>0</v>
      </c>
    </row>
    <row r="331" spans="33:36" x14ac:dyDescent="0.25">
      <c r="AG331" s="962">
        <f>'T3'!O19</f>
        <v>0</v>
      </c>
      <c r="AI331" s="962">
        <f t="shared" ref="AI331:AI336" si="329">AE331+AI330</f>
        <v>0</v>
      </c>
      <c r="AJ331" s="962">
        <f t="shared" ref="AJ331:AJ336" si="330">AG331+AJ330</f>
        <v>0</v>
      </c>
    </row>
    <row r="332" spans="33:36" x14ac:dyDescent="0.25">
      <c r="AG332" s="962">
        <f>'T3'!O20</f>
        <v>0</v>
      </c>
      <c r="AI332" s="962">
        <f t="shared" si="329"/>
        <v>0</v>
      </c>
      <c r="AJ332" s="962">
        <f t="shared" si="330"/>
        <v>0</v>
      </c>
    </row>
    <row r="333" spans="33:36" x14ac:dyDescent="0.25">
      <c r="AG333" s="962">
        <f>'T3'!O21</f>
        <v>0</v>
      </c>
      <c r="AI333" s="962">
        <f t="shared" si="329"/>
        <v>0</v>
      </c>
      <c r="AJ333" s="962">
        <f t="shared" si="330"/>
        <v>0</v>
      </c>
    </row>
    <row r="334" spans="33:36" x14ac:dyDescent="0.25">
      <c r="AG334" s="962">
        <f>'T3'!O22</f>
        <v>0</v>
      </c>
      <c r="AI334" s="962">
        <f t="shared" si="329"/>
        <v>0</v>
      </c>
      <c r="AJ334" s="962">
        <f t="shared" si="330"/>
        <v>0</v>
      </c>
    </row>
    <row r="335" spans="33:36" x14ac:dyDescent="0.25">
      <c r="AG335" s="962">
        <f>'T3'!O23</f>
        <v>0</v>
      </c>
      <c r="AI335" s="962">
        <f t="shared" si="329"/>
        <v>0</v>
      </c>
      <c r="AJ335" s="962">
        <f t="shared" si="330"/>
        <v>0</v>
      </c>
    </row>
    <row r="336" spans="33:36" x14ac:dyDescent="0.25">
      <c r="AG336" s="962">
        <f>'T3'!O24</f>
        <v>0</v>
      </c>
      <c r="AI336" s="962">
        <f t="shared" si="329"/>
        <v>0</v>
      </c>
      <c r="AJ336" s="962">
        <f t="shared" si="330"/>
        <v>0</v>
      </c>
    </row>
    <row r="342" spans="33:36" x14ac:dyDescent="0.25">
      <c r="AG342" s="962">
        <f>'T3'!O30</f>
        <v>0</v>
      </c>
      <c r="AI342" s="962">
        <f>AE342+AI336</f>
        <v>0</v>
      </c>
      <c r="AJ342" s="962">
        <f>AG342+AJ336</f>
        <v>0</v>
      </c>
    </row>
    <row r="343" spans="33:36" x14ac:dyDescent="0.25">
      <c r="AG343" s="962">
        <f>'T3'!O31</f>
        <v>0</v>
      </c>
      <c r="AI343" s="962">
        <f t="shared" ref="AI343:AI348" si="331">AE343+AI342</f>
        <v>0</v>
      </c>
      <c r="AJ343" s="962">
        <f t="shared" ref="AJ343:AJ348" si="332">AG343+AJ342</f>
        <v>0</v>
      </c>
    </row>
    <row r="344" spans="33:36" x14ac:dyDescent="0.25">
      <c r="AG344" s="962">
        <f>'T3'!O32</f>
        <v>0</v>
      </c>
      <c r="AI344" s="962">
        <f t="shared" si="331"/>
        <v>0</v>
      </c>
      <c r="AJ344" s="962">
        <f t="shared" si="332"/>
        <v>0</v>
      </c>
    </row>
    <row r="345" spans="33:36" x14ac:dyDescent="0.25">
      <c r="AG345" s="962">
        <f>'T3'!O33</f>
        <v>0</v>
      </c>
      <c r="AI345" s="962">
        <f t="shared" si="331"/>
        <v>0</v>
      </c>
      <c r="AJ345" s="962">
        <f t="shared" si="332"/>
        <v>0</v>
      </c>
    </row>
    <row r="346" spans="33:36" x14ac:dyDescent="0.25">
      <c r="AG346" s="962">
        <f>'T3'!O34</f>
        <v>0</v>
      </c>
      <c r="AI346" s="962">
        <f t="shared" si="331"/>
        <v>0</v>
      </c>
      <c r="AJ346" s="962">
        <f t="shared" si="332"/>
        <v>0</v>
      </c>
    </row>
    <row r="347" spans="33:36" x14ac:dyDescent="0.25">
      <c r="AG347" s="962">
        <f>'T3'!O35</f>
        <v>0</v>
      </c>
      <c r="AI347" s="962">
        <f t="shared" si="331"/>
        <v>0</v>
      </c>
      <c r="AJ347" s="962">
        <f t="shared" si="332"/>
        <v>0</v>
      </c>
    </row>
    <row r="348" spans="33:36" x14ac:dyDescent="0.25">
      <c r="AG348" s="962">
        <f>'T3'!O36</f>
        <v>0</v>
      </c>
      <c r="AI348" s="962">
        <f t="shared" si="331"/>
        <v>0</v>
      </c>
      <c r="AJ348" s="962">
        <f t="shared" si="332"/>
        <v>0</v>
      </c>
    </row>
    <row r="354" spans="33:36" x14ac:dyDescent="0.25">
      <c r="AG354" s="962">
        <f>'T3'!O42</f>
        <v>0</v>
      </c>
      <c r="AI354" s="962">
        <f>AE354+AI348</f>
        <v>0</v>
      </c>
      <c r="AJ354" s="962">
        <f>AG354+AJ348</f>
        <v>0</v>
      </c>
    </row>
    <row r="355" spans="33:36" x14ac:dyDescent="0.25">
      <c r="AG355" s="962">
        <f>'T3'!O43</f>
        <v>0</v>
      </c>
      <c r="AI355" s="962">
        <f t="shared" ref="AI355:AI360" si="333">AE355+AI354</f>
        <v>0</v>
      </c>
      <c r="AJ355" s="962">
        <f t="shared" ref="AJ355:AJ360" si="334">AG355+AJ354</f>
        <v>0</v>
      </c>
    </row>
    <row r="356" spans="33:36" x14ac:dyDescent="0.25">
      <c r="AG356" s="962">
        <f>'T3'!O44</f>
        <v>0</v>
      </c>
      <c r="AI356" s="962">
        <f t="shared" si="333"/>
        <v>0</v>
      </c>
      <c r="AJ356" s="962">
        <f t="shared" si="334"/>
        <v>0</v>
      </c>
    </row>
    <row r="357" spans="33:36" x14ac:dyDescent="0.25">
      <c r="AG357" s="962">
        <f>'T3'!O45</f>
        <v>0</v>
      </c>
      <c r="AI357" s="962">
        <f t="shared" si="333"/>
        <v>0</v>
      </c>
      <c r="AJ357" s="962">
        <f t="shared" si="334"/>
        <v>0</v>
      </c>
    </row>
    <row r="358" spans="33:36" x14ac:dyDescent="0.25">
      <c r="AG358" s="962">
        <f>'T3'!O46</f>
        <v>0</v>
      </c>
      <c r="AI358" s="962">
        <f t="shared" si="333"/>
        <v>0</v>
      </c>
      <c r="AJ358" s="962">
        <f t="shared" si="334"/>
        <v>0</v>
      </c>
    </row>
    <row r="359" spans="33:36" x14ac:dyDescent="0.25">
      <c r="AG359" s="962">
        <f>'T3'!O47</f>
        <v>0</v>
      </c>
      <c r="AI359" s="962">
        <f t="shared" si="333"/>
        <v>0</v>
      </c>
      <c r="AJ359" s="962">
        <f t="shared" si="334"/>
        <v>0</v>
      </c>
    </row>
    <row r="360" spans="33:36" x14ac:dyDescent="0.25">
      <c r="AG360" s="962">
        <f>'T3'!O48</f>
        <v>0</v>
      </c>
      <c r="AI360" s="962">
        <f t="shared" si="333"/>
        <v>0</v>
      </c>
      <c r="AJ360" s="962">
        <f t="shared" si="334"/>
        <v>0</v>
      </c>
    </row>
    <row r="366" spans="33:36" x14ac:dyDescent="0.25">
      <c r="AG366" s="962">
        <f>'T3'!O54</f>
        <v>0</v>
      </c>
      <c r="AI366" s="962">
        <f>AE366+AI360</f>
        <v>0</v>
      </c>
      <c r="AJ366" s="962">
        <f>AG366+AJ360</f>
        <v>0</v>
      </c>
    </row>
    <row r="367" spans="33:36" x14ac:dyDescent="0.25">
      <c r="AG367" s="962">
        <f>'T3'!O55</f>
        <v>0</v>
      </c>
      <c r="AI367" s="962">
        <f t="shared" ref="AI367:AI372" si="335">AE367+AI366</f>
        <v>0</v>
      </c>
      <c r="AJ367" s="962">
        <f t="shared" ref="AJ367:AJ372" si="336">AG367+AJ366</f>
        <v>0</v>
      </c>
    </row>
    <row r="368" spans="33:36" x14ac:dyDescent="0.25">
      <c r="AG368" s="962">
        <f>'T3'!O56</f>
        <v>0</v>
      </c>
      <c r="AI368" s="962">
        <f t="shared" si="335"/>
        <v>0</v>
      </c>
      <c r="AJ368" s="962">
        <f t="shared" si="336"/>
        <v>0</v>
      </c>
    </row>
    <row r="369" spans="33:36" x14ac:dyDescent="0.25">
      <c r="AG369" s="962">
        <f>'T3'!O57</f>
        <v>0</v>
      </c>
      <c r="AI369" s="962">
        <f t="shared" si="335"/>
        <v>0</v>
      </c>
      <c r="AJ369" s="962">
        <f t="shared" si="336"/>
        <v>0</v>
      </c>
    </row>
    <row r="370" spans="33:36" x14ac:dyDescent="0.25">
      <c r="AG370" s="962">
        <f>'T3'!O58</f>
        <v>0</v>
      </c>
      <c r="AI370" s="962">
        <f t="shared" si="335"/>
        <v>0</v>
      </c>
      <c r="AJ370" s="962">
        <f t="shared" si="336"/>
        <v>0</v>
      </c>
    </row>
    <row r="371" spans="33:36" x14ac:dyDescent="0.25">
      <c r="AG371" s="962">
        <f>'T3'!O59</f>
        <v>0</v>
      </c>
      <c r="AI371" s="962">
        <f t="shared" si="335"/>
        <v>0</v>
      </c>
      <c r="AJ371" s="962">
        <f t="shared" si="336"/>
        <v>0</v>
      </c>
    </row>
    <row r="372" spans="33:36" x14ac:dyDescent="0.25">
      <c r="AG372" s="962">
        <f>'T3'!O60</f>
        <v>0</v>
      </c>
      <c r="AI372" s="962">
        <f t="shared" si="335"/>
        <v>0</v>
      </c>
      <c r="AJ372" s="962">
        <f t="shared" si="336"/>
        <v>0</v>
      </c>
    </row>
    <row r="378" spans="33:36" x14ac:dyDescent="0.25">
      <c r="AG378" s="962">
        <f>'T3'!O66</f>
        <v>0</v>
      </c>
      <c r="AI378" s="962">
        <f>AE378+AI372</f>
        <v>0</v>
      </c>
      <c r="AJ378" s="962">
        <f>AG378+AJ372</f>
        <v>0</v>
      </c>
    </row>
    <row r="379" spans="33:36" x14ac:dyDescent="0.25">
      <c r="AG379" s="962">
        <f>'T3'!O67</f>
        <v>0</v>
      </c>
      <c r="AI379" s="962">
        <f t="shared" ref="AI379:AI384" si="337">AE379+AI378</f>
        <v>0</v>
      </c>
      <c r="AJ379" s="962">
        <f t="shared" ref="AJ379:AJ384" si="338">AG379+AJ378</f>
        <v>0</v>
      </c>
    </row>
    <row r="380" spans="33:36" x14ac:dyDescent="0.25">
      <c r="AG380" s="962">
        <f>'T3'!O68</f>
        <v>0</v>
      </c>
      <c r="AI380" s="962">
        <f t="shared" si="337"/>
        <v>0</v>
      </c>
      <c r="AJ380" s="962">
        <f t="shared" si="338"/>
        <v>0</v>
      </c>
    </row>
    <row r="381" spans="33:36" x14ac:dyDescent="0.25">
      <c r="AG381" s="962">
        <f>'T3'!O69</f>
        <v>0</v>
      </c>
      <c r="AI381" s="962">
        <f t="shared" si="337"/>
        <v>0</v>
      </c>
      <c r="AJ381" s="962">
        <f t="shared" si="338"/>
        <v>0</v>
      </c>
    </row>
    <row r="382" spans="33:36" x14ac:dyDescent="0.25">
      <c r="AG382" s="962">
        <f>'T3'!O70</f>
        <v>0</v>
      </c>
      <c r="AI382" s="962">
        <f t="shared" si="337"/>
        <v>0</v>
      </c>
      <c r="AJ382" s="962">
        <f t="shared" si="338"/>
        <v>0</v>
      </c>
    </row>
    <row r="383" spans="33:36" x14ac:dyDescent="0.25">
      <c r="AG383" s="962">
        <f>'T3'!O71</f>
        <v>0</v>
      </c>
      <c r="AI383" s="962">
        <f t="shared" si="337"/>
        <v>0</v>
      </c>
      <c r="AJ383" s="962">
        <f t="shared" si="338"/>
        <v>0</v>
      </c>
    </row>
    <row r="384" spans="33:36" x14ac:dyDescent="0.25">
      <c r="AG384" s="962">
        <f>'T3'!O72</f>
        <v>0</v>
      </c>
      <c r="AI384" s="962">
        <f t="shared" si="337"/>
        <v>0</v>
      </c>
      <c r="AJ384" s="962">
        <f t="shared" si="338"/>
        <v>0</v>
      </c>
    </row>
    <row r="390" spans="33:36" x14ac:dyDescent="0.25">
      <c r="AG390" s="962">
        <f>'T3'!O78</f>
        <v>0</v>
      </c>
      <c r="AI390" s="962">
        <f>AE390+AI384</f>
        <v>0</v>
      </c>
      <c r="AJ390" s="962">
        <f>AG390+AJ384</f>
        <v>0</v>
      </c>
    </row>
    <row r="391" spans="33:36" x14ac:dyDescent="0.25">
      <c r="AG391" s="962">
        <f>'T3'!O79</f>
        <v>0</v>
      </c>
      <c r="AI391" s="962">
        <f t="shared" ref="AI391:AI396" si="339">AE391+AI390</f>
        <v>0</v>
      </c>
      <c r="AJ391" s="962">
        <f t="shared" ref="AJ391:AJ396" si="340">AG391+AJ390</f>
        <v>0</v>
      </c>
    </row>
    <row r="392" spans="33:36" x14ac:dyDescent="0.25">
      <c r="AG392" s="962">
        <f>'T3'!O80</f>
        <v>0</v>
      </c>
      <c r="AI392" s="962">
        <f t="shared" si="339"/>
        <v>0</v>
      </c>
      <c r="AJ392" s="962">
        <f t="shared" si="340"/>
        <v>0</v>
      </c>
    </row>
    <row r="393" spans="33:36" x14ac:dyDescent="0.25">
      <c r="AG393" s="962">
        <f>'T3'!O81</f>
        <v>0</v>
      </c>
      <c r="AI393" s="962">
        <f t="shared" si="339"/>
        <v>0</v>
      </c>
      <c r="AJ393" s="962">
        <f t="shared" si="340"/>
        <v>0</v>
      </c>
    </row>
    <row r="394" spans="33:36" x14ac:dyDescent="0.25">
      <c r="AG394" s="962">
        <f>'T3'!O82</f>
        <v>0</v>
      </c>
      <c r="AI394" s="962">
        <f t="shared" si="339"/>
        <v>0</v>
      </c>
      <c r="AJ394" s="962">
        <f t="shared" si="340"/>
        <v>0</v>
      </c>
    </row>
    <row r="395" spans="33:36" x14ac:dyDescent="0.25">
      <c r="AG395" s="962">
        <f>'T3'!O83</f>
        <v>0</v>
      </c>
      <c r="AI395" s="962">
        <f t="shared" si="339"/>
        <v>0</v>
      </c>
      <c r="AJ395" s="962">
        <f t="shared" si="340"/>
        <v>0</v>
      </c>
    </row>
    <row r="396" spans="33:36" x14ac:dyDescent="0.25">
      <c r="AG396" s="962">
        <f>'T3'!O84</f>
        <v>0</v>
      </c>
      <c r="AI396" s="962">
        <f t="shared" si="339"/>
        <v>0</v>
      </c>
      <c r="AJ396" s="962">
        <f t="shared" si="340"/>
        <v>0</v>
      </c>
    </row>
    <row r="402" spans="33:36" x14ac:dyDescent="0.25">
      <c r="AG402" s="962">
        <f>'T3'!O90</f>
        <v>0</v>
      </c>
      <c r="AI402" s="962">
        <f>AE402+AI396</f>
        <v>0</v>
      </c>
      <c r="AJ402" s="962">
        <f>AG402+AJ396</f>
        <v>0</v>
      </c>
    </row>
    <row r="403" spans="33:36" x14ac:dyDescent="0.25">
      <c r="AG403" s="962">
        <f>'T3'!O91</f>
        <v>0</v>
      </c>
      <c r="AI403" s="962">
        <f t="shared" ref="AI403:AI408" si="341">AE403+AI402</f>
        <v>0</v>
      </c>
      <c r="AJ403" s="962">
        <f t="shared" ref="AJ403:AJ408" si="342">AG403+AJ402</f>
        <v>0</v>
      </c>
    </row>
    <row r="404" spans="33:36" x14ac:dyDescent="0.25">
      <c r="AG404" s="962">
        <f>'T3'!O92</f>
        <v>0</v>
      </c>
      <c r="AI404" s="962">
        <f t="shared" si="341"/>
        <v>0</v>
      </c>
      <c r="AJ404" s="962">
        <f t="shared" si="342"/>
        <v>0</v>
      </c>
    </row>
    <row r="405" spans="33:36" x14ac:dyDescent="0.25">
      <c r="AG405" s="962">
        <f>'T3'!O93</f>
        <v>0</v>
      </c>
      <c r="AI405" s="962">
        <f t="shared" si="341"/>
        <v>0</v>
      </c>
      <c r="AJ405" s="962">
        <f t="shared" si="342"/>
        <v>0</v>
      </c>
    </row>
    <row r="406" spans="33:36" x14ac:dyDescent="0.25">
      <c r="AG406" s="962">
        <f>'T3'!O94</f>
        <v>0</v>
      </c>
      <c r="AI406" s="962">
        <f t="shared" si="341"/>
        <v>0</v>
      </c>
      <c r="AJ406" s="962">
        <f t="shared" si="342"/>
        <v>0</v>
      </c>
    </row>
    <row r="407" spans="33:36" x14ac:dyDescent="0.25">
      <c r="AG407" s="962">
        <f>'T3'!O95</f>
        <v>0</v>
      </c>
      <c r="AI407" s="962">
        <f t="shared" si="341"/>
        <v>0</v>
      </c>
      <c r="AJ407" s="962">
        <f t="shared" si="342"/>
        <v>0</v>
      </c>
    </row>
    <row r="408" spans="33:36" x14ac:dyDescent="0.25">
      <c r="AG408" s="962">
        <f>'T3'!O96</f>
        <v>0</v>
      </c>
      <c r="AI408" s="962">
        <f t="shared" si="341"/>
        <v>0</v>
      </c>
      <c r="AJ408" s="962">
        <f t="shared" si="342"/>
        <v>0</v>
      </c>
    </row>
    <row r="414" spans="33:36" x14ac:dyDescent="0.25">
      <c r="AG414" s="962">
        <f>'T3'!O102</f>
        <v>0</v>
      </c>
      <c r="AI414" s="962">
        <f>AE414+AI408</f>
        <v>0</v>
      </c>
      <c r="AJ414" s="962">
        <f>AG414+AJ408</f>
        <v>0</v>
      </c>
    </row>
    <row r="415" spans="33:36" x14ac:dyDescent="0.25">
      <c r="AG415" s="962">
        <f>'T3'!O103</f>
        <v>0</v>
      </c>
      <c r="AI415" s="962">
        <f t="shared" ref="AI415:AI420" si="343">AE415+AI414</f>
        <v>0</v>
      </c>
      <c r="AJ415" s="962">
        <f t="shared" ref="AJ415:AJ420" si="344">AG415+AJ414</f>
        <v>0</v>
      </c>
    </row>
    <row r="416" spans="33:36" x14ac:dyDescent="0.25">
      <c r="AG416" s="962">
        <f>'T3'!O104</f>
        <v>0</v>
      </c>
      <c r="AI416" s="962">
        <f t="shared" si="343"/>
        <v>0</v>
      </c>
      <c r="AJ416" s="962">
        <f t="shared" si="344"/>
        <v>0</v>
      </c>
    </row>
    <row r="417" spans="33:36" x14ac:dyDescent="0.25">
      <c r="AG417" s="962">
        <f>'T3'!O105</f>
        <v>0</v>
      </c>
      <c r="AI417" s="962">
        <f t="shared" si="343"/>
        <v>0</v>
      </c>
      <c r="AJ417" s="962">
        <f t="shared" si="344"/>
        <v>0</v>
      </c>
    </row>
    <row r="418" spans="33:36" x14ac:dyDescent="0.25">
      <c r="AG418" s="962">
        <f>'T3'!O106</f>
        <v>0</v>
      </c>
      <c r="AI418" s="962">
        <f t="shared" si="343"/>
        <v>0</v>
      </c>
      <c r="AJ418" s="962">
        <f t="shared" si="344"/>
        <v>0</v>
      </c>
    </row>
    <row r="419" spans="33:36" x14ac:dyDescent="0.25">
      <c r="AG419" s="962">
        <f>'T3'!O107</f>
        <v>0</v>
      </c>
      <c r="AI419" s="962">
        <f t="shared" si="343"/>
        <v>0</v>
      </c>
      <c r="AJ419" s="962">
        <f t="shared" si="344"/>
        <v>0</v>
      </c>
    </row>
    <row r="420" spans="33:36" x14ac:dyDescent="0.25">
      <c r="AG420" s="962">
        <f>'T3'!O108</f>
        <v>0</v>
      </c>
      <c r="AI420" s="962">
        <f t="shared" si="343"/>
        <v>0</v>
      </c>
      <c r="AJ420" s="962">
        <f t="shared" si="344"/>
        <v>0</v>
      </c>
    </row>
    <row r="426" spans="33:36" x14ac:dyDescent="0.25">
      <c r="AG426" s="962">
        <f>'T3'!O114</f>
        <v>0</v>
      </c>
      <c r="AI426" s="962">
        <f>AE426+AI420</f>
        <v>0</v>
      </c>
      <c r="AJ426" s="962">
        <f>AG426+AJ420</f>
        <v>0</v>
      </c>
    </row>
    <row r="427" spans="33:36" x14ac:dyDescent="0.25">
      <c r="AG427" s="962">
        <f>'T3'!O115</f>
        <v>0</v>
      </c>
      <c r="AI427" s="962">
        <f t="shared" ref="AI427:AI432" si="345">AE427+AI426</f>
        <v>0</v>
      </c>
      <c r="AJ427" s="962">
        <f t="shared" ref="AJ427:AJ432" si="346">AG427+AJ426</f>
        <v>0</v>
      </c>
    </row>
    <row r="428" spans="33:36" x14ac:dyDescent="0.25">
      <c r="AG428" s="962">
        <f>'T3'!O116</f>
        <v>0</v>
      </c>
      <c r="AI428" s="962">
        <f t="shared" si="345"/>
        <v>0</v>
      </c>
      <c r="AJ428" s="962">
        <f t="shared" si="346"/>
        <v>0</v>
      </c>
    </row>
    <row r="429" spans="33:36" x14ac:dyDescent="0.25">
      <c r="AG429" s="962">
        <f>'T3'!O117</f>
        <v>0</v>
      </c>
      <c r="AI429" s="962">
        <f t="shared" si="345"/>
        <v>0</v>
      </c>
      <c r="AJ429" s="962">
        <f t="shared" si="346"/>
        <v>0</v>
      </c>
    </row>
    <row r="430" spans="33:36" x14ac:dyDescent="0.25">
      <c r="AG430" s="962">
        <f>'T3'!O118</f>
        <v>0</v>
      </c>
      <c r="AI430" s="962">
        <f t="shared" si="345"/>
        <v>0</v>
      </c>
      <c r="AJ430" s="962">
        <f t="shared" si="346"/>
        <v>0</v>
      </c>
    </row>
    <row r="431" spans="33:36" x14ac:dyDescent="0.25">
      <c r="AG431" s="962">
        <f>'T3'!O119</f>
        <v>0</v>
      </c>
      <c r="AI431" s="962">
        <f t="shared" si="345"/>
        <v>0</v>
      </c>
      <c r="AJ431" s="962">
        <f t="shared" si="346"/>
        <v>0</v>
      </c>
    </row>
    <row r="432" spans="33:36" x14ac:dyDescent="0.25">
      <c r="AG432" s="962">
        <f>'T3'!O120</f>
        <v>0</v>
      </c>
      <c r="AI432" s="962">
        <f t="shared" si="345"/>
        <v>0</v>
      </c>
      <c r="AJ432" s="962">
        <f t="shared" si="346"/>
        <v>0</v>
      </c>
    </row>
    <row r="438" spans="33:36" x14ac:dyDescent="0.25">
      <c r="AG438" s="962">
        <f>'T3'!O126</f>
        <v>0</v>
      </c>
      <c r="AI438" s="962">
        <f>AE438+AI432</f>
        <v>0</v>
      </c>
      <c r="AJ438" s="962">
        <f>AG438+AJ432</f>
        <v>0</v>
      </c>
    </row>
    <row r="439" spans="33:36" x14ac:dyDescent="0.25">
      <c r="AG439" s="962">
        <f>'T3'!O127</f>
        <v>0</v>
      </c>
      <c r="AI439" s="962">
        <f t="shared" ref="AI439:AI444" si="347">AE439+AI438</f>
        <v>0</v>
      </c>
      <c r="AJ439" s="962">
        <f t="shared" ref="AJ439:AJ444" si="348">AG439+AJ438</f>
        <v>0</v>
      </c>
    </row>
    <row r="440" spans="33:36" x14ac:dyDescent="0.25">
      <c r="AG440" s="962">
        <f>'T3'!O128</f>
        <v>0</v>
      </c>
      <c r="AI440" s="962">
        <f t="shared" si="347"/>
        <v>0</v>
      </c>
      <c r="AJ440" s="962">
        <f t="shared" si="348"/>
        <v>0</v>
      </c>
    </row>
    <row r="441" spans="33:36" x14ac:dyDescent="0.25">
      <c r="AG441" s="962">
        <f>'T3'!O129</f>
        <v>0</v>
      </c>
      <c r="AI441" s="962">
        <f t="shared" si="347"/>
        <v>0</v>
      </c>
      <c r="AJ441" s="962">
        <f t="shared" si="348"/>
        <v>0</v>
      </c>
    </row>
    <row r="442" spans="33:36" x14ac:dyDescent="0.25">
      <c r="AG442" s="962">
        <f>'T3'!O130</f>
        <v>0</v>
      </c>
      <c r="AI442" s="962">
        <f t="shared" si="347"/>
        <v>0</v>
      </c>
      <c r="AJ442" s="962">
        <f t="shared" si="348"/>
        <v>0</v>
      </c>
    </row>
    <row r="443" spans="33:36" x14ac:dyDescent="0.25">
      <c r="AG443" s="962">
        <f>'T3'!O131</f>
        <v>0</v>
      </c>
      <c r="AI443" s="962">
        <f t="shared" si="347"/>
        <v>0</v>
      </c>
      <c r="AJ443" s="962">
        <f t="shared" si="348"/>
        <v>0</v>
      </c>
    </row>
    <row r="444" spans="33:36" x14ac:dyDescent="0.25">
      <c r="AG444" s="962">
        <f>'T3'!O132</f>
        <v>0</v>
      </c>
      <c r="AI444" s="962">
        <f t="shared" si="347"/>
        <v>0</v>
      </c>
      <c r="AJ444" s="962">
        <f t="shared" si="348"/>
        <v>0</v>
      </c>
    </row>
    <row r="450" spans="33:36" x14ac:dyDescent="0.25">
      <c r="AG450" s="962">
        <f>'T3'!O138</f>
        <v>0</v>
      </c>
      <c r="AI450" s="962">
        <f>AE450+AI444</f>
        <v>0</v>
      </c>
      <c r="AJ450" s="962">
        <f>AG450+AJ444</f>
        <v>0</v>
      </c>
    </row>
    <row r="451" spans="33:36" x14ac:dyDescent="0.25">
      <c r="AG451" s="962">
        <f>'T3'!O139</f>
        <v>0</v>
      </c>
      <c r="AI451" s="962">
        <f t="shared" ref="AI451:AI456" si="349">AE451+AI450</f>
        <v>0</v>
      </c>
      <c r="AJ451" s="962">
        <f t="shared" ref="AJ451:AJ456" si="350">AG451+AJ450</f>
        <v>0</v>
      </c>
    </row>
    <row r="452" spans="33:36" x14ac:dyDescent="0.25">
      <c r="AG452" s="962">
        <f>'T3'!O140</f>
        <v>0</v>
      </c>
      <c r="AI452" s="962">
        <f t="shared" si="349"/>
        <v>0</v>
      </c>
      <c r="AJ452" s="962">
        <f t="shared" si="350"/>
        <v>0</v>
      </c>
    </row>
    <row r="453" spans="33:36" x14ac:dyDescent="0.25">
      <c r="AG453" s="962">
        <f>'T3'!O141</f>
        <v>0</v>
      </c>
      <c r="AI453" s="962">
        <f t="shared" si="349"/>
        <v>0</v>
      </c>
      <c r="AJ453" s="962">
        <f t="shared" si="350"/>
        <v>0</v>
      </c>
    </row>
    <row r="454" spans="33:36" x14ac:dyDescent="0.25">
      <c r="AG454" s="962">
        <f>'T3'!O142</f>
        <v>0</v>
      </c>
      <c r="AI454" s="962">
        <f t="shared" si="349"/>
        <v>0</v>
      </c>
      <c r="AJ454" s="962">
        <f t="shared" si="350"/>
        <v>0</v>
      </c>
    </row>
    <row r="455" spans="33:36" x14ac:dyDescent="0.25">
      <c r="AG455" s="962">
        <f>'T3'!O143</f>
        <v>0</v>
      </c>
      <c r="AI455" s="962">
        <f t="shared" si="349"/>
        <v>0</v>
      </c>
      <c r="AJ455" s="962">
        <f t="shared" si="350"/>
        <v>0</v>
      </c>
    </row>
    <row r="456" spans="33:36" x14ac:dyDescent="0.25">
      <c r="AG456" s="962">
        <f>'T3'!O144</f>
        <v>0</v>
      </c>
      <c r="AI456" s="962">
        <f t="shared" si="349"/>
        <v>0</v>
      </c>
      <c r="AJ456" s="962">
        <f t="shared" si="350"/>
        <v>0</v>
      </c>
    </row>
    <row r="462" spans="33:36" x14ac:dyDescent="0.25">
      <c r="AG462" s="962">
        <f>'T3'!O150</f>
        <v>0</v>
      </c>
      <c r="AI462" s="962">
        <f>AE462+AI456</f>
        <v>0</v>
      </c>
      <c r="AJ462" s="962">
        <f>AG462+AJ456</f>
        <v>0</v>
      </c>
    </row>
    <row r="463" spans="33:36" x14ac:dyDescent="0.25">
      <c r="AG463" s="962">
        <f>'T3'!O151</f>
        <v>0</v>
      </c>
      <c r="AI463" s="962">
        <f t="shared" ref="AI463:AI468" si="351">AE463+AI462</f>
        <v>0</v>
      </c>
      <c r="AJ463" s="962">
        <f t="shared" ref="AJ463:AJ468" si="352">AG463+AJ462</f>
        <v>0</v>
      </c>
    </row>
    <row r="464" spans="33:36" x14ac:dyDescent="0.25">
      <c r="AG464" s="962">
        <f>'T3'!O152</f>
        <v>0</v>
      </c>
      <c r="AI464" s="962">
        <f t="shared" si="351"/>
        <v>0</v>
      </c>
      <c r="AJ464" s="962">
        <f t="shared" si="352"/>
        <v>0</v>
      </c>
    </row>
    <row r="465" spans="33:36" x14ac:dyDescent="0.25">
      <c r="AG465" s="962">
        <f>'T3'!O153</f>
        <v>0</v>
      </c>
      <c r="AI465" s="962">
        <f t="shared" si="351"/>
        <v>0</v>
      </c>
      <c r="AJ465" s="962">
        <f t="shared" si="352"/>
        <v>0</v>
      </c>
    </row>
    <row r="466" spans="33:36" x14ac:dyDescent="0.25">
      <c r="AG466" s="962">
        <f>'T3'!O154</f>
        <v>0</v>
      </c>
      <c r="AI466" s="962">
        <f t="shared" si="351"/>
        <v>0</v>
      </c>
      <c r="AJ466" s="962">
        <f t="shared" si="352"/>
        <v>0</v>
      </c>
    </row>
    <row r="467" spans="33:36" x14ac:dyDescent="0.25">
      <c r="AG467" s="962">
        <f>'T3'!O155</f>
        <v>0</v>
      </c>
      <c r="AI467" s="962">
        <f t="shared" si="351"/>
        <v>0</v>
      </c>
      <c r="AJ467" s="962">
        <f t="shared" si="352"/>
        <v>0</v>
      </c>
    </row>
    <row r="468" spans="33:36" x14ac:dyDescent="0.25">
      <c r="AG468" s="962">
        <f>'T3'!O156</f>
        <v>0</v>
      </c>
      <c r="AI468" s="962">
        <f t="shared" si="351"/>
        <v>0</v>
      </c>
      <c r="AJ468" s="962">
        <f t="shared" si="352"/>
        <v>0</v>
      </c>
    </row>
    <row r="474" spans="33:36" x14ac:dyDescent="0.25">
      <c r="AG474" s="962">
        <f>'T3'!O162</f>
        <v>0</v>
      </c>
      <c r="AI474" s="962">
        <f>AE474+AI468</f>
        <v>0</v>
      </c>
      <c r="AJ474" s="962">
        <f>AG474+AJ468</f>
        <v>0</v>
      </c>
    </row>
    <row r="475" spans="33:36" x14ac:dyDescent="0.25">
      <c r="AG475" s="962">
        <f>'T3'!O163</f>
        <v>0</v>
      </c>
      <c r="AI475" s="962">
        <f t="shared" ref="AI475:AI480" si="353">AE475+AI474</f>
        <v>0</v>
      </c>
      <c r="AJ475" s="962">
        <f t="shared" ref="AJ475:AJ480" si="354">AG475+AJ474</f>
        <v>0</v>
      </c>
    </row>
    <row r="476" spans="33:36" x14ac:dyDescent="0.25">
      <c r="AG476" s="962">
        <f>'T3'!O164</f>
        <v>0</v>
      </c>
      <c r="AI476" s="962">
        <f t="shared" si="353"/>
        <v>0</v>
      </c>
      <c r="AJ476" s="962">
        <f t="shared" si="354"/>
        <v>0</v>
      </c>
    </row>
    <row r="477" spans="33:36" x14ac:dyDescent="0.25">
      <c r="AG477" s="962">
        <f>'T3'!O165</f>
        <v>0</v>
      </c>
      <c r="AI477" s="962">
        <f t="shared" si="353"/>
        <v>0</v>
      </c>
      <c r="AJ477" s="962">
        <f t="shared" si="354"/>
        <v>0</v>
      </c>
    </row>
    <row r="478" spans="33:36" x14ac:dyDescent="0.25">
      <c r="AG478" s="962">
        <f>'T3'!O166</f>
        <v>0</v>
      </c>
      <c r="AI478" s="962">
        <f t="shared" si="353"/>
        <v>0</v>
      </c>
      <c r="AJ478" s="962">
        <f t="shared" si="354"/>
        <v>0</v>
      </c>
    </row>
    <row r="479" spans="33:36" x14ac:dyDescent="0.25">
      <c r="AG479" s="962">
        <f>'T3'!O167</f>
        <v>0</v>
      </c>
      <c r="AI479" s="962">
        <f t="shared" si="353"/>
        <v>0</v>
      </c>
      <c r="AJ479" s="962">
        <f t="shared" si="354"/>
        <v>0</v>
      </c>
    </row>
    <row r="480" spans="33:36" x14ac:dyDescent="0.25">
      <c r="AG480" s="962">
        <f>'T3'!O168</f>
        <v>0</v>
      </c>
      <c r="AI480" s="962">
        <f t="shared" si="353"/>
        <v>0</v>
      </c>
      <c r="AJ480" s="962">
        <f t="shared" si="354"/>
        <v>0</v>
      </c>
    </row>
    <row r="486" spans="33:36" x14ac:dyDescent="0.25">
      <c r="AG486" s="962">
        <f>'T4'!O6</f>
        <v>0</v>
      </c>
      <c r="AI486" s="962">
        <f>AE486+AI480</f>
        <v>0</v>
      </c>
      <c r="AJ486" s="962">
        <f>AG486+AJ480</f>
        <v>0</v>
      </c>
    </row>
    <row r="487" spans="33:36" x14ac:dyDescent="0.25">
      <c r="AG487" s="962">
        <f>'T4'!O7</f>
        <v>0</v>
      </c>
      <c r="AI487" s="962">
        <f t="shared" ref="AI487:AI492" si="355">AE487+AI486</f>
        <v>0</v>
      </c>
      <c r="AJ487" s="962">
        <f t="shared" ref="AJ487:AJ492" si="356">AG487+AJ486</f>
        <v>0</v>
      </c>
    </row>
    <row r="488" spans="33:36" x14ac:dyDescent="0.25">
      <c r="AG488" s="962">
        <f>'T4'!O8</f>
        <v>0</v>
      </c>
      <c r="AI488" s="962">
        <f t="shared" si="355"/>
        <v>0</v>
      </c>
      <c r="AJ488" s="962">
        <f t="shared" si="356"/>
        <v>0</v>
      </c>
    </row>
    <row r="489" spans="33:36" x14ac:dyDescent="0.25">
      <c r="AG489" s="962">
        <f>'T4'!O9</f>
        <v>0</v>
      </c>
      <c r="AI489" s="962">
        <f t="shared" si="355"/>
        <v>0</v>
      </c>
      <c r="AJ489" s="962">
        <f t="shared" si="356"/>
        <v>0</v>
      </c>
    </row>
    <row r="490" spans="33:36" x14ac:dyDescent="0.25">
      <c r="AG490" s="962">
        <f>'T4'!O10</f>
        <v>0</v>
      </c>
      <c r="AI490" s="962">
        <f t="shared" si="355"/>
        <v>0</v>
      </c>
      <c r="AJ490" s="962">
        <f t="shared" si="356"/>
        <v>0</v>
      </c>
    </row>
    <row r="491" spans="33:36" x14ac:dyDescent="0.25">
      <c r="AG491" s="962">
        <f>'T4'!O11</f>
        <v>0</v>
      </c>
      <c r="AI491" s="962">
        <f t="shared" si="355"/>
        <v>0</v>
      </c>
      <c r="AJ491" s="962">
        <f t="shared" si="356"/>
        <v>0</v>
      </c>
    </row>
    <row r="492" spans="33:36" x14ac:dyDescent="0.25">
      <c r="AG492" s="962">
        <f>'T4'!O12</f>
        <v>0</v>
      </c>
      <c r="AI492" s="962">
        <f t="shared" si="355"/>
        <v>0</v>
      </c>
      <c r="AJ492" s="962">
        <f t="shared" si="356"/>
        <v>0</v>
      </c>
    </row>
    <row r="498" spans="33:36" x14ac:dyDescent="0.25">
      <c r="AG498" s="962">
        <f>'T4'!O18</f>
        <v>0</v>
      </c>
      <c r="AI498" s="962">
        <f>AE498+AI492</f>
        <v>0</v>
      </c>
      <c r="AJ498" s="962">
        <f>AG498+AJ492</f>
        <v>0</v>
      </c>
    </row>
    <row r="499" spans="33:36" x14ac:dyDescent="0.25">
      <c r="AG499" s="962">
        <f>'T4'!O19</f>
        <v>0</v>
      </c>
      <c r="AI499" s="962">
        <f t="shared" ref="AI499:AI504" si="357">AE499+AI498</f>
        <v>0</v>
      </c>
      <c r="AJ499" s="962">
        <f t="shared" ref="AJ499:AJ504" si="358">AG499+AJ498</f>
        <v>0</v>
      </c>
    </row>
    <row r="500" spans="33:36" x14ac:dyDescent="0.25">
      <c r="AG500" s="962">
        <f>'T4'!O20</f>
        <v>0</v>
      </c>
      <c r="AI500" s="962">
        <f t="shared" si="357"/>
        <v>0</v>
      </c>
      <c r="AJ500" s="962">
        <f t="shared" si="358"/>
        <v>0</v>
      </c>
    </row>
    <row r="501" spans="33:36" x14ac:dyDescent="0.25">
      <c r="AG501" s="962">
        <f>'T4'!O21</f>
        <v>0</v>
      </c>
      <c r="AI501" s="962">
        <f t="shared" si="357"/>
        <v>0</v>
      </c>
      <c r="AJ501" s="962">
        <f t="shared" si="358"/>
        <v>0</v>
      </c>
    </row>
    <row r="502" spans="33:36" x14ac:dyDescent="0.25">
      <c r="AG502" s="962">
        <f>'T4'!O22</f>
        <v>0</v>
      </c>
      <c r="AI502" s="962">
        <f t="shared" si="357"/>
        <v>0</v>
      </c>
      <c r="AJ502" s="962">
        <f t="shared" si="358"/>
        <v>0</v>
      </c>
    </row>
    <row r="503" spans="33:36" x14ac:dyDescent="0.25">
      <c r="AG503" s="962">
        <f>'T4'!O23</f>
        <v>0</v>
      </c>
      <c r="AI503" s="962">
        <f t="shared" si="357"/>
        <v>0</v>
      </c>
      <c r="AJ503" s="962">
        <f t="shared" si="358"/>
        <v>0</v>
      </c>
    </row>
    <row r="504" spans="33:36" x14ac:dyDescent="0.25">
      <c r="AG504" s="962">
        <f>'T4'!O24</f>
        <v>0</v>
      </c>
      <c r="AI504" s="962">
        <f t="shared" si="357"/>
        <v>0</v>
      </c>
      <c r="AJ504" s="962">
        <f t="shared" si="358"/>
        <v>0</v>
      </c>
    </row>
    <row r="510" spans="33:36" x14ac:dyDescent="0.25">
      <c r="AG510" s="962">
        <f>'T4'!O30</f>
        <v>0</v>
      </c>
      <c r="AI510" s="962">
        <f>AE510+AI504</f>
        <v>0</v>
      </c>
      <c r="AJ510" s="962">
        <f>AG510+AJ504</f>
        <v>0</v>
      </c>
    </row>
    <row r="511" spans="33:36" x14ac:dyDescent="0.25">
      <c r="AG511" s="962">
        <f>'T4'!O31</f>
        <v>0</v>
      </c>
      <c r="AI511" s="962">
        <f t="shared" ref="AI511:AI516" si="359">AE511+AI510</f>
        <v>0</v>
      </c>
      <c r="AJ511" s="962">
        <f t="shared" ref="AJ511:AJ516" si="360">AG511+AJ510</f>
        <v>0</v>
      </c>
    </row>
    <row r="512" spans="33:36" x14ac:dyDescent="0.25">
      <c r="AG512" s="962">
        <f>'T4'!O32</f>
        <v>0</v>
      </c>
      <c r="AI512" s="962">
        <f t="shared" si="359"/>
        <v>0</v>
      </c>
      <c r="AJ512" s="962">
        <f t="shared" si="360"/>
        <v>0</v>
      </c>
    </row>
    <row r="513" spans="33:36" x14ac:dyDescent="0.25">
      <c r="AG513" s="962">
        <f>'T4'!O33</f>
        <v>0</v>
      </c>
      <c r="AI513" s="962">
        <f t="shared" si="359"/>
        <v>0</v>
      </c>
      <c r="AJ513" s="962">
        <f t="shared" si="360"/>
        <v>0</v>
      </c>
    </row>
    <row r="514" spans="33:36" x14ac:dyDescent="0.25">
      <c r="AG514" s="962">
        <f>'T4'!O34</f>
        <v>0</v>
      </c>
      <c r="AI514" s="962">
        <f t="shared" si="359"/>
        <v>0</v>
      </c>
      <c r="AJ514" s="962">
        <f t="shared" si="360"/>
        <v>0</v>
      </c>
    </row>
    <row r="515" spans="33:36" x14ac:dyDescent="0.25">
      <c r="AG515" s="962">
        <f>'T4'!O35</f>
        <v>0</v>
      </c>
      <c r="AI515" s="962">
        <f t="shared" si="359"/>
        <v>0</v>
      </c>
      <c r="AJ515" s="962">
        <f t="shared" si="360"/>
        <v>0</v>
      </c>
    </row>
    <row r="516" spans="33:36" x14ac:dyDescent="0.25">
      <c r="AG516" s="962">
        <f>'T4'!O36</f>
        <v>0</v>
      </c>
      <c r="AI516" s="962">
        <f t="shared" si="359"/>
        <v>0</v>
      </c>
      <c r="AJ516" s="962">
        <f t="shared" si="360"/>
        <v>0</v>
      </c>
    </row>
    <row r="522" spans="33:36" x14ac:dyDescent="0.25">
      <c r="AG522" s="962">
        <f>'T4'!O42</f>
        <v>0</v>
      </c>
      <c r="AI522" s="962">
        <f>AE522+AI516</f>
        <v>0</v>
      </c>
      <c r="AJ522" s="962">
        <f>AG522+AJ516</f>
        <v>0</v>
      </c>
    </row>
    <row r="523" spans="33:36" x14ac:dyDescent="0.25">
      <c r="AG523" s="962">
        <f>'T4'!O43</f>
        <v>0</v>
      </c>
      <c r="AI523" s="962">
        <f t="shared" ref="AI523:AI528" si="361">AE523+AI522</f>
        <v>0</v>
      </c>
      <c r="AJ523" s="962">
        <f t="shared" ref="AJ523:AJ528" si="362">AG523+AJ522</f>
        <v>0</v>
      </c>
    </row>
    <row r="524" spans="33:36" x14ac:dyDescent="0.25">
      <c r="AG524" s="962">
        <f>'T4'!O44</f>
        <v>0</v>
      </c>
      <c r="AI524" s="962">
        <f t="shared" si="361"/>
        <v>0</v>
      </c>
      <c r="AJ524" s="962">
        <f t="shared" si="362"/>
        <v>0</v>
      </c>
    </row>
    <row r="525" spans="33:36" x14ac:dyDescent="0.25">
      <c r="AG525" s="962">
        <f>'T4'!O45</f>
        <v>0</v>
      </c>
      <c r="AI525" s="962">
        <f t="shared" si="361"/>
        <v>0</v>
      </c>
      <c r="AJ525" s="962">
        <f t="shared" si="362"/>
        <v>0</v>
      </c>
    </row>
    <row r="526" spans="33:36" x14ac:dyDescent="0.25">
      <c r="AG526" s="962">
        <f>'T4'!O46</f>
        <v>0</v>
      </c>
      <c r="AI526" s="962">
        <f t="shared" si="361"/>
        <v>0</v>
      </c>
      <c r="AJ526" s="962">
        <f t="shared" si="362"/>
        <v>0</v>
      </c>
    </row>
    <row r="527" spans="33:36" x14ac:dyDescent="0.25">
      <c r="AG527" s="962">
        <f>'T4'!O47</f>
        <v>0</v>
      </c>
      <c r="AI527" s="962">
        <f t="shared" si="361"/>
        <v>0</v>
      </c>
      <c r="AJ527" s="962">
        <f t="shared" si="362"/>
        <v>0</v>
      </c>
    </row>
    <row r="528" spans="33:36" x14ac:dyDescent="0.25">
      <c r="AG528" s="962">
        <f>'T4'!O48</f>
        <v>0</v>
      </c>
      <c r="AI528" s="962">
        <f t="shared" si="361"/>
        <v>0</v>
      </c>
      <c r="AJ528" s="962">
        <f t="shared" si="362"/>
        <v>0</v>
      </c>
    </row>
    <row r="534" spans="33:36" x14ac:dyDescent="0.25">
      <c r="AG534" s="962">
        <f>'T4'!O54</f>
        <v>0</v>
      </c>
      <c r="AI534" s="962">
        <f>AE534+AI528</f>
        <v>0</v>
      </c>
      <c r="AJ534" s="962">
        <f>AG534+AJ528</f>
        <v>0</v>
      </c>
    </row>
    <row r="535" spans="33:36" x14ac:dyDescent="0.25">
      <c r="AG535" s="962">
        <f>'T4'!O55</f>
        <v>0</v>
      </c>
      <c r="AI535" s="962">
        <f t="shared" ref="AI535:AI540" si="363">AE535+AI534</f>
        <v>0</v>
      </c>
      <c r="AJ535" s="962">
        <f t="shared" ref="AJ535:AJ540" si="364">AG535+AJ534</f>
        <v>0</v>
      </c>
    </row>
    <row r="536" spans="33:36" x14ac:dyDescent="0.25">
      <c r="AG536" s="962">
        <f>'T4'!O56</f>
        <v>0</v>
      </c>
      <c r="AI536" s="962">
        <f t="shared" si="363"/>
        <v>0</v>
      </c>
      <c r="AJ536" s="962">
        <f t="shared" si="364"/>
        <v>0</v>
      </c>
    </row>
    <row r="537" spans="33:36" x14ac:dyDescent="0.25">
      <c r="AG537" s="962">
        <f>'T4'!O57</f>
        <v>0</v>
      </c>
      <c r="AI537" s="962">
        <f t="shared" si="363"/>
        <v>0</v>
      </c>
      <c r="AJ537" s="962">
        <f t="shared" si="364"/>
        <v>0</v>
      </c>
    </row>
    <row r="538" spans="33:36" x14ac:dyDescent="0.25">
      <c r="AG538" s="962">
        <f>'T4'!O58</f>
        <v>0</v>
      </c>
      <c r="AI538" s="962">
        <f t="shared" si="363"/>
        <v>0</v>
      </c>
      <c r="AJ538" s="962">
        <f t="shared" si="364"/>
        <v>0</v>
      </c>
    </row>
    <row r="539" spans="33:36" x14ac:dyDescent="0.25">
      <c r="AG539" s="962">
        <f>'T4'!O59</f>
        <v>0</v>
      </c>
      <c r="AI539" s="962">
        <f t="shared" si="363"/>
        <v>0</v>
      </c>
      <c r="AJ539" s="962">
        <f t="shared" si="364"/>
        <v>0</v>
      </c>
    </row>
    <row r="540" spans="33:36" x14ac:dyDescent="0.25">
      <c r="AG540" s="962">
        <f>'T4'!O60</f>
        <v>0</v>
      </c>
      <c r="AI540" s="962">
        <f t="shared" si="363"/>
        <v>0</v>
      </c>
      <c r="AJ540" s="962">
        <f t="shared" si="364"/>
        <v>0</v>
      </c>
    </row>
    <row r="546" spans="33:36" x14ac:dyDescent="0.25">
      <c r="AG546" s="962">
        <f>'T4'!O66</f>
        <v>0</v>
      </c>
      <c r="AI546" s="962">
        <f>AE546+AI540</f>
        <v>0</v>
      </c>
      <c r="AJ546" s="962">
        <f>AG546+AJ540</f>
        <v>0</v>
      </c>
    </row>
    <row r="547" spans="33:36" x14ac:dyDescent="0.25">
      <c r="AG547" s="962">
        <f>'T4'!O67</f>
        <v>0</v>
      </c>
      <c r="AI547" s="962">
        <f t="shared" ref="AI547:AI552" si="365">AE547+AI546</f>
        <v>0</v>
      </c>
      <c r="AJ547" s="962">
        <f t="shared" ref="AJ547:AJ552" si="366">AG547+AJ546</f>
        <v>0</v>
      </c>
    </row>
    <row r="548" spans="33:36" x14ac:dyDescent="0.25">
      <c r="AG548" s="962">
        <f>'T4'!O68</f>
        <v>0</v>
      </c>
      <c r="AI548" s="962">
        <f t="shared" si="365"/>
        <v>0</v>
      </c>
      <c r="AJ548" s="962">
        <f t="shared" si="366"/>
        <v>0</v>
      </c>
    </row>
    <row r="549" spans="33:36" x14ac:dyDescent="0.25">
      <c r="AG549" s="962">
        <f>'T4'!O69</f>
        <v>0</v>
      </c>
      <c r="AI549" s="962">
        <f t="shared" si="365"/>
        <v>0</v>
      </c>
      <c r="AJ549" s="962">
        <f t="shared" si="366"/>
        <v>0</v>
      </c>
    </row>
    <row r="550" spans="33:36" x14ac:dyDescent="0.25">
      <c r="AG550" s="962">
        <f>'T4'!O70</f>
        <v>0</v>
      </c>
      <c r="AI550" s="962">
        <f t="shared" si="365"/>
        <v>0</v>
      </c>
      <c r="AJ550" s="962">
        <f t="shared" si="366"/>
        <v>0</v>
      </c>
    </row>
    <row r="551" spans="33:36" x14ac:dyDescent="0.25">
      <c r="AG551" s="962">
        <f>'T4'!O71</f>
        <v>0</v>
      </c>
      <c r="AI551" s="962">
        <f t="shared" si="365"/>
        <v>0</v>
      </c>
      <c r="AJ551" s="962">
        <f t="shared" si="366"/>
        <v>0</v>
      </c>
    </row>
    <row r="552" spans="33:36" x14ac:dyDescent="0.25">
      <c r="AG552" s="962">
        <f>'T4'!O72</f>
        <v>0</v>
      </c>
      <c r="AI552" s="962">
        <f t="shared" si="365"/>
        <v>0</v>
      </c>
      <c r="AJ552" s="962">
        <f t="shared" si="366"/>
        <v>0</v>
      </c>
    </row>
    <row r="558" spans="33:36" x14ac:dyDescent="0.25">
      <c r="AG558" s="962">
        <f>'T4'!O78</f>
        <v>0</v>
      </c>
      <c r="AI558" s="962">
        <f>AE558+AI552</f>
        <v>0</v>
      </c>
      <c r="AJ558" s="962">
        <f>AG558+AJ552</f>
        <v>0</v>
      </c>
    </row>
    <row r="559" spans="33:36" x14ac:dyDescent="0.25">
      <c r="AG559" s="962">
        <f>'T4'!O79</f>
        <v>0</v>
      </c>
      <c r="AI559" s="962">
        <f t="shared" ref="AI559:AI564" si="367">AE559+AI558</f>
        <v>0</v>
      </c>
      <c r="AJ559" s="962">
        <f t="shared" ref="AJ559:AJ564" si="368">AG559+AJ558</f>
        <v>0</v>
      </c>
    </row>
    <row r="560" spans="33:36" x14ac:dyDescent="0.25">
      <c r="AG560" s="962">
        <f>'T4'!O80</f>
        <v>0</v>
      </c>
      <c r="AI560" s="962">
        <f t="shared" si="367"/>
        <v>0</v>
      </c>
      <c r="AJ560" s="962">
        <f t="shared" si="368"/>
        <v>0</v>
      </c>
    </row>
    <row r="561" spans="33:36" x14ac:dyDescent="0.25">
      <c r="AG561" s="962">
        <f>'T4'!O81</f>
        <v>0</v>
      </c>
      <c r="AI561" s="962">
        <f t="shared" si="367"/>
        <v>0</v>
      </c>
      <c r="AJ561" s="962">
        <f t="shared" si="368"/>
        <v>0</v>
      </c>
    </row>
    <row r="562" spans="33:36" x14ac:dyDescent="0.25">
      <c r="AG562" s="962">
        <f>'T4'!O82</f>
        <v>0</v>
      </c>
      <c r="AI562" s="962">
        <f t="shared" si="367"/>
        <v>0</v>
      </c>
      <c r="AJ562" s="962">
        <f t="shared" si="368"/>
        <v>0</v>
      </c>
    </row>
    <row r="563" spans="33:36" x14ac:dyDescent="0.25">
      <c r="AG563" s="962">
        <f>'T4'!O83</f>
        <v>0</v>
      </c>
      <c r="AI563" s="962">
        <f t="shared" si="367"/>
        <v>0</v>
      </c>
      <c r="AJ563" s="962">
        <f t="shared" si="368"/>
        <v>0</v>
      </c>
    </row>
    <row r="564" spans="33:36" x14ac:dyDescent="0.25">
      <c r="AG564" s="962">
        <f>'T4'!O84</f>
        <v>0</v>
      </c>
      <c r="AI564" s="962">
        <f t="shared" si="367"/>
        <v>0</v>
      </c>
      <c r="AJ564" s="962">
        <f t="shared" si="368"/>
        <v>0</v>
      </c>
    </row>
    <row r="570" spans="33:36" x14ac:dyDescent="0.25">
      <c r="AG570" s="962">
        <f>'T4'!O90</f>
        <v>0</v>
      </c>
      <c r="AI570" s="962">
        <f>AE570+AI564</f>
        <v>0</v>
      </c>
      <c r="AJ570" s="962">
        <f>AG570+AJ564</f>
        <v>0</v>
      </c>
    </row>
    <row r="571" spans="33:36" x14ac:dyDescent="0.25">
      <c r="AG571" s="962">
        <f>'T4'!O91</f>
        <v>0</v>
      </c>
      <c r="AI571" s="962">
        <f t="shared" ref="AI571:AI576" si="369">AE571+AI570</f>
        <v>0</v>
      </c>
      <c r="AJ571" s="962">
        <f t="shared" ref="AJ571:AJ576" si="370">AG571+AJ570</f>
        <v>0</v>
      </c>
    </row>
    <row r="572" spans="33:36" x14ac:dyDescent="0.25">
      <c r="AG572" s="962">
        <f>'T4'!O92</f>
        <v>0</v>
      </c>
      <c r="AI572" s="962">
        <f t="shared" si="369"/>
        <v>0</v>
      </c>
      <c r="AJ572" s="962">
        <f t="shared" si="370"/>
        <v>0</v>
      </c>
    </row>
    <row r="573" spans="33:36" x14ac:dyDescent="0.25">
      <c r="AG573" s="962">
        <f>'T4'!O93</f>
        <v>0</v>
      </c>
      <c r="AI573" s="962">
        <f t="shared" si="369"/>
        <v>0</v>
      </c>
      <c r="AJ573" s="962">
        <f t="shared" si="370"/>
        <v>0</v>
      </c>
    </row>
    <row r="574" spans="33:36" x14ac:dyDescent="0.25">
      <c r="AG574" s="962">
        <f>'T4'!O94</f>
        <v>0</v>
      </c>
      <c r="AI574" s="962">
        <f t="shared" si="369"/>
        <v>0</v>
      </c>
      <c r="AJ574" s="962">
        <f t="shared" si="370"/>
        <v>0</v>
      </c>
    </row>
    <row r="575" spans="33:36" x14ac:dyDescent="0.25">
      <c r="AG575" s="962">
        <f>'T4'!O95</f>
        <v>0</v>
      </c>
      <c r="AI575" s="962">
        <f t="shared" si="369"/>
        <v>0</v>
      </c>
      <c r="AJ575" s="962">
        <f t="shared" si="370"/>
        <v>0</v>
      </c>
    </row>
    <row r="576" spans="33:36" x14ac:dyDescent="0.25">
      <c r="AG576" s="962">
        <f>'T4'!O96</f>
        <v>0</v>
      </c>
      <c r="AI576" s="962">
        <f t="shared" si="369"/>
        <v>0</v>
      </c>
      <c r="AJ576" s="962">
        <f t="shared" si="370"/>
        <v>0</v>
      </c>
    </row>
    <row r="582" spans="33:36" x14ac:dyDescent="0.25">
      <c r="AG582" s="962">
        <f>'T4'!O102</f>
        <v>0</v>
      </c>
      <c r="AI582" s="962">
        <f>AE582+AI576</f>
        <v>0</v>
      </c>
      <c r="AJ582" s="962">
        <f>AG582+AJ576</f>
        <v>0</v>
      </c>
    </row>
    <row r="583" spans="33:36" x14ac:dyDescent="0.25">
      <c r="AG583" s="962">
        <f>'T4'!O103</f>
        <v>0</v>
      </c>
      <c r="AI583" s="962">
        <f t="shared" ref="AI583:AI588" si="371">AE583+AI582</f>
        <v>0</v>
      </c>
      <c r="AJ583" s="962">
        <f t="shared" ref="AJ583:AJ588" si="372">AG583+AJ582</f>
        <v>0</v>
      </c>
    </row>
    <row r="584" spans="33:36" x14ac:dyDescent="0.25">
      <c r="AG584" s="962">
        <f>'T4'!O104</f>
        <v>0</v>
      </c>
      <c r="AI584" s="962">
        <f t="shared" si="371"/>
        <v>0</v>
      </c>
      <c r="AJ584" s="962">
        <f t="shared" si="372"/>
        <v>0</v>
      </c>
    </row>
    <row r="585" spans="33:36" x14ac:dyDescent="0.25">
      <c r="AG585" s="962">
        <f>'T4'!O105</f>
        <v>0</v>
      </c>
      <c r="AI585" s="962">
        <f t="shared" si="371"/>
        <v>0</v>
      </c>
      <c r="AJ585" s="962">
        <f t="shared" si="372"/>
        <v>0</v>
      </c>
    </row>
    <row r="586" spans="33:36" x14ac:dyDescent="0.25">
      <c r="AG586" s="962">
        <f>'T4'!O106</f>
        <v>0</v>
      </c>
      <c r="AI586" s="962">
        <f t="shared" si="371"/>
        <v>0</v>
      </c>
      <c r="AJ586" s="962">
        <f t="shared" si="372"/>
        <v>0</v>
      </c>
    </row>
    <row r="587" spans="33:36" x14ac:dyDescent="0.25">
      <c r="AG587" s="962">
        <f>'T4'!O107</f>
        <v>0</v>
      </c>
      <c r="AI587" s="962">
        <f t="shared" si="371"/>
        <v>0</v>
      </c>
      <c r="AJ587" s="962">
        <f t="shared" si="372"/>
        <v>0</v>
      </c>
    </row>
    <row r="588" spans="33:36" x14ac:dyDescent="0.25">
      <c r="AG588" s="962">
        <f>'T4'!O108</f>
        <v>0</v>
      </c>
      <c r="AI588" s="962">
        <f t="shared" si="371"/>
        <v>0</v>
      </c>
      <c r="AJ588" s="962">
        <f t="shared" si="372"/>
        <v>0</v>
      </c>
    </row>
    <row r="594" spans="33:36" x14ac:dyDescent="0.25">
      <c r="AG594" s="962">
        <f>'T4'!O114</f>
        <v>0</v>
      </c>
      <c r="AI594" s="962">
        <f>AE594+AI588</f>
        <v>0</v>
      </c>
      <c r="AJ594" s="962">
        <f>AG594+AJ588</f>
        <v>0</v>
      </c>
    </row>
    <row r="595" spans="33:36" x14ac:dyDescent="0.25">
      <c r="AG595" s="962">
        <f>'T4'!O115</f>
        <v>0</v>
      </c>
      <c r="AI595" s="962">
        <f t="shared" ref="AI595:AI600" si="373">AE595+AI594</f>
        <v>0</v>
      </c>
      <c r="AJ595" s="962">
        <f t="shared" ref="AJ595:AJ600" si="374">AG595+AJ594</f>
        <v>0</v>
      </c>
    </row>
    <row r="596" spans="33:36" x14ac:dyDescent="0.25">
      <c r="AG596" s="962">
        <f>'T4'!O116</f>
        <v>0</v>
      </c>
      <c r="AI596" s="962">
        <f t="shared" si="373"/>
        <v>0</v>
      </c>
      <c r="AJ596" s="962">
        <f t="shared" si="374"/>
        <v>0</v>
      </c>
    </row>
    <row r="597" spans="33:36" x14ac:dyDescent="0.25">
      <c r="AG597" s="962">
        <f>'T4'!O117</f>
        <v>0</v>
      </c>
      <c r="AI597" s="962">
        <f t="shared" si="373"/>
        <v>0</v>
      </c>
      <c r="AJ597" s="962">
        <f t="shared" si="374"/>
        <v>0</v>
      </c>
    </row>
    <row r="598" spans="33:36" x14ac:dyDescent="0.25">
      <c r="AG598" s="962">
        <f>'T4'!O118</f>
        <v>0</v>
      </c>
      <c r="AI598" s="962">
        <f t="shared" si="373"/>
        <v>0</v>
      </c>
      <c r="AJ598" s="962">
        <f t="shared" si="374"/>
        <v>0</v>
      </c>
    </row>
    <row r="599" spans="33:36" x14ac:dyDescent="0.25">
      <c r="AG599" s="962">
        <f>'T4'!O119</f>
        <v>0</v>
      </c>
      <c r="AI599" s="962">
        <f t="shared" si="373"/>
        <v>0</v>
      </c>
      <c r="AJ599" s="962">
        <f t="shared" si="374"/>
        <v>0</v>
      </c>
    </row>
    <row r="600" spans="33:36" x14ac:dyDescent="0.25">
      <c r="AG600" s="962">
        <f>'T4'!O120</f>
        <v>0</v>
      </c>
      <c r="AI600" s="962">
        <f t="shared" si="373"/>
        <v>0</v>
      </c>
      <c r="AJ600" s="962">
        <f t="shared" si="374"/>
        <v>0</v>
      </c>
    </row>
    <row r="606" spans="33:36" x14ac:dyDescent="0.25">
      <c r="AG606" s="962">
        <f>'T4'!O126</f>
        <v>0</v>
      </c>
      <c r="AI606" s="962">
        <f>AE606+AI600</f>
        <v>0</v>
      </c>
      <c r="AJ606" s="962">
        <f>AG606+AJ600</f>
        <v>0</v>
      </c>
    </row>
    <row r="607" spans="33:36" x14ac:dyDescent="0.25">
      <c r="AG607" s="962">
        <f>'T4'!O127</f>
        <v>0</v>
      </c>
      <c r="AI607" s="962">
        <f t="shared" ref="AI607:AI612" si="375">AE607+AI606</f>
        <v>0</v>
      </c>
      <c r="AJ607" s="962">
        <f t="shared" ref="AJ607:AJ612" si="376">AG607+AJ606</f>
        <v>0</v>
      </c>
    </row>
    <row r="608" spans="33:36" x14ac:dyDescent="0.25">
      <c r="AG608" s="962">
        <f>'T4'!O128</f>
        <v>0</v>
      </c>
      <c r="AI608" s="962">
        <f t="shared" si="375"/>
        <v>0</v>
      </c>
      <c r="AJ608" s="962">
        <f t="shared" si="376"/>
        <v>0</v>
      </c>
    </row>
    <row r="609" spans="33:36" x14ac:dyDescent="0.25">
      <c r="AG609" s="962">
        <f>'T4'!O129</f>
        <v>0</v>
      </c>
      <c r="AI609" s="962">
        <f t="shared" si="375"/>
        <v>0</v>
      </c>
      <c r="AJ609" s="962">
        <f t="shared" si="376"/>
        <v>0</v>
      </c>
    </row>
    <row r="610" spans="33:36" x14ac:dyDescent="0.25">
      <c r="AG610" s="962">
        <f>'T4'!O130</f>
        <v>0</v>
      </c>
      <c r="AI610" s="962">
        <f t="shared" si="375"/>
        <v>0</v>
      </c>
      <c r="AJ610" s="962">
        <f t="shared" si="376"/>
        <v>0</v>
      </c>
    </row>
    <row r="611" spans="33:36" x14ac:dyDescent="0.25">
      <c r="AG611" s="962">
        <f>'T4'!O131</f>
        <v>0</v>
      </c>
      <c r="AI611" s="962">
        <f t="shared" si="375"/>
        <v>0</v>
      </c>
      <c r="AJ611" s="962">
        <f t="shared" si="376"/>
        <v>0</v>
      </c>
    </row>
    <row r="612" spans="33:36" x14ac:dyDescent="0.25">
      <c r="AG612" s="962">
        <f>'T4'!O132</f>
        <v>0</v>
      </c>
      <c r="AI612" s="962">
        <f t="shared" si="375"/>
        <v>0</v>
      </c>
      <c r="AJ612" s="962">
        <f t="shared" si="376"/>
        <v>0</v>
      </c>
    </row>
    <row r="618" spans="33:36" x14ac:dyDescent="0.25">
      <c r="AG618" s="962">
        <f>'T4'!O138</f>
        <v>0</v>
      </c>
      <c r="AI618" s="962">
        <f>AE618+AI612</f>
        <v>0</v>
      </c>
      <c r="AJ618" s="962">
        <f>AG618+AJ612</f>
        <v>0</v>
      </c>
    </row>
    <row r="619" spans="33:36" x14ac:dyDescent="0.25">
      <c r="AG619" s="962">
        <f>'T4'!O139</f>
        <v>0</v>
      </c>
      <c r="AI619" s="962">
        <f t="shared" ref="AI619:AI624" si="377">AE619+AI618</f>
        <v>0</v>
      </c>
      <c r="AJ619" s="962">
        <f t="shared" ref="AJ619:AJ624" si="378">AG619+AJ618</f>
        <v>0</v>
      </c>
    </row>
    <row r="620" spans="33:36" x14ac:dyDescent="0.25">
      <c r="AG620" s="962">
        <f>'T4'!O140</f>
        <v>0</v>
      </c>
      <c r="AI620" s="962">
        <f t="shared" si="377"/>
        <v>0</v>
      </c>
      <c r="AJ620" s="962">
        <f t="shared" si="378"/>
        <v>0</v>
      </c>
    </row>
    <row r="621" spans="33:36" x14ac:dyDescent="0.25">
      <c r="AG621" s="962">
        <f>'T4'!O141</f>
        <v>0</v>
      </c>
      <c r="AI621" s="962">
        <f t="shared" si="377"/>
        <v>0</v>
      </c>
      <c r="AJ621" s="962">
        <f t="shared" si="378"/>
        <v>0</v>
      </c>
    </row>
    <row r="622" spans="33:36" x14ac:dyDescent="0.25">
      <c r="AG622" s="962">
        <f>'T4'!O142</f>
        <v>0</v>
      </c>
      <c r="AI622" s="962">
        <f t="shared" si="377"/>
        <v>0</v>
      </c>
      <c r="AJ622" s="962">
        <f t="shared" si="378"/>
        <v>0</v>
      </c>
    </row>
    <row r="623" spans="33:36" x14ac:dyDescent="0.25">
      <c r="AG623" s="962">
        <f>'T4'!O143</f>
        <v>0</v>
      </c>
      <c r="AI623" s="962">
        <f t="shared" si="377"/>
        <v>0</v>
      </c>
      <c r="AJ623" s="962">
        <f t="shared" si="378"/>
        <v>0</v>
      </c>
    </row>
    <row r="624" spans="33:36" x14ac:dyDescent="0.25">
      <c r="AG624" s="962">
        <f>'T4'!O144</f>
        <v>0</v>
      </c>
      <c r="AI624" s="962">
        <f t="shared" si="377"/>
        <v>0</v>
      </c>
      <c r="AJ624" s="962">
        <f t="shared" si="378"/>
        <v>0</v>
      </c>
    </row>
    <row r="630" spans="33:36" x14ac:dyDescent="0.25">
      <c r="AG630" s="962">
        <f>'T4'!O150</f>
        <v>0</v>
      </c>
      <c r="AI630" s="962">
        <f>AE630+AI624</f>
        <v>0</v>
      </c>
      <c r="AJ630" s="962">
        <f>AG630+AJ624</f>
        <v>0</v>
      </c>
    </row>
    <row r="631" spans="33:36" x14ac:dyDescent="0.25">
      <c r="AG631" s="962">
        <f>'T4'!O151</f>
        <v>0</v>
      </c>
      <c r="AI631" s="962">
        <f t="shared" ref="AI631:AI636" si="379">AE631+AI630</f>
        <v>0</v>
      </c>
      <c r="AJ631" s="962">
        <f t="shared" ref="AJ631:AJ636" si="380">AG631+AJ630</f>
        <v>0</v>
      </c>
    </row>
    <row r="632" spans="33:36" x14ac:dyDescent="0.25">
      <c r="AG632" s="962">
        <f>'T4'!O152</f>
        <v>0</v>
      </c>
      <c r="AI632" s="962">
        <f t="shared" si="379"/>
        <v>0</v>
      </c>
      <c r="AJ632" s="962">
        <f t="shared" si="380"/>
        <v>0</v>
      </c>
    </row>
    <row r="633" spans="33:36" x14ac:dyDescent="0.25">
      <c r="AG633" s="962">
        <f>'T4'!O153</f>
        <v>0</v>
      </c>
      <c r="AI633" s="962">
        <f t="shared" si="379"/>
        <v>0</v>
      </c>
      <c r="AJ633" s="962">
        <f t="shared" si="380"/>
        <v>0</v>
      </c>
    </row>
    <row r="634" spans="33:36" x14ac:dyDescent="0.25">
      <c r="AG634" s="962">
        <f>'T4'!O154</f>
        <v>0</v>
      </c>
      <c r="AI634" s="962">
        <f t="shared" si="379"/>
        <v>0</v>
      </c>
      <c r="AJ634" s="962">
        <f t="shared" si="380"/>
        <v>0</v>
      </c>
    </row>
    <row r="635" spans="33:36" x14ac:dyDescent="0.25">
      <c r="AG635" s="962">
        <f>'T4'!O155</f>
        <v>0</v>
      </c>
      <c r="AI635" s="962">
        <f t="shared" si="379"/>
        <v>0</v>
      </c>
      <c r="AJ635" s="962">
        <f t="shared" si="380"/>
        <v>0</v>
      </c>
    </row>
    <row r="636" spans="33:36" x14ac:dyDescent="0.25">
      <c r="AG636" s="962">
        <f>'T4'!O156</f>
        <v>0</v>
      </c>
      <c r="AI636" s="962">
        <f t="shared" si="379"/>
        <v>0</v>
      </c>
      <c r="AJ636" s="962">
        <f t="shared" si="380"/>
        <v>0</v>
      </c>
    </row>
  </sheetData>
  <sheetProtection algorithmName="SHA-512" hashValue="i2oVuS9GuzpFE+pUbumNsW9SWzG4xtNZ0gQV6ZvvEOEC/4rv/9B3oBfj/7nT1xSkxWGYoboVnRIa2Vwa9ZlkrA==" saltValue="SnVUer8nOrZrQbOHlYVdhw==" spinCount="100000" sheet="1" objects="1" scenarios="1" selectLockedCells="1"/>
  <mergeCells count="416">
    <mergeCell ref="A182:G182"/>
    <mergeCell ref="D184:G185"/>
    <mergeCell ref="AG4:AG5"/>
    <mergeCell ref="AI4:AI5"/>
    <mergeCell ref="AJ4:AJ5"/>
    <mergeCell ref="AL4:AL5"/>
    <mergeCell ref="P199:P200"/>
    <mergeCell ref="S185:Y186"/>
    <mergeCell ref="R172:AA172"/>
    <mergeCell ref="P197:P198"/>
    <mergeCell ref="Q197:R198"/>
    <mergeCell ref="Z195:AA196"/>
    <mergeCell ref="Z191:AA192"/>
    <mergeCell ref="Z185:AA186"/>
    <mergeCell ref="Z187:AA188"/>
    <mergeCell ref="Z181:AA182"/>
    <mergeCell ref="Z183:AA184"/>
    <mergeCell ref="Z179:AA180"/>
    <mergeCell ref="Z174:AA176"/>
    <mergeCell ref="S112:S113"/>
    <mergeCell ref="P191:P192"/>
    <mergeCell ref="S191:Y192"/>
    <mergeCell ref="S189:Y190"/>
    <mergeCell ref="S183:Y184"/>
    <mergeCell ref="S181:Y182"/>
    <mergeCell ref="Q100:Q101"/>
    <mergeCell ref="T112:T113"/>
    <mergeCell ref="U112:Y112"/>
    <mergeCell ref="U136:Y136"/>
    <mergeCell ref="S124:S125"/>
    <mergeCell ref="S136:S137"/>
    <mergeCell ref="S148:S149"/>
    <mergeCell ref="S160:S161"/>
    <mergeCell ref="S174:Y176"/>
    <mergeCell ref="Q174:R176"/>
    <mergeCell ref="S203:Y204"/>
    <mergeCell ref="S201:Y202"/>
    <mergeCell ref="S199:Y200"/>
    <mergeCell ref="S197:Y198"/>
    <mergeCell ref="S195:Y196"/>
    <mergeCell ref="S193:Y194"/>
    <mergeCell ref="S187:Y188"/>
    <mergeCell ref="A184:C185"/>
    <mergeCell ref="Z177:AA178"/>
    <mergeCell ref="P189:P190"/>
    <mergeCell ref="Q189:R190"/>
    <mergeCell ref="Z189:AA190"/>
    <mergeCell ref="S179:Y180"/>
    <mergeCell ref="S177:Y178"/>
    <mergeCell ref="Q177:R178"/>
    <mergeCell ref="P181:P182"/>
    <mergeCell ref="Q181:R182"/>
    <mergeCell ref="Z201:AA202"/>
    <mergeCell ref="P203:P204"/>
    <mergeCell ref="Q203:R204"/>
    <mergeCell ref="Z203:AA204"/>
    <mergeCell ref="Z197:AA198"/>
    <mergeCell ref="Z199:AA200"/>
    <mergeCell ref="Z193:AA194"/>
    <mergeCell ref="F172:G172"/>
    <mergeCell ref="F171:G171"/>
    <mergeCell ref="F175:G175"/>
    <mergeCell ref="F177:G177"/>
    <mergeCell ref="F176:G176"/>
    <mergeCell ref="F174:G174"/>
    <mergeCell ref="F173:G173"/>
    <mergeCell ref="P201:P202"/>
    <mergeCell ref="Q201:R202"/>
    <mergeCell ref="Q199:R200"/>
    <mergeCell ref="P193:P194"/>
    <mergeCell ref="Q193:R194"/>
    <mergeCell ref="P195:P196"/>
    <mergeCell ref="Q195:R196"/>
    <mergeCell ref="Q191:R192"/>
    <mergeCell ref="P185:P186"/>
    <mergeCell ref="Q185:R186"/>
    <mergeCell ref="P187:P188"/>
    <mergeCell ref="Q187:R188"/>
    <mergeCell ref="P183:P184"/>
    <mergeCell ref="Q183:R184"/>
    <mergeCell ref="P179:P180"/>
    <mergeCell ref="Q179:R180"/>
    <mergeCell ref="P177:P178"/>
    <mergeCell ref="H175:I175"/>
    <mergeCell ref="J175:K175"/>
    <mergeCell ref="U148:Y148"/>
    <mergeCell ref="Q148:Q149"/>
    <mergeCell ref="Z144:AA144"/>
    <mergeCell ref="T160:T161"/>
    <mergeCell ref="U124:Y124"/>
    <mergeCell ref="Z130:AA130"/>
    <mergeCell ref="U160:Y160"/>
    <mergeCell ref="Q160:Q161"/>
    <mergeCell ref="Z152:AA152"/>
    <mergeCell ref="T136:T137"/>
    <mergeCell ref="Z162:AA162"/>
    <mergeCell ref="Z163:AA163"/>
    <mergeCell ref="Z138:AA138"/>
    <mergeCell ref="Z139:AA139"/>
    <mergeCell ref="Z142:AA142"/>
    <mergeCell ref="Z151:AA151"/>
    <mergeCell ref="Z160:AA161"/>
    <mergeCell ref="Z148:AA149"/>
    <mergeCell ref="Z136:AA137"/>
    <mergeCell ref="R148:R149"/>
    <mergeCell ref="Z150:AA150"/>
    <mergeCell ref="Z168:AA168"/>
    <mergeCell ref="O112:O113"/>
    <mergeCell ref="P112:P113"/>
    <mergeCell ref="J112:K112"/>
    <mergeCell ref="L112:M112"/>
    <mergeCell ref="N112:N113"/>
    <mergeCell ref="L148:M148"/>
    <mergeCell ref="N148:N149"/>
    <mergeCell ref="L124:M124"/>
    <mergeCell ref="L136:M136"/>
    <mergeCell ref="I135:J135"/>
    <mergeCell ref="I123:J123"/>
    <mergeCell ref="O148:O149"/>
    <mergeCell ref="P148:P149"/>
    <mergeCell ref="F135:G135"/>
    <mergeCell ref="Z118:AA118"/>
    <mergeCell ref="Z120:AA120"/>
    <mergeCell ref="Z115:AA115"/>
    <mergeCell ref="Z119:AA119"/>
    <mergeCell ref="Z116:AA116"/>
    <mergeCell ref="Z117:AA117"/>
    <mergeCell ref="Z127:AA127"/>
    <mergeCell ref="Z128:AA128"/>
    <mergeCell ref="Z132:AA132"/>
    <mergeCell ref="Z126:AA126"/>
    <mergeCell ref="Z124:AA125"/>
    <mergeCell ref="Z129:AA129"/>
    <mergeCell ref="Z131:AA131"/>
    <mergeCell ref="Z114:AA114"/>
    <mergeCell ref="Z104:AA104"/>
    <mergeCell ref="Z95:AA95"/>
    <mergeCell ref="Z108:AA108"/>
    <mergeCell ref="Z92:AA92"/>
    <mergeCell ref="Z94:AA94"/>
    <mergeCell ref="Z96:AA96"/>
    <mergeCell ref="Z100:AA101"/>
    <mergeCell ref="Z107:AA107"/>
    <mergeCell ref="Z93:AA93"/>
    <mergeCell ref="Z112:AA113"/>
    <mergeCell ref="F75:G75"/>
    <mergeCell ref="I75:J75"/>
    <mergeCell ref="F87:G87"/>
    <mergeCell ref="J52:K52"/>
    <mergeCell ref="Z64:AA65"/>
    <mergeCell ref="P88:P89"/>
    <mergeCell ref="Q88:Q89"/>
    <mergeCell ref="Q76:Q77"/>
    <mergeCell ref="T64:T65"/>
    <mergeCell ref="Z80:AA80"/>
    <mergeCell ref="Z81:AA81"/>
    <mergeCell ref="Z82:AA82"/>
    <mergeCell ref="Z71:AA71"/>
    <mergeCell ref="Z72:AA72"/>
    <mergeCell ref="T76:T77"/>
    <mergeCell ref="Z88:AA89"/>
    <mergeCell ref="Z79:AA79"/>
    <mergeCell ref="Z83:AA83"/>
    <mergeCell ref="Z84:AA84"/>
    <mergeCell ref="U88:Y88"/>
    <mergeCell ref="Z76:AA77"/>
    <mergeCell ref="Z78:AA78"/>
    <mergeCell ref="I87:J87"/>
    <mergeCell ref="R88:R89"/>
    <mergeCell ref="Z66:AA66"/>
    <mergeCell ref="Z67:AA67"/>
    <mergeCell ref="H100:I100"/>
    <mergeCell ref="R100:R101"/>
    <mergeCell ref="I99:J99"/>
    <mergeCell ref="R76:R77"/>
    <mergeCell ref="N76:N77"/>
    <mergeCell ref="N64:N65"/>
    <mergeCell ref="J100:K100"/>
    <mergeCell ref="L100:M100"/>
    <mergeCell ref="N100:N101"/>
    <mergeCell ref="J76:K76"/>
    <mergeCell ref="Z90:AA90"/>
    <mergeCell ref="T88:T89"/>
    <mergeCell ref="U76:Y76"/>
    <mergeCell ref="O76:O77"/>
    <mergeCell ref="P76:P77"/>
    <mergeCell ref="N88:N89"/>
    <mergeCell ref="O88:O89"/>
    <mergeCell ref="S76:S77"/>
    <mergeCell ref="S88:S89"/>
    <mergeCell ref="S64:S65"/>
    <mergeCell ref="S100:S101"/>
    <mergeCell ref="U64:Y64"/>
    <mergeCell ref="A1:AA1"/>
    <mergeCell ref="Z68:AA68"/>
    <mergeCell ref="Z69:AA69"/>
    <mergeCell ref="Z70:AA70"/>
    <mergeCell ref="I39:J39"/>
    <mergeCell ref="U40:Y40"/>
    <mergeCell ref="T52:T53"/>
    <mergeCell ref="Z106:AA106"/>
    <mergeCell ref="Z103:AA103"/>
    <mergeCell ref="Z102:AA102"/>
    <mergeCell ref="O100:O101"/>
    <mergeCell ref="P100:P101"/>
    <mergeCell ref="Z91:AA91"/>
    <mergeCell ref="T100:T101"/>
    <mergeCell ref="U100:Y100"/>
    <mergeCell ref="Z105:AA105"/>
    <mergeCell ref="B76:C76"/>
    <mergeCell ref="D76:E76"/>
    <mergeCell ref="F76:G76"/>
    <mergeCell ref="H76:I76"/>
    <mergeCell ref="L76:M76"/>
    <mergeCell ref="Z58:AA58"/>
    <mergeCell ref="Z59:AA59"/>
    <mergeCell ref="Z60:AA60"/>
    <mergeCell ref="B112:C112"/>
    <mergeCell ref="D112:E112"/>
    <mergeCell ref="F112:G112"/>
    <mergeCell ref="H112:I112"/>
    <mergeCell ref="B100:C100"/>
    <mergeCell ref="B88:C88"/>
    <mergeCell ref="D88:E88"/>
    <mergeCell ref="F88:G88"/>
    <mergeCell ref="H88:I88"/>
    <mergeCell ref="D100:E100"/>
    <mergeCell ref="F100:G100"/>
    <mergeCell ref="F111:G111"/>
    <mergeCell ref="F99:G99"/>
    <mergeCell ref="I111:J111"/>
    <mergeCell ref="T40:T41"/>
    <mergeCell ref="T28:T29"/>
    <mergeCell ref="U52:Y52"/>
    <mergeCell ref="H64:I64"/>
    <mergeCell ref="J64:K64"/>
    <mergeCell ref="L64:M64"/>
    <mergeCell ref="R40:R41"/>
    <mergeCell ref="I63:J63"/>
    <mergeCell ref="Q52:Q53"/>
    <mergeCell ref="L52:M52"/>
    <mergeCell ref="O64:O65"/>
    <mergeCell ref="P64:P65"/>
    <mergeCell ref="L40:M40"/>
    <mergeCell ref="N40:N41"/>
    <mergeCell ref="O40:O41"/>
    <mergeCell ref="Q64:Q65"/>
    <mergeCell ref="P40:P41"/>
    <mergeCell ref="R64:R65"/>
    <mergeCell ref="R52:R53"/>
    <mergeCell ref="I51:J51"/>
    <mergeCell ref="S28:S29"/>
    <mergeCell ref="S40:S41"/>
    <mergeCell ref="S52:S53"/>
    <mergeCell ref="O52:O53"/>
    <mergeCell ref="P52:P53"/>
    <mergeCell ref="F4:G4"/>
    <mergeCell ref="H4:I4"/>
    <mergeCell ref="F15:G15"/>
    <mergeCell ref="I15:J15"/>
    <mergeCell ref="P4:P5"/>
    <mergeCell ref="D52:E52"/>
    <mergeCell ref="F52:G52"/>
    <mergeCell ref="H52:I52"/>
    <mergeCell ref="F39:G39"/>
    <mergeCell ref="F51:G51"/>
    <mergeCell ref="F40:G40"/>
    <mergeCell ref="J40:K40"/>
    <mergeCell ref="H40:I40"/>
    <mergeCell ref="N52:N53"/>
    <mergeCell ref="A206:AA207"/>
    <mergeCell ref="Z30:AA30"/>
    <mergeCell ref="F16:G16"/>
    <mergeCell ref="H16:I16"/>
    <mergeCell ref="J16:K16"/>
    <mergeCell ref="Z31:AA31"/>
    <mergeCell ref="Z24:AA24"/>
    <mergeCell ref="B52:C52"/>
    <mergeCell ref="F27:G27"/>
    <mergeCell ref="I27:J27"/>
    <mergeCell ref="Z18:AA18"/>
    <mergeCell ref="B16:C16"/>
    <mergeCell ref="D16:E16"/>
    <mergeCell ref="P16:P17"/>
    <mergeCell ref="R16:R17"/>
    <mergeCell ref="Z23:AA23"/>
    <mergeCell ref="Z28:AA29"/>
    <mergeCell ref="Z34:AA34"/>
    <mergeCell ref="Z19:AA19"/>
    <mergeCell ref="U28:Y28"/>
    <mergeCell ref="R28:R29"/>
    <mergeCell ref="Z45:AA45"/>
    <mergeCell ref="Z42:AA42"/>
    <mergeCell ref="Z43:AA43"/>
    <mergeCell ref="B4:C4"/>
    <mergeCell ref="D4:E4"/>
    <mergeCell ref="J4:K4"/>
    <mergeCell ref="L16:M16"/>
    <mergeCell ref="Q16:Q17"/>
    <mergeCell ref="Q40:Q41"/>
    <mergeCell ref="Q28:Q29"/>
    <mergeCell ref="O16:O17"/>
    <mergeCell ref="N16:N17"/>
    <mergeCell ref="L28:M28"/>
    <mergeCell ref="N28:N29"/>
    <mergeCell ref="H28:I28"/>
    <mergeCell ref="O28:O29"/>
    <mergeCell ref="P28:P29"/>
    <mergeCell ref="J28:K28"/>
    <mergeCell ref="Q4:Q5"/>
    <mergeCell ref="N4:N5"/>
    <mergeCell ref="O4:O5"/>
    <mergeCell ref="Z57:AA57"/>
    <mergeCell ref="Z46:AA46"/>
    <mergeCell ref="Z47:AA47"/>
    <mergeCell ref="Z52:AA53"/>
    <mergeCell ref="Z54:AA54"/>
    <mergeCell ref="Z55:AA55"/>
    <mergeCell ref="Z56:AA56"/>
    <mergeCell ref="Z36:AA36"/>
    <mergeCell ref="Z40:AA41"/>
    <mergeCell ref="Z2:AA2"/>
    <mergeCell ref="Z20:AA20"/>
    <mergeCell ref="Z6:AA6"/>
    <mergeCell ref="Z8:AA8"/>
    <mergeCell ref="Z9:AA9"/>
    <mergeCell ref="Z11:AA11"/>
    <mergeCell ref="Z44:AA44"/>
    <mergeCell ref="Z48:AA48"/>
    <mergeCell ref="Z4:AA5"/>
    <mergeCell ref="Z35:AA35"/>
    <mergeCell ref="Z21:AA21"/>
    <mergeCell ref="Z22:AA22"/>
    <mergeCell ref="Z32:AA32"/>
    <mergeCell ref="Z33:AA33"/>
    <mergeCell ref="Z10:AA10"/>
    <mergeCell ref="Z16:AA17"/>
    <mergeCell ref="Z7:AA7"/>
    <mergeCell ref="F3:G3"/>
    <mergeCell ref="I3:J3"/>
    <mergeCell ref="Z12:AA12"/>
    <mergeCell ref="U4:Y4"/>
    <mergeCell ref="L4:M4"/>
    <mergeCell ref="U16:Y16"/>
    <mergeCell ref="S4:S5"/>
    <mergeCell ref="S16:S17"/>
    <mergeCell ref="T16:T17"/>
    <mergeCell ref="T4:T5"/>
    <mergeCell ref="B124:C124"/>
    <mergeCell ref="F123:G123"/>
    <mergeCell ref="B28:C28"/>
    <mergeCell ref="D28:E28"/>
    <mergeCell ref="F28:G28"/>
    <mergeCell ref="D64:E64"/>
    <mergeCell ref="F64:G64"/>
    <mergeCell ref="F63:G63"/>
    <mergeCell ref="R4:R5"/>
    <mergeCell ref="D124:E124"/>
    <mergeCell ref="F124:G124"/>
    <mergeCell ref="J88:K88"/>
    <mergeCell ref="L88:M88"/>
    <mergeCell ref="H124:I124"/>
    <mergeCell ref="O124:O125"/>
    <mergeCell ref="Q112:Q113"/>
    <mergeCell ref="R112:R113"/>
    <mergeCell ref="R124:R125"/>
    <mergeCell ref="N124:N125"/>
    <mergeCell ref="P124:P125"/>
    <mergeCell ref="Q124:Q125"/>
    <mergeCell ref="B64:C64"/>
    <mergeCell ref="B40:C40"/>
    <mergeCell ref="D40:E40"/>
    <mergeCell ref="Z167:AA167"/>
    <mergeCell ref="Z140:AA140"/>
    <mergeCell ref="Z141:AA141"/>
    <mergeCell ref="Z153:AA153"/>
    <mergeCell ref="Z154:AA154"/>
    <mergeCell ref="Z166:AA166"/>
    <mergeCell ref="Z165:AA165"/>
    <mergeCell ref="Z143:AA143"/>
    <mergeCell ref="B136:C136"/>
    <mergeCell ref="D136:E136"/>
    <mergeCell ref="F136:G136"/>
    <mergeCell ref="H136:I136"/>
    <mergeCell ref="D148:E148"/>
    <mergeCell ref="B148:C148"/>
    <mergeCell ref="I147:J147"/>
    <mergeCell ref="F147:G147"/>
    <mergeCell ref="J136:K136"/>
    <mergeCell ref="J148:K148"/>
    <mergeCell ref="F148:G148"/>
    <mergeCell ref="H148:I148"/>
    <mergeCell ref="F178:G178"/>
    <mergeCell ref="J124:K124"/>
    <mergeCell ref="Z155:AA155"/>
    <mergeCell ref="Z156:AA156"/>
    <mergeCell ref="B160:C160"/>
    <mergeCell ref="L160:M160"/>
    <mergeCell ref="N160:N161"/>
    <mergeCell ref="O160:O161"/>
    <mergeCell ref="T124:T125"/>
    <mergeCell ref="D160:E160"/>
    <mergeCell ref="F160:G160"/>
    <mergeCell ref="H160:I160"/>
    <mergeCell ref="J160:K160"/>
    <mergeCell ref="O136:O137"/>
    <mergeCell ref="P136:P137"/>
    <mergeCell ref="P160:P161"/>
    <mergeCell ref="I159:J159"/>
    <mergeCell ref="R160:R161"/>
    <mergeCell ref="Q136:Q137"/>
    <mergeCell ref="R136:R137"/>
    <mergeCell ref="N136:N137"/>
    <mergeCell ref="F159:G159"/>
    <mergeCell ref="T148:T149"/>
    <mergeCell ref="Z164:AA164"/>
  </mergeCells>
  <phoneticPr fontId="34" type="noConversion"/>
  <conditionalFormatting sqref="A7 A19 A31 A43 A55 A67 A79 A91 A103 A115 A127 A139 A151 A163">
    <cfRule type="expression" dxfId="872" priority="7541" stopIfTrue="1">
      <formula>COUNTIF(tab_vacances,F3+1)&gt;=1</formula>
    </cfRule>
  </conditionalFormatting>
  <conditionalFormatting sqref="A6 A18 A30 A42 A54 A78 A90 A102 A114 A126 A138 A150 A162">
    <cfRule type="expression" dxfId="871" priority="7542" stopIfTrue="1">
      <formula>COUNTIF(tab_vacances,F3)&gt;=1</formula>
    </cfRule>
  </conditionalFormatting>
  <conditionalFormatting sqref="A8 A20 A32 A44 A56 A68 A80 A92 A104 A116 A128 A140 A152 A164">
    <cfRule type="expression" dxfId="870" priority="7543" stopIfTrue="1">
      <formula>COUNTIF(tab_vacances,F3+2)&gt;=1</formula>
    </cfRule>
  </conditionalFormatting>
  <conditionalFormatting sqref="A9 A21 A33 A45 A57 A69 A81 A93 A105 A117 A129 A141 A153 A165">
    <cfRule type="expression" dxfId="869" priority="7544" stopIfTrue="1">
      <formula>COUNTIF(tab_vacances,F3+3)&gt;=1</formula>
    </cfRule>
  </conditionalFormatting>
  <conditionalFormatting sqref="A10 A22 A34 A46 A58 A70 A82 A94 A106 A118 A130 A142 A154 A166">
    <cfRule type="expression" dxfId="868" priority="7545" stopIfTrue="1">
      <formula>COUNTIF(tab_vacances,F3+4)&gt;=1</formula>
    </cfRule>
  </conditionalFormatting>
  <conditionalFormatting sqref="U206:Y207 U171:W171 Y171 U25:Y25 U37:Y37 U49:Y49 U61:Y61 U73:Y73 U85:Y85 U97:Y97 U109:Y109 U133:Y133 U145:Y145 U157:Y157 U169:Y169 U13:Y13 U121:Y121">
    <cfRule type="expression" dxfId="867" priority="7540" stopIfTrue="1">
      <formula>NOT(ISERROR(SEARCH("PB",U13)))</formula>
    </cfRule>
  </conditionalFormatting>
  <conditionalFormatting sqref="AA74:AA75 AA86:AA87 AA98:AA99 AA62:AA63 AA3 AA14:AA15 AA26:AA27 AA38:AA39 AA50:AA51 AA134:AA135 AA146:AA147 AA122 AA170 AA110:AA111 AA158:AA159">
    <cfRule type="cellIs" dxfId="866" priority="7236" operator="greaterThan">
      <formula>44/24</formula>
    </cfRule>
  </conditionalFormatting>
  <conditionalFormatting sqref="Z6:AA168">
    <cfRule type="expression" dxfId="865" priority="2706" stopIfTrue="1">
      <formula>OR(C6="aa",C6="m",C6="css")</formula>
    </cfRule>
  </conditionalFormatting>
  <conditionalFormatting sqref="Y4:Y5 U4:W5">
    <cfRule type="containsText" dxfId="864" priority="1961" operator="containsText" text="PB">
      <formula>NOT(ISERROR(SEARCH("PB",U4)))</formula>
    </cfRule>
  </conditionalFormatting>
  <conditionalFormatting sqref="Y16:Y17 U16:W17">
    <cfRule type="containsText" dxfId="863" priority="1960" operator="containsText" text="PB">
      <formula>NOT(ISERROR(SEARCH("PB",U16)))</formula>
    </cfRule>
  </conditionalFormatting>
  <conditionalFormatting sqref="Y28:Y29 U28:W29">
    <cfRule type="containsText" dxfId="862" priority="1959" operator="containsText" text="PB">
      <formula>NOT(ISERROR(SEARCH("PB",U28)))</formula>
    </cfRule>
  </conditionalFormatting>
  <conditionalFormatting sqref="Y40:Y41 U40:W41">
    <cfRule type="containsText" dxfId="861" priority="1958" operator="containsText" text="PB">
      <formula>NOT(ISERROR(SEARCH("PB",U40)))</formula>
    </cfRule>
  </conditionalFormatting>
  <conditionalFormatting sqref="Y52:Y53 U52:W53">
    <cfRule type="containsText" dxfId="860" priority="1957" operator="containsText" text="PB">
      <formula>NOT(ISERROR(SEARCH("PB",U52)))</formula>
    </cfRule>
  </conditionalFormatting>
  <conditionalFormatting sqref="Y64:Y65 U64:W65">
    <cfRule type="containsText" dxfId="859" priority="1956" operator="containsText" text="PB">
      <formula>NOT(ISERROR(SEARCH("PB",U64)))</formula>
    </cfRule>
  </conditionalFormatting>
  <conditionalFormatting sqref="Y76:Y77 U76:W77">
    <cfRule type="containsText" dxfId="858" priority="1955" operator="containsText" text="PB">
      <formula>NOT(ISERROR(SEARCH("PB",U76)))</formula>
    </cfRule>
  </conditionalFormatting>
  <conditionalFormatting sqref="Y88:Y89 U88:W89">
    <cfRule type="containsText" dxfId="857" priority="1954" operator="containsText" text="PB">
      <formula>NOT(ISERROR(SEARCH("PB",U88)))</formula>
    </cfRule>
  </conditionalFormatting>
  <conditionalFormatting sqref="Y100:Y101 U100:W101">
    <cfRule type="containsText" dxfId="856" priority="1953" operator="containsText" text="PB">
      <formula>NOT(ISERROR(SEARCH("PB",U100)))</formula>
    </cfRule>
  </conditionalFormatting>
  <conditionalFormatting sqref="Y112:Y113 U112:W113">
    <cfRule type="containsText" dxfId="855" priority="1952" operator="containsText" text="PB">
      <formula>NOT(ISERROR(SEARCH("PB",U112)))</formula>
    </cfRule>
  </conditionalFormatting>
  <conditionalFormatting sqref="Y124:Y125 U124:W125">
    <cfRule type="containsText" dxfId="854" priority="1951" operator="containsText" text="PB">
      <formula>NOT(ISERROR(SEARCH("PB",U124)))</formula>
    </cfRule>
  </conditionalFormatting>
  <conditionalFormatting sqref="Y136:Y137 U136:W137">
    <cfRule type="containsText" dxfId="853" priority="1950" operator="containsText" text="PB">
      <formula>NOT(ISERROR(SEARCH("PB",U136)))</formula>
    </cfRule>
  </conditionalFormatting>
  <conditionalFormatting sqref="Y148:Y149 U148:W149">
    <cfRule type="containsText" dxfId="852" priority="1949" operator="containsText" text="PB">
      <formula>NOT(ISERROR(SEARCH("PB",U148)))</formula>
    </cfRule>
  </conditionalFormatting>
  <conditionalFormatting sqref="Y160:Y161 U160:W161">
    <cfRule type="containsText" dxfId="851" priority="1948" operator="containsText" text="PB">
      <formula>NOT(ISERROR(SEARCH("PB",U160)))</formula>
    </cfRule>
  </conditionalFormatting>
  <conditionalFormatting sqref="B7:M7 B19:M19 B31:M31 B43:M43 B55:M55 B67:M67 B79:M79 B91:M91 B103:M103 B115:M115 B127:M127 B139:M139 B151:M151 B163:M163">
    <cfRule type="expression" dxfId="850" priority="3" stopIfTrue="1">
      <formula>COUNTIF(tab_ferie,$F3+1)&gt;=1</formula>
    </cfRule>
  </conditionalFormatting>
  <conditionalFormatting sqref="B10:M10 B22:M22 B34:M34 B46:M46 B58:M58 B70:M70 B82:M82 B94:M94 B106:M106 B118:M118 B130:M130 B142:M142 B154:M154 B166:M166">
    <cfRule type="expression" dxfId="849" priority="7" stopIfTrue="1">
      <formula>COUNTIF(tab_ferie,$F3+4)&gt;=1</formula>
    </cfRule>
  </conditionalFormatting>
  <conditionalFormatting sqref="B11:M11 B23:M23 B35:M35 B47:M47 B59:M59 B71:M71 B83:M83 B95:M95 B107:M107 B119:M119 B131:M131 B143:M143 B155:M155 B167:M167">
    <cfRule type="expression" dxfId="848" priority="1489" stopIfTrue="1">
      <formula>COUNTIF(tab_ferie,$F3+5)&gt;=1</formula>
    </cfRule>
  </conditionalFormatting>
  <conditionalFormatting sqref="O13">
    <cfRule type="cellIs" dxfId="847" priority="1222" stopIfTrue="1" operator="greaterThan">
      <formula>48/24</formula>
    </cfRule>
  </conditionalFormatting>
  <conditionalFormatting sqref="O25">
    <cfRule type="cellIs" dxfId="846" priority="1218" stopIfTrue="1" operator="greaterThan">
      <formula>48/24</formula>
    </cfRule>
  </conditionalFormatting>
  <conditionalFormatting sqref="O37">
    <cfRule type="cellIs" dxfId="845" priority="1214" stopIfTrue="1" operator="greaterThan">
      <formula>48/24</formula>
    </cfRule>
  </conditionalFormatting>
  <conditionalFormatting sqref="O49">
    <cfRule type="cellIs" dxfId="844" priority="1210" stopIfTrue="1" operator="greaterThan">
      <formula>48/24</formula>
    </cfRule>
  </conditionalFormatting>
  <conditionalFormatting sqref="O61">
    <cfRule type="cellIs" dxfId="843" priority="1206" stopIfTrue="1" operator="greaterThan">
      <formula>48/24</formula>
    </cfRule>
  </conditionalFormatting>
  <conditionalFormatting sqref="O73">
    <cfRule type="cellIs" dxfId="842" priority="1202" stopIfTrue="1" operator="greaterThan">
      <formula>48/24</formula>
    </cfRule>
  </conditionalFormatting>
  <conditionalFormatting sqref="O85">
    <cfRule type="cellIs" dxfId="841" priority="1198" stopIfTrue="1" operator="greaterThan">
      <formula>48/24</formula>
    </cfRule>
  </conditionalFormatting>
  <conditionalFormatting sqref="O97">
    <cfRule type="cellIs" dxfId="840" priority="1194" stopIfTrue="1" operator="greaterThan">
      <formula>48/24</formula>
    </cfRule>
  </conditionalFormatting>
  <conditionalFormatting sqref="O109">
    <cfRule type="cellIs" dxfId="839" priority="1190" stopIfTrue="1" operator="greaterThan">
      <formula>48/24</formula>
    </cfRule>
  </conditionalFormatting>
  <conditionalFormatting sqref="O121">
    <cfRule type="cellIs" dxfId="838" priority="1186" stopIfTrue="1" operator="greaterThan">
      <formula>48/24</formula>
    </cfRule>
  </conditionalFormatting>
  <conditionalFormatting sqref="O133">
    <cfRule type="cellIs" dxfId="837" priority="1182" stopIfTrue="1" operator="greaterThan">
      <formula>48/24</formula>
    </cfRule>
  </conditionalFormatting>
  <conditionalFormatting sqref="O145">
    <cfRule type="cellIs" dxfId="836" priority="1178" stopIfTrue="1" operator="greaterThan">
      <formula>48/24</formula>
    </cfRule>
  </conditionalFormatting>
  <conditionalFormatting sqref="O157">
    <cfRule type="cellIs" dxfId="835" priority="1174" stopIfTrue="1" operator="greaterThan">
      <formula>48/24</formula>
    </cfRule>
  </conditionalFormatting>
  <conditionalFormatting sqref="O169">
    <cfRule type="cellIs" dxfId="834" priority="1170" stopIfTrue="1" operator="greaterThan">
      <formula>48/24</formula>
    </cfRule>
  </conditionalFormatting>
  <conditionalFormatting sqref="N25">
    <cfRule type="cellIs" dxfId="833" priority="1162" stopIfTrue="1" operator="greaterThan">
      <formula>48/24</formula>
    </cfRule>
  </conditionalFormatting>
  <conditionalFormatting sqref="N13">
    <cfRule type="cellIs" dxfId="832" priority="1158" stopIfTrue="1" operator="greaterThan">
      <formula>48/24</formula>
    </cfRule>
  </conditionalFormatting>
  <conditionalFormatting sqref="N37">
    <cfRule type="cellIs" dxfId="831" priority="1154" stopIfTrue="1" operator="greaterThan">
      <formula>48/24</formula>
    </cfRule>
  </conditionalFormatting>
  <conditionalFormatting sqref="N49">
    <cfRule type="cellIs" dxfId="830" priority="1150" stopIfTrue="1" operator="greaterThan">
      <formula>48/24</formula>
    </cfRule>
  </conditionalFormatting>
  <conditionalFormatting sqref="N61">
    <cfRule type="cellIs" dxfId="829" priority="1146" stopIfTrue="1" operator="greaterThan">
      <formula>48/24</formula>
    </cfRule>
  </conditionalFormatting>
  <conditionalFormatting sqref="N73">
    <cfRule type="cellIs" dxfId="828" priority="1142" stopIfTrue="1" operator="greaterThan">
      <formula>48/24</formula>
    </cfRule>
  </conditionalFormatting>
  <conditionalFormatting sqref="N85">
    <cfRule type="cellIs" dxfId="827" priority="1138" stopIfTrue="1" operator="greaterThan">
      <formula>48/24</formula>
    </cfRule>
  </conditionalFormatting>
  <conditionalFormatting sqref="N97">
    <cfRule type="cellIs" dxfId="826" priority="1134" stopIfTrue="1" operator="greaterThan">
      <formula>48/24</formula>
    </cfRule>
  </conditionalFormatting>
  <conditionalFormatting sqref="N109">
    <cfRule type="cellIs" dxfId="825" priority="1130" stopIfTrue="1" operator="greaterThan">
      <formula>48/24</formula>
    </cfRule>
  </conditionalFormatting>
  <conditionalFormatting sqref="N121">
    <cfRule type="cellIs" dxfId="824" priority="1126" stopIfTrue="1" operator="greaterThan">
      <formula>48/24</formula>
    </cfRule>
  </conditionalFormatting>
  <conditionalFormatting sqref="N133">
    <cfRule type="cellIs" dxfId="823" priority="1122" stopIfTrue="1" operator="greaterThan">
      <formula>48/24</formula>
    </cfRule>
  </conditionalFormatting>
  <conditionalFormatting sqref="N145">
    <cfRule type="cellIs" dxfId="822" priority="1118" stopIfTrue="1" operator="greaterThan">
      <formula>48/24</formula>
    </cfRule>
  </conditionalFormatting>
  <conditionalFormatting sqref="N157">
    <cfRule type="cellIs" dxfId="821" priority="1114" stopIfTrue="1" operator="greaterThan">
      <formula>48/24</formula>
    </cfRule>
  </conditionalFormatting>
  <conditionalFormatting sqref="N169">
    <cfRule type="cellIs" dxfId="820" priority="1110" stopIfTrue="1" operator="greaterThan">
      <formula>48/24</formula>
    </cfRule>
  </conditionalFormatting>
  <conditionalFormatting sqref="A66">
    <cfRule type="expression" dxfId="819" priority="1106" stopIfTrue="1">
      <formula>COUNTIF(tab_vacances,F63)&gt;=1</formula>
    </cfRule>
  </conditionalFormatting>
  <conditionalFormatting sqref="R165 R168">
    <cfRule type="cellIs" dxfId="818" priority="524" operator="greaterThan">
      <formula>12/24</formula>
    </cfRule>
  </conditionalFormatting>
  <conditionalFormatting sqref="O167:O168">
    <cfRule type="cellIs" dxfId="817" priority="525" operator="greaterThan">
      <formula>10/24</formula>
    </cfRule>
  </conditionalFormatting>
  <conditionalFormatting sqref="S165 S167:S168">
    <cfRule type="cellIs" dxfId="816" priority="523" stopIfTrue="1" operator="equal">
      <formula>"n"</formula>
    </cfRule>
  </conditionalFormatting>
  <conditionalFormatting sqref="U165 W165 W167:W168 U167:U168">
    <cfRule type="containsText" dxfId="815" priority="522" operator="containsText" text="PB">
      <formula>NOT(ISERROR(SEARCH("PB",U165)))</formula>
    </cfRule>
  </conditionalFormatting>
  <conditionalFormatting sqref="V165 V167:V168">
    <cfRule type="containsText" dxfId="814" priority="521" operator="containsText" text="PB">
      <formula>NOT(ISERROR(SEARCH("PB",V165)))</formula>
    </cfRule>
  </conditionalFormatting>
  <conditionalFormatting sqref="Y165 Y167:Y168">
    <cfRule type="containsText" dxfId="813" priority="520" operator="containsText" text="PB">
      <formula>NOT(ISERROR(SEARCH("PB",Y165)))</formula>
    </cfRule>
  </conditionalFormatting>
  <conditionalFormatting sqref="X165 X168">
    <cfRule type="expression" priority="517" stopIfTrue="1">
      <formula>IF(OR(C165="aa",C165="cp",C165="f",C165="jc",C165="m"),TRUE,FALSE)</formula>
    </cfRule>
    <cfRule type="expression" dxfId="812" priority="518" stopIfTrue="1">
      <formula>IF(OR(E165-C165&gt;6/24,I165-G165&gt;6/24,M165-K165&gt;6/24),TRUE,FALSE)</formula>
    </cfRule>
    <cfRule type="expression" dxfId="811" priority="519" stopIfTrue="1">
      <formula>IF(OR(D165-B165&gt;6/24,H165-F165&gt;6/24,L165-J165&gt;6/24),TRUE,FALSE)</formula>
    </cfRule>
  </conditionalFormatting>
  <conditionalFormatting sqref="N165">
    <cfRule type="cellIs" dxfId="810" priority="516" stopIfTrue="1" operator="greaterThan">
      <formula>10/24</formula>
    </cfRule>
  </conditionalFormatting>
  <conditionalFormatting sqref="N167">
    <cfRule type="cellIs" dxfId="809" priority="515" stopIfTrue="1" operator="greaterThan">
      <formula>10/24</formula>
    </cfRule>
  </conditionalFormatting>
  <conditionalFormatting sqref="N168">
    <cfRule type="cellIs" dxfId="808" priority="514" operator="greaterThan">
      <formula>10/24</formula>
    </cfRule>
  </conditionalFormatting>
  <conditionalFormatting sqref="O165">
    <cfRule type="cellIs" dxfId="807" priority="513" operator="greaterThan">
      <formula>10/24</formula>
    </cfRule>
  </conditionalFormatting>
  <conditionalFormatting sqref="R162:R164">
    <cfRule type="cellIs" dxfId="806" priority="512" operator="greaterThan">
      <formula>12/24</formula>
    </cfRule>
  </conditionalFormatting>
  <conditionalFormatting sqref="S162:S164">
    <cfRule type="cellIs" dxfId="805" priority="511" stopIfTrue="1" operator="equal">
      <formula>"n"</formula>
    </cfRule>
  </conditionalFormatting>
  <conditionalFormatting sqref="U162:U164 W162:W164">
    <cfRule type="containsText" dxfId="804" priority="510" operator="containsText" text="PB">
      <formula>NOT(ISERROR(SEARCH("PB",U162)))</formula>
    </cfRule>
  </conditionalFormatting>
  <conditionalFormatting sqref="V162:V164">
    <cfRule type="containsText" dxfId="803" priority="509" operator="containsText" text="PB">
      <formula>NOT(ISERROR(SEARCH("PB",V162)))</formula>
    </cfRule>
  </conditionalFormatting>
  <conditionalFormatting sqref="Y162:Y164">
    <cfRule type="containsText" dxfId="802" priority="508" operator="containsText" text="PB">
      <formula>NOT(ISERROR(SEARCH("PB",Y162)))</formula>
    </cfRule>
  </conditionalFormatting>
  <conditionalFormatting sqref="X162:X164">
    <cfRule type="expression" priority="505" stopIfTrue="1">
      <formula>IF(OR(C162="aa",C162="cp",C162="f",C162="jc",C162="m"),TRUE,FALSE)</formula>
    </cfRule>
    <cfRule type="expression" dxfId="801" priority="506" stopIfTrue="1">
      <formula>IF(OR(E162-C162&gt;6/24,I162-G162&gt;6/24,M162-K162&gt;6/24),TRUE,FALSE)</formula>
    </cfRule>
    <cfRule type="expression" dxfId="800" priority="507" stopIfTrue="1">
      <formula>IF(OR(D162-B162&gt;6/24,H162-F162&gt;6/24,L162-J162&gt;6/24),TRUE,FALSE)</formula>
    </cfRule>
  </conditionalFormatting>
  <conditionalFormatting sqref="N162:N164">
    <cfRule type="cellIs" dxfId="799" priority="504" stopIfTrue="1" operator="greaterThan">
      <formula>10/24</formula>
    </cfRule>
  </conditionalFormatting>
  <conditionalFormatting sqref="O162:O164">
    <cfRule type="cellIs" dxfId="798" priority="503" operator="greaterThan">
      <formula>10/24</formula>
    </cfRule>
  </conditionalFormatting>
  <conditionalFormatting sqref="R166">
    <cfRule type="cellIs" dxfId="797" priority="502" operator="greaterThan">
      <formula>12/24</formula>
    </cfRule>
  </conditionalFormatting>
  <conditionalFormatting sqref="S166">
    <cfRule type="cellIs" dxfId="796" priority="501" stopIfTrue="1" operator="equal">
      <formula>"n"</formula>
    </cfRule>
  </conditionalFormatting>
  <conditionalFormatting sqref="U166 W166">
    <cfRule type="containsText" dxfId="795" priority="500" operator="containsText" text="PB">
      <formula>NOT(ISERROR(SEARCH("PB",U166)))</formula>
    </cfRule>
  </conditionalFormatting>
  <conditionalFormatting sqref="V166">
    <cfRule type="containsText" dxfId="794" priority="499" operator="containsText" text="PB">
      <formula>NOT(ISERROR(SEARCH("PB",V166)))</formula>
    </cfRule>
  </conditionalFormatting>
  <conditionalFormatting sqref="Y166">
    <cfRule type="containsText" dxfId="793" priority="498" operator="containsText" text="PB">
      <formula>NOT(ISERROR(SEARCH("PB",Y166)))</formula>
    </cfRule>
  </conditionalFormatting>
  <conditionalFormatting sqref="X166">
    <cfRule type="expression" priority="495" stopIfTrue="1">
      <formula>IF(OR(C166="aa",C166="cp",C166="f",C166="jc",C166="m"),TRUE,FALSE)</formula>
    </cfRule>
    <cfRule type="expression" dxfId="792" priority="496" stopIfTrue="1">
      <formula>IF(OR(E166-C166&gt;6/24,I166-G166&gt;6/24,M166-K166&gt;6/24),TRUE,FALSE)</formula>
    </cfRule>
    <cfRule type="expression" dxfId="791" priority="497" stopIfTrue="1">
      <formula>IF(OR(D166-B166&gt;6/24,H166-F166&gt;6/24,L166-J166&gt;6/24),TRUE,FALSE)</formula>
    </cfRule>
  </conditionalFormatting>
  <conditionalFormatting sqref="N166">
    <cfRule type="cellIs" dxfId="790" priority="494" stopIfTrue="1" operator="greaterThan">
      <formula>10/24</formula>
    </cfRule>
  </conditionalFormatting>
  <conditionalFormatting sqref="O166">
    <cfRule type="cellIs" dxfId="789" priority="493" operator="greaterThan">
      <formula>10/24</formula>
    </cfRule>
  </conditionalFormatting>
  <conditionalFormatting sqref="R167">
    <cfRule type="cellIs" dxfId="788" priority="492" operator="greaterThan">
      <formula>12/24</formula>
    </cfRule>
  </conditionalFormatting>
  <conditionalFormatting sqref="X167">
    <cfRule type="expression" priority="489" stopIfTrue="1">
      <formula>IF(OR(C167="aa",C167="cp",C167="f",C167="jc",C167="m"),TRUE,FALSE)</formula>
    </cfRule>
    <cfRule type="expression" dxfId="787" priority="490" stopIfTrue="1">
      <formula>IF(OR(E167-C167&gt;6/24,I167-G167&gt;6/24,M167-K167&gt;6/24),TRUE,FALSE)</formula>
    </cfRule>
    <cfRule type="expression" dxfId="786" priority="491" stopIfTrue="1">
      <formula>IF(OR(D167-B167&gt;6/24,H167-F167&gt;6/24,L167-J167&gt;6/24),TRUE,FALSE)</formula>
    </cfRule>
  </conditionalFormatting>
  <conditionalFormatting sqref="R153 R156">
    <cfRule type="cellIs" dxfId="785" priority="487" operator="greaterThan">
      <formula>12/24</formula>
    </cfRule>
  </conditionalFormatting>
  <conditionalFormatting sqref="O155:O156">
    <cfRule type="cellIs" dxfId="784" priority="488" operator="greaterThan">
      <formula>10/24</formula>
    </cfRule>
  </conditionalFormatting>
  <conditionalFormatting sqref="S153 S155:S156">
    <cfRule type="cellIs" dxfId="783" priority="486" stopIfTrue="1" operator="equal">
      <formula>"n"</formula>
    </cfRule>
  </conditionalFormatting>
  <conditionalFormatting sqref="U153 W153 W155:W156 U155:U156">
    <cfRule type="containsText" dxfId="782" priority="485" operator="containsText" text="PB">
      <formula>NOT(ISERROR(SEARCH("PB",U153)))</formula>
    </cfRule>
  </conditionalFormatting>
  <conditionalFormatting sqref="V153 V155:V156">
    <cfRule type="containsText" dxfId="781" priority="484" operator="containsText" text="PB">
      <formula>NOT(ISERROR(SEARCH("PB",V153)))</formula>
    </cfRule>
  </conditionalFormatting>
  <conditionalFormatting sqref="Y153 Y155:Y156">
    <cfRule type="containsText" dxfId="780" priority="483" operator="containsText" text="PB">
      <formula>NOT(ISERROR(SEARCH("PB",Y153)))</formula>
    </cfRule>
  </conditionalFormatting>
  <conditionalFormatting sqref="X153 X156">
    <cfRule type="expression" priority="480" stopIfTrue="1">
      <formula>IF(OR(C153="aa",C153="cp",C153="f",C153="jc",C153="m"),TRUE,FALSE)</formula>
    </cfRule>
    <cfRule type="expression" dxfId="779" priority="481" stopIfTrue="1">
      <formula>IF(OR(E153-C153&gt;6/24,I153-G153&gt;6/24,M153-K153&gt;6/24),TRUE,FALSE)</formula>
    </cfRule>
    <cfRule type="expression" dxfId="778" priority="482" stopIfTrue="1">
      <formula>IF(OR(D153-B153&gt;6/24,H153-F153&gt;6/24,L153-J153&gt;6/24),TRUE,FALSE)</formula>
    </cfRule>
  </conditionalFormatting>
  <conditionalFormatting sqref="N153">
    <cfRule type="cellIs" dxfId="777" priority="479" stopIfTrue="1" operator="greaterThan">
      <formula>10/24</formula>
    </cfRule>
  </conditionalFormatting>
  <conditionalFormatting sqref="N155">
    <cfRule type="cellIs" dxfId="776" priority="478" stopIfTrue="1" operator="greaterThan">
      <formula>10/24</formula>
    </cfRule>
  </conditionalFormatting>
  <conditionalFormatting sqref="N156">
    <cfRule type="cellIs" dxfId="775" priority="477" operator="greaterThan">
      <formula>10/24</formula>
    </cfRule>
  </conditionalFormatting>
  <conditionalFormatting sqref="O153">
    <cfRule type="cellIs" dxfId="774" priority="476" operator="greaterThan">
      <formula>10/24</formula>
    </cfRule>
  </conditionalFormatting>
  <conditionalFormatting sqref="R150:R152">
    <cfRule type="cellIs" dxfId="773" priority="475" operator="greaterThan">
      <formula>12/24</formula>
    </cfRule>
  </conditionalFormatting>
  <conditionalFormatting sqref="S150:S152">
    <cfRule type="cellIs" dxfId="772" priority="474" stopIfTrue="1" operator="equal">
      <formula>"n"</formula>
    </cfRule>
  </conditionalFormatting>
  <conditionalFormatting sqref="U150:U152 W150:W152">
    <cfRule type="containsText" dxfId="771" priority="473" operator="containsText" text="PB">
      <formula>NOT(ISERROR(SEARCH("PB",U150)))</formula>
    </cfRule>
  </conditionalFormatting>
  <conditionalFormatting sqref="V150:V152">
    <cfRule type="containsText" dxfId="770" priority="472" operator="containsText" text="PB">
      <formula>NOT(ISERROR(SEARCH("PB",V150)))</formula>
    </cfRule>
  </conditionalFormatting>
  <conditionalFormatting sqref="Y150:Y152">
    <cfRule type="containsText" dxfId="769" priority="471" operator="containsText" text="PB">
      <formula>NOT(ISERROR(SEARCH("PB",Y150)))</formula>
    </cfRule>
  </conditionalFormatting>
  <conditionalFormatting sqref="X150:X152">
    <cfRule type="expression" priority="468" stopIfTrue="1">
      <formula>IF(OR(C150="aa",C150="cp",C150="f",C150="jc",C150="m"),TRUE,FALSE)</formula>
    </cfRule>
    <cfRule type="expression" dxfId="768" priority="469" stopIfTrue="1">
      <formula>IF(OR(E150-C150&gt;6/24,I150-G150&gt;6/24,M150-K150&gt;6/24),TRUE,FALSE)</formula>
    </cfRule>
    <cfRule type="expression" dxfId="767" priority="470" stopIfTrue="1">
      <formula>IF(OR(D150-B150&gt;6/24,H150-F150&gt;6/24,L150-J150&gt;6/24),TRUE,FALSE)</formula>
    </cfRule>
  </conditionalFormatting>
  <conditionalFormatting sqref="N150:N152">
    <cfRule type="cellIs" dxfId="766" priority="467" stopIfTrue="1" operator="greaterThan">
      <formula>10/24</formula>
    </cfRule>
  </conditionalFormatting>
  <conditionalFormatting sqref="O150:O152">
    <cfRule type="cellIs" dxfId="765" priority="466" operator="greaterThan">
      <formula>10/24</formula>
    </cfRule>
  </conditionalFormatting>
  <conditionalFormatting sqref="R154">
    <cfRule type="cellIs" dxfId="764" priority="465" operator="greaterThan">
      <formula>12/24</formula>
    </cfRule>
  </conditionalFormatting>
  <conditionalFormatting sqref="S154">
    <cfRule type="cellIs" dxfId="763" priority="464" stopIfTrue="1" operator="equal">
      <formula>"n"</formula>
    </cfRule>
  </conditionalFormatting>
  <conditionalFormatting sqref="U154 W154">
    <cfRule type="containsText" dxfId="762" priority="463" operator="containsText" text="PB">
      <formula>NOT(ISERROR(SEARCH("PB",U154)))</formula>
    </cfRule>
  </conditionalFormatting>
  <conditionalFormatting sqref="V154">
    <cfRule type="containsText" dxfId="761" priority="462" operator="containsText" text="PB">
      <formula>NOT(ISERROR(SEARCH("PB",V154)))</formula>
    </cfRule>
  </conditionalFormatting>
  <conditionalFormatting sqref="Y154">
    <cfRule type="containsText" dxfId="760" priority="461" operator="containsText" text="PB">
      <formula>NOT(ISERROR(SEARCH("PB",Y154)))</formula>
    </cfRule>
  </conditionalFormatting>
  <conditionalFormatting sqref="X154">
    <cfRule type="expression" priority="458" stopIfTrue="1">
      <formula>IF(OR(C154="aa",C154="cp",C154="f",C154="jc",C154="m"),TRUE,FALSE)</formula>
    </cfRule>
    <cfRule type="expression" dxfId="759" priority="459" stopIfTrue="1">
      <formula>IF(OR(E154-C154&gt;6/24,I154-G154&gt;6/24,M154-K154&gt;6/24),TRUE,FALSE)</formula>
    </cfRule>
    <cfRule type="expression" dxfId="758" priority="460" stopIfTrue="1">
      <formula>IF(OR(D154-B154&gt;6/24,H154-F154&gt;6/24,L154-J154&gt;6/24),TRUE,FALSE)</formula>
    </cfRule>
  </conditionalFormatting>
  <conditionalFormatting sqref="N154">
    <cfRule type="cellIs" dxfId="757" priority="457" stopIfTrue="1" operator="greaterThan">
      <formula>10/24</formula>
    </cfRule>
  </conditionalFormatting>
  <conditionalFormatting sqref="O154">
    <cfRule type="cellIs" dxfId="756" priority="456" operator="greaterThan">
      <formula>10/24</formula>
    </cfRule>
  </conditionalFormatting>
  <conditionalFormatting sqref="R155">
    <cfRule type="cellIs" dxfId="755" priority="455" operator="greaterThan">
      <formula>12/24</formula>
    </cfRule>
  </conditionalFormatting>
  <conditionalFormatting sqref="X155">
    <cfRule type="expression" priority="452" stopIfTrue="1">
      <formula>IF(OR(C155="aa",C155="cp",C155="f",C155="jc",C155="m"),TRUE,FALSE)</formula>
    </cfRule>
    <cfRule type="expression" dxfId="754" priority="453" stopIfTrue="1">
      <formula>IF(OR(E155-C155&gt;6/24,I155-G155&gt;6/24,M155-K155&gt;6/24),TRUE,FALSE)</formula>
    </cfRule>
    <cfRule type="expression" dxfId="753" priority="454" stopIfTrue="1">
      <formula>IF(OR(D155-B155&gt;6/24,H155-F155&gt;6/24,L155-J155&gt;6/24),TRUE,FALSE)</formula>
    </cfRule>
  </conditionalFormatting>
  <conditionalFormatting sqref="R141 R144">
    <cfRule type="cellIs" dxfId="752" priority="450" operator="greaterThan">
      <formula>12/24</formula>
    </cfRule>
  </conditionalFormatting>
  <conditionalFormatting sqref="O143:O144">
    <cfRule type="cellIs" dxfId="751" priority="451" operator="greaterThan">
      <formula>10/24</formula>
    </cfRule>
  </conditionalFormatting>
  <conditionalFormatting sqref="S141 S143:S144">
    <cfRule type="cellIs" dxfId="750" priority="449" stopIfTrue="1" operator="equal">
      <formula>"n"</formula>
    </cfRule>
  </conditionalFormatting>
  <conditionalFormatting sqref="U141 W141 W143:W144 U143:U144">
    <cfRule type="containsText" dxfId="749" priority="448" operator="containsText" text="PB">
      <formula>NOT(ISERROR(SEARCH("PB",U141)))</formula>
    </cfRule>
  </conditionalFormatting>
  <conditionalFormatting sqref="V141 V143:V144">
    <cfRule type="containsText" dxfId="748" priority="447" operator="containsText" text="PB">
      <formula>NOT(ISERROR(SEARCH("PB",V141)))</formula>
    </cfRule>
  </conditionalFormatting>
  <conditionalFormatting sqref="Y141 Y143:Y144">
    <cfRule type="containsText" dxfId="747" priority="446" operator="containsText" text="PB">
      <formula>NOT(ISERROR(SEARCH("PB",Y141)))</formula>
    </cfRule>
  </conditionalFormatting>
  <conditionalFormatting sqref="X141 X144">
    <cfRule type="expression" priority="443" stopIfTrue="1">
      <formula>IF(OR(C141="aa",C141="cp",C141="f",C141="jc",C141="m"),TRUE,FALSE)</formula>
    </cfRule>
    <cfRule type="expression" dxfId="746" priority="444" stopIfTrue="1">
      <formula>IF(OR(E141-C141&gt;6/24,I141-G141&gt;6/24,M141-K141&gt;6/24),TRUE,FALSE)</formula>
    </cfRule>
    <cfRule type="expression" dxfId="745" priority="445" stopIfTrue="1">
      <formula>IF(OR(D141-B141&gt;6/24,H141-F141&gt;6/24,L141-J141&gt;6/24),TRUE,FALSE)</formula>
    </cfRule>
  </conditionalFormatting>
  <conditionalFormatting sqref="N141">
    <cfRule type="cellIs" dxfId="744" priority="442" stopIfTrue="1" operator="greaterThan">
      <formula>10/24</formula>
    </cfRule>
  </conditionalFormatting>
  <conditionalFormatting sqref="N143">
    <cfRule type="cellIs" dxfId="743" priority="441" stopIfTrue="1" operator="greaterThan">
      <formula>10/24</formula>
    </cfRule>
  </conditionalFormatting>
  <conditionalFormatting sqref="N144">
    <cfRule type="cellIs" dxfId="742" priority="440" operator="greaterThan">
      <formula>10/24</formula>
    </cfRule>
  </conditionalFormatting>
  <conditionalFormatting sqref="O141">
    <cfRule type="cellIs" dxfId="741" priority="439" operator="greaterThan">
      <formula>10/24</formula>
    </cfRule>
  </conditionalFormatting>
  <conditionalFormatting sqref="R138:R140">
    <cfRule type="cellIs" dxfId="740" priority="438" operator="greaterThan">
      <formula>12/24</formula>
    </cfRule>
  </conditionalFormatting>
  <conditionalFormatting sqref="S138:S140">
    <cfRule type="cellIs" dxfId="739" priority="437" stopIfTrue="1" operator="equal">
      <formula>"n"</formula>
    </cfRule>
  </conditionalFormatting>
  <conditionalFormatting sqref="U138:U140 W138:W140">
    <cfRule type="containsText" dxfId="738" priority="436" operator="containsText" text="PB">
      <formula>NOT(ISERROR(SEARCH("PB",U138)))</formula>
    </cfRule>
  </conditionalFormatting>
  <conditionalFormatting sqref="V138:V140">
    <cfRule type="containsText" dxfId="737" priority="435" operator="containsText" text="PB">
      <formula>NOT(ISERROR(SEARCH("PB",V138)))</formula>
    </cfRule>
  </conditionalFormatting>
  <conditionalFormatting sqref="Y138:Y140">
    <cfRule type="containsText" dxfId="736" priority="434" operator="containsText" text="PB">
      <formula>NOT(ISERROR(SEARCH("PB",Y138)))</formula>
    </cfRule>
  </conditionalFormatting>
  <conditionalFormatting sqref="X138:X140">
    <cfRule type="expression" priority="431" stopIfTrue="1">
      <formula>IF(OR(C138="aa",C138="cp",C138="f",C138="jc",C138="m"),TRUE,FALSE)</formula>
    </cfRule>
    <cfRule type="expression" dxfId="735" priority="432" stopIfTrue="1">
      <formula>IF(OR(E138-C138&gt;6/24,I138-G138&gt;6/24,M138-K138&gt;6/24),TRUE,FALSE)</formula>
    </cfRule>
    <cfRule type="expression" dxfId="734" priority="433" stopIfTrue="1">
      <formula>IF(OR(D138-B138&gt;6/24,H138-F138&gt;6/24,L138-J138&gt;6/24),TRUE,FALSE)</formula>
    </cfRule>
  </conditionalFormatting>
  <conditionalFormatting sqref="N138:N140">
    <cfRule type="cellIs" dxfId="733" priority="430" stopIfTrue="1" operator="greaterThan">
      <formula>10/24</formula>
    </cfRule>
  </conditionalFormatting>
  <conditionalFormatting sqref="O138:O140">
    <cfRule type="cellIs" dxfId="732" priority="429" operator="greaterThan">
      <formula>10/24</formula>
    </cfRule>
  </conditionalFormatting>
  <conditionalFormatting sqref="R142">
    <cfRule type="cellIs" dxfId="731" priority="428" operator="greaterThan">
      <formula>12/24</formula>
    </cfRule>
  </conditionalFormatting>
  <conditionalFormatting sqref="S142">
    <cfRule type="cellIs" dxfId="730" priority="427" stopIfTrue="1" operator="equal">
      <formula>"n"</formula>
    </cfRule>
  </conditionalFormatting>
  <conditionalFormatting sqref="U142 W142">
    <cfRule type="containsText" dxfId="729" priority="426" operator="containsText" text="PB">
      <formula>NOT(ISERROR(SEARCH("PB",U142)))</formula>
    </cfRule>
  </conditionalFormatting>
  <conditionalFormatting sqref="V142">
    <cfRule type="containsText" dxfId="728" priority="425" operator="containsText" text="PB">
      <formula>NOT(ISERROR(SEARCH("PB",V142)))</formula>
    </cfRule>
  </conditionalFormatting>
  <conditionalFormatting sqref="Y142">
    <cfRule type="containsText" dxfId="727" priority="424" operator="containsText" text="PB">
      <formula>NOT(ISERROR(SEARCH("PB",Y142)))</formula>
    </cfRule>
  </conditionalFormatting>
  <conditionalFormatting sqref="X142">
    <cfRule type="expression" priority="421" stopIfTrue="1">
      <formula>IF(OR(C142="aa",C142="cp",C142="f",C142="jc",C142="m"),TRUE,FALSE)</formula>
    </cfRule>
    <cfRule type="expression" dxfId="726" priority="422" stopIfTrue="1">
      <formula>IF(OR(E142-C142&gt;6/24,I142-G142&gt;6/24,M142-K142&gt;6/24),TRUE,FALSE)</formula>
    </cfRule>
    <cfRule type="expression" dxfId="725" priority="423" stopIfTrue="1">
      <formula>IF(OR(D142-B142&gt;6/24,H142-F142&gt;6/24,L142-J142&gt;6/24),TRUE,FALSE)</formula>
    </cfRule>
  </conditionalFormatting>
  <conditionalFormatting sqref="N142">
    <cfRule type="cellIs" dxfId="724" priority="420" stopIfTrue="1" operator="greaterThan">
      <formula>10/24</formula>
    </cfRule>
  </conditionalFormatting>
  <conditionalFormatting sqref="O142">
    <cfRule type="cellIs" dxfId="723" priority="419" operator="greaterThan">
      <formula>10/24</formula>
    </cfRule>
  </conditionalFormatting>
  <conditionalFormatting sqref="R143">
    <cfRule type="cellIs" dxfId="722" priority="418" operator="greaterThan">
      <formula>12/24</formula>
    </cfRule>
  </conditionalFormatting>
  <conditionalFormatting sqref="X143">
    <cfRule type="expression" priority="415" stopIfTrue="1">
      <formula>IF(OR(C143="aa",C143="cp",C143="f",C143="jc",C143="m"),TRUE,FALSE)</formula>
    </cfRule>
    <cfRule type="expression" dxfId="721" priority="416" stopIfTrue="1">
      <formula>IF(OR(E143-C143&gt;6/24,I143-G143&gt;6/24,M143-K143&gt;6/24),TRUE,FALSE)</formula>
    </cfRule>
    <cfRule type="expression" dxfId="720" priority="417" stopIfTrue="1">
      <formula>IF(OR(D143-B143&gt;6/24,H143-F143&gt;6/24,L143-J143&gt;6/24),TRUE,FALSE)</formula>
    </cfRule>
  </conditionalFormatting>
  <conditionalFormatting sqref="R129 R132">
    <cfRule type="cellIs" dxfId="719" priority="413" operator="greaterThan">
      <formula>12/24</formula>
    </cfRule>
  </conditionalFormatting>
  <conditionalFormatting sqref="O131:O132">
    <cfRule type="cellIs" dxfId="718" priority="414" operator="greaterThan">
      <formula>10/24</formula>
    </cfRule>
  </conditionalFormatting>
  <conditionalFormatting sqref="S129 S131:S132">
    <cfRule type="cellIs" dxfId="717" priority="412" stopIfTrue="1" operator="equal">
      <formula>"n"</formula>
    </cfRule>
  </conditionalFormatting>
  <conditionalFormatting sqref="U129 W129 W131:W132 U131:U132">
    <cfRule type="containsText" dxfId="716" priority="411" operator="containsText" text="PB">
      <formula>NOT(ISERROR(SEARCH("PB",U129)))</formula>
    </cfRule>
  </conditionalFormatting>
  <conditionalFormatting sqref="V129 V131:V132">
    <cfRule type="containsText" dxfId="715" priority="410" operator="containsText" text="PB">
      <formula>NOT(ISERROR(SEARCH("PB",V129)))</formula>
    </cfRule>
  </conditionalFormatting>
  <conditionalFormatting sqref="Y129 Y131:Y132">
    <cfRule type="containsText" dxfId="714" priority="409" operator="containsText" text="PB">
      <formula>NOT(ISERROR(SEARCH("PB",Y129)))</formula>
    </cfRule>
  </conditionalFormatting>
  <conditionalFormatting sqref="X129 X132">
    <cfRule type="expression" priority="406" stopIfTrue="1">
      <formula>IF(OR(C129="aa",C129="cp",C129="f",C129="jc",C129="m"),TRUE,FALSE)</formula>
    </cfRule>
    <cfRule type="expression" dxfId="713" priority="407" stopIfTrue="1">
      <formula>IF(OR(E129-C129&gt;6/24,I129-G129&gt;6/24,M129-K129&gt;6/24),TRUE,FALSE)</formula>
    </cfRule>
    <cfRule type="expression" dxfId="712" priority="408" stopIfTrue="1">
      <formula>IF(OR(D129-B129&gt;6/24,H129-F129&gt;6/24,L129-J129&gt;6/24),TRUE,FALSE)</formula>
    </cfRule>
  </conditionalFormatting>
  <conditionalFormatting sqref="N129">
    <cfRule type="cellIs" dxfId="711" priority="405" stopIfTrue="1" operator="greaterThan">
      <formula>10/24</formula>
    </cfRule>
  </conditionalFormatting>
  <conditionalFormatting sqref="N131">
    <cfRule type="cellIs" dxfId="710" priority="404" stopIfTrue="1" operator="greaterThan">
      <formula>10/24</formula>
    </cfRule>
  </conditionalFormatting>
  <conditionalFormatting sqref="N132">
    <cfRule type="cellIs" dxfId="709" priority="403" operator="greaterThan">
      <formula>10/24</formula>
    </cfRule>
  </conditionalFormatting>
  <conditionalFormatting sqref="O129">
    <cfRule type="cellIs" dxfId="708" priority="402" operator="greaterThan">
      <formula>10/24</formula>
    </cfRule>
  </conditionalFormatting>
  <conditionalFormatting sqref="R126:R128">
    <cfRule type="cellIs" dxfId="707" priority="401" operator="greaterThan">
      <formula>12/24</formula>
    </cfRule>
  </conditionalFormatting>
  <conditionalFormatting sqref="S126:S128">
    <cfRule type="cellIs" dxfId="706" priority="400" stopIfTrue="1" operator="equal">
      <formula>"n"</formula>
    </cfRule>
  </conditionalFormatting>
  <conditionalFormatting sqref="U126:U128 W126:W128">
    <cfRule type="containsText" dxfId="705" priority="399" operator="containsText" text="PB">
      <formula>NOT(ISERROR(SEARCH("PB",U126)))</formula>
    </cfRule>
  </conditionalFormatting>
  <conditionalFormatting sqref="V126:V128">
    <cfRule type="containsText" dxfId="704" priority="398" operator="containsText" text="PB">
      <formula>NOT(ISERROR(SEARCH("PB",V126)))</formula>
    </cfRule>
  </conditionalFormatting>
  <conditionalFormatting sqref="Y126:Y128">
    <cfRule type="containsText" dxfId="703" priority="397" operator="containsText" text="PB">
      <formula>NOT(ISERROR(SEARCH("PB",Y126)))</formula>
    </cfRule>
  </conditionalFormatting>
  <conditionalFormatting sqref="X126:X128">
    <cfRule type="expression" priority="394" stopIfTrue="1">
      <formula>IF(OR(C126="aa",C126="cp",C126="f",C126="jc",C126="m"),TRUE,FALSE)</formula>
    </cfRule>
    <cfRule type="expression" dxfId="702" priority="395" stopIfTrue="1">
      <formula>IF(OR(E126-C126&gt;6/24,I126-G126&gt;6/24,M126-K126&gt;6/24),TRUE,FALSE)</formula>
    </cfRule>
    <cfRule type="expression" dxfId="701" priority="396" stopIfTrue="1">
      <formula>IF(OR(D126-B126&gt;6/24,H126-F126&gt;6/24,L126-J126&gt;6/24),TRUE,FALSE)</formula>
    </cfRule>
  </conditionalFormatting>
  <conditionalFormatting sqref="N126:N128">
    <cfRule type="cellIs" dxfId="700" priority="393" stopIfTrue="1" operator="greaterThan">
      <formula>10/24</formula>
    </cfRule>
  </conditionalFormatting>
  <conditionalFormatting sqref="O126:O128">
    <cfRule type="cellIs" dxfId="699" priority="392" operator="greaterThan">
      <formula>10/24</formula>
    </cfRule>
  </conditionalFormatting>
  <conditionalFormatting sqref="R130">
    <cfRule type="cellIs" dxfId="698" priority="391" operator="greaterThan">
      <formula>12/24</formula>
    </cfRule>
  </conditionalFormatting>
  <conditionalFormatting sqref="S130">
    <cfRule type="cellIs" dxfId="697" priority="390" stopIfTrue="1" operator="equal">
      <formula>"n"</formula>
    </cfRule>
  </conditionalFormatting>
  <conditionalFormatting sqref="U130 W130">
    <cfRule type="containsText" dxfId="696" priority="389" operator="containsText" text="PB">
      <formula>NOT(ISERROR(SEARCH("PB",U130)))</formula>
    </cfRule>
  </conditionalFormatting>
  <conditionalFormatting sqref="V130">
    <cfRule type="containsText" dxfId="695" priority="388" operator="containsText" text="PB">
      <formula>NOT(ISERROR(SEARCH("PB",V130)))</formula>
    </cfRule>
  </conditionalFormatting>
  <conditionalFormatting sqref="Y130">
    <cfRule type="containsText" dxfId="694" priority="387" operator="containsText" text="PB">
      <formula>NOT(ISERROR(SEARCH("PB",Y130)))</formula>
    </cfRule>
  </conditionalFormatting>
  <conditionalFormatting sqref="X130">
    <cfRule type="expression" priority="384" stopIfTrue="1">
      <formula>IF(OR(C130="aa",C130="cp",C130="f",C130="jc",C130="m"),TRUE,FALSE)</formula>
    </cfRule>
    <cfRule type="expression" dxfId="693" priority="385" stopIfTrue="1">
      <formula>IF(OR(E130-C130&gt;6/24,I130-G130&gt;6/24,M130-K130&gt;6/24),TRUE,FALSE)</formula>
    </cfRule>
    <cfRule type="expression" dxfId="692" priority="386" stopIfTrue="1">
      <formula>IF(OR(D130-B130&gt;6/24,H130-F130&gt;6/24,L130-J130&gt;6/24),TRUE,FALSE)</formula>
    </cfRule>
  </conditionalFormatting>
  <conditionalFormatting sqref="N130">
    <cfRule type="cellIs" dxfId="691" priority="383" stopIfTrue="1" operator="greaterThan">
      <formula>10/24</formula>
    </cfRule>
  </conditionalFormatting>
  <conditionalFormatting sqref="O130">
    <cfRule type="cellIs" dxfId="690" priority="382" operator="greaterThan">
      <formula>10/24</formula>
    </cfRule>
  </conditionalFormatting>
  <conditionalFormatting sqref="R131">
    <cfRule type="cellIs" dxfId="689" priority="381" operator="greaterThan">
      <formula>12/24</formula>
    </cfRule>
  </conditionalFormatting>
  <conditionalFormatting sqref="X131">
    <cfRule type="expression" priority="378" stopIfTrue="1">
      <formula>IF(OR(C131="aa",C131="cp",C131="f",C131="jc",C131="m"),TRUE,FALSE)</formula>
    </cfRule>
    <cfRule type="expression" dxfId="688" priority="379" stopIfTrue="1">
      <formula>IF(OR(E131-C131&gt;6/24,I131-G131&gt;6/24,M131-K131&gt;6/24),TRUE,FALSE)</formula>
    </cfRule>
    <cfRule type="expression" dxfId="687" priority="380" stopIfTrue="1">
      <formula>IF(OR(D131-B131&gt;6/24,H131-F131&gt;6/24,L131-J131&gt;6/24),TRUE,FALSE)</formula>
    </cfRule>
  </conditionalFormatting>
  <conditionalFormatting sqref="R117 R120">
    <cfRule type="cellIs" dxfId="686" priority="376" operator="greaterThan">
      <formula>12/24</formula>
    </cfRule>
  </conditionalFormatting>
  <conditionalFormatting sqref="O119:O120">
    <cfRule type="cellIs" dxfId="685" priority="377" operator="greaterThan">
      <formula>10/24</formula>
    </cfRule>
  </conditionalFormatting>
  <conditionalFormatting sqref="S117 S119:S120">
    <cfRule type="cellIs" dxfId="684" priority="375" stopIfTrue="1" operator="equal">
      <formula>"n"</formula>
    </cfRule>
  </conditionalFormatting>
  <conditionalFormatting sqref="U117 W117 W119:W120 U119:U120">
    <cfRule type="containsText" dxfId="683" priority="374" operator="containsText" text="PB">
      <formula>NOT(ISERROR(SEARCH("PB",U117)))</formula>
    </cfRule>
  </conditionalFormatting>
  <conditionalFormatting sqref="V117 V119:V120">
    <cfRule type="containsText" dxfId="682" priority="373" operator="containsText" text="PB">
      <formula>NOT(ISERROR(SEARCH("PB",V117)))</formula>
    </cfRule>
  </conditionalFormatting>
  <conditionalFormatting sqref="Y117 Y119:Y120">
    <cfRule type="containsText" dxfId="681" priority="372" operator="containsText" text="PB">
      <formula>NOT(ISERROR(SEARCH("PB",Y117)))</formula>
    </cfRule>
  </conditionalFormatting>
  <conditionalFormatting sqref="X117 X120">
    <cfRule type="expression" priority="369" stopIfTrue="1">
      <formula>IF(OR(C117="aa",C117="cp",C117="f",C117="jc",C117="m"),TRUE,FALSE)</formula>
    </cfRule>
    <cfRule type="expression" dxfId="680" priority="370" stopIfTrue="1">
      <formula>IF(OR(E117-C117&gt;6/24,I117-G117&gt;6/24,M117-K117&gt;6/24),TRUE,FALSE)</formula>
    </cfRule>
    <cfRule type="expression" dxfId="679" priority="371" stopIfTrue="1">
      <formula>IF(OR(D117-B117&gt;6/24,H117-F117&gt;6/24,L117-J117&gt;6/24),TRUE,FALSE)</formula>
    </cfRule>
  </conditionalFormatting>
  <conditionalFormatting sqref="N117">
    <cfRule type="cellIs" dxfId="678" priority="368" stopIfTrue="1" operator="greaterThan">
      <formula>10/24</formula>
    </cfRule>
  </conditionalFormatting>
  <conditionalFormatting sqref="N119">
    <cfRule type="cellIs" dxfId="677" priority="367" stopIfTrue="1" operator="greaterThan">
      <formula>10/24</formula>
    </cfRule>
  </conditionalFormatting>
  <conditionalFormatting sqref="N120">
    <cfRule type="cellIs" dxfId="676" priority="366" operator="greaterThan">
      <formula>10/24</formula>
    </cfRule>
  </conditionalFormatting>
  <conditionalFormatting sqref="O117">
    <cfRule type="cellIs" dxfId="675" priority="365" operator="greaterThan">
      <formula>10/24</formula>
    </cfRule>
  </conditionalFormatting>
  <conditionalFormatting sqref="R114:R116">
    <cfRule type="cellIs" dxfId="674" priority="364" operator="greaterThan">
      <formula>12/24</formula>
    </cfRule>
  </conditionalFormatting>
  <conditionalFormatting sqref="S114:S116">
    <cfRule type="cellIs" dxfId="673" priority="363" stopIfTrue="1" operator="equal">
      <formula>"n"</formula>
    </cfRule>
  </conditionalFormatting>
  <conditionalFormatting sqref="U114:U116 W114:W116">
    <cfRule type="containsText" dxfId="672" priority="362" operator="containsText" text="PB">
      <formula>NOT(ISERROR(SEARCH("PB",U114)))</formula>
    </cfRule>
  </conditionalFormatting>
  <conditionalFormatting sqref="V114:V116">
    <cfRule type="containsText" dxfId="671" priority="361" operator="containsText" text="PB">
      <formula>NOT(ISERROR(SEARCH("PB",V114)))</formula>
    </cfRule>
  </conditionalFormatting>
  <conditionalFormatting sqref="Y114:Y116">
    <cfRule type="containsText" dxfId="670" priority="360" operator="containsText" text="PB">
      <formula>NOT(ISERROR(SEARCH("PB",Y114)))</formula>
    </cfRule>
  </conditionalFormatting>
  <conditionalFormatting sqref="X114:X116">
    <cfRule type="expression" priority="357" stopIfTrue="1">
      <formula>IF(OR(C114="aa",C114="cp",C114="f",C114="jc",C114="m"),TRUE,FALSE)</formula>
    </cfRule>
    <cfRule type="expression" dxfId="669" priority="358" stopIfTrue="1">
      <formula>IF(OR(E114-C114&gt;6/24,I114-G114&gt;6/24,M114-K114&gt;6/24),TRUE,FALSE)</formula>
    </cfRule>
    <cfRule type="expression" dxfId="668" priority="359" stopIfTrue="1">
      <formula>IF(OR(D114-B114&gt;6/24,H114-F114&gt;6/24,L114-J114&gt;6/24),TRUE,FALSE)</formula>
    </cfRule>
  </conditionalFormatting>
  <conditionalFormatting sqref="N114:N116">
    <cfRule type="cellIs" dxfId="667" priority="356" stopIfTrue="1" operator="greaterThan">
      <formula>10/24</formula>
    </cfRule>
  </conditionalFormatting>
  <conditionalFormatting sqref="O114:O116">
    <cfRule type="cellIs" dxfId="666" priority="355" operator="greaterThan">
      <formula>10/24</formula>
    </cfRule>
  </conditionalFormatting>
  <conditionalFormatting sqref="R118">
    <cfRule type="cellIs" dxfId="665" priority="354" operator="greaterThan">
      <formula>12/24</formula>
    </cfRule>
  </conditionalFormatting>
  <conditionalFormatting sqref="S118">
    <cfRule type="cellIs" dxfId="664" priority="353" stopIfTrue="1" operator="equal">
      <formula>"n"</formula>
    </cfRule>
  </conditionalFormatting>
  <conditionalFormatting sqref="U118 W118">
    <cfRule type="containsText" dxfId="663" priority="352" operator="containsText" text="PB">
      <formula>NOT(ISERROR(SEARCH("PB",U118)))</formula>
    </cfRule>
  </conditionalFormatting>
  <conditionalFormatting sqref="V118">
    <cfRule type="containsText" dxfId="662" priority="351" operator="containsText" text="PB">
      <formula>NOT(ISERROR(SEARCH("PB",V118)))</formula>
    </cfRule>
  </conditionalFormatting>
  <conditionalFormatting sqref="Y118">
    <cfRule type="containsText" dxfId="661" priority="350" operator="containsText" text="PB">
      <formula>NOT(ISERROR(SEARCH("PB",Y118)))</formula>
    </cfRule>
  </conditionalFormatting>
  <conditionalFormatting sqref="X118">
    <cfRule type="expression" priority="347" stopIfTrue="1">
      <formula>IF(OR(C118="aa",C118="cp",C118="f",C118="jc",C118="m"),TRUE,FALSE)</formula>
    </cfRule>
    <cfRule type="expression" dxfId="660" priority="348" stopIfTrue="1">
      <formula>IF(OR(E118-C118&gt;6/24,I118-G118&gt;6/24,M118-K118&gt;6/24),TRUE,FALSE)</formula>
    </cfRule>
    <cfRule type="expression" dxfId="659" priority="349" stopIfTrue="1">
      <formula>IF(OR(D118-B118&gt;6/24,H118-F118&gt;6/24,L118-J118&gt;6/24),TRUE,FALSE)</formula>
    </cfRule>
  </conditionalFormatting>
  <conditionalFormatting sqref="N118">
    <cfRule type="cellIs" dxfId="658" priority="346" stopIfTrue="1" operator="greaterThan">
      <formula>10/24</formula>
    </cfRule>
  </conditionalFormatting>
  <conditionalFormatting sqref="O118">
    <cfRule type="cellIs" dxfId="657" priority="345" operator="greaterThan">
      <formula>10/24</formula>
    </cfRule>
  </conditionalFormatting>
  <conditionalFormatting sqref="R119">
    <cfRule type="cellIs" dxfId="656" priority="344" operator="greaterThan">
      <formula>12/24</formula>
    </cfRule>
  </conditionalFormatting>
  <conditionalFormatting sqref="X119">
    <cfRule type="expression" priority="341" stopIfTrue="1">
      <formula>IF(OR(C119="aa",C119="cp",C119="f",C119="jc",C119="m"),TRUE,FALSE)</formula>
    </cfRule>
    <cfRule type="expression" dxfId="655" priority="342" stopIfTrue="1">
      <formula>IF(OR(E119-C119&gt;6/24,I119-G119&gt;6/24,M119-K119&gt;6/24),TRUE,FALSE)</formula>
    </cfRule>
    <cfRule type="expression" dxfId="654" priority="343" stopIfTrue="1">
      <formula>IF(OR(D119-B119&gt;6/24,H119-F119&gt;6/24,L119-J119&gt;6/24),TRUE,FALSE)</formula>
    </cfRule>
  </conditionalFormatting>
  <conditionalFormatting sqref="R105 R108">
    <cfRule type="cellIs" dxfId="653" priority="339" operator="greaterThan">
      <formula>12/24</formula>
    </cfRule>
  </conditionalFormatting>
  <conditionalFormatting sqref="O107:O108">
    <cfRule type="cellIs" dxfId="652" priority="340" operator="greaterThan">
      <formula>10/24</formula>
    </cfRule>
  </conditionalFormatting>
  <conditionalFormatting sqref="S105 S107:S108">
    <cfRule type="cellIs" dxfId="651" priority="338" stopIfTrue="1" operator="equal">
      <formula>"n"</formula>
    </cfRule>
  </conditionalFormatting>
  <conditionalFormatting sqref="U105 W105 W107:W108 U107:U108">
    <cfRule type="containsText" dxfId="650" priority="337" operator="containsText" text="PB">
      <formula>NOT(ISERROR(SEARCH("PB",U105)))</formula>
    </cfRule>
  </conditionalFormatting>
  <conditionalFormatting sqref="V105 V107:V108">
    <cfRule type="containsText" dxfId="649" priority="336" operator="containsText" text="PB">
      <formula>NOT(ISERROR(SEARCH("PB",V105)))</formula>
    </cfRule>
  </conditionalFormatting>
  <conditionalFormatting sqref="Y105 Y107:Y108">
    <cfRule type="containsText" dxfId="648" priority="335" operator="containsText" text="PB">
      <formula>NOT(ISERROR(SEARCH("PB",Y105)))</formula>
    </cfRule>
  </conditionalFormatting>
  <conditionalFormatting sqref="X105 X108">
    <cfRule type="expression" priority="332" stopIfTrue="1">
      <formula>IF(OR(C105="aa",C105="cp",C105="f",C105="jc",C105="m"),TRUE,FALSE)</formula>
    </cfRule>
    <cfRule type="expression" dxfId="647" priority="333" stopIfTrue="1">
      <formula>IF(OR(E105-C105&gt;6/24,I105-G105&gt;6/24,M105-K105&gt;6/24),TRUE,FALSE)</formula>
    </cfRule>
    <cfRule type="expression" dxfId="646" priority="334" stopIfTrue="1">
      <formula>IF(OR(D105-B105&gt;6/24,H105-F105&gt;6/24,L105-J105&gt;6/24),TRUE,FALSE)</formula>
    </cfRule>
  </conditionalFormatting>
  <conditionalFormatting sqref="N105">
    <cfRule type="cellIs" dxfId="645" priority="331" stopIfTrue="1" operator="greaterThan">
      <formula>10/24</formula>
    </cfRule>
  </conditionalFormatting>
  <conditionalFormatting sqref="N107">
    <cfRule type="cellIs" dxfId="644" priority="330" stopIfTrue="1" operator="greaterThan">
      <formula>10/24</formula>
    </cfRule>
  </conditionalFormatting>
  <conditionalFormatting sqref="N108">
    <cfRule type="cellIs" dxfId="643" priority="329" operator="greaterThan">
      <formula>10/24</formula>
    </cfRule>
  </conditionalFormatting>
  <conditionalFormatting sqref="O105">
    <cfRule type="cellIs" dxfId="642" priority="328" operator="greaterThan">
      <formula>10/24</formula>
    </cfRule>
  </conditionalFormatting>
  <conditionalFormatting sqref="R102:R104">
    <cfRule type="cellIs" dxfId="641" priority="327" operator="greaterThan">
      <formula>12/24</formula>
    </cfRule>
  </conditionalFormatting>
  <conditionalFormatting sqref="S102:S104">
    <cfRule type="cellIs" dxfId="640" priority="326" stopIfTrue="1" operator="equal">
      <formula>"n"</formula>
    </cfRule>
  </conditionalFormatting>
  <conditionalFormatting sqref="U102:U104 W102:W104">
    <cfRule type="containsText" dxfId="639" priority="325" operator="containsText" text="PB">
      <formula>NOT(ISERROR(SEARCH("PB",U102)))</formula>
    </cfRule>
  </conditionalFormatting>
  <conditionalFormatting sqref="V102:V104">
    <cfRule type="containsText" dxfId="638" priority="324" operator="containsText" text="PB">
      <formula>NOT(ISERROR(SEARCH("PB",V102)))</formula>
    </cfRule>
  </conditionalFormatting>
  <conditionalFormatting sqref="Y102:Y104">
    <cfRule type="containsText" dxfId="637" priority="323" operator="containsText" text="PB">
      <formula>NOT(ISERROR(SEARCH("PB",Y102)))</formula>
    </cfRule>
  </conditionalFormatting>
  <conditionalFormatting sqref="X102:X104">
    <cfRule type="expression" priority="320" stopIfTrue="1">
      <formula>IF(OR(C102="aa",C102="cp",C102="f",C102="jc",C102="m"),TRUE,FALSE)</formula>
    </cfRule>
    <cfRule type="expression" dxfId="636" priority="321" stopIfTrue="1">
      <formula>IF(OR(E102-C102&gt;6/24,I102-G102&gt;6/24,M102-K102&gt;6/24),TRUE,FALSE)</formula>
    </cfRule>
    <cfRule type="expression" dxfId="635" priority="322" stopIfTrue="1">
      <formula>IF(OR(D102-B102&gt;6/24,H102-F102&gt;6/24,L102-J102&gt;6/24),TRUE,FALSE)</formula>
    </cfRule>
  </conditionalFormatting>
  <conditionalFormatting sqref="N102:N104">
    <cfRule type="cellIs" dxfId="634" priority="319" stopIfTrue="1" operator="greaterThan">
      <formula>10/24</formula>
    </cfRule>
  </conditionalFormatting>
  <conditionalFormatting sqref="O102:O104">
    <cfRule type="cellIs" dxfId="633" priority="318" operator="greaterThan">
      <formula>10/24</formula>
    </cfRule>
  </conditionalFormatting>
  <conditionalFormatting sqref="R106">
    <cfRule type="cellIs" dxfId="632" priority="317" operator="greaterThan">
      <formula>12/24</formula>
    </cfRule>
  </conditionalFormatting>
  <conditionalFormatting sqref="S106">
    <cfRule type="cellIs" dxfId="631" priority="316" stopIfTrue="1" operator="equal">
      <formula>"n"</formula>
    </cfRule>
  </conditionalFormatting>
  <conditionalFormatting sqref="U106 W106">
    <cfRule type="containsText" dxfId="630" priority="315" operator="containsText" text="PB">
      <formula>NOT(ISERROR(SEARCH("PB",U106)))</formula>
    </cfRule>
  </conditionalFormatting>
  <conditionalFormatting sqref="V106">
    <cfRule type="containsText" dxfId="629" priority="314" operator="containsText" text="PB">
      <formula>NOT(ISERROR(SEARCH("PB",V106)))</formula>
    </cfRule>
  </conditionalFormatting>
  <conditionalFormatting sqref="Y106">
    <cfRule type="containsText" dxfId="628" priority="313" operator="containsText" text="PB">
      <formula>NOT(ISERROR(SEARCH("PB",Y106)))</formula>
    </cfRule>
  </conditionalFormatting>
  <conditionalFormatting sqref="X106">
    <cfRule type="expression" priority="310" stopIfTrue="1">
      <formula>IF(OR(C106="aa",C106="cp",C106="f",C106="jc",C106="m"),TRUE,FALSE)</formula>
    </cfRule>
    <cfRule type="expression" dxfId="627" priority="311" stopIfTrue="1">
      <formula>IF(OR(E106-C106&gt;6/24,I106-G106&gt;6/24,M106-K106&gt;6/24),TRUE,FALSE)</formula>
    </cfRule>
    <cfRule type="expression" dxfId="626" priority="312" stopIfTrue="1">
      <formula>IF(OR(D106-B106&gt;6/24,H106-F106&gt;6/24,L106-J106&gt;6/24),TRUE,FALSE)</formula>
    </cfRule>
  </conditionalFormatting>
  <conditionalFormatting sqref="N106">
    <cfRule type="cellIs" dxfId="625" priority="309" stopIfTrue="1" operator="greaterThan">
      <formula>10/24</formula>
    </cfRule>
  </conditionalFormatting>
  <conditionalFormatting sqref="O106">
    <cfRule type="cellIs" dxfId="624" priority="308" operator="greaterThan">
      <formula>10/24</formula>
    </cfRule>
  </conditionalFormatting>
  <conditionalFormatting sqref="R107">
    <cfRule type="cellIs" dxfId="623" priority="307" operator="greaterThan">
      <formula>12/24</formula>
    </cfRule>
  </conditionalFormatting>
  <conditionalFormatting sqref="X107">
    <cfRule type="expression" priority="304" stopIfTrue="1">
      <formula>IF(OR(C107="aa",C107="cp",C107="f",C107="jc",C107="m"),TRUE,FALSE)</formula>
    </cfRule>
    <cfRule type="expression" dxfId="622" priority="305" stopIfTrue="1">
      <formula>IF(OR(E107-C107&gt;6/24,I107-G107&gt;6/24,M107-K107&gt;6/24),TRUE,FALSE)</formula>
    </cfRule>
    <cfRule type="expression" dxfId="621" priority="306" stopIfTrue="1">
      <formula>IF(OR(D107-B107&gt;6/24,H107-F107&gt;6/24,L107-J107&gt;6/24),TRUE,FALSE)</formula>
    </cfRule>
  </conditionalFormatting>
  <conditionalFormatting sqref="R93 R96">
    <cfRule type="cellIs" dxfId="620" priority="302" operator="greaterThan">
      <formula>12/24</formula>
    </cfRule>
  </conditionalFormatting>
  <conditionalFormatting sqref="O95:O96">
    <cfRule type="cellIs" dxfId="619" priority="303" operator="greaterThan">
      <formula>10/24</formula>
    </cfRule>
  </conditionalFormatting>
  <conditionalFormatting sqref="S93 S95:S96">
    <cfRule type="cellIs" dxfId="618" priority="301" stopIfTrue="1" operator="equal">
      <formula>"n"</formula>
    </cfRule>
  </conditionalFormatting>
  <conditionalFormatting sqref="U93 W93 W95:W96 U95:U96">
    <cfRule type="containsText" dxfId="617" priority="300" operator="containsText" text="PB">
      <formula>NOT(ISERROR(SEARCH("PB",U93)))</formula>
    </cfRule>
  </conditionalFormatting>
  <conditionalFormatting sqref="V93 V95:V96">
    <cfRule type="containsText" dxfId="616" priority="299" operator="containsText" text="PB">
      <formula>NOT(ISERROR(SEARCH("PB",V93)))</formula>
    </cfRule>
  </conditionalFormatting>
  <conditionalFormatting sqref="Y93 Y95:Y96">
    <cfRule type="containsText" dxfId="615" priority="298" operator="containsText" text="PB">
      <formula>NOT(ISERROR(SEARCH("PB",Y93)))</formula>
    </cfRule>
  </conditionalFormatting>
  <conditionalFormatting sqref="X93 X96">
    <cfRule type="expression" priority="295" stopIfTrue="1">
      <formula>IF(OR(C93="aa",C93="cp",C93="f",C93="jc",C93="m"),TRUE,FALSE)</formula>
    </cfRule>
    <cfRule type="expression" dxfId="614" priority="296" stopIfTrue="1">
      <formula>IF(OR(E93-C93&gt;6/24,I93-G93&gt;6/24,M93-K93&gt;6/24),TRUE,FALSE)</formula>
    </cfRule>
    <cfRule type="expression" dxfId="613" priority="297" stopIfTrue="1">
      <formula>IF(OR(D93-B93&gt;6/24,H93-F93&gt;6/24,L93-J93&gt;6/24),TRUE,FALSE)</formula>
    </cfRule>
  </conditionalFormatting>
  <conditionalFormatting sqref="N93">
    <cfRule type="cellIs" dxfId="612" priority="294" stopIfTrue="1" operator="greaterThan">
      <formula>10/24</formula>
    </cfRule>
  </conditionalFormatting>
  <conditionalFormatting sqref="N95">
    <cfRule type="cellIs" dxfId="611" priority="293" stopIfTrue="1" operator="greaterThan">
      <formula>10/24</formula>
    </cfRule>
  </conditionalFormatting>
  <conditionalFormatting sqref="N96">
    <cfRule type="cellIs" dxfId="610" priority="292" operator="greaterThan">
      <formula>10/24</formula>
    </cfRule>
  </conditionalFormatting>
  <conditionalFormatting sqref="O93">
    <cfRule type="cellIs" dxfId="609" priority="291" operator="greaterThan">
      <formula>10/24</formula>
    </cfRule>
  </conditionalFormatting>
  <conditionalFormatting sqref="R90:R92">
    <cfRule type="cellIs" dxfId="608" priority="290" operator="greaterThan">
      <formula>12/24</formula>
    </cfRule>
  </conditionalFormatting>
  <conditionalFormatting sqref="S90:S92">
    <cfRule type="cellIs" dxfId="607" priority="289" stopIfTrue="1" operator="equal">
      <formula>"n"</formula>
    </cfRule>
  </conditionalFormatting>
  <conditionalFormatting sqref="U90:U92 W90:W92">
    <cfRule type="containsText" dxfId="606" priority="288" operator="containsText" text="PB">
      <formula>NOT(ISERROR(SEARCH("PB",U90)))</formula>
    </cfRule>
  </conditionalFormatting>
  <conditionalFormatting sqref="V90:V92">
    <cfRule type="containsText" dxfId="605" priority="287" operator="containsText" text="PB">
      <formula>NOT(ISERROR(SEARCH("PB",V90)))</formula>
    </cfRule>
  </conditionalFormatting>
  <conditionalFormatting sqref="Y90:Y92">
    <cfRule type="containsText" dxfId="604" priority="286" operator="containsText" text="PB">
      <formula>NOT(ISERROR(SEARCH("PB",Y90)))</formula>
    </cfRule>
  </conditionalFormatting>
  <conditionalFormatting sqref="X90:X92">
    <cfRule type="expression" priority="283" stopIfTrue="1">
      <formula>IF(OR(C90="aa",C90="cp",C90="f",C90="jc",C90="m"),TRUE,FALSE)</formula>
    </cfRule>
    <cfRule type="expression" dxfId="603" priority="284" stopIfTrue="1">
      <formula>IF(OR(E90-C90&gt;6/24,I90-G90&gt;6/24,M90-K90&gt;6/24),TRUE,FALSE)</formula>
    </cfRule>
    <cfRule type="expression" dxfId="602" priority="285" stopIfTrue="1">
      <formula>IF(OR(D90-B90&gt;6/24,H90-F90&gt;6/24,L90-J90&gt;6/24),TRUE,FALSE)</formula>
    </cfRule>
  </conditionalFormatting>
  <conditionalFormatting sqref="N90:N92">
    <cfRule type="cellIs" dxfId="601" priority="282" stopIfTrue="1" operator="greaterThan">
      <formula>10/24</formula>
    </cfRule>
  </conditionalFormatting>
  <conditionalFormatting sqref="O90:O92">
    <cfRule type="cellIs" dxfId="600" priority="281" operator="greaterThan">
      <formula>10/24</formula>
    </cfRule>
  </conditionalFormatting>
  <conditionalFormatting sqref="R94">
    <cfRule type="cellIs" dxfId="599" priority="280" operator="greaterThan">
      <formula>12/24</formula>
    </cfRule>
  </conditionalFormatting>
  <conditionalFormatting sqref="S94">
    <cfRule type="cellIs" dxfId="598" priority="279" stopIfTrue="1" operator="equal">
      <formula>"n"</formula>
    </cfRule>
  </conditionalFormatting>
  <conditionalFormatting sqref="U94 W94">
    <cfRule type="containsText" dxfId="597" priority="278" operator="containsText" text="PB">
      <formula>NOT(ISERROR(SEARCH("PB",U94)))</formula>
    </cfRule>
  </conditionalFormatting>
  <conditionalFormatting sqref="V94">
    <cfRule type="containsText" dxfId="596" priority="277" operator="containsText" text="PB">
      <formula>NOT(ISERROR(SEARCH("PB",V94)))</formula>
    </cfRule>
  </conditionalFormatting>
  <conditionalFormatting sqref="Y94">
    <cfRule type="containsText" dxfId="595" priority="276" operator="containsText" text="PB">
      <formula>NOT(ISERROR(SEARCH("PB",Y94)))</formula>
    </cfRule>
  </conditionalFormatting>
  <conditionalFormatting sqref="X94">
    <cfRule type="expression" priority="273" stopIfTrue="1">
      <formula>IF(OR(C94="aa",C94="cp",C94="f",C94="jc",C94="m"),TRUE,FALSE)</formula>
    </cfRule>
    <cfRule type="expression" dxfId="594" priority="274" stopIfTrue="1">
      <formula>IF(OR(E94-C94&gt;6/24,I94-G94&gt;6/24,M94-K94&gt;6/24),TRUE,FALSE)</formula>
    </cfRule>
    <cfRule type="expression" dxfId="593" priority="275" stopIfTrue="1">
      <formula>IF(OR(D94-B94&gt;6/24,H94-F94&gt;6/24,L94-J94&gt;6/24),TRUE,FALSE)</formula>
    </cfRule>
  </conditionalFormatting>
  <conditionalFormatting sqref="N94">
    <cfRule type="cellIs" dxfId="592" priority="272" stopIfTrue="1" operator="greaterThan">
      <formula>10/24</formula>
    </cfRule>
  </conditionalFormatting>
  <conditionalFormatting sqref="O94">
    <cfRule type="cellIs" dxfId="591" priority="271" operator="greaterThan">
      <formula>10/24</formula>
    </cfRule>
  </conditionalFormatting>
  <conditionalFormatting sqref="R95">
    <cfRule type="cellIs" dxfId="590" priority="270" operator="greaterThan">
      <formula>12/24</formula>
    </cfRule>
  </conditionalFormatting>
  <conditionalFormatting sqref="X95">
    <cfRule type="expression" priority="267" stopIfTrue="1">
      <formula>IF(OR(C95="aa",C95="cp",C95="f",C95="jc",C95="m"),TRUE,FALSE)</formula>
    </cfRule>
    <cfRule type="expression" dxfId="589" priority="268" stopIfTrue="1">
      <formula>IF(OR(E95-C95&gt;6/24,I95-G95&gt;6/24,M95-K95&gt;6/24),TRUE,FALSE)</formula>
    </cfRule>
    <cfRule type="expression" dxfId="588" priority="269" stopIfTrue="1">
      <formula>IF(OR(D95-B95&gt;6/24,H95-F95&gt;6/24,L95-J95&gt;6/24),TRUE,FALSE)</formula>
    </cfRule>
  </conditionalFormatting>
  <conditionalFormatting sqref="R81 R84">
    <cfRule type="cellIs" dxfId="587" priority="265" operator="greaterThan">
      <formula>12/24</formula>
    </cfRule>
  </conditionalFormatting>
  <conditionalFormatting sqref="O83:O84">
    <cfRule type="cellIs" dxfId="586" priority="266" operator="greaterThan">
      <formula>10/24</formula>
    </cfRule>
  </conditionalFormatting>
  <conditionalFormatting sqref="S81 S83:S84">
    <cfRule type="cellIs" dxfId="585" priority="264" stopIfTrue="1" operator="equal">
      <formula>"n"</formula>
    </cfRule>
  </conditionalFormatting>
  <conditionalFormatting sqref="U81 W81 W83:W84 U83:U84">
    <cfRule type="containsText" dxfId="584" priority="263" operator="containsText" text="PB">
      <formula>NOT(ISERROR(SEARCH("PB",U81)))</formula>
    </cfRule>
  </conditionalFormatting>
  <conditionalFormatting sqref="V81 V83:V84">
    <cfRule type="containsText" dxfId="583" priority="262" operator="containsText" text="PB">
      <formula>NOT(ISERROR(SEARCH("PB",V81)))</formula>
    </cfRule>
  </conditionalFormatting>
  <conditionalFormatting sqref="Y81 Y83:Y84">
    <cfRule type="containsText" dxfId="582" priority="261" operator="containsText" text="PB">
      <formula>NOT(ISERROR(SEARCH("PB",Y81)))</formula>
    </cfRule>
  </conditionalFormatting>
  <conditionalFormatting sqref="X81 X84">
    <cfRule type="expression" priority="258" stopIfTrue="1">
      <formula>IF(OR(C81="aa",C81="cp",C81="f",C81="jc",C81="m"),TRUE,FALSE)</formula>
    </cfRule>
    <cfRule type="expression" dxfId="581" priority="259" stopIfTrue="1">
      <formula>IF(OR(E81-C81&gt;6/24,I81-G81&gt;6/24,M81-K81&gt;6/24),TRUE,FALSE)</formula>
    </cfRule>
    <cfRule type="expression" dxfId="580" priority="260" stopIfTrue="1">
      <formula>IF(OR(D81-B81&gt;6/24,H81-F81&gt;6/24,L81-J81&gt;6/24),TRUE,FALSE)</formula>
    </cfRule>
  </conditionalFormatting>
  <conditionalFormatting sqref="N81">
    <cfRule type="cellIs" dxfId="579" priority="257" stopIfTrue="1" operator="greaterThan">
      <formula>10/24</formula>
    </cfRule>
  </conditionalFormatting>
  <conditionalFormatting sqref="N83">
    <cfRule type="cellIs" dxfId="578" priority="256" stopIfTrue="1" operator="greaterThan">
      <formula>10/24</formula>
    </cfRule>
  </conditionalFormatting>
  <conditionalFormatting sqref="N84">
    <cfRule type="cellIs" dxfId="577" priority="255" operator="greaterThan">
      <formula>10/24</formula>
    </cfRule>
  </conditionalFormatting>
  <conditionalFormatting sqref="O81">
    <cfRule type="cellIs" dxfId="576" priority="254" operator="greaterThan">
      <formula>10/24</formula>
    </cfRule>
  </conditionalFormatting>
  <conditionalFormatting sqref="R78:R80">
    <cfRule type="cellIs" dxfId="575" priority="253" operator="greaterThan">
      <formula>12/24</formula>
    </cfRule>
  </conditionalFormatting>
  <conditionalFormatting sqref="S78:S80">
    <cfRule type="cellIs" dxfId="574" priority="252" stopIfTrue="1" operator="equal">
      <formula>"n"</formula>
    </cfRule>
  </conditionalFormatting>
  <conditionalFormatting sqref="U78:U80 W78:W80">
    <cfRule type="containsText" dxfId="573" priority="251" operator="containsText" text="PB">
      <formula>NOT(ISERROR(SEARCH("PB",U78)))</formula>
    </cfRule>
  </conditionalFormatting>
  <conditionalFormatting sqref="V78:V80">
    <cfRule type="containsText" dxfId="572" priority="250" operator="containsText" text="PB">
      <formula>NOT(ISERROR(SEARCH("PB",V78)))</formula>
    </cfRule>
  </conditionalFormatting>
  <conditionalFormatting sqref="Y78:Y80">
    <cfRule type="containsText" dxfId="571" priority="249" operator="containsText" text="PB">
      <formula>NOT(ISERROR(SEARCH("PB",Y78)))</formula>
    </cfRule>
  </conditionalFormatting>
  <conditionalFormatting sqref="X78:X80">
    <cfRule type="expression" priority="246" stopIfTrue="1">
      <formula>IF(OR(C78="aa",C78="cp",C78="f",C78="jc",C78="m"),TRUE,FALSE)</formula>
    </cfRule>
    <cfRule type="expression" dxfId="570" priority="247" stopIfTrue="1">
      <formula>IF(OR(E78-C78&gt;6/24,I78-G78&gt;6/24,M78-K78&gt;6/24),TRUE,FALSE)</formula>
    </cfRule>
    <cfRule type="expression" dxfId="569" priority="248" stopIfTrue="1">
      <formula>IF(OR(D78-B78&gt;6/24,H78-F78&gt;6/24,L78-J78&gt;6/24),TRUE,FALSE)</formula>
    </cfRule>
  </conditionalFormatting>
  <conditionalFormatting sqref="N78:N80">
    <cfRule type="cellIs" dxfId="568" priority="245" stopIfTrue="1" operator="greaterThan">
      <formula>10/24</formula>
    </cfRule>
  </conditionalFormatting>
  <conditionalFormatting sqref="O78:O80">
    <cfRule type="cellIs" dxfId="567" priority="244" operator="greaterThan">
      <formula>10/24</formula>
    </cfRule>
  </conditionalFormatting>
  <conditionalFormatting sqref="R82">
    <cfRule type="cellIs" dxfId="566" priority="243" operator="greaterThan">
      <formula>12/24</formula>
    </cfRule>
  </conditionalFormatting>
  <conditionalFormatting sqref="S82">
    <cfRule type="cellIs" dxfId="565" priority="242" stopIfTrue="1" operator="equal">
      <formula>"n"</formula>
    </cfRule>
  </conditionalFormatting>
  <conditionalFormatting sqref="U82 W82">
    <cfRule type="containsText" dxfId="564" priority="241" operator="containsText" text="PB">
      <formula>NOT(ISERROR(SEARCH("PB",U82)))</formula>
    </cfRule>
  </conditionalFormatting>
  <conditionalFormatting sqref="V82">
    <cfRule type="containsText" dxfId="563" priority="240" operator="containsText" text="PB">
      <formula>NOT(ISERROR(SEARCH("PB",V82)))</formula>
    </cfRule>
  </conditionalFormatting>
  <conditionalFormatting sqref="Y82">
    <cfRule type="containsText" dxfId="562" priority="239" operator="containsText" text="PB">
      <formula>NOT(ISERROR(SEARCH("PB",Y82)))</formula>
    </cfRule>
  </conditionalFormatting>
  <conditionalFormatting sqref="X82">
    <cfRule type="expression" priority="236" stopIfTrue="1">
      <formula>IF(OR(C82="aa",C82="cp",C82="f",C82="jc",C82="m"),TRUE,FALSE)</formula>
    </cfRule>
    <cfRule type="expression" dxfId="561" priority="237" stopIfTrue="1">
      <formula>IF(OR(E82-C82&gt;6/24,I82-G82&gt;6/24,M82-K82&gt;6/24),TRUE,FALSE)</formula>
    </cfRule>
    <cfRule type="expression" dxfId="560" priority="238" stopIfTrue="1">
      <formula>IF(OR(D82-B82&gt;6/24,H82-F82&gt;6/24,L82-J82&gt;6/24),TRUE,FALSE)</formula>
    </cfRule>
  </conditionalFormatting>
  <conditionalFormatting sqref="N82">
    <cfRule type="cellIs" dxfId="559" priority="235" stopIfTrue="1" operator="greaterThan">
      <formula>10/24</formula>
    </cfRule>
  </conditionalFormatting>
  <conditionalFormatting sqref="O82">
    <cfRule type="cellIs" dxfId="558" priority="234" operator="greaterThan">
      <formula>10/24</formula>
    </cfRule>
  </conditionalFormatting>
  <conditionalFormatting sqref="R83">
    <cfRule type="cellIs" dxfId="557" priority="233" operator="greaterThan">
      <formula>12/24</formula>
    </cfRule>
  </conditionalFormatting>
  <conditionalFormatting sqref="X83">
    <cfRule type="expression" priority="230" stopIfTrue="1">
      <formula>IF(OR(C83="aa",C83="cp",C83="f",C83="jc",C83="m"),TRUE,FALSE)</formula>
    </cfRule>
    <cfRule type="expression" dxfId="556" priority="231" stopIfTrue="1">
      <formula>IF(OR(E83-C83&gt;6/24,I83-G83&gt;6/24,M83-K83&gt;6/24),TRUE,FALSE)</formula>
    </cfRule>
    <cfRule type="expression" dxfId="555" priority="232" stopIfTrue="1">
      <formula>IF(OR(D83-B83&gt;6/24,H83-F83&gt;6/24,L83-J83&gt;6/24),TRUE,FALSE)</formula>
    </cfRule>
  </conditionalFormatting>
  <conditionalFormatting sqref="R69 R72">
    <cfRule type="cellIs" dxfId="554" priority="228" operator="greaterThan">
      <formula>12/24</formula>
    </cfRule>
  </conditionalFormatting>
  <conditionalFormatting sqref="O71:O72">
    <cfRule type="cellIs" dxfId="553" priority="229" operator="greaterThan">
      <formula>10/24</formula>
    </cfRule>
  </conditionalFormatting>
  <conditionalFormatting sqref="S69 S71:S72">
    <cfRule type="cellIs" dxfId="552" priority="227" stopIfTrue="1" operator="equal">
      <formula>"n"</formula>
    </cfRule>
  </conditionalFormatting>
  <conditionalFormatting sqref="U69 W69 W71:W72 U71:U72">
    <cfRule type="containsText" dxfId="551" priority="226" operator="containsText" text="PB">
      <formula>NOT(ISERROR(SEARCH("PB",U69)))</formula>
    </cfRule>
  </conditionalFormatting>
  <conditionalFormatting sqref="V69 V71:V72">
    <cfRule type="containsText" dxfId="550" priority="225" operator="containsText" text="PB">
      <formula>NOT(ISERROR(SEARCH("PB",V69)))</formula>
    </cfRule>
  </conditionalFormatting>
  <conditionalFormatting sqref="Y69 Y71:Y72">
    <cfRule type="containsText" dxfId="549" priority="224" operator="containsText" text="PB">
      <formula>NOT(ISERROR(SEARCH("PB",Y69)))</formula>
    </cfRule>
  </conditionalFormatting>
  <conditionalFormatting sqref="X69 X72">
    <cfRule type="expression" priority="221" stopIfTrue="1">
      <formula>IF(OR(C69="aa",C69="cp",C69="f",C69="jc",C69="m"),TRUE,FALSE)</formula>
    </cfRule>
    <cfRule type="expression" dxfId="548" priority="222" stopIfTrue="1">
      <formula>IF(OR(E69-C69&gt;6/24,I69-G69&gt;6/24,M69-K69&gt;6/24),TRUE,FALSE)</formula>
    </cfRule>
    <cfRule type="expression" dxfId="547" priority="223" stopIfTrue="1">
      <formula>IF(OR(D69-B69&gt;6/24,H69-F69&gt;6/24,L69-J69&gt;6/24),TRUE,FALSE)</formula>
    </cfRule>
  </conditionalFormatting>
  <conditionalFormatting sqref="N69">
    <cfRule type="cellIs" dxfId="546" priority="220" stopIfTrue="1" operator="greaterThan">
      <formula>10/24</formula>
    </cfRule>
  </conditionalFormatting>
  <conditionalFormatting sqref="N71">
    <cfRule type="cellIs" dxfId="545" priority="219" stopIfTrue="1" operator="greaterThan">
      <formula>10/24</formula>
    </cfRule>
  </conditionalFormatting>
  <conditionalFormatting sqref="N72">
    <cfRule type="cellIs" dxfId="544" priority="218" operator="greaterThan">
      <formula>10/24</formula>
    </cfRule>
  </conditionalFormatting>
  <conditionalFormatting sqref="O69">
    <cfRule type="cellIs" dxfId="543" priority="217" operator="greaterThan">
      <formula>10/24</formula>
    </cfRule>
  </conditionalFormatting>
  <conditionalFormatting sqref="R66:R68">
    <cfRule type="cellIs" dxfId="542" priority="216" operator="greaterThan">
      <formula>12/24</formula>
    </cfRule>
  </conditionalFormatting>
  <conditionalFormatting sqref="S66:S68">
    <cfRule type="cellIs" dxfId="541" priority="215" stopIfTrue="1" operator="equal">
      <formula>"n"</formula>
    </cfRule>
  </conditionalFormatting>
  <conditionalFormatting sqref="U66:U68 W66:W68">
    <cfRule type="containsText" dxfId="540" priority="214" operator="containsText" text="PB">
      <formula>NOT(ISERROR(SEARCH("PB",U66)))</formula>
    </cfRule>
  </conditionalFormatting>
  <conditionalFormatting sqref="V66:V68">
    <cfRule type="containsText" dxfId="539" priority="213" operator="containsText" text="PB">
      <formula>NOT(ISERROR(SEARCH("PB",V66)))</formula>
    </cfRule>
  </conditionalFormatting>
  <conditionalFormatting sqref="Y66:Y68">
    <cfRule type="containsText" dxfId="538" priority="212" operator="containsText" text="PB">
      <formula>NOT(ISERROR(SEARCH("PB",Y66)))</formula>
    </cfRule>
  </conditionalFormatting>
  <conditionalFormatting sqref="X66:X68">
    <cfRule type="expression" priority="209" stopIfTrue="1">
      <formula>IF(OR(C66="aa",C66="cp",C66="f",C66="jc",C66="m"),TRUE,FALSE)</formula>
    </cfRule>
    <cfRule type="expression" dxfId="537" priority="210" stopIfTrue="1">
      <formula>IF(OR(E66-C66&gt;6/24,I66-G66&gt;6/24,M66-K66&gt;6/24),TRUE,FALSE)</formula>
    </cfRule>
    <cfRule type="expression" dxfId="536" priority="211" stopIfTrue="1">
      <formula>IF(OR(D66-B66&gt;6/24,H66-F66&gt;6/24,L66-J66&gt;6/24),TRUE,FALSE)</formula>
    </cfRule>
  </conditionalFormatting>
  <conditionalFormatting sqref="N66:N68">
    <cfRule type="cellIs" dxfId="535" priority="208" stopIfTrue="1" operator="greaterThan">
      <formula>10/24</formula>
    </cfRule>
  </conditionalFormatting>
  <conditionalFormatting sqref="O66:O68">
    <cfRule type="cellIs" dxfId="534" priority="207" operator="greaterThan">
      <formula>10/24</formula>
    </cfRule>
  </conditionalFormatting>
  <conditionalFormatting sqref="R70">
    <cfRule type="cellIs" dxfId="533" priority="206" operator="greaterThan">
      <formula>12/24</formula>
    </cfRule>
  </conditionalFormatting>
  <conditionalFormatting sqref="S70">
    <cfRule type="cellIs" dxfId="532" priority="205" stopIfTrue="1" operator="equal">
      <formula>"n"</formula>
    </cfRule>
  </conditionalFormatting>
  <conditionalFormatting sqref="U70 W70">
    <cfRule type="containsText" dxfId="531" priority="204" operator="containsText" text="PB">
      <formula>NOT(ISERROR(SEARCH("PB",U70)))</formula>
    </cfRule>
  </conditionalFormatting>
  <conditionalFormatting sqref="V70">
    <cfRule type="containsText" dxfId="530" priority="203" operator="containsText" text="PB">
      <formula>NOT(ISERROR(SEARCH("PB",V70)))</formula>
    </cfRule>
  </conditionalFormatting>
  <conditionalFormatting sqref="Y70">
    <cfRule type="containsText" dxfId="529" priority="202" operator="containsText" text="PB">
      <formula>NOT(ISERROR(SEARCH("PB",Y70)))</formula>
    </cfRule>
  </conditionalFormatting>
  <conditionalFormatting sqref="X70">
    <cfRule type="expression" priority="199" stopIfTrue="1">
      <formula>IF(OR(C70="aa",C70="cp",C70="f",C70="jc",C70="m"),TRUE,FALSE)</formula>
    </cfRule>
    <cfRule type="expression" dxfId="528" priority="200" stopIfTrue="1">
      <formula>IF(OR(E70-C70&gt;6/24,I70-G70&gt;6/24,M70-K70&gt;6/24),TRUE,FALSE)</formula>
    </cfRule>
    <cfRule type="expression" dxfId="527" priority="201" stopIfTrue="1">
      <formula>IF(OR(D70-B70&gt;6/24,H70-F70&gt;6/24,L70-J70&gt;6/24),TRUE,FALSE)</formula>
    </cfRule>
  </conditionalFormatting>
  <conditionalFormatting sqref="N70">
    <cfRule type="cellIs" dxfId="526" priority="198" stopIfTrue="1" operator="greaterThan">
      <formula>10/24</formula>
    </cfRule>
  </conditionalFormatting>
  <conditionalFormatting sqref="O70">
    <cfRule type="cellIs" dxfId="525" priority="197" operator="greaterThan">
      <formula>10/24</formula>
    </cfRule>
  </conditionalFormatting>
  <conditionalFormatting sqref="R71">
    <cfRule type="cellIs" dxfId="524" priority="196" operator="greaterThan">
      <formula>12/24</formula>
    </cfRule>
  </conditionalFormatting>
  <conditionalFormatting sqref="X71">
    <cfRule type="expression" priority="193" stopIfTrue="1">
      <formula>IF(OR(C71="aa",C71="cp",C71="f",C71="jc",C71="m"),TRUE,FALSE)</formula>
    </cfRule>
    <cfRule type="expression" dxfId="523" priority="194" stopIfTrue="1">
      <formula>IF(OR(E71-C71&gt;6/24,I71-G71&gt;6/24,M71-K71&gt;6/24),TRUE,FALSE)</formula>
    </cfRule>
    <cfRule type="expression" dxfId="522" priority="195" stopIfTrue="1">
      <formula>IF(OR(D71-B71&gt;6/24,H71-F71&gt;6/24,L71-J71&gt;6/24),TRUE,FALSE)</formula>
    </cfRule>
  </conditionalFormatting>
  <conditionalFormatting sqref="R57 R60">
    <cfRule type="cellIs" dxfId="521" priority="191" operator="greaterThan">
      <formula>12/24</formula>
    </cfRule>
  </conditionalFormatting>
  <conditionalFormatting sqref="O59:O60">
    <cfRule type="cellIs" dxfId="520" priority="192" operator="greaterThan">
      <formula>10/24</formula>
    </cfRule>
  </conditionalFormatting>
  <conditionalFormatting sqref="S57 S59:S60">
    <cfRule type="cellIs" dxfId="519" priority="190" stopIfTrue="1" operator="equal">
      <formula>"n"</formula>
    </cfRule>
  </conditionalFormatting>
  <conditionalFormatting sqref="U57 W57 W59:W60 U59:U60">
    <cfRule type="containsText" dxfId="518" priority="189" operator="containsText" text="PB">
      <formula>NOT(ISERROR(SEARCH("PB",U57)))</formula>
    </cfRule>
  </conditionalFormatting>
  <conditionalFormatting sqref="V57 V59:V60">
    <cfRule type="containsText" dxfId="517" priority="188" operator="containsText" text="PB">
      <formula>NOT(ISERROR(SEARCH("PB",V57)))</formula>
    </cfRule>
  </conditionalFormatting>
  <conditionalFormatting sqref="Y57 Y59:Y60">
    <cfRule type="containsText" dxfId="516" priority="187" operator="containsText" text="PB">
      <formula>NOT(ISERROR(SEARCH("PB",Y57)))</formula>
    </cfRule>
  </conditionalFormatting>
  <conditionalFormatting sqref="X57 X60">
    <cfRule type="expression" priority="184" stopIfTrue="1">
      <formula>IF(OR(C57="aa",C57="cp",C57="f",C57="jc",C57="m"),TRUE,FALSE)</formula>
    </cfRule>
    <cfRule type="expression" dxfId="515" priority="185" stopIfTrue="1">
      <formula>IF(OR(E57-C57&gt;6/24,I57-G57&gt;6/24,M57-K57&gt;6/24),TRUE,FALSE)</formula>
    </cfRule>
    <cfRule type="expression" dxfId="514" priority="186" stopIfTrue="1">
      <formula>IF(OR(D57-B57&gt;6/24,H57-F57&gt;6/24,L57-J57&gt;6/24),TRUE,FALSE)</formula>
    </cfRule>
  </conditionalFormatting>
  <conditionalFormatting sqref="N57">
    <cfRule type="cellIs" dxfId="513" priority="183" stopIfTrue="1" operator="greaterThan">
      <formula>10/24</formula>
    </cfRule>
  </conditionalFormatting>
  <conditionalFormatting sqref="N59">
    <cfRule type="cellIs" dxfId="512" priority="182" stopIfTrue="1" operator="greaterThan">
      <formula>10/24</formula>
    </cfRule>
  </conditionalFormatting>
  <conditionalFormatting sqref="N60">
    <cfRule type="cellIs" dxfId="511" priority="181" operator="greaterThan">
      <formula>10/24</formula>
    </cfRule>
  </conditionalFormatting>
  <conditionalFormatting sqref="O57">
    <cfRule type="cellIs" dxfId="510" priority="180" operator="greaterThan">
      <formula>10/24</formula>
    </cfRule>
  </conditionalFormatting>
  <conditionalFormatting sqref="R54:R56">
    <cfRule type="cellIs" dxfId="509" priority="179" operator="greaterThan">
      <formula>12/24</formula>
    </cfRule>
  </conditionalFormatting>
  <conditionalFormatting sqref="S54:S56">
    <cfRule type="cellIs" dxfId="508" priority="178" stopIfTrue="1" operator="equal">
      <formula>"n"</formula>
    </cfRule>
  </conditionalFormatting>
  <conditionalFormatting sqref="U54:U56 W54:W56">
    <cfRule type="containsText" dxfId="507" priority="177" operator="containsText" text="PB">
      <formula>NOT(ISERROR(SEARCH("PB",U54)))</formula>
    </cfRule>
  </conditionalFormatting>
  <conditionalFormatting sqref="V54:V56">
    <cfRule type="containsText" dxfId="506" priority="176" operator="containsText" text="PB">
      <formula>NOT(ISERROR(SEARCH("PB",V54)))</formula>
    </cfRule>
  </conditionalFormatting>
  <conditionalFormatting sqref="Y54:Y56">
    <cfRule type="containsText" dxfId="505" priority="175" operator="containsText" text="PB">
      <formula>NOT(ISERROR(SEARCH("PB",Y54)))</formula>
    </cfRule>
  </conditionalFormatting>
  <conditionalFormatting sqref="X54:X56">
    <cfRule type="expression" priority="172" stopIfTrue="1">
      <formula>IF(OR(C54="aa",C54="cp",C54="f",C54="jc",C54="m"),TRUE,FALSE)</formula>
    </cfRule>
    <cfRule type="expression" dxfId="504" priority="173" stopIfTrue="1">
      <formula>IF(OR(E54-C54&gt;6/24,I54-G54&gt;6/24,M54-K54&gt;6/24),TRUE,FALSE)</formula>
    </cfRule>
    <cfRule type="expression" dxfId="503" priority="174" stopIfTrue="1">
      <formula>IF(OR(D54-B54&gt;6/24,H54-F54&gt;6/24,L54-J54&gt;6/24),TRUE,FALSE)</formula>
    </cfRule>
  </conditionalFormatting>
  <conditionalFormatting sqref="N54:N56">
    <cfRule type="cellIs" dxfId="502" priority="171" stopIfTrue="1" operator="greaterThan">
      <formula>10/24</formula>
    </cfRule>
  </conditionalFormatting>
  <conditionalFormatting sqref="O54:O56">
    <cfRule type="cellIs" dxfId="501" priority="170" operator="greaterThan">
      <formula>10/24</formula>
    </cfRule>
  </conditionalFormatting>
  <conditionalFormatting sqref="R58">
    <cfRule type="cellIs" dxfId="500" priority="169" operator="greaterThan">
      <formula>12/24</formula>
    </cfRule>
  </conditionalFormatting>
  <conditionalFormatting sqref="S58">
    <cfRule type="cellIs" dxfId="499" priority="168" stopIfTrue="1" operator="equal">
      <formula>"n"</formula>
    </cfRule>
  </conditionalFormatting>
  <conditionalFormatting sqref="U58 W58">
    <cfRule type="containsText" dxfId="498" priority="167" operator="containsText" text="PB">
      <formula>NOT(ISERROR(SEARCH("PB",U58)))</formula>
    </cfRule>
  </conditionalFormatting>
  <conditionalFormatting sqref="V58">
    <cfRule type="containsText" dxfId="497" priority="166" operator="containsText" text="PB">
      <formula>NOT(ISERROR(SEARCH("PB",V58)))</formula>
    </cfRule>
  </conditionalFormatting>
  <conditionalFormatting sqref="Y58">
    <cfRule type="containsText" dxfId="496" priority="165" operator="containsText" text="PB">
      <formula>NOT(ISERROR(SEARCH("PB",Y58)))</formula>
    </cfRule>
  </conditionalFormatting>
  <conditionalFormatting sqref="X58">
    <cfRule type="expression" priority="162" stopIfTrue="1">
      <formula>IF(OR(C58="aa",C58="cp",C58="f",C58="jc",C58="m"),TRUE,FALSE)</formula>
    </cfRule>
    <cfRule type="expression" dxfId="495" priority="163" stopIfTrue="1">
      <formula>IF(OR(E58-C58&gt;6/24,I58-G58&gt;6/24,M58-K58&gt;6/24),TRUE,FALSE)</formula>
    </cfRule>
    <cfRule type="expression" dxfId="494" priority="164" stopIfTrue="1">
      <formula>IF(OR(D58-B58&gt;6/24,H58-F58&gt;6/24,L58-J58&gt;6/24),TRUE,FALSE)</formula>
    </cfRule>
  </conditionalFormatting>
  <conditionalFormatting sqref="N58">
    <cfRule type="cellIs" dxfId="493" priority="161" stopIfTrue="1" operator="greaterThan">
      <formula>10/24</formula>
    </cfRule>
  </conditionalFormatting>
  <conditionalFormatting sqref="O58">
    <cfRule type="cellIs" dxfId="492" priority="160" operator="greaterThan">
      <formula>10/24</formula>
    </cfRule>
  </conditionalFormatting>
  <conditionalFormatting sqref="R59">
    <cfRule type="cellIs" dxfId="491" priority="159" operator="greaterThan">
      <formula>12/24</formula>
    </cfRule>
  </conditionalFormatting>
  <conditionalFormatting sqref="X59">
    <cfRule type="expression" priority="156" stopIfTrue="1">
      <formula>IF(OR(C59="aa",C59="cp",C59="f",C59="jc",C59="m"),TRUE,FALSE)</formula>
    </cfRule>
    <cfRule type="expression" dxfId="490" priority="157" stopIfTrue="1">
      <formula>IF(OR(E59-C59&gt;6/24,I59-G59&gt;6/24,M59-K59&gt;6/24),TRUE,FALSE)</formula>
    </cfRule>
    <cfRule type="expression" dxfId="489" priority="158" stopIfTrue="1">
      <formula>IF(OR(D59-B59&gt;6/24,H59-F59&gt;6/24,L59-J59&gt;6/24),TRUE,FALSE)</formula>
    </cfRule>
  </conditionalFormatting>
  <conditionalFormatting sqref="R45 R48">
    <cfRule type="cellIs" dxfId="488" priority="154" operator="greaterThan">
      <formula>12/24</formula>
    </cfRule>
  </conditionalFormatting>
  <conditionalFormatting sqref="O47:O48">
    <cfRule type="cellIs" dxfId="487" priority="155" operator="greaterThan">
      <formula>10/24</formula>
    </cfRule>
  </conditionalFormatting>
  <conditionalFormatting sqref="S45 S47:S48">
    <cfRule type="cellIs" dxfId="486" priority="153" stopIfTrue="1" operator="equal">
      <formula>"n"</formula>
    </cfRule>
  </conditionalFormatting>
  <conditionalFormatting sqref="U45 W45 W47:W48 U47:U48">
    <cfRule type="containsText" dxfId="485" priority="152" operator="containsText" text="PB">
      <formula>NOT(ISERROR(SEARCH("PB",U45)))</formula>
    </cfRule>
  </conditionalFormatting>
  <conditionalFormatting sqref="V45 V47:V48">
    <cfRule type="containsText" dxfId="484" priority="151" operator="containsText" text="PB">
      <formula>NOT(ISERROR(SEARCH("PB",V45)))</formula>
    </cfRule>
  </conditionalFormatting>
  <conditionalFormatting sqref="Y45 Y47:Y48">
    <cfRule type="containsText" dxfId="483" priority="150" operator="containsText" text="PB">
      <formula>NOT(ISERROR(SEARCH("PB",Y45)))</formula>
    </cfRule>
  </conditionalFormatting>
  <conditionalFormatting sqref="X45 X48">
    <cfRule type="expression" priority="147" stopIfTrue="1">
      <formula>IF(OR(C45="aa",C45="cp",C45="f",C45="jc",C45="m"),TRUE,FALSE)</formula>
    </cfRule>
    <cfRule type="expression" dxfId="482" priority="148" stopIfTrue="1">
      <formula>IF(OR(E45-C45&gt;6/24,I45-G45&gt;6/24,M45-K45&gt;6/24),TRUE,FALSE)</formula>
    </cfRule>
    <cfRule type="expression" dxfId="481" priority="149" stopIfTrue="1">
      <formula>IF(OR(D45-B45&gt;6/24,H45-F45&gt;6/24,L45-J45&gt;6/24),TRUE,FALSE)</formula>
    </cfRule>
  </conditionalFormatting>
  <conditionalFormatting sqref="N45">
    <cfRule type="cellIs" dxfId="480" priority="146" stopIfTrue="1" operator="greaterThan">
      <formula>10/24</formula>
    </cfRule>
  </conditionalFormatting>
  <conditionalFormatting sqref="N47">
    <cfRule type="cellIs" dxfId="479" priority="145" stopIfTrue="1" operator="greaterThan">
      <formula>10/24</formula>
    </cfRule>
  </conditionalFormatting>
  <conditionalFormatting sqref="N48">
    <cfRule type="cellIs" dxfId="478" priority="144" operator="greaterThan">
      <formula>10/24</formula>
    </cfRule>
  </conditionalFormatting>
  <conditionalFormatting sqref="O45">
    <cfRule type="cellIs" dxfId="477" priority="143" operator="greaterThan">
      <formula>10/24</formula>
    </cfRule>
  </conditionalFormatting>
  <conditionalFormatting sqref="R42:R44">
    <cfRule type="cellIs" dxfId="476" priority="142" operator="greaterThan">
      <formula>12/24</formula>
    </cfRule>
  </conditionalFormatting>
  <conditionalFormatting sqref="S42:S44">
    <cfRule type="cellIs" dxfId="475" priority="141" stopIfTrue="1" operator="equal">
      <formula>"n"</formula>
    </cfRule>
  </conditionalFormatting>
  <conditionalFormatting sqref="U42:U44 W42:W44">
    <cfRule type="containsText" dxfId="474" priority="140" operator="containsText" text="PB">
      <formula>NOT(ISERROR(SEARCH("PB",U42)))</formula>
    </cfRule>
  </conditionalFormatting>
  <conditionalFormatting sqref="V42:V44">
    <cfRule type="containsText" dxfId="473" priority="139" operator="containsText" text="PB">
      <formula>NOT(ISERROR(SEARCH("PB",V42)))</formula>
    </cfRule>
  </conditionalFormatting>
  <conditionalFormatting sqref="Y42:Y44">
    <cfRule type="containsText" dxfId="472" priority="138" operator="containsText" text="PB">
      <formula>NOT(ISERROR(SEARCH("PB",Y42)))</formula>
    </cfRule>
  </conditionalFormatting>
  <conditionalFormatting sqref="X42:X44">
    <cfRule type="expression" priority="135" stopIfTrue="1">
      <formula>IF(OR(C42="aa",C42="cp",C42="f",C42="jc",C42="m"),TRUE,FALSE)</formula>
    </cfRule>
    <cfRule type="expression" dxfId="471" priority="136" stopIfTrue="1">
      <formula>IF(OR(E42-C42&gt;6/24,I42-G42&gt;6/24,M42-K42&gt;6/24),TRUE,FALSE)</formula>
    </cfRule>
    <cfRule type="expression" dxfId="470" priority="137" stopIfTrue="1">
      <formula>IF(OR(D42-B42&gt;6/24,H42-F42&gt;6/24,L42-J42&gt;6/24),TRUE,FALSE)</formula>
    </cfRule>
  </conditionalFormatting>
  <conditionalFormatting sqref="N42:N44">
    <cfRule type="cellIs" dxfId="469" priority="134" stopIfTrue="1" operator="greaterThan">
      <formula>10/24</formula>
    </cfRule>
  </conditionalFormatting>
  <conditionalFormatting sqref="O42:O44">
    <cfRule type="cellIs" dxfId="468" priority="133" operator="greaterThan">
      <formula>10/24</formula>
    </cfRule>
  </conditionalFormatting>
  <conditionalFormatting sqref="R46">
    <cfRule type="cellIs" dxfId="467" priority="132" operator="greaterThan">
      <formula>12/24</formula>
    </cfRule>
  </conditionalFormatting>
  <conditionalFormatting sqref="S46">
    <cfRule type="cellIs" dxfId="466" priority="131" stopIfTrue="1" operator="equal">
      <formula>"n"</formula>
    </cfRule>
  </conditionalFormatting>
  <conditionalFormatting sqref="U46 W46">
    <cfRule type="containsText" dxfId="465" priority="130" operator="containsText" text="PB">
      <formula>NOT(ISERROR(SEARCH("PB",U46)))</formula>
    </cfRule>
  </conditionalFormatting>
  <conditionalFormatting sqref="V46">
    <cfRule type="containsText" dxfId="464" priority="129" operator="containsText" text="PB">
      <formula>NOT(ISERROR(SEARCH("PB",V46)))</formula>
    </cfRule>
  </conditionalFormatting>
  <conditionalFormatting sqref="Y46">
    <cfRule type="containsText" dxfId="463" priority="128" operator="containsText" text="PB">
      <formula>NOT(ISERROR(SEARCH("PB",Y46)))</formula>
    </cfRule>
  </conditionalFormatting>
  <conditionalFormatting sqref="X46">
    <cfRule type="expression" priority="125" stopIfTrue="1">
      <formula>IF(OR(C46="aa",C46="cp",C46="f",C46="jc",C46="m"),TRUE,FALSE)</formula>
    </cfRule>
    <cfRule type="expression" dxfId="462" priority="126" stopIfTrue="1">
      <formula>IF(OR(E46-C46&gt;6/24,I46-G46&gt;6/24,M46-K46&gt;6/24),TRUE,FALSE)</formula>
    </cfRule>
    <cfRule type="expression" dxfId="461" priority="127" stopIfTrue="1">
      <formula>IF(OR(D46-B46&gt;6/24,H46-F46&gt;6/24,L46-J46&gt;6/24),TRUE,FALSE)</formula>
    </cfRule>
  </conditionalFormatting>
  <conditionalFormatting sqref="N46">
    <cfRule type="cellIs" dxfId="460" priority="124" stopIfTrue="1" operator="greaterThan">
      <formula>10/24</formula>
    </cfRule>
  </conditionalFormatting>
  <conditionalFormatting sqref="O46">
    <cfRule type="cellIs" dxfId="459" priority="123" operator="greaterThan">
      <formula>10/24</formula>
    </cfRule>
  </conditionalFormatting>
  <conditionalFormatting sqref="R47">
    <cfRule type="cellIs" dxfId="458" priority="122" operator="greaterThan">
      <formula>12/24</formula>
    </cfRule>
  </conditionalFormatting>
  <conditionalFormatting sqref="X47">
    <cfRule type="expression" priority="119" stopIfTrue="1">
      <formula>IF(OR(C47="aa",C47="cp",C47="f",C47="jc",C47="m"),TRUE,FALSE)</formula>
    </cfRule>
    <cfRule type="expression" dxfId="457" priority="120" stopIfTrue="1">
      <formula>IF(OR(E47-C47&gt;6/24,I47-G47&gt;6/24,M47-K47&gt;6/24),TRUE,FALSE)</formula>
    </cfRule>
    <cfRule type="expression" dxfId="456" priority="121" stopIfTrue="1">
      <formula>IF(OR(D47-B47&gt;6/24,H47-F47&gt;6/24,L47-J47&gt;6/24),TRUE,FALSE)</formula>
    </cfRule>
  </conditionalFormatting>
  <conditionalFormatting sqref="R33 R36">
    <cfRule type="cellIs" dxfId="455" priority="117" operator="greaterThan">
      <formula>12/24</formula>
    </cfRule>
  </conditionalFormatting>
  <conditionalFormatting sqref="O35:O36">
    <cfRule type="cellIs" dxfId="454" priority="118" operator="greaterThan">
      <formula>10/24</formula>
    </cfRule>
  </conditionalFormatting>
  <conditionalFormatting sqref="S33 S35:S36">
    <cfRule type="cellIs" dxfId="453" priority="116" stopIfTrue="1" operator="equal">
      <formula>"n"</formula>
    </cfRule>
  </conditionalFormatting>
  <conditionalFormatting sqref="U33 W33 W35:W36 U35:U36">
    <cfRule type="containsText" dxfId="452" priority="115" operator="containsText" text="PB">
      <formula>NOT(ISERROR(SEARCH("PB",U33)))</formula>
    </cfRule>
  </conditionalFormatting>
  <conditionalFormatting sqref="V33 V35:V36">
    <cfRule type="containsText" dxfId="451" priority="114" operator="containsText" text="PB">
      <formula>NOT(ISERROR(SEARCH("PB",V33)))</formula>
    </cfRule>
  </conditionalFormatting>
  <conditionalFormatting sqref="Y33 Y35:Y36">
    <cfRule type="containsText" dxfId="450" priority="113" operator="containsText" text="PB">
      <formula>NOT(ISERROR(SEARCH("PB",Y33)))</formula>
    </cfRule>
  </conditionalFormatting>
  <conditionalFormatting sqref="X33 X36">
    <cfRule type="expression" priority="110" stopIfTrue="1">
      <formula>IF(OR(C33="aa",C33="cp",C33="f",C33="jc",C33="m"),TRUE,FALSE)</formula>
    </cfRule>
    <cfRule type="expression" dxfId="449" priority="111" stopIfTrue="1">
      <formula>IF(OR(E33-C33&gt;6/24,I33-G33&gt;6/24,M33-K33&gt;6/24),TRUE,FALSE)</formula>
    </cfRule>
    <cfRule type="expression" dxfId="448" priority="112" stopIfTrue="1">
      <formula>IF(OR(D33-B33&gt;6/24,H33-F33&gt;6/24,L33-J33&gt;6/24),TRUE,FALSE)</formula>
    </cfRule>
  </conditionalFormatting>
  <conditionalFormatting sqref="N33">
    <cfRule type="cellIs" dxfId="447" priority="109" stopIfTrue="1" operator="greaterThan">
      <formula>10/24</formula>
    </cfRule>
  </conditionalFormatting>
  <conditionalFormatting sqref="N35">
    <cfRule type="cellIs" dxfId="446" priority="108" stopIfTrue="1" operator="greaterThan">
      <formula>10/24</formula>
    </cfRule>
  </conditionalFormatting>
  <conditionalFormatting sqref="N36">
    <cfRule type="cellIs" dxfId="445" priority="107" operator="greaterThan">
      <formula>10/24</formula>
    </cfRule>
  </conditionalFormatting>
  <conditionalFormatting sqref="O33">
    <cfRule type="cellIs" dxfId="444" priority="106" operator="greaterThan">
      <formula>10/24</formula>
    </cfRule>
  </conditionalFormatting>
  <conditionalFormatting sqref="R30:R32">
    <cfRule type="cellIs" dxfId="443" priority="105" operator="greaterThan">
      <formula>12/24</formula>
    </cfRule>
  </conditionalFormatting>
  <conditionalFormatting sqref="S30:S32">
    <cfRule type="cellIs" dxfId="442" priority="104" stopIfTrue="1" operator="equal">
      <formula>"n"</formula>
    </cfRule>
  </conditionalFormatting>
  <conditionalFormatting sqref="U30:U32 W30:W32">
    <cfRule type="containsText" dxfId="441" priority="103" operator="containsText" text="PB">
      <formula>NOT(ISERROR(SEARCH("PB",U30)))</formula>
    </cfRule>
  </conditionalFormatting>
  <conditionalFormatting sqref="V30:V32">
    <cfRule type="containsText" dxfId="440" priority="102" operator="containsText" text="PB">
      <formula>NOT(ISERROR(SEARCH("PB",V30)))</formula>
    </cfRule>
  </conditionalFormatting>
  <conditionalFormatting sqref="Y30:Y32">
    <cfRule type="containsText" dxfId="439" priority="101" operator="containsText" text="PB">
      <formula>NOT(ISERROR(SEARCH("PB",Y30)))</formula>
    </cfRule>
  </conditionalFormatting>
  <conditionalFormatting sqref="X30:X32">
    <cfRule type="expression" priority="98" stopIfTrue="1">
      <formula>IF(OR(C30="aa",C30="cp",C30="f",C30="jc",C30="m"),TRUE,FALSE)</formula>
    </cfRule>
    <cfRule type="expression" dxfId="438" priority="99" stopIfTrue="1">
      <formula>IF(OR(E30-C30&gt;6/24,I30-G30&gt;6/24,M30-K30&gt;6/24),TRUE,FALSE)</formula>
    </cfRule>
    <cfRule type="expression" dxfId="437" priority="100" stopIfTrue="1">
      <formula>IF(OR(D30-B30&gt;6/24,H30-F30&gt;6/24,L30-J30&gt;6/24),TRUE,FALSE)</formula>
    </cfRule>
  </conditionalFormatting>
  <conditionalFormatting sqref="N30:N32">
    <cfRule type="cellIs" dxfId="436" priority="97" stopIfTrue="1" operator="greaterThan">
      <formula>10/24</formula>
    </cfRule>
  </conditionalFormatting>
  <conditionalFormatting sqref="O30:O32">
    <cfRule type="cellIs" dxfId="435" priority="96" operator="greaterThan">
      <formula>10/24</formula>
    </cfRule>
  </conditionalFormatting>
  <conditionalFormatting sqref="R34">
    <cfRule type="cellIs" dxfId="434" priority="95" operator="greaterThan">
      <formula>12/24</formula>
    </cfRule>
  </conditionalFormatting>
  <conditionalFormatting sqref="S34">
    <cfRule type="cellIs" dxfId="433" priority="94" stopIfTrue="1" operator="equal">
      <formula>"n"</formula>
    </cfRule>
  </conditionalFormatting>
  <conditionalFormatting sqref="U34 W34">
    <cfRule type="containsText" dxfId="432" priority="93" operator="containsText" text="PB">
      <formula>NOT(ISERROR(SEARCH("PB",U34)))</formula>
    </cfRule>
  </conditionalFormatting>
  <conditionalFormatting sqref="V34">
    <cfRule type="containsText" dxfId="431" priority="92" operator="containsText" text="PB">
      <formula>NOT(ISERROR(SEARCH("PB",V34)))</formula>
    </cfRule>
  </conditionalFormatting>
  <conditionalFormatting sqref="Y34">
    <cfRule type="containsText" dxfId="430" priority="91" operator="containsText" text="PB">
      <formula>NOT(ISERROR(SEARCH("PB",Y34)))</formula>
    </cfRule>
  </conditionalFormatting>
  <conditionalFormatting sqref="X34">
    <cfRule type="expression" priority="88" stopIfTrue="1">
      <formula>IF(OR(C34="aa",C34="cp",C34="f",C34="jc",C34="m"),TRUE,FALSE)</formula>
    </cfRule>
    <cfRule type="expression" dxfId="429" priority="89" stopIfTrue="1">
      <formula>IF(OR(E34-C34&gt;6/24,I34-G34&gt;6/24,M34-K34&gt;6/24),TRUE,FALSE)</formula>
    </cfRule>
    <cfRule type="expression" dxfId="428" priority="90" stopIfTrue="1">
      <formula>IF(OR(D34-B34&gt;6/24,H34-F34&gt;6/24,L34-J34&gt;6/24),TRUE,FALSE)</formula>
    </cfRule>
  </conditionalFormatting>
  <conditionalFormatting sqref="N34">
    <cfRule type="cellIs" dxfId="427" priority="87" stopIfTrue="1" operator="greaterThan">
      <formula>10/24</formula>
    </cfRule>
  </conditionalFormatting>
  <conditionalFormatting sqref="O34">
    <cfRule type="cellIs" dxfId="426" priority="86" operator="greaterThan">
      <formula>10/24</formula>
    </cfRule>
  </conditionalFormatting>
  <conditionalFormatting sqref="R35">
    <cfRule type="cellIs" dxfId="425" priority="85" operator="greaterThan">
      <formula>12/24</formula>
    </cfRule>
  </conditionalFormatting>
  <conditionalFormatting sqref="X35">
    <cfRule type="expression" priority="82" stopIfTrue="1">
      <formula>IF(OR(C35="aa",C35="cp",C35="f",C35="jc",C35="m"),TRUE,FALSE)</formula>
    </cfRule>
    <cfRule type="expression" dxfId="424" priority="83" stopIfTrue="1">
      <formula>IF(OR(E35-C35&gt;6/24,I35-G35&gt;6/24,M35-K35&gt;6/24),TRUE,FALSE)</formula>
    </cfRule>
    <cfRule type="expression" dxfId="423" priority="84" stopIfTrue="1">
      <formula>IF(OR(D35-B35&gt;6/24,H35-F35&gt;6/24,L35-J35&gt;6/24),TRUE,FALSE)</formula>
    </cfRule>
  </conditionalFormatting>
  <conditionalFormatting sqref="R21 R24">
    <cfRule type="cellIs" dxfId="422" priority="80" operator="greaterThan">
      <formula>12/24</formula>
    </cfRule>
  </conditionalFormatting>
  <conditionalFormatting sqref="O23:O24">
    <cfRule type="cellIs" dxfId="421" priority="81" operator="greaterThan">
      <formula>10/24</formula>
    </cfRule>
  </conditionalFormatting>
  <conditionalFormatting sqref="S21 S23:S24">
    <cfRule type="cellIs" dxfId="420" priority="79" stopIfTrue="1" operator="equal">
      <formula>"n"</formula>
    </cfRule>
  </conditionalFormatting>
  <conditionalFormatting sqref="U21 W21 W23:W24 U23:U24">
    <cfRule type="containsText" dxfId="419" priority="78" operator="containsText" text="PB">
      <formula>NOT(ISERROR(SEARCH("PB",U21)))</formula>
    </cfRule>
  </conditionalFormatting>
  <conditionalFormatting sqref="V21 V23:V24">
    <cfRule type="containsText" dxfId="418" priority="77" operator="containsText" text="PB">
      <formula>NOT(ISERROR(SEARCH("PB",V21)))</formula>
    </cfRule>
  </conditionalFormatting>
  <conditionalFormatting sqref="Y21 Y23:Y24">
    <cfRule type="containsText" dxfId="417" priority="76" operator="containsText" text="PB">
      <formula>NOT(ISERROR(SEARCH("PB",Y21)))</formula>
    </cfRule>
  </conditionalFormatting>
  <conditionalFormatting sqref="X21 X24">
    <cfRule type="expression" priority="73" stopIfTrue="1">
      <formula>IF(OR(C21="aa",C21="cp",C21="f",C21="jc",C21="m"),TRUE,FALSE)</formula>
    </cfRule>
    <cfRule type="expression" dxfId="416" priority="74" stopIfTrue="1">
      <formula>IF(OR(E21-C21&gt;6/24,I21-G21&gt;6/24,M21-K21&gt;6/24),TRUE,FALSE)</formula>
    </cfRule>
    <cfRule type="expression" dxfId="415" priority="75" stopIfTrue="1">
      <formula>IF(OR(D21-B21&gt;6/24,H21-F21&gt;6/24,L21-J21&gt;6/24),TRUE,FALSE)</formula>
    </cfRule>
  </conditionalFormatting>
  <conditionalFormatting sqref="N21">
    <cfRule type="cellIs" dxfId="414" priority="72" stopIfTrue="1" operator="greaterThan">
      <formula>10/24</formula>
    </cfRule>
  </conditionalFormatting>
  <conditionalFormatting sqref="N23">
    <cfRule type="cellIs" dxfId="413" priority="71" stopIfTrue="1" operator="greaterThan">
      <formula>10/24</formula>
    </cfRule>
  </conditionalFormatting>
  <conditionalFormatting sqref="N24">
    <cfRule type="cellIs" dxfId="412" priority="70" operator="greaterThan">
      <formula>10/24</formula>
    </cfRule>
  </conditionalFormatting>
  <conditionalFormatting sqref="O21">
    <cfRule type="cellIs" dxfId="411" priority="69" operator="greaterThan">
      <formula>10/24</formula>
    </cfRule>
  </conditionalFormatting>
  <conditionalFormatting sqref="R18:R20">
    <cfRule type="cellIs" dxfId="410" priority="68" operator="greaterThan">
      <formula>12/24</formula>
    </cfRule>
  </conditionalFormatting>
  <conditionalFormatting sqref="S18:S20">
    <cfRule type="cellIs" dxfId="409" priority="67" stopIfTrue="1" operator="equal">
      <formula>"n"</formula>
    </cfRule>
  </conditionalFormatting>
  <conditionalFormatting sqref="U18:U20 W18:W20">
    <cfRule type="containsText" dxfId="408" priority="66" operator="containsText" text="PB">
      <formula>NOT(ISERROR(SEARCH("PB",U18)))</formula>
    </cfRule>
  </conditionalFormatting>
  <conditionalFormatting sqref="V18:V20">
    <cfRule type="containsText" dxfId="407" priority="65" operator="containsText" text="PB">
      <formula>NOT(ISERROR(SEARCH("PB",V18)))</formula>
    </cfRule>
  </conditionalFormatting>
  <conditionalFormatting sqref="Y18:Y20">
    <cfRule type="containsText" dxfId="406" priority="64" operator="containsText" text="PB">
      <formula>NOT(ISERROR(SEARCH("PB",Y18)))</formula>
    </cfRule>
  </conditionalFormatting>
  <conditionalFormatting sqref="X18:X20">
    <cfRule type="expression" priority="61" stopIfTrue="1">
      <formula>IF(OR(C18="aa",C18="cp",C18="f",C18="jc",C18="m"),TRUE,FALSE)</formula>
    </cfRule>
    <cfRule type="expression" dxfId="405" priority="62" stopIfTrue="1">
      <formula>IF(OR(E18-C18&gt;6/24,I18-G18&gt;6/24,M18-K18&gt;6/24),TRUE,FALSE)</formula>
    </cfRule>
    <cfRule type="expression" dxfId="404" priority="63" stopIfTrue="1">
      <formula>IF(OR(D18-B18&gt;6/24,H18-F18&gt;6/24,L18-J18&gt;6/24),TRUE,FALSE)</formula>
    </cfRule>
  </conditionalFormatting>
  <conditionalFormatting sqref="N18:N20">
    <cfRule type="cellIs" dxfId="403" priority="60" stopIfTrue="1" operator="greaterThan">
      <formula>10/24</formula>
    </cfRule>
  </conditionalFormatting>
  <conditionalFormatting sqref="O18:O20">
    <cfRule type="cellIs" dxfId="402" priority="59" operator="greaterThan">
      <formula>10/24</formula>
    </cfRule>
  </conditionalFormatting>
  <conditionalFormatting sqref="R22">
    <cfRule type="cellIs" dxfId="401" priority="58" operator="greaterThan">
      <formula>12/24</formula>
    </cfRule>
  </conditionalFormatting>
  <conditionalFormatting sqref="S22">
    <cfRule type="cellIs" dxfId="400" priority="57" stopIfTrue="1" operator="equal">
      <formula>"n"</formula>
    </cfRule>
  </conditionalFormatting>
  <conditionalFormatting sqref="U22 W22">
    <cfRule type="containsText" dxfId="399" priority="56" operator="containsText" text="PB">
      <formula>NOT(ISERROR(SEARCH("PB",U22)))</formula>
    </cfRule>
  </conditionalFormatting>
  <conditionalFormatting sqref="V22">
    <cfRule type="containsText" dxfId="398" priority="55" operator="containsText" text="PB">
      <formula>NOT(ISERROR(SEARCH("PB",V22)))</formula>
    </cfRule>
  </conditionalFormatting>
  <conditionalFormatting sqref="Y22">
    <cfRule type="containsText" dxfId="397" priority="54" operator="containsText" text="PB">
      <formula>NOT(ISERROR(SEARCH("PB",Y22)))</formula>
    </cfRule>
  </conditionalFormatting>
  <conditionalFormatting sqref="X22">
    <cfRule type="expression" priority="51" stopIfTrue="1">
      <formula>IF(OR(C22="aa",C22="cp",C22="f",C22="jc",C22="m"),TRUE,FALSE)</formula>
    </cfRule>
    <cfRule type="expression" dxfId="396" priority="52" stopIfTrue="1">
      <formula>IF(OR(E22-C22&gt;6/24,I22-G22&gt;6/24,M22-K22&gt;6/24),TRUE,FALSE)</formula>
    </cfRule>
    <cfRule type="expression" dxfId="395" priority="53" stopIfTrue="1">
      <formula>IF(OR(D22-B22&gt;6/24,H22-F22&gt;6/24,L22-J22&gt;6/24),TRUE,FALSE)</formula>
    </cfRule>
  </conditionalFormatting>
  <conditionalFormatting sqref="N22">
    <cfRule type="cellIs" dxfId="394" priority="50" stopIfTrue="1" operator="greaterThan">
      <formula>10/24</formula>
    </cfRule>
  </conditionalFormatting>
  <conditionalFormatting sqref="O22">
    <cfRule type="cellIs" dxfId="393" priority="49" operator="greaterThan">
      <formula>10/24</formula>
    </cfRule>
  </conditionalFormatting>
  <conditionalFormatting sqref="R23">
    <cfRule type="cellIs" dxfId="392" priority="48" operator="greaterThan">
      <formula>12/24</formula>
    </cfRule>
  </conditionalFormatting>
  <conditionalFormatting sqref="X23">
    <cfRule type="expression" priority="45" stopIfTrue="1">
      <formula>IF(OR(C23="aa",C23="cp",C23="f",C23="jc",C23="m"),TRUE,FALSE)</formula>
    </cfRule>
    <cfRule type="expression" dxfId="391" priority="46" stopIfTrue="1">
      <formula>IF(OR(E23-C23&gt;6/24,I23-G23&gt;6/24,M23-K23&gt;6/24),TRUE,FALSE)</formula>
    </cfRule>
    <cfRule type="expression" dxfId="390" priority="47" stopIfTrue="1">
      <formula>IF(OR(D23-B23&gt;6/24,H23-F23&gt;6/24,L23-J23&gt;6/24),TRUE,FALSE)</formula>
    </cfRule>
  </conditionalFormatting>
  <conditionalFormatting sqref="R9 R12">
    <cfRule type="cellIs" dxfId="389" priority="43" operator="greaterThan">
      <formula>12/24</formula>
    </cfRule>
  </conditionalFormatting>
  <conditionalFormatting sqref="O11:O12">
    <cfRule type="cellIs" dxfId="388" priority="44" operator="greaterThan">
      <formula>10/24</formula>
    </cfRule>
  </conditionalFormatting>
  <conditionalFormatting sqref="S9 S11:S12">
    <cfRule type="cellIs" dxfId="387" priority="42" stopIfTrue="1" operator="equal">
      <formula>"n"</formula>
    </cfRule>
  </conditionalFormatting>
  <conditionalFormatting sqref="U9 W9 W11:W12 U11:U12">
    <cfRule type="containsText" dxfId="386" priority="41" operator="containsText" text="PB">
      <formula>NOT(ISERROR(SEARCH("PB",U9)))</formula>
    </cfRule>
  </conditionalFormatting>
  <conditionalFormatting sqref="V9 V11:V12">
    <cfRule type="containsText" dxfId="385" priority="40" operator="containsText" text="PB">
      <formula>NOT(ISERROR(SEARCH("PB",V9)))</formula>
    </cfRule>
  </conditionalFormatting>
  <conditionalFormatting sqref="Y9 Y11:Y12">
    <cfRule type="containsText" dxfId="384" priority="39" operator="containsText" text="PB">
      <formula>NOT(ISERROR(SEARCH("PB",Y9)))</formula>
    </cfRule>
  </conditionalFormatting>
  <conditionalFormatting sqref="X9 X12">
    <cfRule type="expression" priority="36" stopIfTrue="1">
      <formula>IF(OR(C9="aa",C9="cp",C9="f",C9="jc",C9="m"),TRUE,FALSE)</formula>
    </cfRule>
    <cfRule type="expression" dxfId="383" priority="37" stopIfTrue="1">
      <formula>IF(OR(E9-C9&gt;6/24,I9-G9&gt;6/24,M9-K9&gt;6/24),TRUE,FALSE)</formula>
    </cfRule>
    <cfRule type="expression" dxfId="382" priority="38" stopIfTrue="1">
      <formula>IF(OR(D9-B9&gt;6/24,H9-F9&gt;6/24,L9-J9&gt;6/24),TRUE,FALSE)</formula>
    </cfRule>
  </conditionalFormatting>
  <conditionalFormatting sqref="N9">
    <cfRule type="cellIs" dxfId="381" priority="35" stopIfTrue="1" operator="greaterThan">
      <formula>10/24</formula>
    </cfRule>
  </conditionalFormatting>
  <conditionalFormatting sqref="N11">
    <cfRule type="cellIs" dxfId="380" priority="34" stopIfTrue="1" operator="greaterThan">
      <formula>10/24</formula>
    </cfRule>
  </conditionalFormatting>
  <conditionalFormatting sqref="N12">
    <cfRule type="cellIs" dxfId="379" priority="33" operator="greaterThan">
      <formula>10/24</formula>
    </cfRule>
  </conditionalFormatting>
  <conditionalFormatting sqref="O9">
    <cfRule type="cellIs" dxfId="378" priority="32" operator="greaterThan">
      <formula>10/24</formula>
    </cfRule>
  </conditionalFormatting>
  <conditionalFormatting sqref="R6:R8">
    <cfRule type="cellIs" dxfId="377" priority="31" operator="greaterThan">
      <formula>12/24</formula>
    </cfRule>
  </conditionalFormatting>
  <conditionalFormatting sqref="S6:S8">
    <cfRule type="cellIs" dxfId="376" priority="30" stopIfTrue="1" operator="equal">
      <formula>"n"</formula>
    </cfRule>
  </conditionalFormatting>
  <conditionalFormatting sqref="U6:U8 W6:W8">
    <cfRule type="containsText" dxfId="375" priority="29" operator="containsText" text="PB">
      <formula>NOT(ISERROR(SEARCH("PB",U6)))</formula>
    </cfRule>
  </conditionalFormatting>
  <conditionalFormatting sqref="V6:V8">
    <cfRule type="containsText" dxfId="374" priority="28" operator="containsText" text="PB">
      <formula>NOT(ISERROR(SEARCH("PB",V6)))</formula>
    </cfRule>
  </conditionalFormatting>
  <conditionalFormatting sqref="Y6:Y8">
    <cfRule type="containsText" dxfId="373" priority="27" operator="containsText" text="PB">
      <formula>NOT(ISERROR(SEARCH("PB",Y6)))</formula>
    </cfRule>
  </conditionalFormatting>
  <conditionalFormatting sqref="X6:X8">
    <cfRule type="expression" priority="24" stopIfTrue="1">
      <formula>IF(OR(C6="aa",C6="cp",C6="f",C6="jc",C6="m"),TRUE,FALSE)</formula>
    </cfRule>
    <cfRule type="expression" dxfId="372" priority="25" stopIfTrue="1">
      <formula>IF(OR(E6-C6&gt;6/24,I6-G6&gt;6/24,M6-K6&gt;6/24),TRUE,FALSE)</formula>
    </cfRule>
    <cfRule type="expression" dxfId="371" priority="26" stopIfTrue="1">
      <formula>IF(OR(D6-B6&gt;6/24,H6-F6&gt;6/24,L6-J6&gt;6/24),TRUE,FALSE)</formula>
    </cfRule>
  </conditionalFormatting>
  <conditionalFormatting sqref="N6:N8">
    <cfRule type="cellIs" dxfId="370" priority="23" stopIfTrue="1" operator="greaterThan">
      <formula>10/24</formula>
    </cfRule>
  </conditionalFormatting>
  <conditionalFormatting sqref="O6:O8">
    <cfRule type="cellIs" dxfId="369" priority="22" operator="greaterThan">
      <formula>10/24</formula>
    </cfRule>
  </conditionalFormatting>
  <conditionalFormatting sqref="R10">
    <cfRule type="cellIs" dxfId="368" priority="21" operator="greaterThan">
      <formula>12/24</formula>
    </cfRule>
  </conditionalFormatting>
  <conditionalFormatting sqref="S10">
    <cfRule type="cellIs" dxfId="367" priority="20" stopIfTrue="1" operator="equal">
      <formula>"n"</formula>
    </cfRule>
  </conditionalFormatting>
  <conditionalFormatting sqref="U10 W10">
    <cfRule type="containsText" dxfId="366" priority="19" operator="containsText" text="PB">
      <formula>NOT(ISERROR(SEARCH("PB",U10)))</formula>
    </cfRule>
  </conditionalFormatting>
  <conditionalFormatting sqref="V10">
    <cfRule type="containsText" dxfId="365" priority="18" operator="containsText" text="PB">
      <formula>NOT(ISERROR(SEARCH("PB",V10)))</formula>
    </cfRule>
  </conditionalFormatting>
  <conditionalFormatting sqref="Y10">
    <cfRule type="containsText" dxfId="364" priority="17" operator="containsText" text="PB">
      <formula>NOT(ISERROR(SEARCH("PB",Y10)))</formula>
    </cfRule>
  </conditionalFormatting>
  <conditionalFormatting sqref="X10">
    <cfRule type="expression" priority="14" stopIfTrue="1">
      <formula>IF(OR(C10="aa",C10="cp",C10="f",C10="jc",C10="m"),TRUE,FALSE)</formula>
    </cfRule>
    <cfRule type="expression" dxfId="363" priority="15" stopIfTrue="1">
      <formula>IF(OR(E10-C10&gt;6/24,I10-G10&gt;6/24,M10-K10&gt;6/24),TRUE,FALSE)</formula>
    </cfRule>
    <cfRule type="expression" dxfId="362" priority="16" stopIfTrue="1">
      <formula>IF(OR(D10-B10&gt;6/24,H10-F10&gt;6/24,L10-J10&gt;6/24),TRUE,FALSE)</formula>
    </cfRule>
  </conditionalFormatting>
  <conditionalFormatting sqref="N10">
    <cfRule type="cellIs" dxfId="361" priority="13" stopIfTrue="1" operator="greaterThan">
      <formula>10/24</formula>
    </cfRule>
  </conditionalFormatting>
  <conditionalFormatting sqref="O10">
    <cfRule type="cellIs" dxfId="360" priority="12" operator="greaterThan">
      <formula>10/24</formula>
    </cfRule>
  </conditionalFormatting>
  <conditionalFormatting sqref="R11">
    <cfRule type="cellIs" dxfId="359" priority="11" operator="greaterThan">
      <formula>12/24</formula>
    </cfRule>
  </conditionalFormatting>
  <conditionalFormatting sqref="X11">
    <cfRule type="expression" priority="8" stopIfTrue="1">
      <formula>IF(OR(C11="aa",C11="cp",C11="f",C11="jc",C11="m"),TRUE,FALSE)</formula>
    </cfRule>
    <cfRule type="expression" dxfId="358" priority="9" stopIfTrue="1">
      <formula>IF(OR(E11-C11&gt;6/24,I11-G11&gt;6/24,M11-K11&gt;6/24),TRUE,FALSE)</formula>
    </cfRule>
    <cfRule type="expression" dxfId="357" priority="10" stopIfTrue="1">
      <formula>IF(OR(D11-B11&gt;6/24,H11-F11&gt;6/24,L11-J11&gt;6/24),TRUE,FALSE)</formula>
    </cfRule>
  </conditionalFormatting>
  <conditionalFormatting sqref="B6:M6 B18:M18 B30:M30 B42:M42 B54:M54 B66:M66 B78:M78 B90:M90 B102:M102 B114:M114 B126:M126 B138:M138 B150:M150 B162:M162">
    <cfRule type="expression" dxfId="356" priority="2" stopIfTrue="1">
      <formula>COUNTIF(tab_ferie,$F3)&gt;=1</formula>
    </cfRule>
  </conditionalFormatting>
  <conditionalFormatting sqref="B12:M12 B24:M24 B36:M36 B48:M48 B59:M59 B60:M60 B72:M72 B84:M84 B96:M96 B108:M108 B120:M120 B132:M132 B144:M144 B156:M156 B168:M168">
    <cfRule type="expression" dxfId="355" priority="1490" stopIfTrue="1">
      <formula>COUNTIF(tab_ferie,$F3+6)&gt;=1</formula>
    </cfRule>
  </conditionalFormatting>
  <conditionalFormatting sqref="B8:M8 B20:M20 B32:M32 B44:M44 B56:M56 B68:M68 B80:M80 B92:M92 B104:M104 B116:M116 B128:M128 B140:M140 B152:M152 B164:M164">
    <cfRule type="expression" dxfId="354" priority="4" stopIfTrue="1">
      <formula>COUNTIF(tab_ferie,$F3+2)&gt;=1</formula>
    </cfRule>
  </conditionalFormatting>
  <conditionalFormatting sqref="B9:M9 B21:M21 B33:M33 B45:M45 B57:M57 B69:M69 B81:M81 B93:M93 B105:M105 B117:M117 B129:M129 B141:M141 B153:M153 B165:M165">
    <cfRule type="expression" dxfId="353" priority="6" stopIfTrue="1">
      <formula>COUNTIF(tab_ferie,$F3+3)&gt;=1</formula>
    </cfRule>
  </conditionalFormatting>
  <conditionalFormatting sqref="B6:B168">
    <cfRule type="expression" dxfId="352" priority="1496">
      <formula>OR(B6="cp",B6="jc",B6="css")</formula>
    </cfRule>
  </conditionalFormatting>
  <conditionalFormatting sqref="C6:C168">
    <cfRule type="expression" dxfId="351" priority="1498">
      <formula>OR(C6="cp",C6="jc",C6="css")</formula>
    </cfRule>
    <cfRule type="expression" dxfId="350" priority="1499">
      <formula>OR(C6="aa",C6="m")</formula>
    </cfRule>
  </conditionalFormatting>
  <conditionalFormatting sqref="B4:M168">
    <cfRule type="cellIs" dxfId="349" priority="1" operator="equal">
      <formula>FALSE</formula>
    </cfRule>
  </conditionalFormatting>
  <conditionalFormatting sqref="P172:AA204">
    <cfRule type="expression" dxfId="348" priority="9810" stopIfTrue="1">
      <formula>IF($A$182&lt;&gt;"",TRUE,FALSE)</formula>
    </cfRule>
  </conditionalFormatting>
  <printOptions horizontalCentered="1"/>
  <pageMargins left="0" right="0" top="0.3" bottom="0" header="0" footer="0"/>
  <pageSetup paperSize="9" scale="44" fitToHeight="2" orientation="portrait" r:id="rId1"/>
  <rowBreaks count="1" manualBreakCount="1">
    <brk id="110" max="16383" man="1"/>
  </row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5"/>
  <dimension ref="A1:AS636"/>
  <sheetViews>
    <sheetView showGridLines="0" tabSelected="1" zoomScale="85" zoomScaleNormal="85" workbookViewId="0">
      <selection activeCell="AX4" sqref="AX4"/>
    </sheetView>
  </sheetViews>
  <sheetFormatPr baseColWidth="10" defaultColWidth="11.5703125" defaultRowHeight="15" x14ac:dyDescent="0.25"/>
  <cols>
    <col min="1" max="1" width="14.7109375" style="917" customWidth="1"/>
    <col min="2" max="13" width="7.7109375" style="917" customWidth="1"/>
    <col min="14" max="18" width="6.7109375" style="917" customWidth="1"/>
    <col min="19" max="19" width="4.7109375" style="917" customWidth="1"/>
    <col min="20" max="20" width="6.7109375" style="917" hidden="1" customWidth="1"/>
    <col min="21" max="25" width="2.7109375" style="917" customWidth="1"/>
    <col min="26" max="26" width="19.7109375" style="917" customWidth="1"/>
    <col min="27" max="27" width="15.7109375" style="917" customWidth="1"/>
    <col min="28" max="28" width="4.7109375" style="917" hidden="1" customWidth="1"/>
    <col min="29" max="29" width="12" style="917" hidden="1" customWidth="1"/>
    <col min="30" max="45" width="11.5703125" style="917" hidden="1" customWidth="1"/>
    <col min="46" max="46" width="0" style="917" hidden="1" customWidth="1"/>
    <col min="47" max="16384" width="11.5703125" style="917"/>
  </cols>
  <sheetData>
    <row r="1" spans="1:45" ht="57.95" customHeight="1" x14ac:dyDescent="0.35">
      <c r="A1" s="916" t="str">
        <f>"Planning 4ème trimestre de "&amp;annualisation!$B$1&amp;"  "&amp;Paramétrage!K5</f>
        <v xml:space="preserve">Planning 4ème trimestre de   </v>
      </c>
      <c r="B1" s="916"/>
      <c r="C1" s="916"/>
      <c r="D1" s="916"/>
      <c r="E1" s="916"/>
      <c r="F1" s="916"/>
      <c r="G1" s="916"/>
      <c r="H1" s="916"/>
      <c r="I1" s="916"/>
      <c r="J1" s="916"/>
      <c r="K1" s="916"/>
      <c r="L1" s="916"/>
      <c r="M1" s="916"/>
      <c r="N1" s="916"/>
      <c r="O1" s="916"/>
      <c r="P1" s="916"/>
      <c r="Q1" s="916"/>
      <c r="R1" s="916"/>
      <c r="S1" s="916"/>
      <c r="T1" s="916"/>
      <c r="U1" s="916"/>
      <c r="V1" s="916"/>
      <c r="W1" s="916"/>
      <c r="X1" s="916"/>
      <c r="Y1" s="916"/>
      <c r="Z1" s="916"/>
      <c r="AA1" s="916"/>
    </row>
    <row r="2" spans="1:45" ht="27" customHeight="1" x14ac:dyDescent="0.35">
      <c r="A2" s="919"/>
      <c r="B2" s="1050"/>
      <c r="C2" s="927"/>
      <c r="D2" s="931"/>
      <c r="E2" s="931"/>
      <c r="F2" s="931"/>
      <c r="G2" s="931"/>
      <c r="H2" s="931"/>
      <c r="I2" s="931"/>
      <c r="J2" s="931"/>
      <c r="K2" s="931"/>
      <c r="L2" s="931"/>
      <c r="M2" s="931"/>
      <c r="N2" s="931"/>
      <c r="O2" s="931"/>
      <c r="P2" s="931"/>
      <c r="Q2" s="931"/>
      <c r="R2" s="931"/>
      <c r="S2" s="931"/>
      <c r="T2" s="931"/>
      <c r="U2" s="931"/>
      <c r="V2" s="931"/>
      <c r="W2" s="931"/>
      <c r="X2" s="931"/>
      <c r="Y2" s="931"/>
      <c r="Z2" s="921" t="str">
        <f>Paramétrage!AG2</f>
        <v>version 5.0</v>
      </c>
      <c r="AA2" s="921"/>
      <c r="AB2" s="933"/>
    </row>
    <row r="3" spans="1:45" s="935" customFormat="1" ht="16.5" x14ac:dyDescent="0.3">
      <c r="A3" s="969"/>
      <c r="B3" s="969"/>
      <c r="C3" s="969"/>
      <c r="D3" s="969"/>
      <c r="E3" s="969"/>
      <c r="F3" s="928">
        <f>+'T3'!F159+7</f>
        <v>42892</v>
      </c>
      <c r="G3" s="928"/>
      <c r="H3" s="929" t="s">
        <v>58</v>
      </c>
      <c r="I3" s="928">
        <f>+F3+6</f>
        <v>42898</v>
      </c>
      <c r="J3" s="930"/>
      <c r="K3" s="969"/>
      <c r="L3" s="969"/>
      <c r="M3" s="969"/>
      <c r="N3" s="973"/>
      <c r="O3" s="969"/>
      <c r="P3" s="980"/>
      <c r="Q3" s="980"/>
      <c r="R3" s="980"/>
      <c r="S3" s="927"/>
      <c r="T3" s="980"/>
      <c r="U3" s="980"/>
      <c r="V3" s="980"/>
      <c r="W3" s="980"/>
      <c r="X3" s="980"/>
      <c r="Y3" s="980"/>
      <c r="Z3" s="1053"/>
      <c r="AA3" s="1054"/>
      <c r="AB3" s="917"/>
      <c r="AF3" s="917"/>
      <c r="AG3" s="917"/>
      <c r="AH3" s="917"/>
      <c r="AI3" s="917"/>
      <c r="AJ3" s="917"/>
      <c r="AK3" s="917"/>
      <c r="AL3" s="917"/>
      <c r="AR3" s="934">
        <f>DATE(YEAR(Paramétrage!AF6+1),5,31)</f>
        <v>42885</v>
      </c>
      <c r="AS3" s="917"/>
    </row>
    <row r="4" spans="1:45" ht="15.75" customHeight="1" x14ac:dyDescent="0.3">
      <c r="A4" s="994"/>
      <c r="B4" s="1063" t="s">
        <v>17</v>
      </c>
      <c r="C4" s="1063"/>
      <c r="D4" s="1063" t="s">
        <v>18</v>
      </c>
      <c r="E4" s="1063"/>
      <c r="F4" s="1063" t="s">
        <v>17</v>
      </c>
      <c r="G4" s="1063"/>
      <c r="H4" s="1063" t="s">
        <v>18</v>
      </c>
      <c r="I4" s="1063"/>
      <c r="J4" s="1063" t="s">
        <v>17</v>
      </c>
      <c r="K4" s="1063"/>
      <c r="L4" s="1063" t="s">
        <v>18</v>
      </c>
      <c r="M4" s="1063"/>
      <c r="N4" s="939" t="s">
        <v>61</v>
      </c>
      <c r="O4" s="939" t="s">
        <v>62</v>
      </c>
      <c r="P4" s="939" t="s">
        <v>60</v>
      </c>
      <c r="Q4" s="939" t="s">
        <v>63</v>
      </c>
      <c r="R4" s="939" t="s">
        <v>64</v>
      </c>
      <c r="S4" s="940" t="s">
        <v>223</v>
      </c>
      <c r="T4" s="939" t="s">
        <v>70</v>
      </c>
      <c r="U4" s="941" t="s">
        <v>65</v>
      </c>
      <c r="V4" s="942"/>
      <c r="W4" s="942"/>
      <c r="X4" s="942"/>
      <c r="Y4" s="943"/>
      <c r="Z4" s="987" t="s">
        <v>22</v>
      </c>
      <c r="AA4" s="988"/>
      <c r="AG4" s="946" t="s">
        <v>135</v>
      </c>
      <c r="AI4" s="946" t="s">
        <v>207</v>
      </c>
      <c r="AJ4" s="946" t="s">
        <v>208</v>
      </c>
      <c r="AL4" s="947"/>
      <c r="AR4" s="917" t="s">
        <v>287</v>
      </c>
    </row>
    <row r="5" spans="1:45" ht="26.25" thickBot="1" x14ac:dyDescent="0.4">
      <c r="A5" s="937" t="str">
        <f>"S"&amp;WEEKNUM(F3,21)</f>
        <v>S23</v>
      </c>
      <c r="B5" s="1064" t="s">
        <v>0</v>
      </c>
      <c r="C5" s="1065" t="s">
        <v>1</v>
      </c>
      <c r="D5" s="1064" t="s">
        <v>0</v>
      </c>
      <c r="E5" s="1065" t="s">
        <v>1</v>
      </c>
      <c r="F5" s="1064" t="s">
        <v>0</v>
      </c>
      <c r="G5" s="1065" t="s">
        <v>1</v>
      </c>
      <c r="H5" s="1064" t="s">
        <v>0</v>
      </c>
      <c r="I5" s="1065" t="s">
        <v>1</v>
      </c>
      <c r="J5" s="1064" t="s">
        <v>0</v>
      </c>
      <c r="K5" s="1065" t="s">
        <v>1</v>
      </c>
      <c r="L5" s="1064" t="s">
        <v>0</v>
      </c>
      <c r="M5" s="1065" t="s">
        <v>1</v>
      </c>
      <c r="N5" s="951"/>
      <c r="O5" s="951"/>
      <c r="P5" s="951"/>
      <c r="Q5" s="951"/>
      <c r="R5" s="951"/>
      <c r="S5" s="951"/>
      <c r="T5" s="939"/>
      <c r="U5" s="952" t="s">
        <v>66</v>
      </c>
      <c r="V5" s="952" t="s">
        <v>67</v>
      </c>
      <c r="W5" s="952" t="s">
        <v>68</v>
      </c>
      <c r="X5" s="952" t="s">
        <v>137</v>
      </c>
      <c r="Y5" s="952" t="s">
        <v>69</v>
      </c>
      <c r="Z5" s="989"/>
      <c r="AA5" s="990"/>
      <c r="AD5" s="1051" t="s">
        <v>175</v>
      </c>
      <c r="AE5" s="1051" t="s">
        <v>174</v>
      </c>
      <c r="AF5" s="1051" t="s">
        <v>189</v>
      </c>
      <c r="AG5" s="946"/>
      <c r="AI5" s="946"/>
      <c r="AJ5" s="946"/>
      <c r="AL5" s="947"/>
      <c r="AM5" s="917" t="s">
        <v>274</v>
      </c>
      <c r="AR5" s="917" t="s">
        <v>288</v>
      </c>
      <c r="AS5" s="917" t="s">
        <v>279</v>
      </c>
    </row>
    <row r="6" spans="1:45" ht="14.25" customHeight="1" x14ac:dyDescent="0.3">
      <c r="A6" s="955" t="s">
        <v>12</v>
      </c>
      <c r="B6" s="414" t="b">
        <f>IF(Paramétrage!$O$42="",FALSE,Paramétrage!$O$42)</f>
        <v>0</v>
      </c>
      <c r="C6" s="263"/>
      <c r="D6" s="415" t="b">
        <f>IF(Paramétrage!$Q$42="",FALSE,Paramétrage!$Q$42)</f>
        <v>0</v>
      </c>
      <c r="E6" s="264"/>
      <c r="F6" s="414" t="b">
        <f>IF(Paramétrage!$R$42="",FALSE,Paramétrage!$R$42)</f>
        <v>0</v>
      </c>
      <c r="G6" s="264"/>
      <c r="H6" s="416" t="b">
        <f>IF(Paramétrage!$T$42="",FALSE,Paramétrage!$T$42)</f>
        <v>0</v>
      </c>
      <c r="I6" s="263"/>
      <c r="J6" s="417" t="b">
        <f>IF(Paramétrage!$U$42="",FALSE,Paramétrage!$U$42)</f>
        <v>0</v>
      </c>
      <c r="K6" s="263"/>
      <c r="L6" s="418" t="b">
        <f>IF(Paramétrage!$W$42="",FALSE,Paramétrage!$W$42)</f>
        <v>0</v>
      </c>
      <c r="M6" s="263"/>
      <c r="N6" s="956">
        <f t="shared" ref="N6:N8" si="0">IF(OR(B6="aa",B6="cp",B6="f",B6="jc",B6="m",B6="css"),0,(L6-J6)+(H6-F6)+(D6-B6))</f>
        <v>0</v>
      </c>
      <c r="O6" s="956">
        <f t="shared" ref="O6:O8" si="1">SUM(AM6:AP6)+IF(OR(C6="m",C6="aa"),N6,IF(C6="css",0,IF(C6="cp",0,IF(C6="jc",0,IF(C6="f",0,E6-C6+I6-G6+M6-K6)))))</f>
        <v>0</v>
      </c>
      <c r="P6" s="956">
        <f t="shared" ref="P6:P12" si="2">IF(OR(C6="aa",C6="cp",C6="f",C6="jc",C6="m",C6="css"),0,IF(C6="",IF(OR(F6="",F6=FALSE),0,F6-D6),IF(G6="",0,G6-E6)))</f>
        <v>0</v>
      </c>
      <c r="Q6" s="956">
        <f t="shared" ref="Q6:Q12" si="3">IF(P6=0,0,IF(G6="",IF(OR(J6="",J6=FALSE),0,J6-H6),IF(K6="",0,K6-I6)))</f>
        <v>0</v>
      </c>
      <c r="R6" s="957">
        <f t="shared" ref="R6:R8" si="4">IF(OR(C6="aa",C6="cp",C6="f",C6="jc",C6="m",C6="css"),0,IF(C6=0,MAX(B6,D6,F6,H6,J6,L6)-MIN(B6,D6,F6,H6,J6,L6),IF(C6&lt;&gt;0,MAX(C6,E6,G6,I6,K6,M6)-MIN(C6,E6,G6,I6,K6,M6))))</f>
        <v>0</v>
      </c>
      <c r="S6" s="262"/>
      <c r="T6" s="958" t="str">
        <f t="shared" ref="T6:T7" si="5">IF(AND(B6=FALSE,C6=""),"",IF(AND(B6=0,C6=0),"",(IF(OR(C6="cp",C6="f",C6="jc",C6="css"),"",IF(OR(C6="",C6="aa",C6="m"),(IF(OR(B6="cp",B6="f",B6="jc",B6="css"),"",B6*24+24-MAX(D5,H5,L5)*24)),C6*24+24-MAX(M5,I5,E5)*24)))))</f>
        <v/>
      </c>
      <c r="U6" s="959" t="str">
        <f>IF(P6=0,"",IF(P6&lt;Paramétrage!$S$12,"PB",IF(AND(Q6&lt;Paramétrage!$S$12,Q6&lt;&gt;0),"PB","")))</f>
        <v/>
      </c>
      <c r="V6" s="959" t="str">
        <f t="shared" ref="V6:V12" si="6">IF(C6="",IF((N6*24)&gt;10,"PB",""),IF((O6*24)&gt;10,"PB",""))</f>
        <v/>
      </c>
      <c r="W6" s="959" t="str">
        <f t="shared" ref="W6:W12" si="7">IF((R6*24)&gt;12,"PB","")</f>
        <v/>
      </c>
      <c r="X6" s="960" t="str">
        <f t="shared" ref="X6:X8" si="8">IF(AND(N6=0,O6=0),"",(IF(OR(C6="aa",C6="cp",C6="f",C6="jc",C6="m",C6="css"),"",IF(C6="",IF(OR(D6-B6&gt;6/24,H6-F6&gt;6/24,L6-J6&gt;6/24),"PB",""),IF(OR(E6-C6&gt;6/24,I6-G6&gt;6/24,M6-K6&gt;6/24),"PB","")))))</f>
        <v/>
      </c>
      <c r="Y6" s="959" t="str">
        <f t="shared" ref="Y6:Y12" si="9">IF(T6="","",IF(T6&lt;11,"PB",""))</f>
        <v/>
      </c>
      <c r="Z6" s="838"/>
      <c r="AA6" s="837"/>
      <c r="AC6" s="934">
        <f>1+'T3'!AC168</f>
        <v>42892</v>
      </c>
      <c r="AD6" s="961">
        <f>IF(AND(N(AC6)&gt;=Paramétrage!$AU$11,N(AC6)&lt;=Paramétrage!$AU$12),IF(C6="cp",1,0),0)</f>
        <v>0</v>
      </c>
      <c r="AE6" s="962">
        <f t="shared" ref="AE6:AE12" si="10">IF(O6&lt;&gt;"erreur",N6,O6)</f>
        <v>0</v>
      </c>
      <c r="AF6" s="961">
        <f>IF(AND(N(AC6)&gt;=Paramétrage!$AX$11,N(AC6)&lt;=Paramétrage!$AX$12),IF(C6="cp",1,0),0)</f>
        <v>0</v>
      </c>
      <c r="AG6" s="962">
        <f>O6</f>
        <v>0</v>
      </c>
      <c r="AI6" s="962">
        <f>AE6</f>
        <v>0</v>
      </c>
      <c r="AJ6" s="962">
        <f>AG6</f>
        <v>0</v>
      </c>
      <c r="AM6" s="962">
        <f>IF(AND($B6="cp",$C6="m"),$Z6,0)</f>
        <v>0</v>
      </c>
      <c r="AN6" s="962">
        <f>IF(AND($B6="jc",$C6="m"),$Z6,0)</f>
        <v>0</v>
      </c>
      <c r="AO6" s="962">
        <f>IF(AND($B6="cp",$C6="aa"),$Z6,0)</f>
        <v>0</v>
      </c>
      <c r="AP6" s="962">
        <f>IF(AND($B6="jc",$C6="aa"),$Z6,0)</f>
        <v>0</v>
      </c>
      <c r="AR6" s="917">
        <f>IF(AND(AC6&lt;=$AR$3,B6="CP"),1,0)</f>
        <v>0</v>
      </c>
      <c r="AS6" s="917">
        <f>IF(AND(AC6&lt;=$AR$3,C6="CP"),1,0)</f>
        <v>0</v>
      </c>
    </row>
    <row r="7" spans="1:45" ht="14.25" customHeight="1" x14ac:dyDescent="0.3">
      <c r="A7" s="964" t="s">
        <v>13</v>
      </c>
      <c r="B7" s="414" t="b">
        <f>IF(Paramétrage!$O$43="",FALSE,Paramétrage!$O$43)</f>
        <v>0</v>
      </c>
      <c r="C7" s="263"/>
      <c r="D7" s="415" t="b">
        <f>IF(Paramétrage!$Q$43="",FALSE,Paramétrage!$Q$43)</f>
        <v>0</v>
      </c>
      <c r="E7" s="264"/>
      <c r="F7" s="414" t="b">
        <f>IF(Paramétrage!$R$43="",FALSE,Paramétrage!$R$43)</f>
        <v>0</v>
      </c>
      <c r="G7" s="264"/>
      <c r="H7" s="416" t="b">
        <f>IF(Paramétrage!$T$43="",FALSE,Paramétrage!$T$43)</f>
        <v>0</v>
      </c>
      <c r="I7" s="263"/>
      <c r="J7" s="417" t="b">
        <f>IF(Paramétrage!$U$43="",FALSE,Paramétrage!$U$43)</f>
        <v>0</v>
      </c>
      <c r="K7" s="263"/>
      <c r="L7" s="418" t="b">
        <f>IF(Paramétrage!$W$43="",FALSE,Paramétrage!$W$43)</f>
        <v>0</v>
      </c>
      <c r="M7" s="263"/>
      <c r="N7" s="956">
        <f t="shared" si="0"/>
        <v>0</v>
      </c>
      <c r="O7" s="956">
        <f t="shared" si="1"/>
        <v>0</v>
      </c>
      <c r="P7" s="956">
        <f t="shared" si="2"/>
        <v>0</v>
      </c>
      <c r="Q7" s="956">
        <f t="shared" si="3"/>
        <v>0</v>
      </c>
      <c r="R7" s="957">
        <f t="shared" si="4"/>
        <v>0</v>
      </c>
      <c r="S7" s="262"/>
      <c r="T7" s="958" t="str">
        <f t="shared" si="5"/>
        <v/>
      </c>
      <c r="U7" s="959" t="str">
        <f>IF(P7=0,"",IF(P7&lt;Paramétrage!$S$12,"PB",IF(AND(Q7&lt;Paramétrage!$S$12,Q7&lt;&gt;0),"PB","")))</f>
        <v/>
      </c>
      <c r="V7" s="959" t="str">
        <f t="shared" si="6"/>
        <v/>
      </c>
      <c r="W7" s="959" t="str">
        <f t="shared" si="7"/>
        <v/>
      </c>
      <c r="X7" s="960" t="str">
        <f t="shared" si="8"/>
        <v/>
      </c>
      <c r="Y7" s="959" t="str">
        <f t="shared" si="9"/>
        <v/>
      </c>
      <c r="Z7" s="836"/>
      <c r="AA7" s="837"/>
      <c r="AC7" s="934">
        <f t="shared" ref="AC7:AC12" si="11">AC6+1</f>
        <v>42893</v>
      </c>
      <c r="AD7" s="961">
        <f>IF(AND(N(AC7)&gt;=Paramétrage!$AU$11,N(AC7)&lt;=Paramétrage!$AU$12),IF(C7="cp",1,0),0)</f>
        <v>0</v>
      </c>
      <c r="AE7" s="962">
        <f t="shared" si="10"/>
        <v>0</v>
      </c>
      <c r="AF7" s="961">
        <f>IF(AND(N(AC7)&gt;=Paramétrage!$AX$11,N(AC7)&lt;=Paramétrage!$AX$12),IF(C7="cp",1,0),0)</f>
        <v>0</v>
      </c>
      <c r="AG7" s="962">
        <f t="shared" ref="AG7:AG12" si="12">O7</f>
        <v>0</v>
      </c>
      <c r="AI7" s="962">
        <f t="shared" ref="AI7:AI12" si="13">AE7+AI6</f>
        <v>0</v>
      </c>
      <c r="AJ7" s="962">
        <f t="shared" ref="AJ7:AJ12" si="14">AG7+AJ6</f>
        <v>0</v>
      </c>
      <c r="AM7" s="962">
        <f t="shared" ref="AM7:AM10" si="15">IF(AND($B7="cp",$C7="m"),$Z7,0)</f>
        <v>0</v>
      </c>
      <c r="AN7" s="962">
        <f t="shared" ref="AN7:AN10" si="16">IF(AND($B7="jc",$C7="m"),$Z7,0)</f>
        <v>0</v>
      </c>
      <c r="AO7" s="962">
        <f t="shared" ref="AO7:AO10" si="17">IF(AND($B7="cp",$C7="aa"),$Z7,0)</f>
        <v>0</v>
      </c>
      <c r="AP7" s="962">
        <f t="shared" ref="AP7:AP10" si="18">IF(AND($B7="jc",$C7="aa"),$Z7,0)</f>
        <v>0</v>
      </c>
      <c r="AR7" s="917">
        <f>IF(AND(AC7&lt;=$AR$3,B7="CP"),1,0)</f>
        <v>0</v>
      </c>
      <c r="AS7" s="917">
        <f>IF(AND(AC7&lt;=$AR$3,C7="CP"),1,0)</f>
        <v>0</v>
      </c>
    </row>
    <row r="8" spans="1:45" ht="14.25" customHeight="1" x14ac:dyDescent="0.3">
      <c r="A8" s="964" t="s">
        <v>14</v>
      </c>
      <c r="B8" s="414" t="b">
        <f>IF(Paramétrage!$O$44="",FALSE,Paramétrage!$O$44)</f>
        <v>0</v>
      </c>
      <c r="C8" s="263"/>
      <c r="D8" s="415" t="b">
        <f>IF(Paramétrage!$Q$44="",FALSE,Paramétrage!$Q$44)</f>
        <v>0</v>
      </c>
      <c r="E8" s="264"/>
      <c r="F8" s="414" t="b">
        <f>IF(Paramétrage!$R$44="",FALSE,Paramétrage!$R$44)</f>
        <v>0</v>
      </c>
      <c r="G8" s="264"/>
      <c r="H8" s="416" t="b">
        <f>IF(Paramétrage!$T$44="",FALSE,Paramétrage!$T$44)</f>
        <v>0</v>
      </c>
      <c r="I8" s="263"/>
      <c r="J8" s="417" t="b">
        <f>IF(Paramétrage!$U$44="",FALSE,Paramétrage!$U$44)</f>
        <v>0</v>
      </c>
      <c r="K8" s="263"/>
      <c r="L8" s="418" t="b">
        <f>IF(Paramétrage!$W$44="",FALSE,Paramétrage!$W$44)</f>
        <v>0</v>
      </c>
      <c r="M8" s="263"/>
      <c r="N8" s="956">
        <f t="shared" si="0"/>
        <v>0</v>
      </c>
      <c r="O8" s="956">
        <f t="shared" si="1"/>
        <v>0</v>
      </c>
      <c r="P8" s="956">
        <f t="shared" si="2"/>
        <v>0</v>
      </c>
      <c r="Q8" s="956">
        <f t="shared" si="3"/>
        <v>0</v>
      </c>
      <c r="R8" s="957">
        <f t="shared" si="4"/>
        <v>0</v>
      </c>
      <c r="S8" s="262"/>
      <c r="T8" s="958" t="str">
        <f>IF(AND(B8=FALSE,C8=""),"",IF(AND(B8=0,C8=0),"",(IF(OR(C8="cp",C8="f",C8="jc",C8="css"),"",IF(OR(C8="",C8="aa",C8="m"),(IF(OR(B8="cp",B8="f",B8="jc",B8="css"),"",B8*24+24-MAX(D7,H7,L7)*24)),C8*24+24-MAX(M7,I7,E7)*24)))))</f>
        <v/>
      </c>
      <c r="U8" s="959" t="str">
        <f>IF(P8=0,"",IF(P8&lt;Paramétrage!$S$12,"PB",IF(AND(Q8&lt;Paramétrage!$S$12,Q8&lt;&gt;0),"PB","")))</f>
        <v/>
      </c>
      <c r="V8" s="959" t="str">
        <f t="shared" si="6"/>
        <v/>
      </c>
      <c r="W8" s="959" t="str">
        <f t="shared" si="7"/>
        <v/>
      </c>
      <c r="X8" s="960" t="str">
        <f t="shared" si="8"/>
        <v/>
      </c>
      <c r="Y8" s="959" t="str">
        <f t="shared" si="9"/>
        <v/>
      </c>
      <c r="Z8" s="836"/>
      <c r="AA8" s="837"/>
      <c r="AC8" s="934">
        <f t="shared" si="11"/>
        <v>42894</v>
      </c>
      <c r="AD8" s="961">
        <f>IF(AND(N(AC8)&gt;=Paramétrage!$AU$11,N(AC8)&lt;=Paramétrage!$AU$12),IF(C8="cp",1,0),0)</f>
        <v>0</v>
      </c>
      <c r="AE8" s="962">
        <f t="shared" si="10"/>
        <v>0</v>
      </c>
      <c r="AF8" s="961">
        <f>IF(AND(N(AC8)&gt;=Paramétrage!$AX$11,N(AC8)&lt;=Paramétrage!$AX$12),IF(C8="cp",1,0),0)</f>
        <v>0</v>
      </c>
      <c r="AG8" s="962">
        <f t="shared" si="12"/>
        <v>0</v>
      </c>
      <c r="AI8" s="962">
        <f t="shared" si="13"/>
        <v>0</v>
      </c>
      <c r="AJ8" s="962">
        <f t="shared" si="14"/>
        <v>0</v>
      </c>
      <c r="AM8" s="962">
        <f t="shared" si="15"/>
        <v>0</v>
      </c>
      <c r="AN8" s="962">
        <f t="shared" si="16"/>
        <v>0</v>
      </c>
      <c r="AO8" s="962">
        <f t="shared" si="17"/>
        <v>0</v>
      </c>
      <c r="AP8" s="962">
        <f t="shared" si="18"/>
        <v>0</v>
      </c>
      <c r="AR8" s="917">
        <f>IF(AND(AC8&lt;=$AR$3,B8="CP"),1,0)</f>
        <v>0</v>
      </c>
      <c r="AS8" s="917">
        <f>IF(AND(AC8&lt;=$AR$3,C8="CP"),1,0)</f>
        <v>0</v>
      </c>
    </row>
    <row r="9" spans="1:45" ht="14.25" customHeight="1" x14ac:dyDescent="0.3">
      <c r="A9" s="964" t="s">
        <v>15</v>
      </c>
      <c r="B9" s="414" t="b">
        <f>IF(Paramétrage!$O$45="",FALSE,Paramétrage!$O$45)</f>
        <v>0</v>
      </c>
      <c r="C9" s="263"/>
      <c r="D9" s="415" t="b">
        <f>IF(Paramétrage!$Q$45="",FALSE,Paramétrage!$Q$45)</f>
        <v>0</v>
      </c>
      <c r="E9" s="264"/>
      <c r="F9" s="414" t="b">
        <f>IF(Paramétrage!$R$45="",FALSE,Paramétrage!$R$45)</f>
        <v>0</v>
      </c>
      <c r="G9" s="264"/>
      <c r="H9" s="416" t="b">
        <f>IF(Paramétrage!$T$45="",FALSE,Paramétrage!$T$45)</f>
        <v>0</v>
      </c>
      <c r="I9" s="263"/>
      <c r="J9" s="417" t="b">
        <f>IF(Paramétrage!$U$45="",FALSE,Paramétrage!$U$45)</f>
        <v>0</v>
      </c>
      <c r="K9" s="263"/>
      <c r="L9" s="418" t="b">
        <f>IF(Paramétrage!$W$45="",FALSE,Paramétrage!$W$45)</f>
        <v>0</v>
      </c>
      <c r="M9" s="263"/>
      <c r="N9" s="956">
        <f>IF(OR(B9="aa",B9="cp",B9="f",B9="jc",B9="m",B9="css"),0,(L9-J9)+(H9-F9)+(D9-B9))</f>
        <v>0</v>
      </c>
      <c r="O9" s="956">
        <f>SUM(AM9:AP9)+IF(OR(C9="m",C9="aa"),N9,IF(C9="css",0,IF(C9="cp",0,IF(C9="jc",0,IF(C9="f",0,E9-C9+I9-G9+M9-K9)))))</f>
        <v>0</v>
      </c>
      <c r="P9" s="956">
        <f t="shared" si="2"/>
        <v>0</v>
      </c>
      <c r="Q9" s="956">
        <f t="shared" si="3"/>
        <v>0</v>
      </c>
      <c r="R9" s="957">
        <f>IF(OR(C9="aa",C9="cp",C9="f",C9="jc",C9="m",C9="css"),0,IF(C9=0,MAX(B9,D9,F9,H9,J9,L9)-MIN(B9,D9,F9,H9,J9,L9),IF(C9&lt;&gt;0,MAX(C9,E9,G9,I9,K9,M9)-MIN(C9,E9,G9,I9,K9,M9))))</f>
        <v>0</v>
      </c>
      <c r="S9" s="262"/>
      <c r="T9" s="958" t="str">
        <f t="shared" ref="T9:T12" si="19">IF(AND(B9=FALSE,C9=""),"",IF(AND(B9=0,C9=0),"",(IF(OR(C9="cp",C9="f",C9="jc",C9="css"),"",IF(OR(C9="",C9="aa",C9="m"),(IF(OR(B9="cp",B9="f",B9="jc",B9="css"),"",B9*24+24-MAX(D8,H8,L8)*24)),C9*24+24-MAX(M8,I8,E8)*24)))))</f>
        <v/>
      </c>
      <c r="U9" s="959" t="str">
        <f>IF(P9=0,"",IF(P9&lt;Paramétrage!$S$12,"PB",IF(AND(Q9&lt;Paramétrage!$S$12,Q9&lt;&gt;0),"PB","")))</f>
        <v/>
      </c>
      <c r="V9" s="959" t="str">
        <f t="shared" si="6"/>
        <v/>
      </c>
      <c r="W9" s="959" t="str">
        <f t="shared" si="7"/>
        <v/>
      </c>
      <c r="X9" s="960" t="str">
        <f>IF(AND(N9=0,O9=0),"",(IF(OR(C9="aa",C9="cp",C9="f",C9="jc",C9="m",C9="css"),"",IF(C9="",IF(OR(D9-B9&gt;6/24,H9-F9&gt;6/24,L9-J9&gt;6/24),"PB",""),IF(OR(E9-C9&gt;6/24,I9-G9&gt;6/24,M9-K9&gt;6/24),"PB","")))))</f>
        <v/>
      </c>
      <c r="Y9" s="959" t="str">
        <f t="shared" si="9"/>
        <v/>
      </c>
      <c r="Z9" s="836"/>
      <c r="AA9" s="837"/>
      <c r="AC9" s="934">
        <f t="shared" si="11"/>
        <v>42895</v>
      </c>
      <c r="AD9" s="961">
        <f>IF(AND(N(AC9)&gt;=Paramétrage!$AU$11,N(AC9)&lt;=Paramétrage!$AU$12),IF(C9="cp",1,0),0)</f>
        <v>0</v>
      </c>
      <c r="AE9" s="962">
        <f t="shared" si="10"/>
        <v>0</v>
      </c>
      <c r="AF9" s="961">
        <f>IF(AND(N(AC9)&gt;=Paramétrage!$AX$11,N(AC9)&lt;=Paramétrage!$AX$12),IF(C9="cp",1,0),0)</f>
        <v>0</v>
      </c>
      <c r="AG9" s="962">
        <f t="shared" si="12"/>
        <v>0</v>
      </c>
      <c r="AI9" s="962">
        <f t="shared" si="13"/>
        <v>0</v>
      </c>
      <c r="AJ9" s="962">
        <f t="shared" si="14"/>
        <v>0</v>
      </c>
      <c r="AM9" s="962">
        <f t="shared" si="15"/>
        <v>0</v>
      </c>
      <c r="AN9" s="962">
        <f t="shared" si="16"/>
        <v>0</v>
      </c>
      <c r="AO9" s="962">
        <f t="shared" si="17"/>
        <v>0</v>
      </c>
      <c r="AP9" s="962">
        <f t="shared" si="18"/>
        <v>0</v>
      </c>
      <c r="AR9" s="917">
        <f>IF(AND(AC9&lt;=$AR$3,B9="CP"),1,0)</f>
        <v>0</v>
      </c>
      <c r="AS9" s="917">
        <f>IF(AND(AC9&lt;=$AR$3,C9="CP"),1,0)</f>
        <v>0</v>
      </c>
    </row>
    <row r="10" spans="1:45" ht="14.25" customHeight="1" x14ac:dyDescent="0.3">
      <c r="A10" s="964" t="s">
        <v>16</v>
      </c>
      <c r="B10" s="414" t="b">
        <f>IF(Paramétrage!$O$46="",FALSE,Paramétrage!$O$46)</f>
        <v>0</v>
      </c>
      <c r="C10" s="263"/>
      <c r="D10" s="415" t="b">
        <f>IF(Paramétrage!$Q$46="",FALSE,Paramétrage!$Q$46)</f>
        <v>0</v>
      </c>
      <c r="E10" s="264"/>
      <c r="F10" s="414" t="b">
        <f>IF(Paramétrage!$R$46="",FALSE,Paramétrage!$R$46)</f>
        <v>0</v>
      </c>
      <c r="G10" s="264"/>
      <c r="H10" s="416" t="b">
        <f>IF(Paramétrage!$T$46="",FALSE,Paramétrage!$T$46)</f>
        <v>0</v>
      </c>
      <c r="I10" s="263"/>
      <c r="J10" s="417" t="b">
        <f>IF(Paramétrage!$U$46="",FALSE,Paramétrage!$U$46)</f>
        <v>0</v>
      </c>
      <c r="K10" s="263"/>
      <c r="L10" s="418" t="b">
        <f>IF(Paramétrage!$W$46="",FALSE,Paramétrage!$W$46)</f>
        <v>0</v>
      </c>
      <c r="M10" s="263"/>
      <c r="N10" s="956">
        <f>IF(OR(B10="aa",B10="cp",B10="f",B10="jc",B10="m",B10="css"),0,(L10-J10)+(H10-F10)+(D10-B10))</f>
        <v>0</v>
      </c>
      <c r="O10" s="956">
        <f>SUM(AM10:AP10)+IF(OR(C10="m",C10="aa"),N10,IF(C10="css",0,IF(C10="cp",0,IF(C10="jc",0,IF(C10="f",0,E10-C10+I10-G10+M10-K10)))))</f>
        <v>0</v>
      </c>
      <c r="P10" s="956">
        <f t="shared" si="2"/>
        <v>0</v>
      </c>
      <c r="Q10" s="956">
        <f t="shared" si="3"/>
        <v>0</v>
      </c>
      <c r="R10" s="957">
        <f>IF(OR(C10="aa",C10="cp",C10="f",C10="jc",C10="m",C10="css"),0,IF(C10=0,MAX(B10,D10,F10,H10,J10,L10)-MIN(B10,D10,F10,H10,J10,L10),IF(C10&lt;&gt;0,MAX(C10,E10,G10,I10,K10,M10)-MIN(C10,E10,G10,I10,K10,M10))))</f>
        <v>0</v>
      </c>
      <c r="S10" s="262"/>
      <c r="T10" s="958" t="str">
        <f t="shared" si="19"/>
        <v/>
      </c>
      <c r="U10" s="959" t="str">
        <f>IF(P10=0,"",IF(P10&lt;Paramétrage!$S$12,"PB",IF(AND(Q10&lt;Paramétrage!$S$12,Q10&lt;&gt;0),"PB","")))</f>
        <v/>
      </c>
      <c r="V10" s="959" t="str">
        <f t="shared" si="6"/>
        <v/>
      </c>
      <c r="W10" s="959" t="str">
        <f t="shared" si="7"/>
        <v/>
      </c>
      <c r="X10" s="960" t="str">
        <f>IF(AND(N10=0,O10=0),"",(IF(OR(C10="aa",C10="cp",C10="f",C10="jc",C10="m",C10="css"),"",IF(C10="",IF(OR(D10-B10&gt;6/24,H10-F10&gt;6/24,L10-J10&gt;6/24),"PB",""),IF(OR(E10-C10&gt;6/24,I10-G10&gt;6/24,M10-K10&gt;6/24),"PB","")))))</f>
        <v/>
      </c>
      <c r="Y10" s="959" t="str">
        <f t="shared" si="9"/>
        <v/>
      </c>
      <c r="Z10" s="836"/>
      <c r="AA10" s="837"/>
      <c r="AC10" s="934">
        <f t="shared" si="11"/>
        <v>42896</v>
      </c>
      <c r="AD10" s="961">
        <f>IF(AND(N(AC10)&gt;=Paramétrage!$AU$11,N(AC10)&lt;=Paramétrage!$AU$12),IF(C10="cp",1,0),0)</f>
        <v>0</v>
      </c>
      <c r="AE10" s="962">
        <f t="shared" si="10"/>
        <v>0</v>
      </c>
      <c r="AF10" s="961">
        <f>IF(AND(N(AC10)&gt;=Paramétrage!$AX$11,N(AC10)&lt;=Paramétrage!$AX$12),IF(C10="cp",1,0),0)</f>
        <v>0</v>
      </c>
      <c r="AG10" s="962">
        <f t="shared" si="12"/>
        <v>0</v>
      </c>
      <c r="AI10" s="962">
        <f t="shared" si="13"/>
        <v>0</v>
      </c>
      <c r="AJ10" s="962">
        <f t="shared" si="14"/>
        <v>0</v>
      </c>
      <c r="AM10" s="962">
        <f t="shared" si="15"/>
        <v>0</v>
      </c>
      <c r="AN10" s="962">
        <f t="shared" si="16"/>
        <v>0</v>
      </c>
      <c r="AO10" s="962">
        <f t="shared" si="17"/>
        <v>0</v>
      </c>
      <c r="AP10" s="962">
        <f t="shared" si="18"/>
        <v>0</v>
      </c>
      <c r="AR10" s="917">
        <f>IF(AND(AC10&lt;=$AR$3,B10="CP"),1,0)</f>
        <v>0</v>
      </c>
      <c r="AS10" s="917">
        <f>IF(AND(AC10&lt;=$AR$3,C10="CP"),1,0)</f>
        <v>0</v>
      </c>
    </row>
    <row r="11" spans="1:45" ht="14.25" customHeight="1" x14ac:dyDescent="0.3">
      <c r="A11" s="964" t="s">
        <v>19</v>
      </c>
      <c r="B11" s="414" t="b">
        <f>IF(Paramétrage!$O$47="",FALSE,Paramétrage!$O$47)</f>
        <v>0</v>
      </c>
      <c r="C11" s="263"/>
      <c r="D11" s="415" t="b">
        <f>IF(Paramétrage!$Q$47="",FALSE,Paramétrage!$Q$47)</f>
        <v>0</v>
      </c>
      <c r="E11" s="264"/>
      <c r="F11" s="414" t="b">
        <f>IF(Paramétrage!$R$47="",FALSE,Paramétrage!$R$47)</f>
        <v>0</v>
      </c>
      <c r="G11" s="264"/>
      <c r="H11" s="416" t="b">
        <f>IF(Paramétrage!$T$47="",FALSE,Paramétrage!$T$47)</f>
        <v>0</v>
      </c>
      <c r="I11" s="263"/>
      <c r="J11" s="417" t="b">
        <f>IF(Paramétrage!$U$47="",FALSE,Paramétrage!$U$47)</f>
        <v>0</v>
      </c>
      <c r="K11" s="263"/>
      <c r="L11" s="418" t="b">
        <f>IF(Paramétrage!$W$47="",FALSE,Paramétrage!$W$47)</f>
        <v>0</v>
      </c>
      <c r="M11" s="263"/>
      <c r="N11" s="956">
        <f>IF(OR(B11="aa",B11="cp",B11="f",B11="jc",B11="m",B11="css"),0,(L11-J11)+(H11-F11)+(D11-B11))</f>
        <v>0</v>
      </c>
      <c r="O11" s="956">
        <f>IF(OR(C11="m",C11="aa"),N11,IF(C11="cp",0,IF(OR(C11="css",C11="jc"),0,IF(C11="f",0,E11-C11+I11-G11+M11-K11))))</f>
        <v>0</v>
      </c>
      <c r="P11" s="956">
        <f t="shared" si="2"/>
        <v>0</v>
      </c>
      <c r="Q11" s="956">
        <f t="shared" si="3"/>
        <v>0</v>
      </c>
      <c r="R11" s="957">
        <f>IF(OR(C11="aa",C11="cp",C11="f",C11="jc",C11="m",C11="css"),0,IF(C11=0,MAX(B11,D11,F11,H11,J11,L11)-MIN(B11,D11,F11,H11,J11,L11),IF(C11&lt;&gt;0,MAX(C11,E11,G11,I11,K11,M11)-MIN(C11,E11,G11,I11,K11,M11))))</f>
        <v>0</v>
      </c>
      <c r="S11" s="262"/>
      <c r="T11" s="958" t="str">
        <f t="shared" si="19"/>
        <v/>
      </c>
      <c r="U11" s="959" t="str">
        <f>IF(P11=0,"",IF(P11&lt;Paramétrage!$S$12,"PB",IF(AND(Q11&lt;Paramétrage!$S$12,Q11&lt;&gt;0),"PB","")))</f>
        <v/>
      </c>
      <c r="V11" s="959" t="str">
        <f t="shared" si="6"/>
        <v/>
      </c>
      <c r="W11" s="959" t="str">
        <f t="shared" si="7"/>
        <v/>
      </c>
      <c r="X11" s="960" t="str">
        <f>IF(AND(N11=0,O11=0),"",(IF(OR(C11="aa",C11="cp",C11="f",C11="jc",C11="m",C11="css"),"",IF(C11="",IF(OR(D11-B11&gt;6/24,H11-F11&gt;6/24,L11-J11&gt;6/24),"PB",""),IF(OR(E11-C11&gt;6/24,I11-G11&gt;6/24,M11-K11&gt;6/24),"PB","")))))</f>
        <v/>
      </c>
      <c r="Y11" s="959" t="str">
        <f t="shared" si="9"/>
        <v/>
      </c>
      <c r="Z11" s="836"/>
      <c r="AA11" s="837"/>
      <c r="AC11" s="934">
        <f t="shared" si="11"/>
        <v>42897</v>
      </c>
      <c r="AD11" s="961">
        <f>IF(AND(N(AC11)&gt;=Paramétrage!$AU$11,N(AC11)&lt;=Paramétrage!$AU$12),IF(C11="cp",1,0),0)</f>
        <v>0</v>
      </c>
      <c r="AE11" s="962">
        <f t="shared" si="10"/>
        <v>0</v>
      </c>
      <c r="AF11" s="961">
        <f>IF(AND(N(AC11)&gt;=Paramétrage!$AX$11,N(AC11)&lt;=Paramétrage!$AX$12),IF(C11="cp",1,0),0)</f>
        <v>0</v>
      </c>
      <c r="AG11" s="962">
        <f t="shared" si="12"/>
        <v>0</v>
      </c>
      <c r="AI11" s="962">
        <f t="shared" si="13"/>
        <v>0</v>
      </c>
      <c r="AJ11" s="962">
        <f t="shared" si="14"/>
        <v>0</v>
      </c>
      <c r="AM11" s="962"/>
      <c r="AN11" s="962"/>
      <c r="AO11" s="962"/>
      <c r="AP11" s="962"/>
    </row>
    <row r="12" spans="1:45" ht="14.25" customHeight="1" thickBot="1" x14ac:dyDescent="0.35">
      <c r="A12" s="966" t="s">
        <v>20</v>
      </c>
      <c r="B12" s="414" t="b">
        <f>IF(Paramétrage!$O$48="",FALSE,Paramétrage!$O$48)</f>
        <v>0</v>
      </c>
      <c r="C12" s="263"/>
      <c r="D12" s="415" t="b">
        <f>IF(Paramétrage!$Q$48="",FALSE,Paramétrage!$Q$48)</f>
        <v>0</v>
      </c>
      <c r="E12" s="264"/>
      <c r="F12" s="414" t="b">
        <f>IF(Paramétrage!$R$48="",FALSE,Paramétrage!$R$48)</f>
        <v>0</v>
      </c>
      <c r="G12" s="264"/>
      <c r="H12" s="416" t="b">
        <f>IF(Paramétrage!$T$48="",FALSE,Paramétrage!$T$48)</f>
        <v>0</v>
      </c>
      <c r="I12" s="263"/>
      <c r="J12" s="417" t="b">
        <f>IF(Paramétrage!$U$48="",FALSE,Paramétrage!$U$48)</f>
        <v>0</v>
      </c>
      <c r="K12" s="263"/>
      <c r="L12" s="418" t="b">
        <f>IF(Paramétrage!$W$48="",FALSE,Paramétrage!$W$48)</f>
        <v>0</v>
      </c>
      <c r="M12" s="263"/>
      <c r="N12" s="956">
        <f>IF(OR(B12="aa",B12="m"),M12,IF(B12="cp",0,IF(B12="jc",0,IF(B12="f",0,(D12-B12)*Paramétrage!$S$13+(H12-F12)*Paramétrage!$S$13+(L12-J12)*Paramétrage!$S$13+(D12-B12+H12-F12+L12-J12)))))</f>
        <v>0</v>
      </c>
      <c r="O12" s="956">
        <f>IF(OR(C12="aa",C12="m"),N12,IF(C12="cp",0,IF(C12="jc",0,IF(C12="f",0,(E12-C12)*Paramétrage!$S$13+(I12-G12)*Paramétrage!$S$13+(M12-K12)*Paramétrage!$S$13+(E12-C12+I12-G12+M12-K12)))))</f>
        <v>0</v>
      </c>
      <c r="P12" s="956">
        <f t="shared" si="2"/>
        <v>0</v>
      </c>
      <c r="Q12" s="956">
        <f t="shared" si="3"/>
        <v>0</v>
      </c>
      <c r="R12" s="957">
        <f t="shared" ref="R12" si="20">IF(OR(C12="aa",C12="cp",C12="f",C12="jc",C12="m",C12=0),MAX(B12,D12,F12,H12,J12,L12)-MIN(B12,D12,F12,H12,J12,L12),IF(C12&lt;&gt;0,MAX(C12,E12,G12,I12,K12,M12)-MIN(C12,E12,G12,I12,K12,M12)))</f>
        <v>0</v>
      </c>
      <c r="S12" s="262"/>
      <c r="T12" s="958" t="str">
        <f t="shared" si="19"/>
        <v/>
      </c>
      <c r="U12" s="959" t="str">
        <f>IF(P12=0,"",IF(P12&lt;Paramétrage!$S$12,"PB",IF(AND(Q12&lt;Paramétrage!$S$12,Q12&lt;&gt;0),"PB","")))</f>
        <v/>
      </c>
      <c r="V12" s="959" t="str">
        <f t="shared" si="6"/>
        <v/>
      </c>
      <c r="W12" s="959" t="str">
        <f t="shared" si="7"/>
        <v/>
      </c>
      <c r="X12" s="960" t="str">
        <f t="shared" ref="X12" si="21">IF(AND(N12=0,O12=0),"",(IF(OR(C12="aa",C12="cp",C12="f",C12="jc",C12="m"),"",IF(C12="",IF(OR(D12-B12&gt;6/24,H12-F12&gt;6/24,L12-J12&gt;6/24),"PB",""),IF(OR(E12-C12&gt;6/24,I12-G12&gt;6/24,M12-K12&gt;6/24),"PB","")))))</f>
        <v/>
      </c>
      <c r="Y12" s="959" t="str">
        <f t="shared" si="9"/>
        <v/>
      </c>
      <c r="Z12" s="836"/>
      <c r="AA12" s="837"/>
      <c r="AC12" s="934">
        <f t="shared" si="11"/>
        <v>42898</v>
      </c>
      <c r="AD12" s="961">
        <f>IF(AND(N(AC12)&gt;=Paramétrage!$AU$11,N(AC12)&lt;=Paramétrage!$AU$12),IF(C12="cp",1,0),0)</f>
        <v>0</v>
      </c>
      <c r="AE12" s="962">
        <f t="shared" si="10"/>
        <v>0</v>
      </c>
      <c r="AF12" s="961">
        <f>IF(AND(N(AC12)&gt;=Paramétrage!$AX$11,N(AC12)&lt;=Paramétrage!$AX$12),IF(C12="cp",1,0),0)</f>
        <v>0</v>
      </c>
      <c r="AG12" s="962">
        <f t="shared" si="12"/>
        <v>0</v>
      </c>
      <c r="AH12" s="968"/>
      <c r="AI12" s="962">
        <f t="shared" si="13"/>
        <v>0</v>
      </c>
      <c r="AJ12" s="962">
        <f t="shared" si="14"/>
        <v>0</v>
      </c>
      <c r="AM12" s="962"/>
      <c r="AN12" s="962"/>
      <c r="AO12" s="962"/>
      <c r="AP12" s="962"/>
    </row>
    <row r="13" spans="1:45" s="935" customFormat="1" x14ac:dyDescent="0.25">
      <c r="A13" s="969" t="s">
        <v>46</v>
      </c>
      <c r="B13" s="970"/>
      <c r="C13" s="970"/>
      <c r="D13" s="970"/>
      <c r="E13" s="970"/>
      <c r="F13" s="970"/>
      <c r="G13" s="970"/>
      <c r="H13" s="970"/>
      <c r="I13" s="970"/>
      <c r="J13" s="970"/>
      <c r="K13" s="971"/>
      <c r="L13" s="970"/>
      <c r="M13" s="970"/>
      <c r="N13" s="972">
        <f>SUM(N6:N12)</f>
        <v>0</v>
      </c>
      <c r="O13" s="972">
        <f>SUM(O6:O12)</f>
        <v>0</v>
      </c>
      <c r="P13" s="972">
        <f>SUM(P6:P12)</f>
        <v>0</v>
      </c>
      <c r="Q13" s="972">
        <f>SUM(Q6:Q12)</f>
        <v>0</v>
      </c>
      <c r="R13" s="972"/>
      <c r="S13" s="972"/>
      <c r="T13" s="973"/>
      <c r="U13" s="974"/>
      <c r="V13" s="975" t="str">
        <f>IF((O13*24)&gt;48,"PB","")</f>
        <v/>
      </c>
      <c r="W13" s="974"/>
      <c r="X13" s="974"/>
      <c r="Y13" s="974"/>
      <c r="Z13" s="1053" t="s">
        <v>59</v>
      </c>
      <c r="AA13" s="1055">
        <f>+O13-N13</f>
        <v>0</v>
      </c>
      <c r="AB13" s="967"/>
      <c r="AE13" s="917"/>
      <c r="AF13" s="917"/>
      <c r="AG13" s="917"/>
      <c r="AH13" s="917"/>
      <c r="AI13" s="917"/>
      <c r="AJ13" s="917"/>
      <c r="AK13" s="917"/>
      <c r="AL13" s="917"/>
      <c r="AM13" s="917"/>
      <c r="AN13" s="917"/>
      <c r="AO13" s="917"/>
      <c r="AP13" s="917"/>
      <c r="AR13" s="917"/>
      <c r="AS13" s="917"/>
    </row>
    <row r="14" spans="1:45" s="935" customFormat="1" x14ac:dyDescent="0.25">
      <c r="A14" s="969"/>
      <c r="B14" s="969"/>
      <c r="C14" s="969"/>
      <c r="D14" s="969"/>
      <c r="E14" s="969"/>
      <c r="F14" s="1052"/>
      <c r="G14" s="1052"/>
      <c r="H14" s="1052"/>
      <c r="I14" s="1052"/>
      <c r="J14" s="1052"/>
      <c r="K14" s="969"/>
      <c r="L14" s="969"/>
      <c r="M14" s="969"/>
      <c r="N14" s="973"/>
      <c r="O14" s="969"/>
      <c r="P14" s="980"/>
      <c r="Q14" s="980"/>
      <c r="R14" s="980"/>
      <c r="S14" s="972"/>
      <c r="T14" s="980"/>
      <c r="U14" s="980"/>
      <c r="V14" s="980"/>
      <c r="W14" s="980"/>
      <c r="X14" s="980"/>
      <c r="Y14" s="980"/>
      <c r="Z14" s="1053"/>
      <c r="AA14" s="1055"/>
      <c r="AB14" s="917"/>
      <c r="AE14" s="917"/>
      <c r="AF14" s="917"/>
      <c r="AG14" s="917"/>
      <c r="AH14" s="917"/>
      <c r="AI14" s="917"/>
      <c r="AJ14" s="917"/>
      <c r="AK14" s="917"/>
      <c r="AL14" s="917"/>
      <c r="AM14" s="917"/>
      <c r="AN14" s="917"/>
      <c r="AO14" s="917"/>
      <c r="AP14" s="917"/>
      <c r="AR14" s="917"/>
      <c r="AS14" s="917"/>
    </row>
    <row r="15" spans="1:45" s="935" customFormat="1" ht="16.5" x14ac:dyDescent="0.3">
      <c r="A15" s="969"/>
      <c r="B15" s="969"/>
      <c r="C15" s="969"/>
      <c r="D15" s="969"/>
      <c r="E15" s="969"/>
      <c r="F15" s="928">
        <f>+F3+7</f>
        <v>42899</v>
      </c>
      <c r="G15" s="928"/>
      <c r="H15" s="929" t="s">
        <v>58</v>
      </c>
      <c r="I15" s="928">
        <f>+F15+6</f>
        <v>42905</v>
      </c>
      <c r="J15" s="930"/>
      <c r="K15" s="969"/>
      <c r="L15" s="969"/>
      <c r="M15" s="969"/>
      <c r="N15" s="973"/>
      <c r="O15" s="969"/>
      <c r="P15" s="980"/>
      <c r="Q15" s="980"/>
      <c r="R15" s="980"/>
      <c r="S15" s="981"/>
      <c r="T15" s="980"/>
      <c r="U15" s="980"/>
      <c r="V15" s="980"/>
      <c r="W15" s="980"/>
      <c r="X15" s="980"/>
      <c r="Y15" s="980"/>
      <c r="Z15" s="1053"/>
      <c r="AA15" s="1054"/>
      <c r="AB15" s="917"/>
      <c r="AE15" s="917"/>
      <c r="AF15" s="917"/>
      <c r="AG15" s="917"/>
      <c r="AH15" s="917"/>
      <c r="AI15" s="917"/>
      <c r="AJ15" s="917"/>
      <c r="AK15" s="917"/>
      <c r="AL15" s="917"/>
      <c r="AM15" s="917"/>
      <c r="AN15" s="917"/>
      <c r="AO15" s="917"/>
      <c r="AP15" s="917"/>
      <c r="AR15" s="917"/>
      <c r="AS15" s="917"/>
    </row>
    <row r="16" spans="1:45" ht="15.75" customHeight="1" x14ac:dyDescent="0.3">
      <c r="A16" s="994"/>
      <c r="B16" s="1063" t="s">
        <v>17</v>
      </c>
      <c r="C16" s="1063"/>
      <c r="D16" s="1063" t="s">
        <v>18</v>
      </c>
      <c r="E16" s="1063"/>
      <c r="F16" s="1063" t="s">
        <v>17</v>
      </c>
      <c r="G16" s="1063"/>
      <c r="H16" s="1063" t="s">
        <v>18</v>
      </c>
      <c r="I16" s="1063"/>
      <c r="J16" s="1063" t="s">
        <v>17</v>
      </c>
      <c r="K16" s="1063"/>
      <c r="L16" s="1063" t="s">
        <v>18</v>
      </c>
      <c r="M16" s="1063"/>
      <c r="N16" s="939" t="s">
        <v>61</v>
      </c>
      <c r="O16" s="939" t="s">
        <v>62</v>
      </c>
      <c r="P16" s="939" t="s">
        <v>60</v>
      </c>
      <c r="Q16" s="939" t="s">
        <v>63</v>
      </c>
      <c r="R16" s="939" t="s">
        <v>64</v>
      </c>
      <c r="S16" s="940" t="s">
        <v>223</v>
      </c>
      <c r="T16" s="939" t="s">
        <v>70</v>
      </c>
      <c r="U16" s="941" t="s">
        <v>65</v>
      </c>
      <c r="V16" s="942"/>
      <c r="W16" s="942"/>
      <c r="X16" s="942"/>
      <c r="Y16" s="943"/>
      <c r="Z16" s="987" t="s">
        <v>22</v>
      </c>
      <c r="AA16" s="988"/>
    </row>
    <row r="17" spans="1:45" ht="26.25" thickBot="1" x14ac:dyDescent="0.4">
      <c r="A17" s="937" t="str">
        <f>"S"&amp;WEEKNUM(F15,21)</f>
        <v>S24</v>
      </c>
      <c r="B17" s="1064" t="s">
        <v>0</v>
      </c>
      <c r="C17" s="1065" t="s">
        <v>1</v>
      </c>
      <c r="D17" s="1064" t="s">
        <v>0</v>
      </c>
      <c r="E17" s="1065" t="s">
        <v>1</v>
      </c>
      <c r="F17" s="1064" t="s">
        <v>0</v>
      </c>
      <c r="G17" s="1065" t="s">
        <v>1</v>
      </c>
      <c r="H17" s="1064" t="s">
        <v>0</v>
      </c>
      <c r="I17" s="1065" t="s">
        <v>1</v>
      </c>
      <c r="J17" s="1064" t="s">
        <v>0</v>
      </c>
      <c r="K17" s="1065" t="s">
        <v>1</v>
      </c>
      <c r="L17" s="1064" t="s">
        <v>0</v>
      </c>
      <c r="M17" s="1065" t="s">
        <v>1</v>
      </c>
      <c r="N17" s="951"/>
      <c r="O17" s="951"/>
      <c r="P17" s="951"/>
      <c r="Q17" s="951"/>
      <c r="R17" s="951"/>
      <c r="S17" s="951"/>
      <c r="T17" s="939"/>
      <c r="U17" s="952" t="s">
        <v>66</v>
      </c>
      <c r="V17" s="952" t="s">
        <v>67</v>
      </c>
      <c r="W17" s="952" t="s">
        <v>68</v>
      </c>
      <c r="X17" s="952" t="s">
        <v>137</v>
      </c>
      <c r="Y17" s="952" t="s">
        <v>69</v>
      </c>
      <c r="Z17" s="989"/>
      <c r="AA17" s="990"/>
      <c r="AM17" s="917" t="s">
        <v>274</v>
      </c>
    </row>
    <row r="18" spans="1:45" ht="14.25" customHeight="1" x14ac:dyDescent="0.3">
      <c r="A18" s="955" t="s">
        <v>12</v>
      </c>
      <c r="B18" s="414" t="b">
        <f>IF(Paramétrage!$O$42="",FALSE,Paramétrage!$O$42)</f>
        <v>0</v>
      </c>
      <c r="C18" s="263"/>
      <c r="D18" s="415" t="b">
        <f>IF(Paramétrage!$Q$42="",FALSE,Paramétrage!$Q$42)</f>
        <v>0</v>
      </c>
      <c r="E18" s="264"/>
      <c r="F18" s="414" t="b">
        <f>IF(Paramétrage!$R$42="",FALSE,Paramétrage!$R$42)</f>
        <v>0</v>
      </c>
      <c r="G18" s="264"/>
      <c r="H18" s="416" t="b">
        <f>IF(Paramétrage!$T$42="",FALSE,Paramétrage!$T$42)</f>
        <v>0</v>
      </c>
      <c r="I18" s="263"/>
      <c r="J18" s="417" t="b">
        <f>IF(Paramétrage!$U$42="",FALSE,Paramétrage!$U$42)</f>
        <v>0</v>
      </c>
      <c r="K18" s="263"/>
      <c r="L18" s="418" t="b">
        <f>IF(Paramétrage!$W$42="",FALSE,Paramétrage!$W$42)</f>
        <v>0</v>
      </c>
      <c r="M18" s="263"/>
      <c r="N18" s="956">
        <f t="shared" ref="N18:N20" si="22">IF(OR(B18="aa",B18="cp",B18="f",B18="jc",B18="m",B18="css"),0,(L18-J18)+(H18-F18)+(D18-B18))</f>
        <v>0</v>
      </c>
      <c r="O18" s="956">
        <f t="shared" ref="O18:O20" si="23">SUM(AM18:AP18)+IF(OR(C18="m",C18="aa"),N18,IF(C18="css",0,IF(C18="cp",0,IF(C18="jc",0,IF(C18="f",0,E18-C18+I18-G18+M18-K18)))))</f>
        <v>0</v>
      </c>
      <c r="P18" s="956">
        <f t="shared" ref="P18:P24" si="24">IF(OR(C18="aa",C18="cp",C18="f",C18="jc",C18="m",C18="css"),0,IF(C18="",IF(OR(F18="",F18=FALSE),0,F18-D18),IF(G18="",0,G18-E18)))</f>
        <v>0</v>
      </c>
      <c r="Q18" s="956">
        <f t="shared" ref="Q18:Q24" si="25">IF(P18=0,0,IF(G18="",IF(OR(J18="",J18=FALSE),0,J18-H18),IF(K18="",0,K18-I18)))</f>
        <v>0</v>
      </c>
      <c r="R18" s="957">
        <f t="shared" ref="R18:R20" si="26">IF(OR(C18="aa",C18="cp",C18="f",C18="jc",C18="m",C18="css"),0,IF(C18=0,MAX(B18,D18,F18,H18,J18,L18)-MIN(B18,D18,F18,H18,J18,L18),IF(C18&lt;&gt;0,MAX(C18,E18,G18,I18,K18,M18)-MIN(C18,E18,G18,I18,K18,M18))))</f>
        <v>0</v>
      </c>
      <c r="S18" s="262"/>
      <c r="T18" s="958" t="str">
        <f t="shared" ref="T18:T19" si="27">IF(AND(B18=FALSE,C18=""),"",IF(AND(B18=0,C18=0),"",(IF(OR(C18="cp",C18="f",C18="jc",C18="css"),"",IF(OR(C18="",C18="aa",C18="m"),(IF(OR(B18="cp",B18="f",B18="jc",B18="css"),"",B18*24+24-MAX(D17,H17,L17)*24)),C18*24+24-MAX(M17,I17,E17)*24)))))</f>
        <v/>
      </c>
      <c r="U18" s="959" t="str">
        <f>IF(P18=0,"",IF(P18&lt;Paramétrage!$S$12,"PB",IF(AND(Q18&lt;Paramétrage!$S$12,Q18&lt;&gt;0),"PB","")))</f>
        <v/>
      </c>
      <c r="V18" s="959" t="str">
        <f t="shared" ref="V18:V24" si="28">IF(C18="",IF((N18*24)&gt;10,"PB",""),IF((O18*24)&gt;10,"PB",""))</f>
        <v/>
      </c>
      <c r="W18" s="959" t="str">
        <f t="shared" ref="W18:W24" si="29">IF((R18*24)&gt;12,"PB","")</f>
        <v/>
      </c>
      <c r="X18" s="960" t="str">
        <f t="shared" ref="X18:X20" si="30">IF(AND(N18=0,O18=0),"",(IF(OR(C18="aa",C18="cp",C18="f",C18="jc",C18="m",C18="css"),"",IF(C18="",IF(OR(D18-B18&gt;6/24,H18-F18&gt;6/24,L18-J18&gt;6/24),"PB",""),IF(OR(E18-C18&gt;6/24,I18-G18&gt;6/24,M18-K18&gt;6/24),"PB","")))))</f>
        <v/>
      </c>
      <c r="Y18" s="959" t="str">
        <f t="shared" ref="Y18:Y24" si="31">IF(T18="","",IF(T18&lt;11,"PB",""))</f>
        <v/>
      </c>
      <c r="Z18" s="836"/>
      <c r="AA18" s="837"/>
      <c r="AC18" s="934">
        <f>AC12+1</f>
        <v>42899</v>
      </c>
      <c r="AD18" s="961">
        <f>IF(AND(N(AC18)&gt;=Paramétrage!$AU$11,N(AC18)&lt;=Paramétrage!$AU$12),IF(C18="cp",1,0),0)</f>
        <v>0</v>
      </c>
      <c r="AE18" s="962">
        <f t="shared" ref="AE18:AE24" si="32">IF(O18&lt;&gt;"erreur",N18,O18)</f>
        <v>0</v>
      </c>
      <c r="AF18" s="961">
        <f>IF(AND(N(AC18)&gt;=Paramétrage!$AX$11,N(AC18)&lt;=Paramétrage!$AX$12),IF(C18="cp",1,0),0)</f>
        <v>0</v>
      </c>
      <c r="AG18" s="962">
        <f t="shared" ref="AG18:AG24" si="33">O18</f>
        <v>0</v>
      </c>
      <c r="AI18" s="962">
        <f>AE18+AI12</f>
        <v>0</v>
      </c>
      <c r="AJ18" s="962">
        <f>AG18+AJ12</f>
        <v>0</v>
      </c>
      <c r="AK18" s="968"/>
      <c r="AM18" s="962">
        <f>IF(AND($B18="cp",$C18="m"),$Z18,0)</f>
        <v>0</v>
      </c>
      <c r="AN18" s="962">
        <f>IF(AND($B18="jc",$C18="m"),$Z18,0)</f>
        <v>0</v>
      </c>
      <c r="AO18" s="962">
        <f>IF(AND($B18="cp",$C18="aa"),$Z18,0)</f>
        <v>0</v>
      </c>
      <c r="AP18" s="962">
        <f>IF(AND($B18="jc",$C18="aa"),$Z18,0)</f>
        <v>0</v>
      </c>
      <c r="AR18" s="917">
        <f>IF(AND(AC18&lt;=$AR$3,B18="CP"),1,0)</f>
        <v>0</v>
      </c>
      <c r="AS18" s="917">
        <f>IF(AND(AC18&lt;=$AR$3,C18="CP"),1,0)</f>
        <v>0</v>
      </c>
    </row>
    <row r="19" spans="1:45" ht="14.25" customHeight="1" x14ac:dyDescent="0.3">
      <c r="A19" s="964" t="s">
        <v>13</v>
      </c>
      <c r="B19" s="414" t="b">
        <f>IF(Paramétrage!$O$43="",FALSE,Paramétrage!$O$43)</f>
        <v>0</v>
      </c>
      <c r="C19" s="263"/>
      <c r="D19" s="415" t="b">
        <f>IF(Paramétrage!$Q$43="",FALSE,Paramétrage!$Q$43)</f>
        <v>0</v>
      </c>
      <c r="E19" s="264"/>
      <c r="F19" s="414" t="b">
        <f>IF(Paramétrage!$R$43="",FALSE,Paramétrage!$R$43)</f>
        <v>0</v>
      </c>
      <c r="G19" s="264"/>
      <c r="H19" s="416" t="b">
        <f>IF(Paramétrage!$T$43="",FALSE,Paramétrage!$T$43)</f>
        <v>0</v>
      </c>
      <c r="I19" s="263"/>
      <c r="J19" s="417" t="b">
        <f>IF(Paramétrage!$U$43="",FALSE,Paramétrage!$U$43)</f>
        <v>0</v>
      </c>
      <c r="K19" s="263"/>
      <c r="L19" s="418" t="b">
        <f>IF(Paramétrage!$W$43="",FALSE,Paramétrage!$W$43)</f>
        <v>0</v>
      </c>
      <c r="M19" s="263"/>
      <c r="N19" s="956">
        <f t="shared" si="22"/>
        <v>0</v>
      </c>
      <c r="O19" s="956">
        <f t="shared" si="23"/>
        <v>0</v>
      </c>
      <c r="P19" s="956">
        <f t="shared" si="24"/>
        <v>0</v>
      </c>
      <c r="Q19" s="956">
        <f t="shared" si="25"/>
        <v>0</v>
      </c>
      <c r="R19" s="957">
        <f t="shared" si="26"/>
        <v>0</v>
      </c>
      <c r="S19" s="262"/>
      <c r="T19" s="958" t="str">
        <f t="shared" si="27"/>
        <v/>
      </c>
      <c r="U19" s="959" t="str">
        <f>IF(P19=0,"",IF(P19&lt;Paramétrage!$S$12,"PB",IF(AND(Q19&lt;Paramétrage!$S$12,Q19&lt;&gt;0),"PB","")))</f>
        <v/>
      </c>
      <c r="V19" s="959" t="str">
        <f t="shared" si="28"/>
        <v/>
      </c>
      <c r="W19" s="959" t="str">
        <f t="shared" si="29"/>
        <v/>
      </c>
      <c r="X19" s="960" t="str">
        <f t="shared" si="30"/>
        <v/>
      </c>
      <c r="Y19" s="959" t="str">
        <f t="shared" si="31"/>
        <v/>
      </c>
      <c r="Z19" s="836"/>
      <c r="AA19" s="837"/>
      <c r="AC19" s="934">
        <f t="shared" ref="AC19:AC24" si="34">AC18+1</f>
        <v>42900</v>
      </c>
      <c r="AD19" s="961">
        <f>IF(AND(N(AC19)&gt;=Paramétrage!$AU$11,N(AC19)&lt;=Paramétrage!$AU$12),IF(C19="cp",1,0),0)</f>
        <v>0</v>
      </c>
      <c r="AE19" s="962">
        <f t="shared" si="32"/>
        <v>0</v>
      </c>
      <c r="AF19" s="961">
        <f>IF(AND(N(AC19)&gt;=Paramétrage!$AX$11,N(AC19)&lt;=Paramétrage!$AX$12),IF(C19="cp",1,0),0)</f>
        <v>0</v>
      </c>
      <c r="AG19" s="962">
        <f t="shared" si="33"/>
        <v>0</v>
      </c>
      <c r="AI19" s="962">
        <f t="shared" ref="AI19:AI24" si="35">AE19+AI18</f>
        <v>0</v>
      </c>
      <c r="AJ19" s="962">
        <f t="shared" ref="AJ19:AJ24" si="36">AG19+AJ18</f>
        <v>0</v>
      </c>
      <c r="AM19" s="962">
        <f t="shared" ref="AM19:AM22" si="37">IF(AND($B19="cp",$C19="m"),$Z19,0)</f>
        <v>0</v>
      </c>
      <c r="AN19" s="962">
        <f t="shared" ref="AN19:AN22" si="38">IF(AND($B19="jc",$C19="m"),$Z19,0)</f>
        <v>0</v>
      </c>
      <c r="AO19" s="962">
        <f t="shared" ref="AO19:AO22" si="39">IF(AND($B19="cp",$C19="aa"),$Z19,0)</f>
        <v>0</v>
      </c>
      <c r="AP19" s="962">
        <f t="shared" ref="AP19:AP22" si="40">IF(AND($B19="jc",$C19="aa"),$Z19,0)</f>
        <v>0</v>
      </c>
      <c r="AR19" s="917">
        <f>IF(AND(AC19&lt;=$AR$3,B19="CP"),1,0)</f>
        <v>0</v>
      </c>
      <c r="AS19" s="917">
        <f>IF(AND(AC19&lt;=$AR$3,C19="CP"),1,0)</f>
        <v>0</v>
      </c>
    </row>
    <row r="20" spans="1:45" ht="14.25" customHeight="1" x14ac:dyDescent="0.3">
      <c r="A20" s="964" t="s">
        <v>14</v>
      </c>
      <c r="B20" s="414" t="b">
        <f>IF(Paramétrage!$O$44="",FALSE,Paramétrage!$O$44)</f>
        <v>0</v>
      </c>
      <c r="C20" s="263"/>
      <c r="D20" s="415" t="b">
        <f>IF(Paramétrage!$Q$44="",FALSE,Paramétrage!$Q$44)</f>
        <v>0</v>
      </c>
      <c r="E20" s="264"/>
      <c r="F20" s="414" t="b">
        <f>IF(Paramétrage!$R$44="",FALSE,Paramétrage!$R$44)</f>
        <v>0</v>
      </c>
      <c r="G20" s="264"/>
      <c r="H20" s="416" t="b">
        <f>IF(Paramétrage!$T$44="",FALSE,Paramétrage!$T$44)</f>
        <v>0</v>
      </c>
      <c r="I20" s="263"/>
      <c r="J20" s="417" t="b">
        <f>IF(Paramétrage!$U$44="",FALSE,Paramétrage!$U$44)</f>
        <v>0</v>
      </c>
      <c r="K20" s="263"/>
      <c r="L20" s="418" t="b">
        <f>IF(Paramétrage!$W$44="",FALSE,Paramétrage!$W$44)</f>
        <v>0</v>
      </c>
      <c r="M20" s="263"/>
      <c r="N20" s="956">
        <f t="shared" si="22"/>
        <v>0</v>
      </c>
      <c r="O20" s="956">
        <f t="shared" si="23"/>
        <v>0</v>
      </c>
      <c r="P20" s="956">
        <f t="shared" si="24"/>
        <v>0</v>
      </c>
      <c r="Q20" s="956">
        <f t="shared" si="25"/>
        <v>0</v>
      </c>
      <c r="R20" s="957">
        <f t="shared" si="26"/>
        <v>0</v>
      </c>
      <c r="S20" s="262"/>
      <c r="T20" s="958" t="str">
        <f>IF(AND(B20=FALSE,C20=""),"",IF(AND(B20=0,C20=0),"",(IF(OR(C20="cp",C20="f",C20="jc",C20="css"),"",IF(OR(C20="",C20="aa",C20="m"),(IF(OR(B20="cp",B20="f",B20="jc",B20="css"),"",B20*24+24-MAX(D19,H19,L19)*24)),C20*24+24-MAX(M19,I19,E19)*24)))))</f>
        <v/>
      </c>
      <c r="U20" s="959" t="str">
        <f>IF(P20=0,"",IF(P20&lt;Paramétrage!$S$12,"PB",IF(AND(Q20&lt;Paramétrage!$S$12,Q20&lt;&gt;0),"PB","")))</f>
        <v/>
      </c>
      <c r="V20" s="959" t="str">
        <f t="shared" si="28"/>
        <v/>
      </c>
      <c r="W20" s="959" t="str">
        <f t="shared" si="29"/>
        <v/>
      </c>
      <c r="X20" s="960" t="str">
        <f t="shared" si="30"/>
        <v/>
      </c>
      <c r="Y20" s="959" t="str">
        <f t="shared" si="31"/>
        <v/>
      </c>
      <c r="Z20" s="836"/>
      <c r="AA20" s="837"/>
      <c r="AC20" s="934">
        <f t="shared" si="34"/>
        <v>42901</v>
      </c>
      <c r="AD20" s="961">
        <f>IF(AND(N(AC20)&gt;=Paramétrage!$AU$11,N(AC20)&lt;=Paramétrage!$AU$12),IF(C20="cp",1,0),0)</f>
        <v>0</v>
      </c>
      <c r="AE20" s="962">
        <f t="shared" si="32"/>
        <v>0</v>
      </c>
      <c r="AF20" s="961">
        <f>IF(AND(N(AC20)&gt;=Paramétrage!$AX$11,N(AC20)&lt;=Paramétrage!$AX$12),IF(C20="cp",1,0),0)</f>
        <v>0</v>
      </c>
      <c r="AG20" s="962">
        <f t="shared" si="33"/>
        <v>0</v>
      </c>
      <c r="AI20" s="962">
        <f t="shared" si="35"/>
        <v>0</v>
      </c>
      <c r="AJ20" s="962">
        <f t="shared" si="36"/>
        <v>0</v>
      </c>
      <c r="AM20" s="962">
        <f t="shared" si="37"/>
        <v>0</v>
      </c>
      <c r="AN20" s="962">
        <f t="shared" si="38"/>
        <v>0</v>
      </c>
      <c r="AO20" s="962">
        <f t="shared" si="39"/>
        <v>0</v>
      </c>
      <c r="AP20" s="962">
        <f t="shared" si="40"/>
        <v>0</v>
      </c>
      <c r="AR20" s="917">
        <f>IF(AND(AC20&lt;=$AR$3,B20="CP"),1,0)</f>
        <v>0</v>
      </c>
      <c r="AS20" s="917">
        <f>IF(AND(AC20&lt;=$AR$3,C20="CP"),1,0)</f>
        <v>0</v>
      </c>
    </row>
    <row r="21" spans="1:45" ht="14.25" customHeight="1" x14ac:dyDescent="0.3">
      <c r="A21" s="964" t="s">
        <v>15</v>
      </c>
      <c r="B21" s="414" t="b">
        <f>IF(Paramétrage!$O$45="",FALSE,Paramétrage!$O$45)</f>
        <v>0</v>
      </c>
      <c r="C21" s="263"/>
      <c r="D21" s="415" t="b">
        <f>IF(Paramétrage!$Q$45="",FALSE,Paramétrage!$Q$45)</f>
        <v>0</v>
      </c>
      <c r="E21" s="264"/>
      <c r="F21" s="414" t="b">
        <f>IF(Paramétrage!$R$45="",FALSE,Paramétrage!$R$45)</f>
        <v>0</v>
      </c>
      <c r="G21" s="264"/>
      <c r="H21" s="416" t="b">
        <f>IF(Paramétrage!$T$45="",FALSE,Paramétrage!$T$45)</f>
        <v>0</v>
      </c>
      <c r="I21" s="263"/>
      <c r="J21" s="417" t="b">
        <f>IF(Paramétrage!$U$45="",FALSE,Paramétrage!$U$45)</f>
        <v>0</v>
      </c>
      <c r="K21" s="263"/>
      <c r="L21" s="418" t="b">
        <f>IF(Paramétrage!$W$45="",FALSE,Paramétrage!$W$45)</f>
        <v>0</v>
      </c>
      <c r="M21" s="263"/>
      <c r="N21" s="956">
        <f>IF(OR(B21="aa",B21="cp",B21="f",B21="jc",B21="m",B21="css"),0,(L21-J21)+(H21-F21)+(D21-B21))</f>
        <v>0</v>
      </c>
      <c r="O21" s="956">
        <f>SUM(AM21:AP21)+IF(OR(C21="m",C21="aa"),N21,IF(C21="css",0,IF(C21="cp",0,IF(C21="jc",0,IF(C21="f",0,E21-C21+I21-G21+M21-K21)))))</f>
        <v>0</v>
      </c>
      <c r="P21" s="956">
        <f t="shared" si="24"/>
        <v>0</v>
      </c>
      <c r="Q21" s="956">
        <f t="shared" si="25"/>
        <v>0</v>
      </c>
      <c r="R21" s="957">
        <f>IF(OR(C21="aa",C21="cp",C21="f",C21="jc",C21="m",C21="css"),0,IF(C21=0,MAX(B21,D21,F21,H21,J21,L21)-MIN(B21,D21,F21,H21,J21,L21),IF(C21&lt;&gt;0,MAX(C21,E21,G21,I21,K21,M21)-MIN(C21,E21,G21,I21,K21,M21))))</f>
        <v>0</v>
      </c>
      <c r="S21" s="262"/>
      <c r="T21" s="958" t="str">
        <f t="shared" ref="T21:T24" si="41">IF(AND(B21=FALSE,C21=""),"",IF(AND(B21=0,C21=0),"",(IF(OR(C21="cp",C21="f",C21="jc",C21="css"),"",IF(OR(C21="",C21="aa",C21="m"),(IF(OR(B21="cp",B21="f",B21="jc",B21="css"),"",B21*24+24-MAX(D20,H20,L20)*24)),C21*24+24-MAX(M20,I20,E20)*24)))))</f>
        <v/>
      </c>
      <c r="U21" s="959" t="str">
        <f>IF(P21=0,"",IF(P21&lt;Paramétrage!$S$12,"PB",IF(AND(Q21&lt;Paramétrage!$S$12,Q21&lt;&gt;0),"PB","")))</f>
        <v/>
      </c>
      <c r="V21" s="959" t="str">
        <f t="shared" si="28"/>
        <v/>
      </c>
      <c r="W21" s="959" t="str">
        <f t="shared" si="29"/>
        <v/>
      </c>
      <c r="X21" s="960" t="str">
        <f>IF(AND(N21=0,O21=0),"",(IF(OR(C21="aa",C21="cp",C21="f",C21="jc",C21="m",C21="css"),"",IF(C21="",IF(OR(D21-B21&gt;6/24,H21-F21&gt;6/24,L21-J21&gt;6/24),"PB",""),IF(OR(E21-C21&gt;6/24,I21-G21&gt;6/24,M21-K21&gt;6/24),"PB","")))))</f>
        <v/>
      </c>
      <c r="Y21" s="959" t="str">
        <f t="shared" si="31"/>
        <v/>
      </c>
      <c r="Z21" s="836"/>
      <c r="AA21" s="837"/>
      <c r="AC21" s="934">
        <f t="shared" si="34"/>
        <v>42902</v>
      </c>
      <c r="AD21" s="961">
        <f>IF(AND(N(AC21)&gt;=Paramétrage!$AU$11,N(AC21)&lt;=Paramétrage!$AU$12),IF(C21="cp",1,0),0)</f>
        <v>0</v>
      </c>
      <c r="AE21" s="962">
        <f t="shared" si="32"/>
        <v>0</v>
      </c>
      <c r="AF21" s="961">
        <f>IF(AND(N(AC21)&gt;=Paramétrage!$AX$11,N(AC21)&lt;=Paramétrage!$AX$12),IF(C21="cp",1,0),0)</f>
        <v>0</v>
      </c>
      <c r="AG21" s="962">
        <f t="shared" si="33"/>
        <v>0</v>
      </c>
      <c r="AI21" s="962">
        <f t="shared" si="35"/>
        <v>0</v>
      </c>
      <c r="AJ21" s="962">
        <f t="shared" si="36"/>
        <v>0</v>
      </c>
      <c r="AM21" s="962">
        <f t="shared" si="37"/>
        <v>0</v>
      </c>
      <c r="AN21" s="962">
        <f t="shared" si="38"/>
        <v>0</v>
      </c>
      <c r="AO21" s="962">
        <f t="shared" si="39"/>
        <v>0</v>
      </c>
      <c r="AP21" s="962">
        <f t="shared" si="40"/>
        <v>0</v>
      </c>
      <c r="AR21" s="917">
        <f>IF(AND(AC21&lt;=$AR$3,B21="CP"),1,0)</f>
        <v>0</v>
      </c>
      <c r="AS21" s="917">
        <f>IF(AND(AC21&lt;=$AR$3,C21="CP"),1,0)</f>
        <v>0</v>
      </c>
    </row>
    <row r="22" spans="1:45" ht="14.25" customHeight="1" x14ac:dyDescent="0.3">
      <c r="A22" s="964" t="s">
        <v>16</v>
      </c>
      <c r="B22" s="414" t="b">
        <f>IF(Paramétrage!$O$46="",FALSE,Paramétrage!$O$46)</f>
        <v>0</v>
      </c>
      <c r="C22" s="263"/>
      <c r="D22" s="415" t="b">
        <f>IF(Paramétrage!$Q$46="",FALSE,Paramétrage!$Q$46)</f>
        <v>0</v>
      </c>
      <c r="E22" s="264"/>
      <c r="F22" s="414" t="b">
        <f>IF(Paramétrage!$R$46="",FALSE,Paramétrage!$R$46)</f>
        <v>0</v>
      </c>
      <c r="G22" s="264"/>
      <c r="H22" s="416" t="b">
        <f>IF(Paramétrage!$T$46="",FALSE,Paramétrage!$T$46)</f>
        <v>0</v>
      </c>
      <c r="I22" s="263"/>
      <c r="J22" s="417" t="b">
        <f>IF(Paramétrage!$U$46="",FALSE,Paramétrage!$U$46)</f>
        <v>0</v>
      </c>
      <c r="K22" s="263"/>
      <c r="L22" s="418" t="b">
        <f>IF(Paramétrage!$W$46="",FALSE,Paramétrage!$W$46)</f>
        <v>0</v>
      </c>
      <c r="M22" s="263"/>
      <c r="N22" s="956">
        <f>IF(OR(B22="aa",B22="cp",B22="f",B22="jc",B22="m",B22="css"),0,(L22-J22)+(H22-F22)+(D22-B22))</f>
        <v>0</v>
      </c>
      <c r="O22" s="956">
        <f>SUM(AM22:AP22)+IF(OR(C22="m",C22="aa"),N22,IF(C22="css",0,IF(C22="cp",0,IF(C22="jc",0,IF(C22="f",0,E22-C22+I22-G22+M22-K22)))))</f>
        <v>0</v>
      </c>
      <c r="P22" s="956">
        <f t="shared" si="24"/>
        <v>0</v>
      </c>
      <c r="Q22" s="956">
        <f t="shared" si="25"/>
        <v>0</v>
      </c>
      <c r="R22" s="957">
        <f>IF(OR(C22="aa",C22="cp",C22="f",C22="jc",C22="m",C22="css"),0,IF(C22=0,MAX(B22,D22,F22,H22,J22,L22)-MIN(B22,D22,F22,H22,J22,L22),IF(C22&lt;&gt;0,MAX(C22,E22,G22,I22,K22,M22)-MIN(C22,E22,G22,I22,K22,M22))))</f>
        <v>0</v>
      </c>
      <c r="S22" s="262"/>
      <c r="T22" s="958" t="str">
        <f t="shared" si="41"/>
        <v/>
      </c>
      <c r="U22" s="959" t="str">
        <f>IF(P22=0,"",IF(P22&lt;Paramétrage!$S$12,"PB",IF(AND(Q22&lt;Paramétrage!$S$12,Q22&lt;&gt;0),"PB","")))</f>
        <v/>
      </c>
      <c r="V22" s="959" t="str">
        <f t="shared" si="28"/>
        <v/>
      </c>
      <c r="W22" s="959" t="str">
        <f t="shared" si="29"/>
        <v/>
      </c>
      <c r="X22" s="960" t="str">
        <f>IF(AND(N22=0,O22=0),"",(IF(OR(C22="aa",C22="cp",C22="f",C22="jc",C22="m",C22="css"),"",IF(C22="",IF(OR(D22-B22&gt;6/24,H22-F22&gt;6/24,L22-J22&gt;6/24),"PB",""),IF(OR(E22-C22&gt;6/24,I22-G22&gt;6/24,M22-K22&gt;6/24),"PB","")))))</f>
        <v/>
      </c>
      <c r="Y22" s="959" t="str">
        <f t="shared" si="31"/>
        <v/>
      </c>
      <c r="Z22" s="836"/>
      <c r="AA22" s="837"/>
      <c r="AC22" s="934">
        <f t="shared" si="34"/>
        <v>42903</v>
      </c>
      <c r="AD22" s="961">
        <f>IF(AND(N(AC22)&gt;=Paramétrage!$AU$11,N(AC22)&lt;=Paramétrage!$AU$12),IF(C22="cp",1,0),0)</f>
        <v>0</v>
      </c>
      <c r="AE22" s="962">
        <f t="shared" si="32"/>
        <v>0</v>
      </c>
      <c r="AF22" s="961">
        <f>IF(AND(N(AC22)&gt;=Paramétrage!$AX$11,N(AC22)&lt;=Paramétrage!$AX$12),IF(C22="cp",1,0),0)</f>
        <v>0</v>
      </c>
      <c r="AG22" s="962">
        <f t="shared" si="33"/>
        <v>0</v>
      </c>
      <c r="AI22" s="962">
        <f t="shared" si="35"/>
        <v>0</v>
      </c>
      <c r="AJ22" s="962">
        <f t="shared" si="36"/>
        <v>0</v>
      </c>
      <c r="AM22" s="962">
        <f t="shared" si="37"/>
        <v>0</v>
      </c>
      <c r="AN22" s="962">
        <f t="shared" si="38"/>
        <v>0</v>
      </c>
      <c r="AO22" s="962">
        <f t="shared" si="39"/>
        <v>0</v>
      </c>
      <c r="AP22" s="962">
        <f t="shared" si="40"/>
        <v>0</v>
      </c>
      <c r="AR22" s="917">
        <f>IF(AND(AC22&lt;=$AR$3,B22="CP"),1,0)</f>
        <v>0</v>
      </c>
      <c r="AS22" s="917">
        <f>IF(AND(AC22&lt;=$AR$3,C22="CP"),1,0)</f>
        <v>0</v>
      </c>
    </row>
    <row r="23" spans="1:45" ht="14.25" customHeight="1" x14ac:dyDescent="0.3">
      <c r="A23" s="964" t="s">
        <v>19</v>
      </c>
      <c r="B23" s="414" t="b">
        <f>IF(Paramétrage!$O$47="",FALSE,Paramétrage!$O$47)</f>
        <v>0</v>
      </c>
      <c r="C23" s="263"/>
      <c r="D23" s="415" t="b">
        <f>IF(Paramétrage!$Q$47="",FALSE,Paramétrage!$Q$47)</f>
        <v>0</v>
      </c>
      <c r="E23" s="264"/>
      <c r="F23" s="414" t="b">
        <f>IF(Paramétrage!$R$47="",FALSE,Paramétrage!$R$47)</f>
        <v>0</v>
      </c>
      <c r="G23" s="264"/>
      <c r="H23" s="416" t="b">
        <f>IF(Paramétrage!$T$47="",FALSE,Paramétrage!$T$47)</f>
        <v>0</v>
      </c>
      <c r="I23" s="263"/>
      <c r="J23" s="417" t="b">
        <f>IF(Paramétrage!$U$47="",FALSE,Paramétrage!$U$47)</f>
        <v>0</v>
      </c>
      <c r="K23" s="263"/>
      <c r="L23" s="418" t="b">
        <f>IF(Paramétrage!$W$47="",FALSE,Paramétrage!$W$47)</f>
        <v>0</v>
      </c>
      <c r="M23" s="263"/>
      <c r="N23" s="956">
        <f>IF(OR(B23="aa",B23="cp",B23="f",B23="jc",B23="m",B23="css"),0,(L23-J23)+(H23-F23)+(D23-B23))</f>
        <v>0</v>
      </c>
      <c r="O23" s="956">
        <f>IF(OR(C23="m",C23="aa"),N23,IF(C23="cp",0,IF(OR(C23="css",C23="jc"),0,IF(C23="f",0,E23-C23+I23-G23+M23-K23))))</f>
        <v>0</v>
      </c>
      <c r="P23" s="956">
        <f t="shared" si="24"/>
        <v>0</v>
      </c>
      <c r="Q23" s="956">
        <f t="shared" si="25"/>
        <v>0</v>
      </c>
      <c r="R23" s="957">
        <f>IF(OR(C23="aa",C23="cp",C23="f",C23="jc",C23="m",C23="css"),0,IF(C23=0,MAX(B23,D23,F23,H23,J23,L23)-MIN(B23,D23,F23,H23,J23,L23),IF(C23&lt;&gt;0,MAX(C23,E23,G23,I23,K23,M23)-MIN(C23,E23,G23,I23,K23,M23))))</f>
        <v>0</v>
      </c>
      <c r="S23" s="262"/>
      <c r="T23" s="958" t="str">
        <f t="shared" si="41"/>
        <v/>
      </c>
      <c r="U23" s="959" t="str">
        <f>IF(P23=0,"",IF(P23&lt;Paramétrage!$S$12,"PB",IF(AND(Q23&lt;Paramétrage!$S$12,Q23&lt;&gt;0),"PB","")))</f>
        <v/>
      </c>
      <c r="V23" s="959" t="str">
        <f t="shared" si="28"/>
        <v/>
      </c>
      <c r="W23" s="959" t="str">
        <f t="shared" si="29"/>
        <v/>
      </c>
      <c r="X23" s="960" t="str">
        <f>IF(AND(N23=0,O23=0),"",(IF(OR(C23="aa",C23="cp",C23="f",C23="jc",C23="m",C23="css"),"",IF(C23="",IF(OR(D23-B23&gt;6/24,H23-F23&gt;6/24,L23-J23&gt;6/24),"PB",""),IF(OR(E23-C23&gt;6/24,I23-G23&gt;6/24,M23-K23&gt;6/24),"PB","")))))</f>
        <v/>
      </c>
      <c r="Y23" s="959" t="str">
        <f t="shared" si="31"/>
        <v/>
      </c>
      <c r="Z23" s="836"/>
      <c r="AA23" s="837"/>
      <c r="AC23" s="934">
        <f t="shared" si="34"/>
        <v>42904</v>
      </c>
      <c r="AD23" s="961">
        <f>IF(AND(N(AC23)&gt;=Paramétrage!$AU$11,N(AC23)&lt;=Paramétrage!$AU$12),IF(C23="cp",1,0),0)</f>
        <v>0</v>
      </c>
      <c r="AE23" s="962">
        <f t="shared" si="32"/>
        <v>0</v>
      </c>
      <c r="AF23" s="961">
        <f>IF(AND(N(AC23)&gt;=Paramétrage!$AX$11,N(AC23)&lt;=Paramétrage!$AX$12),IF(C23="cp",1,0),0)</f>
        <v>0</v>
      </c>
      <c r="AG23" s="962">
        <f t="shared" si="33"/>
        <v>0</v>
      </c>
      <c r="AI23" s="962">
        <f t="shared" si="35"/>
        <v>0</v>
      </c>
      <c r="AJ23" s="962">
        <f t="shared" si="36"/>
        <v>0</v>
      </c>
      <c r="AM23" s="962"/>
      <c r="AN23" s="962"/>
      <c r="AO23" s="962"/>
      <c r="AP23" s="962"/>
    </row>
    <row r="24" spans="1:45" ht="14.25" customHeight="1" thickBot="1" x14ac:dyDescent="0.35">
      <c r="A24" s="966" t="s">
        <v>20</v>
      </c>
      <c r="B24" s="414" t="b">
        <f>IF(Paramétrage!$O$48="",FALSE,Paramétrage!$O$48)</f>
        <v>0</v>
      </c>
      <c r="C24" s="263"/>
      <c r="D24" s="415" t="b">
        <f>IF(Paramétrage!$Q$48="",FALSE,Paramétrage!$Q$48)</f>
        <v>0</v>
      </c>
      <c r="E24" s="264"/>
      <c r="F24" s="414" t="b">
        <f>IF(Paramétrage!$R$48="",FALSE,Paramétrage!$R$48)</f>
        <v>0</v>
      </c>
      <c r="G24" s="264"/>
      <c r="H24" s="416" t="b">
        <f>IF(Paramétrage!$T$48="",FALSE,Paramétrage!$T$48)</f>
        <v>0</v>
      </c>
      <c r="I24" s="263"/>
      <c r="J24" s="417" t="b">
        <f>IF(Paramétrage!$U$48="",FALSE,Paramétrage!$U$48)</f>
        <v>0</v>
      </c>
      <c r="K24" s="263"/>
      <c r="L24" s="418" t="b">
        <f>IF(Paramétrage!$W$48="",FALSE,Paramétrage!$W$48)</f>
        <v>0</v>
      </c>
      <c r="M24" s="263"/>
      <c r="N24" s="956">
        <f>IF(OR(B24="aa",B24="m"),M24,IF(B24="cp",0,IF(B24="jc",0,IF(B24="f",0,(D24-B24)*Paramétrage!$S$13+(H24-F24)*Paramétrage!$S$13+(L24-J24)*Paramétrage!$S$13+(D24-B24+H24-F24+L24-J24)))))</f>
        <v>0</v>
      </c>
      <c r="O24" s="956">
        <f>IF(OR(C24="aa",C24="m"),N24,IF(C24="cp",0,IF(C24="jc",0,IF(C24="f",0,(E24-C24)*Paramétrage!$S$13+(I24-G24)*Paramétrage!$S$13+(M24-K24)*Paramétrage!$S$13+(E24-C24+I24-G24+M24-K24)))))</f>
        <v>0</v>
      </c>
      <c r="P24" s="956">
        <f t="shared" si="24"/>
        <v>0</v>
      </c>
      <c r="Q24" s="956">
        <f t="shared" si="25"/>
        <v>0</v>
      </c>
      <c r="R24" s="957">
        <f t="shared" ref="R24" si="42">IF(OR(C24="aa",C24="cp",C24="f",C24="jc",C24="m",C24=0),MAX(B24,D24,F24,H24,J24,L24)-MIN(B24,D24,F24,H24,J24,L24),IF(C24&lt;&gt;0,MAX(C24,E24,G24,I24,K24,M24)-MIN(C24,E24,G24,I24,K24,M24)))</f>
        <v>0</v>
      </c>
      <c r="S24" s="262"/>
      <c r="T24" s="958" t="str">
        <f t="shared" si="41"/>
        <v/>
      </c>
      <c r="U24" s="959" t="str">
        <f>IF(P24=0,"",IF(P24&lt;Paramétrage!$S$12,"PB",IF(AND(Q24&lt;Paramétrage!$S$12,Q24&lt;&gt;0),"PB","")))</f>
        <v/>
      </c>
      <c r="V24" s="959" t="str">
        <f t="shared" si="28"/>
        <v/>
      </c>
      <c r="W24" s="959" t="str">
        <f t="shared" si="29"/>
        <v/>
      </c>
      <c r="X24" s="960" t="str">
        <f t="shared" ref="X24" si="43">IF(AND(N24=0,O24=0),"",(IF(OR(C24="aa",C24="cp",C24="f",C24="jc",C24="m"),"",IF(C24="",IF(OR(D24-B24&gt;6/24,H24-F24&gt;6/24,L24-J24&gt;6/24),"PB",""),IF(OR(E24-C24&gt;6/24,I24-G24&gt;6/24,M24-K24&gt;6/24),"PB","")))))</f>
        <v/>
      </c>
      <c r="Y24" s="959" t="str">
        <f t="shared" si="31"/>
        <v/>
      </c>
      <c r="Z24" s="836"/>
      <c r="AA24" s="837"/>
      <c r="AC24" s="934">
        <f t="shared" si="34"/>
        <v>42905</v>
      </c>
      <c r="AD24" s="961">
        <f>IF(AND(N(AC24)&gt;=Paramétrage!$AU$11,N(AC24)&lt;=Paramétrage!$AU$12),IF(C24="cp",1,0),0)</f>
        <v>0</v>
      </c>
      <c r="AE24" s="962">
        <f t="shared" si="32"/>
        <v>0</v>
      </c>
      <c r="AF24" s="961">
        <f>IF(AND(N(AC24)&gt;=Paramétrage!$AX$11,N(AC24)&lt;=Paramétrage!$AX$12),IF(C24="cp",1,0),0)</f>
        <v>0</v>
      </c>
      <c r="AG24" s="962">
        <f t="shared" si="33"/>
        <v>0</v>
      </c>
      <c r="AI24" s="962">
        <f t="shared" si="35"/>
        <v>0</v>
      </c>
      <c r="AJ24" s="962">
        <f t="shared" si="36"/>
        <v>0</v>
      </c>
      <c r="AM24" s="962"/>
      <c r="AN24" s="962"/>
      <c r="AO24" s="962"/>
      <c r="AP24" s="962"/>
    </row>
    <row r="25" spans="1:45" s="935" customFormat="1" x14ac:dyDescent="0.25">
      <c r="A25" s="969" t="s">
        <v>47</v>
      </c>
      <c r="B25" s="970"/>
      <c r="C25" s="970"/>
      <c r="D25" s="970"/>
      <c r="E25" s="970"/>
      <c r="F25" s="970"/>
      <c r="G25" s="970"/>
      <c r="H25" s="970"/>
      <c r="I25" s="970"/>
      <c r="J25" s="970"/>
      <c r="K25" s="971"/>
      <c r="L25" s="970"/>
      <c r="M25" s="970"/>
      <c r="N25" s="972">
        <f>SUM(N18:N24)</f>
        <v>0</v>
      </c>
      <c r="O25" s="972">
        <f>SUM(O18:O24)</f>
        <v>0</v>
      </c>
      <c r="P25" s="972">
        <f>SUM(P18:P24)</f>
        <v>0</v>
      </c>
      <c r="Q25" s="972">
        <f>SUM(Q18:Q24)</f>
        <v>0</v>
      </c>
      <c r="R25" s="972"/>
      <c r="S25" s="972"/>
      <c r="T25" s="973"/>
      <c r="U25" s="974"/>
      <c r="V25" s="975" t="str">
        <f>IF((O25*24)&gt;48,"PB","")</f>
        <v/>
      </c>
      <c r="W25" s="974"/>
      <c r="X25" s="974"/>
      <c r="Y25" s="974"/>
      <c r="Z25" s="1053" t="s">
        <v>59</v>
      </c>
      <c r="AA25" s="1055">
        <f>+O25-N25</f>
        <v>0</v>
      </c>
      <c r="AB25" s="967"/>
      <c r="AC25" s="934"/>
      <c r="AE25" s="917"/>
      <c r="AF25" s="917"/>
      <c r="AG25" s="917"/>
      <c r="AH25" s="917"/>
      <c r="AI25" s="917"/>
      <c r="AJ25" s="917"/>
      <c r="AK25" s="917"/>
      <c r="AL25" s="917"/>
      <c r="AM25" s="917"/>
      <c r="AN25" s="917"/>
      <c r="AO25" s="917"/>
      <c r="AP25" s="917"/>
      <c r="AR25" s="917"/>
      <c r="AS25" s="917"/>
    </row>
    <row r="26" spans="1:45" s="935" customFormat="1" x14ac:dyDescent="0.25">
      <c r="A26" s="969"/>
      <c r="B26" s="969"/>
      <c r="C26" s="969"/>
      <c r="D26" s="969"/>
      <c r="E26" s="969"/>
      <c r="F26" s="1052"/>
      <c r="G26" s="1052"/>
      <c r="H26" s="1052"/>
      <c r="I26" s="1052"/>
      <c r="J26" s="1052"/>
      <c r="K26" s="969"/>
      <c r="L26" s="969"/>
      <c r="M26" s="969"/>
      <c r="N26" s="973"/>
      <c r="O26" s="969"/>
      <c r="P26" s="980"/>
      <c r="Q26" s="980"/>
      <c r="R26" s="980"/>
      <c r="S26" s="981"/>
      <c r="T26" s="980"/>
      <c r="U26" s="980"/>
      <c r="V26" s="980"/>
      <c r="W26" s="980"/>
      <c r="X26" s="980"/>
      <c r="Y26" s="980"/>
      <c r="Z26" s="1053"/>
      <c r="AA26" s="1055"/>
      <c r="AB26" s="917"/>
      <c r="AC26" s="934"/>
      <c r="AE26" s="917"/>
      <c r="AF26" s="917"/>
      <c r="AG26" s="917"/>
      <c r="AH26" s="917"/>
      <c r="AI26" s="917"/>
      <c r="AJ26" s="917"/>
      <c r="AK26" s="917"/>
      <c r="AL26" s="917"/>
      <c r="AM26" s="917"/>
      <c r="AN26" s="917"/>
      <c r="AO26" s="917"/>
      <c r="AP26" s="917"/>
      <c r="AR26" s="917"/>
      <c r="AS26" s="917"/>
    </row>
    <row r="27" spans="1:45" s="935" customFormat="1" ht="16.5" x14ac:dyDescent="0.3">
      <c r="A27" s="969"/>
      <c r="B27" s="969"/>
      <c r="C27" s="969"/>
      <c r="D27" s="969"/>
      <c r="E27" s="969"/>
      <c r="F27" s="928">
        <f>+F15+7</f>
        <v>42906</v>
      </c>
      <c r="G27" s="928"/>
      <c r="H27" s="929" t="s">
        <v>58</v>
      </c>
      <c r="I27" s="928">
        <f>+F27+6</f>
        <v>42912</v>
      </c>
      <c r="J27" s="930"/>
      <c r="K27" s="969"/>
      <c r="L27" s="969"/>
      <c r="M27" s="969"/>
      <c r="N27" s="973"/>
      <c r="O27" s="969"/>
      <c r="P27" s="980"/>
      <c r="Q27" s="980"/>
      <c r="R27" s="980"/>
      <c r="S27" s="981"/>
      <c r="T27" s="980"/>
      <c r="U27" s="980"/>
      <c r="V27" s="980"/>
      <c r="W27" s="980"/>
      <c r="X27" s="980"/>
      <c r="Y27" s="980"/>
      <c r="Z27" s="1053"/>
      <c r="AA27" s="1054"/>
      <c r="AB27" s="917"/>
      <c r="AC27" s="934"/>
      <c r="AE27" s="917"/>
      <c r="AF27" s="917"/>
      <c r="AG27" s="917"/>
      <c r="AH27" s="917"/>
      <c r="AI27" s="917"/>
      <c r="AJ27" s="917"/>
      <c r="AK27" s="917"/>
      <c r="AL27" s="917"/>
      <c r="AM27" s="917"/>
      <c r="AN27" s="917"/>
      <c r="AO27" s="917"/>
      <c r="AP27" s="917"/>
      <c r="AR27" s="917"/>
      <c r="AS27" s="917"/>
    </row>
    <row r="28" spans="1:45" ht="15.75" customHeight="1" x14ac:dyDescent="0.3">
      <c r="A28" s="994"/>
      <c r="B28" s="1063" t="s">
        <v>17</v>
      </c>
      <c r="C28" s="1063"/>
      <c r="D28" s="1063" t="s">
        <v>18</v>
      </c>
      <c r="E28" s="1063"/>
      <c r="F28" s="1063" t="s">
        <v>17</v>
      </c>
      <c r="G28" s="1063"/>
      <c r="H28" s="1063" t="s">
        <v>18</v>
      </c>
      <c r="I28" s="1063"/>
      <c r="J28" s="1063" t="s">
        <v>17</v>
      </c>
      <c r="K28" s="1063"/>
      <c r="L28" s="1063" t="s">
        <v>18</v>
      </c>
      <c r="M28" s="1063"/>
      <c r="N28" s="939" t="s">
        <v>61</v>
      </c>
      <c r="O28" s="939" t="s">
        <v>62</v>
      </c>
      <c r="P28" s="939" t="s">
        <v>60</v>
      </c>
      <c r="Q28" s="939" t="s">
        <v>63</v>
      </c>
      <c r="R28" s="939" t="s">
        <v>64</v>
      </c>
      <c r="S28" s="940" t="s">
        <v>223</v>
      </c>
      <c r="T28" s="939" t="s">
        <v>70</v>
      </c>
      <c r="U28" s="941" t="s">
        <v>65</v>
      </c>
      <c r="V28" s="942"/>
      <c r="W28" s="942"/>
      <c r="X28" s="942"/>
      <c r="Y28" s="943"/>
      <c r="Z28" s="987" t="s">
        <v>22</v>
      </c>
      <c r="AA28" s="988"/>
      <c r="AC28" s="934"/>
    </row>
    <row r="29" spans="1:45" ht="25.5" customHeight="1" thickBot="1" x14ac:dyDescent="0.4">
      <c r="A29" s="937" t="str">
        <f>"S"&amp;WEEKNUM(F27,21)</f>
        <v>S25</v>
      </c>
      <c r="B29" s="1064" t="s">
        <v>0</v>
      </c>
      <c r="C29" s="1065" t="s">
        <v>1</v>
      </c>
      <c r="D29" s="1064" t="s">
        <v>0</v>
      </c>
      <c r="E29" s="1065" t="s">
        <v>1</v>
      </c>
      <c r="F29" s="1064" t="s">
        <v>0</v>
      </c>
      <c r="G29" s="1065" t="s">
        <v>1</v>
      </c>
      <c r="H29" s="1064" t="s">
        <v>0</v>
      </c>
      <c r="I29" s="1065" t="s">
        <v>1</v>
      </c>
      <c r="J29" s="1064" t="s">
        <v>0</v>
      </c>
      <c r="K29" s="1065" t="s">
        <v>1</v>
      </c>
      <c r="L29" s="1064" t="s">
        <v>0</v>
      </c>
      <c r="M29" s="1065" t="s">
        <v>1</v>
      </c>
      <c r="N29" s="951"/>
      <c r="O29" s="951"/>
      <c r="P29" s="951"/>
      <c r="Q29" s="951"/>
      <c r="R29" s="951"/>
      <c r="S29" s="951"/>
      <c r="T29" s="939"/>
      <c r="U29" s="952" t="s">
        <v>66</v>
      </c>
      <c r="V29" s="952" t="s">
        <v>67</v>
      </c>
      <c r="W29" s="952" t="s">
        <v>68</v>
      </c>
      <c r="X29" s="952" t="s">
        <v>137</v>
      </c>
      <c r="Y29" s="952" t="s">
        <v>69</v>
      </c>
      <c r="Z29" s="989"/>
      <c r="AA29" s="990"/>
      <c r="AC29" s="934"/>
      <c r="AM29" s="917" t="s">
        <v>274</v>
      </c>
    </row>
    <row r="30" spans="1:45" ht="14.25" customHeight="1" x14ac:dyDescent="0.3">
      <c r="A30" s="955" t="s">
        <v>12</v>
      </c>
      <c r="B30" s="414" t="b">
        <f>IF(Paramétrage!$O$42="",FALSE,Paramétrage!$O$42)</f>
        <v>0</v>
      </c>
      <c r="C30" s="263"/>
      <c r="D30" s="415" t="b">
        <f>IF(Paramétrage!$Q$42="",FALSE,Paramétrage!$Q$42)</f>
        <v>0</v>
      </c>
      <c r="E30" s="264"/>
      <c r="F30" s="414" t="b">
        <f>IF(Paramétrage!$R$42="",FALSE,Paramétrage!$R$42)</f>
        <v>0</v>
      </c>
      <c r="G30" s="264"/>
      <c r="H30" s="414" t="b">
        <f>IF(Paramétrage!$T$42="",FALSE,Paramétrage!$T$42)</f>
        <v>0</v>
      </c>
      <c r="I30" s="263"/>
      <c r="J30" s="414" t="b">
        <f>IF(Paramétrage!$U$42="",FALSE,Paramétrage!$U$42)</f>
        <v>0</v>
      </c>
      <c r="K30" s="263"/>
      <c r="L30" s="418" t="b">
        <f>IF(Paramétrage!$W$42="",FALSE,Paramétrage!$W$42)</f>
        <v>0</v>
      </c>
      <c r="M30" s="263"/>
      <c r="N30" s="956">
        <f t="shared" ref="N30:N32" si="44">IF(OR(B30="aa",B30="cp",B30="f",B30="jc",B30="m",B30="css"),0,(L30-J30)+(H30-F30)+(D30-B30))</f>
        <v>0</v>
      </c>
      <c r="O30" s="956">
        <f t="shared" ref="O30:O32" si="45">SUM(AM30:AP30)+IF(OR(C30="m",C30="aa"),N30,IF(C30="css",0,IF(C30="cp",0,IF(C30="jc",0,IF(C30="f",0,E30-C30+I30-G30+M30-K30)))))</f>
        <v>0</v>
      </c>
      <c r="P30" s="956">
        <f t="shared" ref="P30:P36" si="46">IF(OR(C30="aa",C30="cp",C30="f",C30="jc",C30="m",C30="css"),0,IF(C30="",IF(OR(F30="",F30=FALSE),0,F30-D30),IF(G30="",0,G30-E30)))</f>
        <v>0</v>
      </c>
      <c r="Q30" s="956">
        <f t="shared" ref="Q30:Q36" si="47">IF(P30=0,0,IF(G30="",IF(OR(J30="",J30=FALSE),0,J30-H30),IF(K30="",0,K30-I30)))</f>
        <v>0</v>
      </c>
      <c r="R30" s="957">
        <f t="shared" ref="R30:R32" si="48">IF(OR(C30="aa",C30="cp",C30="f",C30="jc",C30="m",C30="css"),0,IF(C30=0,MAX(B30,D30,F30,H30,J30,L30)-MIN(B30,D30,F30,H30,J30,L30),IF(C30&lt;&gt;0,MAX(C30,E30,G30,I30,K30,M30)-MIN(C30,E30,G30,I30,K30,M30))))</f>
        <v>0</v>
      </c>
      <c r="S30" s="262"/>
      <c r="T30" s="958" t="str">
        <f t="shared" ref="T30:T31" si="49">IF(AND(B30=FALSE,C30=""),"",IF(AND(B30=0,C30=0),"",(IF(OR(C30="cp",C30="f",C30="jc",C30="css"),"",IF(OR(C30="",C30="aa",C30="m"),(IF(OR(B30="cp",B30="f",B30="jc",B30="css"),"",B30*24+24-MAX(D29,H29,L29)*24)),C30*24+24-MAX(M29,I29,E29)*24)))))</f>
        <v/>
      </c>
      <c r="U30" s="959" t="str">
        <f>IF(P30=0,"",IF(P30&lt;Paramétrage!$S$12,"PB",IF(AND(Q30&lt;Paramétrage!$S$12,Q30&lt;&gt;0),"PB","")))</f>
        <v/>
      </c>
      <c r="V30" s="959" t="str">
        <f t="shared" ref="V30:V36" si="50">IF(C30="",IF((N30*24)&gt;10,"PB",""),IF((O30*24)&gt;10,"PB",""))</f>
        <v/>
      </c>
      <c r="W30" s="959" t="str">
        <f t="shared" ref="W30:W36" si="51">IF((R30*24)&gt;12,"PB","")</f>
        <v/>
      </c>
      <c r="X30" s="960" t="str">
        <f t="shared" ref="X30:X32" si="52">IF(AND(N30=0,O30=0),"",(IF(OR(C30="aa",C30="cp",C30="f",C30="jc",C30="m",C30="css"),"",IF(C30="",IF(OR(D30-B30&gt;6/24,H30-F30&gt;6/24,L30-J30&gt;6/24),"PB",""),IF(OR(E30-C30&gt;6/24,I30-G30&gt;6/24,M30-K30&gt;6/24),"PB","")))))</f>
        <v/>
      </c>
      <c r="Y30" s="959" t="str">
        <f t="shared" ref="Y30:Y36" si="53">IF(T30="","",IF(T30&lt;11,"PB",""))</f>
        <v/>
      </c>
      <c r="Z30" s="836"/>
      <c r="AA30" s="837"/>
      <c r="AC30" s="934">
        <f>AC24+1</f>
        <v>42906</v>
      </c>
      <c r="AD30" s="961">
        <f>IF(AND(N(AC30)&gt;=Paramétrage!$AU$11,N(AC30)&lt;=Paramétrage!$AU$12),IF(C30="cp",1,0),0)</f>
        <v>0</v>
      </c>
      <c r="AE30" s="962">
        <f t="shared" ref="AE30:AE36" si="54">IF(O30&lt;&gt;"erreur",N30,O30)</f>
        <v>0</v>
      </c>
      <c r="AF30" s="961">
        <f>IF(AND(N(AC30)&gt;=Paramétrage!$AX$11,N(AC30)&lt;=Paramétrage!$AX$12),IF(C30="cp",1,0),0)</f>
        <v>0</v>
      </c>
      <c r="AG30" s="962">
        <f>O30</f>
        <v>0</v>
      </c>
      <c r="AI30" s="962">
        <f>AE30+AI24</f>
        <v>0</v>
      </c>
      <c r="AJ30" s="962">
        <f>AG30+AJ24</f>
        <v>0</v>
      </c>
      <c r="AM30" s="962">
        <f>IF(AND($B30="cp",$C30="m"),$Z30,0)</f>
        <v>0</v>
      </c>
      <c r="AN30" s="962">
        <f>IF(AND($B30="jc",$C30="m"),$Z30,0)</f>
        <v>0</v>
      </c>
      <c r="AO30" s="962">
        <f>IF(AND($B30="cp",$C30="aa"),$Z30,0)</f>
        <v>0</v>
      </c>
      <c r="AP30" s="962">
        <f>IF(AND($B30="jc",$C30="aa"),$Z30,0)</f>
        <v>0</v>
      </c>
      <c r="AR30" s="917">
        <f>IF(AND(AC30&lt;=$AR$3,B30="CP"),1,0)</f>
        <v>0</v>
      </c>
      <c r="AS30" s="917">
        <f>IF(AND(AC30&lt;=$AR$3,C30="CP"),1,0)</f>
        <v>0</v>
      </c>
    </row>
    <row r="31" spans="1:45" ht="14.25" customHeight="1" x14ac:dyDescent="0.3">
      <c r="A31" s="964" t="s">
        <v>13</v>
      </c>
      <c r="B31" s="414" t="b">
        <f>IF(Paramétrage!$O$43="",FALSE,Paramétrage!$O$43)</f>
        <v>0</v>
      </c>
      <c r="C31" s="263"/>
      <c r="D31" s="415" t="b">
        <f>IF(Paramétrage!$Q$43="",FALSE,Paramétrage!$Q$43)</f>
        <v>0</v>
      </c>
      <c r="E31" s="264"/>
      <c r="F31" s="414" t="b">
        <f>IF(Paramétrage!$R$43="",FALSE,Paramétrage!$R$43)</f>
        <v>0</v>
      </c>
      <c r="G31" s="264"/>
      <c r="H31" s="414" t="b">
        <f>IF(Paramétrage!$T$43="",FALSE,Paramétrage!$T$43)</f>
        <v>0</v>
      </c>
      <c r="I31" s="263"/>
      <c r="J31" s="414" t="b">
        <f>IF(Paramétrage!$U$43="",FALSE,Paramétrage!$U$43)</f>
        <v>0</v>
      </c>
      <c r="K31" s="263"/>
      <c r="L31" s="418" t="b">
        <f>IF(Paramétrage!$W$43="",FALSE,Paramétrage!$W$43)</f>
        <v>0</v>
      </c>
      <c r="M31" s="263"/>
      <c r="N31" s="956">
        <f t="shared" si="44"/>
        <v>0</v>
      </c>
      <c r="O31" s="956">
        <f t="shared" si="45"/>
        <v>0</v>
      </c>
      <c r="P31" s="956">
        <f t="shared" si="46"/>
        <v>0</v>
      </c>
      <c r="Q31" s="956">
        <f t="shared" si="47"/>
        <v>0</v>
      </c>
      <c r="R31" s="957">
        <f t="shared" si="48"/>
        <v>0</v>
      </c>
      <c r="S31" s="262"/>
      <c r="T31" s="958" t="str">
        <f t="shared" si="49"/>
        <v/>
      </c>
      <c r="U31" s="959" t="str">
        <f>IF(P31=0,"",IF(P31&lt;Paramétrage!$S$12,"PB",IF(AND(Q31&lt;Paramétrage!$S$12,Q31&lt;&gt;0),"PB","")))</f>
        <v/>
      </c>
      <c r="V31" s="959" t="str">
        <f t="shared" si="50"/>
        <v/>
      </c>
      <c r="W31" s="959" t="str">
        <f t="shared" si="51"/>
        <v/>
      </c>
      <c r="X31" s="960" t="str">
        <f t="shared" si="52"/>
        <v/>
      </c>
      <c r="Y31" s="959" t="str">
        <f t="shared" si="53"/>
        <v/>
      </c>
      <c r="Z31" s="836"/>
      <c r="AA31" s="837"/>
      <c r="AC31" s="934">
        <f t="shared" ref="AC31:AC36" si="55">AC30+1</f>
        <v>42907</v>
      </c>
      <c r="AD31" s="961">
        <f>IF(AND(N(AC31)&gt;=Paramétrage!$AU$11,N(AC31)&lt;=Paramétrage!$AU$12),IF(C31="cp",1,0),0)</f>
        <v>0</v>
      </c>
      <c r="AE31" s="962">
        <f t="shared" si="54"/>
        <v>0</v>
      </c>
      <c r="AF31" s="961">
        <f>IF(AND(N(AC31)&gt;=Paramétrage!$AX$11,N(AC31)&lt;=Paramétrage!$AX$12),IF(C31="cp",1,0),0)</f>
        <v>0</v>
      </c>
      <c r="AG31" s="962">
        <f t="shared" ref="AG31:AG36" si="56">O31</f>
        <v>0</v>
      </c>
      <c r="AI31" s="962">
        <f t="shared" ref="AI31:AI36" si="57">AE31+AI30</f>
        <v>0</v>
      </c>
      <c r="AJ31" s="962">
        <f t="shared" ref="AJ31:AJ36" si="58">AG31+AJ30</f>
        <v>0</v>
      </c>
      <c r="AM31" s="962">
        <f t="shared" ref="AM31:AM34" si="59">IF(AND($B31="cp",$C31="m"),$Z31,0)</f>
        <v>0</v>
      </c>
      <c r="AN31" s="962">
        <f t="shared" ref="AN31:AN34" si="60">IF(AND($B31="jc",$C31="m"),$Z31,0)</f>
        <v>0</v>
      </c>
      <c r="AO31" s="962">
        <f t="shared" ref="AO31:AO34" si="61">IF(AND($B31="cp",$C31="aa"),$Z31,0)</f>
        <v>0</v>
      </c>
      <c r="AP31" s="962">
        <f t="shared" ref="AP31:AP34" si="62">IF(AND($B31="jc",$C31="aa"),$Z31,0)</f>
        <v>0</v>
      </c>
      <c r="AR31" s="917">
        <f>IF(AND(AC31&lt;=$AR$3,B31="CP"),1,0)</f>
        <v>0</v>
      </c>
      <c r="AS31" s="917">
        <f>IF(AND(AC31&lt;=$AR$3,C31="CP"),1,0)</f>
        <v>0</v>
      </c>
    </row>
    <row r="32" spans="1:45" ht="14.25" customHeight="1" x14ac:dyDescent="0.3">
      <c r="A32" s="964" t="s">
        <v>14</v>
      </c>
      <c r="B32" s="414" t="b">
        <f>IF(Paramétrage!$O$44="",FALSE,Paramétrage!$O$44)</f>
        <v>0</v>
      </c>
      <c r="C32" s="263"/>
      <c r="D32" s="415" t="b">
        <f>IF(Paramétrage!$Q$44="",FALSE,Paramétrage!$Q$44)</f>
        <v>0</v>
      </c>
      <c r="E32" s="264"/>
      <c r="F32" s="414" t="b">
        <f>IF(Paramétrage!$R$44="",FALSE,Paramétrage!$R$44)</f>
        <v>0</v>
      </c>
      <c r="G32" s="264"/>
      <c r="H32" s="414" t="b">
        <f>IF(Paramétrage!$T$44="",FALSE,Paramétrage!$T$44)</f>
        <v>0</v>
      </c>
      <c r="I32" s="263"/>
      <c r="J32" s="414" t="b">
        <f>IF(Paramétrage!$U$44="",FALSE,Paramétrage!$U$44)</f>
        <v>0</v>
      </c>
      <c r="K32" s="263"/>
      <c r="L32" s="418" t="b">
        <f>IF(Paramétrage!$W$44="",FALSE,Paramétrage!$W$44)</f>
        <v>0</v>
      </c>
      <c r="M32" s="263"/>
      <c r="N32" s="956">
        <f t="shared" si="44"/>
        <v>0</v>
      </c>
      <c r="O32" s="956">
        <f t="shared" si="45"/>
        <v>0</v>
      </c>
      <c r="P32" s="956">
        <f t="shared" si="46"/>
        <v>0</v>
      </c>
      <c r="Q32" s="956">
        <f t="shared" si="47"/>
        <v>0</v>
      </c>
      <c r="R32" s="957">
        <f t="shared" si="48"/>
        <v>0</v>
      </c>
      <c r="S32" s="262"/>
      <c r="T32" s="958" t="str">
        <f>IF(AND(B32=FALSE,C32=""),"",IF(AND(B32=0,C32=0),"",(IF(OR(C32="cp",C32="f",C32="jc",C32="css"),"",IF(OR(C32="",C32="aa",C32="m"),(IF(OR(B32="cp",B32="f",B32="jc",B32="css"),"",B32*24+24-MAX(D31,H31,L31)*24)),C32*24+24-MAX(M31,I31,E31)*24)))))</f>
        <v/>
      </c>
      <c r="U32" s="959" t="str">
        <f>IF(P32=0,"",IF(P32&lt;Paramétrage!$S$12,"PB",IF(AND(Q32&lt;Paramétrage!$S$12,Q32&lt;&gt;0),"PB","")))</f>
        <v/>
      </c>
      <c r="V32" s="959" t="str">
        <f t="shared" si="50"/>
        <v/>
      </c>
      <c r="W32" s="959" t="str">
        <f t="shared" si="51"/>
        <v/>
      </c>
      <c r="X32" s="960" t="str">
        <f t="shared" si="52"/>
        <v/>
      </c>
      <c r="Y32" s="959" t="str">
        <f t="shared" si="53"/>
        <v/>
      </c>
      <c r="Z32" s="836"/>
      <c r="AA32" s="837"/>
      <c r="AC32" s="934">
        <f t="shared" si="55"/>
        <v>42908</v>
      </c>
      <c r="AD32" s="961">
        <f>IF(AND(N(AC32)&gt;=Paramétrage!$AU$11,N(AC32)&lt;=Paramétrage!$AU$12),IF(C32="cp",1,0),0)</f>
        <v>0</v>
      </c>
      <c r="AE32" s="962">
        <f t="shared" si="54"/>
        <v>0</v>
      </c>
      <c r="AF32" s="961">
        <f>IF(AND(N(AC32)&gt;=Paramétrage!$AX$11,N(AC32)&lt;=Paramétrage!$AX$12),IF(C32="cp",1,0),0)</f>
        <v>0</v>
      </c>
      <c r="AG32" s="962">
        <f t="shared" si="56"/>
        <v>0</v>
      </c>
      <c r="AI32" s="962">
        <f t="shared" si="57"/>
        <v>0</v>
      </c>
      <c r="AJ32" s="962">
        <f t="shared" si="58"/>
        <v>0</v>
      </c>
      <c r="AM32" s="962">
        <f t="shared" si="59"/>
        <v>0</v>
      </c>
      <c r="AN32" s="962">
        <f t="shared" si="60"/>
        <v>0</v>
      </c>
      <c r="AO32" s="962">
        <f t="shared" si="61"/>
        <v>0</v>
      </c>
      <c r="AP32" s="962">
        <f t="shared" si="62"/>
        <v>0</v>
      </c>
      <c r="AR32" s="917">
        <f>IF(AND(AC32&lt;=$AR$3,B32="CP"),1,0)</f>
        <v>0</v>
      </c>
      <c r="AS32" s="917">
        <f>IF(AND(AC32&lt;=$AR$3,C32="CP"),1,0)</f>
        <v>0</v>
      </c>
    </row>
    <row r="33" spans="1:45" ht="14.25" customHeight="1" x14ac:dyDescent="0.3">
      <c r="A33" s="964" t="s">
        <v>15</v>
      </c>
      <c r="B33" s="414" t="b">
        <f>IF(Paramétrage!$O$45="",FALSE,Paramétrage!$O$45)</f>
        <v>0</v>
      </c>
      <c r="C33" s="263"/>
      <c r="D33" s="415" t="b">
        <f>IF(Paramétrage!$Q$45="",FALSE,Paramétrage!$Q$45)</f>
        <v>0</v>
      </c>
      <c r="E33" s="264"/>
      <c r="F33" s="414" t="b">
        <f>IF(Paramétrage!$R$45="",FALSE,Paramétrage!$R$45)</f>
        <v>0</v>
      </c>
      <c r="G33" s="264"/>
      <c r="H33" s="414" t="b">
        <f>IF(Paramétrage!$T$45="",FALSE,Paramétrage!$T$45)</f>
        <v>0</v>
      </c>
      <c r="I33" s="263"/>
      <c r="J33" s="414" t="b">
        <f>IF(Paramétrage!$U$45="",FALSE,Paramétrage!$U$45)</f>
        <v>0</v>
      </c>
      <c r="K33" s="263"/>
      <c r="L33" s="418" t="b">
        <f>IF(Paramétrage!$W$45="",FALSE,Paramétrage!$W$45)</f>
        <v>0</v>
      </c>
      <c r="M33" s="263"/>
      <c r="N33" s="956">
        <f>IF(OR(B33="aa",B33="cp",B33="f",B33="jc",B33="m",B33="css"),0,(L33-J33)+(H33-F33)+(D33-B33))</f>
        <v>0</v>
      </c>
      <c r="O33" s="956">
        <f>SUM(AM33:AP33)+IF(OR(C33="m",C33="aa"),N33,IF(C33="css",0,IF(C33="cp",0,IF(C33="jc",0,IF(C33="f",0,E33-C33+I33-G33+M33-K33)))))</f>
        <v>0</v>
      </c>
      <c r="P33" s="956">
        <f t="shared" si="46"/>
        <v>0</v>
      </c>
      <c r="Q33" s="956">
        <f t="shared" si="47"/>
        <v>0</v>
      </c>
      <c r="R33" s="957">
        <f>IF(OR(C33="aa",C33="cp",C33="f",C33="jc",C33="m",C33="css"),0,IF(C33=0,MAX(B33,D33,F33,H33,J33,L33)-MIN(B33,D33,F33,H33,J33,L33),IF(C33&lt;&gt;0,MAX(C33,E33,G33,I33,K33,M33)-MIN(C33,E33,G33,I33,K33,M33))))</f>
        <v>0</v>
      </c>
      <c r="S33" s="262"/>
      <c r="T33" s="958" t="str">
        <f t="shared" ref="T33:T36" si="63">IF(AND(B33=FALSE,C33=""),"",IF(AND(B33=0,C33=0),"",(IF(OR(C33="cp",C33="f",C33="jc",C33="css"),"",IF(OR(C33="",C33="aa",C33="m"),(IF(OR(B33="cp",B33="f",B33="jc",B33="css"),"",B33*24+24-MAX(D32,H32,L32)*24)),C33*24+24-MAX(M32,I32,E32)*24)))))</f>
        <v/>
      </c>
      <c r="U33" s="959" t="str">
        <f>IF(P33=0,"",IF(P33&lt;Paramétrage!$S$12,"PB",IF(AND(Q33&lt;Paramétrage!$S$12,Q33&lt;&gt;0),"PB","")))</f>
        <v/>
      </c>
      <c r="V33" s="959" t="str">
        <f t="shared" si="50"/>
        <v/>
      </c>
      <c r="W33" s="959" t="str">
        <f t="shared" si="51"/>
        <v/>
      </c>
      <c r="X33" s="960" t="str">
        <f>IF(AND(N33=0,O33=0),"",(IF(OR(C33="aa",C33="cp",C33="f",C33="jc",C33="m",C33="css"),"",IF(C33="",IF(OR(D33-B33&gt;6/24,H33-F33&gt;6/24,L33-J33&gt;6/24),"PB",""),IF(OR(E33-C33&gt;6/24,I33-G33&gt;6/24,M33-K33&gt;6/24),"PB","")))))</f>
        <v/>
      </c>
      <c r="Y33" s="959" t="str">
        <f t="shared" si="53"/>
        <v/>
      </c>
      <c r="Z33" s="836"/>
      <c r="AA33" s="837"/>
      <c r="AC33" s="934">
        <f t="shared" si="55"/>
        <v>42909</v>
      </c>
      <c r="AD33" s="961">
        <f>IF(AND(N(AC33)&gt;=Paramétrage!$AU$11,N(AC33)&lt;=Paramétrage!$AU$12),IF(C33="cp",1,0),0)</f>
        <v>0</v>
      </c>
      <c r="AE33" s="962">
        <f t="shared" si="54"/>
        <v>0</v>
      </c>
      <c r="AF33" s="961">
        <f>IF(AND(N(AC33)&gt;=Paramétrage!$AX$11,N(AC33)&lt;=Paramétrage!$AX$12),IF(C33="cp",1,0),0)</f>
        <v>0</v>
      </c>
      <c r="AG33" s="962">
        <f t="shared" si="56"/>
        <v>0</v>
      </c>
      <c r="AI33" s="962">
        <f t="shared" si="57"/>
        <v>0</v>
      </c>
      <c r="AJ33" s="962">
        <f t="shared" si="58"/>
        <v>0</v>
      </c>
      <c r="AM33" s="962">
        <f t="shared" si="59"/>
        <v>0</v>
      </c>
      <c r="AN33" s="962">
        <f t="shared" si="60"/>
        <v>0</v>
      </c>
      <c r="AO33" s="962">
        <f t="shared" si="61"/>
        <v>0</v>
      </c>
      <c r="AP33" s="962">
        <f t="shared" si="62"/>
        <v>0</v>
      </c>
      <c r="AR33" s="917">
        <f>IF(AND(AC33&lt;=$AR$3,B33="CP"),1,0)</f>
        <v>0</v>
      </c>
      <c r="AS33" s="917">
        <f>IF(AND(AC33&lt;=$AR$3,C33="CP"),1,0)</f>
        <v>0</v>
      </c>
    </row>
    <row r="34" spans="1:45" ht="14.25" customHeight="1" x14ac:dyDescent="0.3">
      <c r="A34" s="964" t="s">
        <v>16</v>
      </c>
      <c r="B34" s="414" t="b">
        <f>IF(Paramétrage!$O$46="",FALSE,Paramétrage!$O$46)</f>
        <v>0</v>
      </c>
      <c r="C34" s="263"/>
      <c r="D34" s="415" t="b">
        <f>IF(Paramétrage!$Q$46="",FALSE,Paramétrage!$Q$46)</f>
        <v>0</v>
      </c>
      <c r="E34" s="264"/>
      <c r="F34" s="414" t="b">
        <f>IF(Paramétrage!$R$46="",FALSE,Paramétrage!$R$46)</f>
        <v>0</v>
      </c>
      <c r="G34" s="264"/>
      <c r="H34" s="414" t="b">
        <f>IF(Paramétrage!$T$46="",FALSE,Paramétrage!$T$46)</f>
        <v>0</v>
      </c>
      <c r="I34" s="263"/>
      <c r="J34" s="414" t="b">
        <f>IF(Paramétrage!$U$46="",FALSE,Paramétrage!$U$46)</f>
        <v>0</v>
      </c>
      <c r="K34" s="263"/>
      <c r="L34" s="418" t="b">
        <f>IF(Paramétrage!$W$46="",FALSE,Paramétrage!$W$46)</f>
        <v>0</v>
      </c>
      <c r="M34" s="263"/>
      <c r="N34" s="956">
        <f>IF(OR(B34="aa",B34="cp",B34="f",B34="jc",B34="m",B34="css"),0,(L34-J34)+(H34-F34)+(D34-B34))</f>
        <v>0</v>
      </c>
      <c r="O34" s="956">
        <f>SUM(AM34:AP34)+IF(OR(C34="m",C34="aa"),N34,IF(C34="css",0,IF(C34="cp",0,IF(C34="jc",0,IF(C34="f",0,E34-C34+I34-G34+M34-K34)))))</f>
        <v>0</v>
      </c>
      <c r="P34" s="956">
        <f t="shared" si="46"/>
        <v>0</v>
      </c>
      <c r="Q34" s="956">
        <f t="shared" si="47"/>
        <v>0</v>
      </c>
      <c r="R34" s="957">
        <f>IF(OR(C34="aa",C34="cp",C34="f",C34="jc",C34="m",C34="css"),0,IF(C34=0,MAX(B34,D34,F34,H34,J34,L34)-MIN(B34,D34,F34,H34,J34,L34),IF(C34&lt;&gt;0,MAX(C34,E34,G34,I34,K34,M34)-MIN(C34,E34,G34,I34,K34,M34))))</f>
        <v>0</v>
      </c>
      <c r="S34" s="262"/>
      <c r="T34" s="958" t="str">
        <f t="shared" si="63"/>
        <v/>
      </c>
      <c r="U34" s="959" t="str">
        <f>IF(P34=0,"",IF(P34&lt;Paramétrage!$S$12,"PB",IF(AND(Q34&lt;Paramétrage!$S$12,Q34&lt;&gt;0),"PB","")))</f>
        <v/>
      </c>
      <c r="V34" s="959" t="str">
        <f t="shared" si="50"/>
        <v/>
      </c>
      <c r="W34" s="959" t="str">
        <f t="shared" si="51"/>
        <v/>
      </c>
      <c r="X34" s="960" t="str">
        <f>IF(AND(N34=0,O34=0),"",(IF(OR(C34="aa",C34="cp",C34="f",C34="jc",C34="m",C34="css"),"",IF(C34="",IF(OR(D34-B34&gt;6/24,H34-F34&gt;6/24,L34-J34&gt;6/24),"PB",""),IF(OR(E34-C34&gt;6/24,I34-G34&gt;6/24,M34-K34&gt;6/24),"PB","")))))</f>
        <v/>
      </c>
      <c r="Y34" s="959" t="str">
        <f t="shared" si="53"/>
        <v/>
      </c>
      <c r="Z34" s="836"/>
      <c r="AA34" s="837"/>
      <c r="AC34" s="934">
        <f t="shared" si="55"/>
        <v>42910</v>
      </c>
      <c r="AD34" s="961">
        <f>IF(AND(N(AC34)&gt;=Paramétrage!$AU$11,N(AC34)&lt;=Paramétrage!$AU$12),IF(C34="cp",1,0),0)</f>
        <v>0</v>
      </c>
      <c r="AE34" s="962">
        <f t="shared" si="54"/>
        <v>0</v>
      </c>
      <c r="AF34" s="961">
        <f>IF(AND(N(AC34)&gt;=Paramétrage!$AX$11,N(AC34)&lt;=Paramétrage!$AX$12),IF(C34="cp",1,0),0)</f>
        <v>0</v>
      </c>
      <c r="AG34" s="962">
        <f t="shared" si="56"/>
        <v>0</v>
      </c>
      <c r="AI34" s="962">
        <f t="shared" si="57"/>
        <v>0</v>
      </c>
      <c r="AJ34" s="962">
        <f t="shared" si="58"/>
        <v>0</v>
      </c>
      <c r="AM34" s="962">
        <f t="shared" si="59"/>
        <v>0</v>
      </c>
      <c r="AN34" s="962">
        <f t="shared" si="60"/>
        <v>0</v>
      </c>
      <c r="AO34" s="962">
        <f t="shared" si="61"/>
        <v>0</v>
      </c>
      <c r="AP34" s="962">
        <f t="shared" si="62"/>
        <v>0</v>
      </c>
      <c r="AR34" s="917">
        <f>IF(AND(AC34&lt;=$AR$3,B34="CP"),1,0)</f>
        <v>0</v>
      </c>
      <c r="AS34" s="917">
        <f>IF(AND(AC34&lt;=$AR$3,C34="CP"),1,0)</f>
        <v>0</v>
      </c>
    </row>
    <row r="35" spans="1:45" ht="14.25" customHeight="1" x14ac:dyDescent="0.3">
      <c r="A35" s="964" t="s">
        <v>19</v>
      </c>
      <c r="B35" s="414" t="b">
        <f>IF(Paramétrage!$O$47="",FALSE,Paramétrage!$O$47)</f>
        <v>0</v>
      </c>
      <c r="C35" s="263"/>
      <c r="D35" s="415" t="b">
        <f>IF(Paramétrage!$Q$47="",FALSE,Paramétrage!$Q$47)</f>
        <v>0</v>
      </c>
      <c r="E35" s="264"/>
      <c r="F35" s="414" t="b">
        <f>IF(Paramétrage!$R$47="",FALSE,Paramétrage!$R$47)</f>
        <v>0</v>
      </c>
      <c r="G35" s="264"/>
      <c r="H35" s="414" t="b">
        <f>IF(Paramétrage!$T$47="",FALSE,Paramétrage!$T$47)</f>
        <v>0</v>
      </c>
      <c r="I35" s="263"/>
      <c r="J35" s="414" t="b">
        <f>IF(Paramétrage!$U$47="",FALSE,Paramétrage!$U$47)</f>
        <v>0</v>
      </c>
      <c r="K35" s="263"/>
      <c r="L35" s="418" t="b">
        <f>IF(Paramétrage!$W$47="",FALSE,Paramétrage!$W$47)</f>
        <v>0</v>
      </c>
      <c r="M35" s="263"/>
      <c r="N35" s="956">
        <f>IF(OR(B35="aa",B35="cp",B35="f",B35="jc",B35="m",B35="css"),0,(L35-J35)+(H35-F35)+(D35-B35))</f>
        <v>0</v>
      </c>
      <c r="O35" s="956">
        <f>IF(OR(C35="m",C35="aa"),N35,IF(C35="cp",0,IF(OR(C35="css",C35="jc"),0,IF(C35="f",0,E35-C35+I35-G35+M35-K35))))</f>
        <v>0</v>
      </c>
      <c r="P35" s="956">
        <f t="shared" si="46"/>
        <v>0</v>
      </c>
      <c r="Q35" s="956">
        <f t="shared" si="47"/>
        <v>0</v>
      </c>
      <c r="R35" s="957">
        <f>IF(OR(C35="aa",C35="cp",C35="f",C35="jc",C35="m",C35="css"),0,IF(C35=0,MAX(B35,D35,F35,H35,J35,L35)-MIN(B35,D35,F35,H35,J35,L35),IF(C35&lt;&gt;0,MAX(C35,E35,G35,I35,K35,M35)-MIN(C35,E35,G35,I35,K35,M35))))</f>
        <v>0</v>
      </c>
      <c r="S35" s="262"/>
      <c r="T35" s="958" t="str">
        <f t="shared" si="63"/>
        <v/>
      </c>
      <c r="U35" s="959" t="str">
        <f>IF(P35=0,"",IF(P35&lt;Paramétrage!$S$12,"PB",IF(AND(Q35&lt;Paramétrage!$S$12,Q35&lt;&gt;0),"PB","")))</f>
        <v/>
      </c>
      <c r="V35" s="959" t="str">
        <f t="shared" si="50"/>
        <v/>
      </c>
      <c r="W35" s="959" t="str">
        <f t="shared" si="51"/>
        <v/>
      </c>
      <c r="X35" s="960" t="str">
        <f>IF(AND(N35=0,O35=0),"",(IF(OR(C35="aa",C35="cp",C35="f",C35="jc",C35="m",C35="css"),"",IF(C35="",IF(OR(D35-B35&gt;6/24,H35-F35&gt;6/24,L35-J35&gt;6/24),"PB",""),IF(OR(E35-C35&gt;6/24,I35-G35&gt;6/24,M35-K35&gt;6/24),"PB","")))))</f>
        <v/>
      </c>
      <c r="Y35" s="959" t="str">
        <f t="shared" si="53"/>
        <v/>
      </c>
      <c r="Z35" s="836"/>
      <c r="AA35" s="837"/>
      <c r="AC35" s="934">
        <f t="shared" si="55"/>
        <v>42911</v>
      </c>
      <c r="AD35" s="961">
        <f>IF(AND(N(AC35)&gt;=Paramétrage!$AU$11,N(AC35)&lt;=Paramétrage!$AU$12),IF(C35="cp",1,0),0)</f>
        <v>0</v>
      </c>
      <c r="AE35" s="962">
        <f t="shared" si="54"/>
        <v>0</v>
      </c>
      <c r="AF35" s="961">
        <f>IF(AND(N(AC35)&gt;=Paramétrage!$AX$11,N(AC35)&lt;=Paramétrage!$AX$12),IF(C35="cp",1,0),0)</f>
        <v>0</v>
      </c>
      <c r="AG35" s="962">
        <f t="shared" si="56"/>
        <v>0</v>
      </c>
      <c r="AI35" s="962">
        <f t="shared" si="57"/>
        <v>0</v>
      </c>
      <c r="AJ35" s="962">
        <f t="shared" si="58"/>
        <v>0</v>
      </c>
      <c r="AM35" s="962"/>
      <c r="AN35" s="962"/>
      <c r="AO35" s="962"/>
      <c r="AP35" s="962"/>
    </row>
    <row r="36" spans="1:45" ht="14.25" customHeight="1" thickBot="1" x14ac:dyDescent="0.35">
      <c r="A36" s="966" t="s">
        <v>20</v>
      </c>
      <c r="B36" s="414" t="b">
        <f>IF(Paramétrage!$O$48="",FALSE,Paramétrage!$O$48)</f>
        <v>0</v>
      </c>
      <c r="C36" s="263"/>
      <c r="D36" s="415" t="b">
        <f>IF(Paramétrage!$Q$48="",FALSE,Paramétrage!$Q$48)</f>
        <v>0</v>
      </c>
      <c r="E36" s="264"/>
      <c r="F36" s="414" t="b">
        <f>IF(Paramétrage!$R$48="",FALSE,Paramétrage!$R$48)</f>
        <v>0</v>
      </c>
      <c r="G36" s="264"/>
      <c r="H36" s="414" t="b">
        <f>IF(Paramétrage!$T$48="",FALSE,Paramétrage!$T$48)</f>
        <v>0</v>
      </c>
      <c r="I36" s="263"/>
      <c r="J36" s="414" t="b">
        <f>IF(Paramétrage!$U$48="",FALSE,Paramétrage!$U$48)</f>
        <v>0</v>
      </c>
      <c r="K36" s="263"/>
      <c r="L36" s="418" t="b">
        <f>IF(Paramétrage!$W$48="",FALSE,Paramétrage!$W$48)</f>
        <v>0</v>
      </c>
      <c r="M36" s="263"/>
      <c r="N36" s="956">
        <f>IF(OR(B36="aa",B36="m"),M36,IF(B36="cp",0,IF(B36="jc",0,IF(B36="f",0,(D36-B36)*Paramétrage!$S$13+(H36-F36)*Paramétrage!$S$13+(L36-J36)*Paramétrage!$S$13+(D36-B36+H36-F36+L36-J36)))))</f>
        <v>0</v>
      </c>
      <c r="O36" s="956">
        <f>IF(OR(C36="aa",C36="m"),N36,IF(C36="cp",0,IF(C36="jc",0,IF(C36="f",0,(E36-C36)*Paramétrage!$S$13+(I36-G36)*Paramétrage!$S$13+(M36-K36)*Paramétrage!$S$13+(E36-C36+I36-G36+M36-K36)))))</f>
        <v>0</v>
      </c>
      <c r="P36" s="956">
        <f t="shared" si="46"/>
        <v>0</v>
      </c>
      <c r="Q36" s="956">
        <f t="shared" si="47"/>
        <v>0</v>
      </c>
      <c r="R36" s="957">
        <f t="shared" ref="R36" si="64">IF(OR(C36="aa",C36="cp",C36="f",C36="jc",C36="m",C36=0),MAX(B36,D36,F36,H36,J36,L36)-MIN(B36,D36,F36,H36,J36,L36),IF(C36&lt;&gt;0,MAX(C36,E36,G36,I36,K36,M36)-MIN(C36,E36,G36,I36,K36,M36)))</f>
        <v>0</v>
      </c>
      <c r="S36" s="262"/>
      <c r="T36" s="958" t="str">
        <f t="shared" si="63"/>
        <v/>
      </c>
      <c r="U36" s="959" t="str">
        <f>IF(P36=0,"",IF(P36&lt;Paramétrage!$S$12,"PB",IF(AND(Q36&lt;Paramétrage!$S$12,Q36&lt;&gt;0),"PB","")))</f>
        <v/>
      </c>
      <c r="V36" s="959" t="str">
        <f t="shared" si="50"/>
        <v/>
      </c>
      <c r="W36" s="959" t="str">
        <f t="shared" si="51"/>
        <v/>
      </c>
      <c r="X36" s="960" t="str">
        <f t="shared" ref="X36" si="65">IF(AND(N36=0,O36=0),"",(IF(OR(C36="aa",C36="cp",C36="f",C36="jc",C36="m"),"",IF(C36="",IF(OR(D36-B36&gt;6/24,H36-F36&gt;6/24,L36-J36&gt;6/24),"PB",""),IF(OR(E36-C36&gt;6/24,I36-G36&gt;6/24,M36-K36&gt;6/24),"PB","")))))</f>
        <v/>
      </c>
      <c r="Y36" s="959" t="str">
        <f t="shared" si="53"/>
        <v/>
      </c>
      <c r="Z36" s="836"/>
      <c r="AA36" s="837"/>
      <c r="AC36" s="934">
        <f t="shared" si="55"/>
        <v>42912</v>
      </c>
      <c r="AD36" s="961">
        <f>IF(AND(N(AC36)&gt;=Paramétrage!$AU$11,N(AC36)&lt;=Paramétrage!$AU$12),IF(C36="cp",1,0),0)</f>
        <v>0</v>
      </c>
      <c r="AE36" s="962">
        <f t="shared" si="54"/>
        <v>0</v>
      </c>
      <c r="AF36" s="961">
        <f>IF(AND(N(AC36)&gt;=Paramétrage!$AX$11,N(AC36)&lt;=Paramétrage!$AX$12),IF(C36="cp",1,0),0)</f>
        <v>0</v>
      </c>
      <c r="AG36" s="962">
        <f t="shared" si="56"/>
        <v>0</v>
      </c>
      <c r="AI36" s="962">
        <f t="shared" si="57"/>
        <v>0</v>
      </c>
      <c r="AJ36" s="962">
        <f t="shared" si="58"/>
        <v>0</v>
      </c>
      <c r="AM36" s="962"/>
      <c r="AN36" s="962"/>
      <c r="AO36" s="962"/>
      <c r="AP36" s="962"/>
    </row>
    <row r="37" spans="1:45" s="935" customFormat="1" x14ac:dyDescent="0.25">
      <c r="A37" s="969" t="s">
        <v>48</v>
      </c>
      <c r="B37" s="970"/>
      <c r="C37" s="970"/>
      <c r="D37" s="970"/>
      <c r="E37" s="970"/>
      <c r="F37" s="970"/>
      <c r="G37" s="970"/>
      <c r="H37" s="970"/>
      <c r="I37" s="970"/>
      <c r="J37" s="970"/>
      <c r="K37" s="971"/>
      <c r="L37" s="970"/>
      <c r="M37" s="970"/>
      <c r="N37" s="972">
        <f>SUM(N30:N36)</f>
        <v>0</v>
      </c>
      <c r="O37" s="972">
        <f>SUM(O30:O36)</f>
        <v>0</v>
      </c>
      <c r="P37" s="972">
        <f>SUM(P30:P36)</f>
        <v>0</v>
      </c>
      <c r="Q37" s="972">
        <f>SUM(Q30:Q36)</f>
        <v>0</v>
      </c>
      <c r="R37" s="972"/>
      <c r="S37" s="972"/>
      <c r="T37" s="973"/>
      <c r="U37" s="974"/>
      <c r="V37" s="975" t="str">
        <f>IF((O37*24)&gt;48,"PB","")</f>
        <v/>
      </c>
      <c r="W37" s="974"/>
      <c r="X37" s="974"/>
      <c r="Y37" s="974"/>
      <c r="Z37" s="1053" t="s">
        <v>59</v>
      </c>
      <c r="AA37" s="1055">
        <f>+O37-N37</f>
        <v>0</v>
      </c>
      <c r="AB37" s="967"/>
      <c r="AC37" s="934"/>
      <c r="AE37" s="917"/>
      <c r="AF37" s="917"/>
      <c r="AG37" s="917"/>
      <c r="AH37" s="917"/>
      <c r="AI37" s="917"/>
      <c r="AJ37" s="917"/>
      <c r="AK37" s="917"/>
      <c r="AL37" s="917"/>
      <c r="AM37" s="917"/>
      <c r="AN37" s="917"/>
      <c r="AO37" s="917"/>
      <c r="AP37" s="917"/>
      <c r="AR37" s="917"/>
      <c r="AS37" s="917"/>
    </row>
    <row r="38" spans="1:45" s="935" customFormat="1" x14ac:dyDescent="0.25">
      <c r="A38" s="969"/>
      <c r="B38" s="969"/>
      <c r="C38" s="969"/>
      <c r="D38" s="969"/>
      <c r="E38" s="969"/>
      <c r="F38" s="1052"/>
      <c r="G38" s="1052"/>
      <c r="H38" s="1052"/>
      <c r="I38" s="1052"/>
      <c r="J38" s="1052"/>
      <c r="K38" s="969"/>
      <c r="L38" s="969"/>
      <c r="M38" s="969"/>
      <c r="N38" s="973"/>
      <c r="O38" s="969"/>
      <c r="P38" s="980"/>
      <c r="Q38" s="980"/>
      <c r="R38" s="980"/>
      <c r="S38" s="981"/>
      <c r="T38" s="980"/>
      <c r="U38" s="980"/>
      <c r="V38" s="980"/>
      <c r="W38" s="980"/>
      <c r="X38" s="980"/>
      <c r="Y38" s="980"/>
      <c r="Z38" s="1053"/>
      <c r="AA38" s="1055"/>
      <c r="AB38" s="917"/>
      <c r="AC38" s="934"/>
      <c r="AE38" s="917"/>
      <c r="AF38" s="917"/>
      <c r="AG38" s="917"/>
      <c r="AH38" s="917"/>
      <c r="AI38" s="917"/>
      <c r="AJ38" s="917"/>
      <c r="AK38" s="917"/>
      <c r="AL38" s="917"/>
      <c r="AM38" s="917"/>
      <c r="AN38" s="917"/>
      <c r="AO38" s="917"/>
      <c r="AP38" s="917"/>
      <c r="AR38" s="917"/>
      <c r="AS38" s="917"/>
    </row>
    <row r="39" spans="1:45" s="935" customFormat="1" ht="16.5" x14ac:dyDescent="0.3">
      <c r="A39" s="969"/>
      <c r="B39" s="969"/>
      <c r="C39" s="969"/>
      <c r="D39" s="969"/>
      <c r="E39" s="969"/>
      <c r="F39" s="928">
        <f>+F27+7</f>
        <v>42913</v>
      </c>
      <c r="G39" s="928"/>
      <c r="H39" s="929" t="s">
        <v>58</v>
      </c>
      <c r="I39" s="928">
        <f>+F39+6</f>
        <v>42919</v>
      </c>
      <c r="J39" s="930"/>
      <c r="K39" s="969"/>
      <c r="L39" s="969"/>
      <c r="M39" s="969"/>
      <c r="N39" s="973"/>
      <c r="O39" s="969"/>
      <c r="P39" s="980"/>
      <c r="Q39" s="980"/>
      <c r="R39" s="980"/>
      <c r="S39" s="981"/>
      <c r="T39" s="980"/>
      <c r="U39" s="980"/>
      <c r="V39" s="980"/>
      <c r="W39" s="980"/>
      <c r="X39" s="980"/>
      <c r="Y39" s="980"/>
      <c r="Z39" s="1053"/>
      <c r="AA39" s="1054"/>
      <c r="AB39" s="917"/>
      <c r="AC39" s="934"/>
      <c r="AE39" s="917"/>
      <c r="AF39" s="917"/>
      <c r="AG39" s="917"/>
      <c r="AH39" s="917"/>
      <c r="AI39" s="917"/>
      <c r="AJ39" s="917"/>
      <c r="AK39" s="917"/>
      <c r="AL39" s="917"/>
      <c r="AM39" s="917"/>
      <c r="AN39" s="917"/>
      <c r="AO39" s="917"/>
      <c r="AP39" s="917"/>
      <c r="AR39" s="917"/>
      <c r="AS39" s="917"/>
    </row>
    <row r="40" spans="1:45" ht="15" customHeight="1" x14ac:dyDescent="0.3">
      <c r="A40" s="994"/>
      <c r="B40" s="1063" t="s">
        <v>17</v>
      </c>
      <c r="C40" s="1063"/>
      <c r="D40" s="1063" t="s">
        <v>18</v>
      </c>
      <c r="E40" s="1063"/>
      <c r="F40" s="1063" t="s">
        <v>17</v>
      </c>
      <c r="G40" s="1063"/>
      <c r="H40" s="1063" t="s">
        <v>18</v>
      </c>
      <c r="I40" s="1063"/>
      <c r="J40" s="1063" t="s">
        <v>17</v>
      </c>
      <c r="K40" s="1063"/>
      <c r="L40" s="1063" t="s">
        <v>18</v>
      </c>
      <c r="M40" s="1063"/>
      <c r="N40" s="939" t="s">
        <v>61</v>
      </c>
      <c r="O40" s="939" t="s">
        <v>62</v>
      </c>
      <c r="P40" s="939" t="s">
        <v>60</v>
      </c>
      <c r="Q40" s="939" t="s">
        <v>63</v>
      </c>
      <c r="R40" s="939" t="s">
        <v>64</v>
      </c>
      <c r="S40" s="940" t="s">
        <v>223</v>
      </c>
      <c r="T40" s="939" t="s">
        <v>70</v>
      </c>
      <c r="U40" s="941" t="s">
        <v>65</v>
      </c>
      <c r="V40" s="942"/>
      <c r="W40" s="942"/>
      <c r="X40" s="942"/>
      <c r="Y40" s="943"/>
      <c r="Z40" s="987" t="s">
        <v>22</v>
      </c>
      <c r="AA40" s="988"/>
      <c r="AC40" s="934"/>
    </row>
    <row r="41" spans="1:45" ht="26.25" thickBot="1" x14ac:dyDescent="0.4">
      <c r="A41" s="937" t="str">
        <f>"S"&amp;WEEKNUM(F39,21)</f>
        <v>S26</v>
      </c>
      <c r="B41" s="1064" t="s">
        <v>0</v>
      </c>
      <c r="C41" s="1065" t="s">
        <v>1</v>
      </c>
      <c r="D41" s="1064" t="s">
        <v>0</v>
      </c>
      <c r="E41" s="1065" t="s">
        <v>1</v>
      </c>
      <c r="F41" s="1064" t="s">
        <v>0</v>
      </c>
      <c r="G41" s="1065" t="s">
        <v>1</v>
      </c>
      <c r="H41" s="1064" t="s">
        <v>0</v>
      </c>
      <c r="I41" s="1065" t="s">
        <v>1</v>
      </c>
      <c r="J41" s="1064" t="s">
        <v>0</v>
      </c>
      <c r="K41" s="1065" t="s">
        <v>1</v>
      </c>
      <c r="L41" s="1064" t="s">
        <v>0</v>
      </c>
      <c r="M41" s="1065" t="s">
        <v>1</v>
      </c>
      <c r="N41" s="951"/>
      <c r="O41" s="951"/>
      <c r="P41" s="951"/>
      <c r="Q41" s="951"/>
      <c r="R41" s="951"/>
      <c r="S41" s="951"/>
      <c r="T41" s="939"/>
      <c r="U41" s="952" t="s">
        <v>66</v>
      </c>
      <c r="V41" s="952" t="s">
        <v>67</v>
      </c>
      <c r="W41" s="952" t="s">
        <v>68</v>
      </c>
      <c r="X41" s="952" t="s">
        <v>137</v>
      </c>
      <c r="Y41" s="952" t="s">
        <v>69</v>
      </c>
      <c r="Z41" s="989"/>
      <c r="AA41" s="990"/>
      <c r="AC41" s="934"/>
      <c r="AM41" s="917" t="s">
        <v>274</v>
      </c>
    </row>
    <row r="42" spans="1:45" ht="14.25" customHeight="1" x14ac:dyDescent="0.3">
      <c r="A42" s="955" t="s">
        <v>12</v>
      </c>
      <c r="B42" s="414" t="b">
        <f>IF(Paramétrage!$O$42="",FALSE,Paramétrage!$O$42)</f>
        <v>0</v>
      </c>
      <c r="C42" s="263"/>
      <c r="D42" s="415" t="b">
        <f>IF(Paramétrage!$Q$42="",FALSE,Paramétrage!$Q$42)</f>
        <v>0</v>
      </c>
      <c r="E42" s="264"/>
      <c r="F42" s="414" t="b">
        <f>IF(Paramétrage!$R$42="",FALSE,Paramétrage!$R$42)</f>
        <v>0</v>
      </c>
      <c r="G42" s="264"/>
      <c r="H42" s="416" t="b">
        <f>IF(Paramétrage!$T$42="",FALSE,Paramétrage!$T$42)</f>
        <v>0</v>
      </c>
      <c r="I42" s="263"/>
      <c r="J42" s="417" t="b">
        <f>IF(Paramétrage!$U$42="",FALSE,Paramétrage!$U$42)</f>
        <v>0</v>
      </c>
      <c r="K42" s="263"/>
      <c r="L42" s="418" t="b">
        <f>IF(Paramétrage!$W$42="",FALSE,Paramétrage!$W$42)</f>
        <v>0</v>
      </c>
      <c r="M42" s="263"/>
      <c r="N42" s="956">
        <f t="shared" ref="N42:N44" si="66">IF(OR(B42="aa",B42="cp",B42="f",B42="jc",B42="m",B42="css"),0,(L42-J42)+(H42-F42)+(D42-B42))</f>
        <v>0</v>
      </c>
      <c r="O42" s="956">
        <f t="shared" ref="O42:O44" si="67">SUM(AM42:AP42)+IF(OR(C42="m",C42="aa"),N42,IF(C42="css",0,IF(C42="cp",0,IF(C42="jc",0,IF(C42="f",0,E42-C42+I42-G42+M42-K42)))))</f>
        <v>0</v>
      </c>
      <c r="P42" s="956">
        <f t="shared" ref="P42:P48" si="68">IF(OR(C42="aa",C42="cp",C42="f",C42="jc",C42="m",C42="css"),0,IF(C42="",IF(OR(F42="",F42=FALSE),0,F42-D42),IF(G42="",0,G42-E42)))</f>
        <v>0</v>
      </c>
      <c r="Q42" s="956">
        <f t="shared" ref="Q42:Q48" si="69">IF(P42=0,0,IF(G42="",IF(OR(J42="",J42=FALSE),0,J42-H42),IF(K42="",0,K42-I42)))</f>
        <v>0</v>
      </c>
      <c r="R42" s="957">
        <f t="shared" ref="R42:R44" si="70">IF(OR(C42="aa",C42="cp",C42="f",C42="jc",C42="m",C42="css"),0,IF(C42=0,MAX(B42,D42,F42,H42,J42,L42)-MIN(B42,D42,F42,H42,J42,L42),IF(C42&lt;&gt;0,MAX(C42,E42,G42,I42,K42,M42)-MIN(C42,E42,G42,I42,K42,M42))))</f>
        <v>0</v>
      </c>
      <c r="S42" s="262"/>
      <c r="T42" s="958" t="str">
        <f t="shared" ref="T42:T43" si="71">IF(AND(B42=FALSE,C42=""),"",IF(AND(B42=0,C42=0),"",(IF(OR(C42="cp",C42="f",C42="jc",C42="css"),"",IF(OR(C42="",C42="aa",C42="m"),(IF(OR(B42="cp",B42="f",B42="jc",B42="css"),"",B42*24+24-MAX(D41,H41,L41)*24)),C42*24+24-MAX(M41,I41,E41)*24)))))</f>
        <v/>
      </c>
      <c r="U42" s="959" t="str">
        <f>IF(P42=0,"",IF(P42&lt;Paramétrage!$S$12,"PB",IF(AND(Q42&lt;Paramétrage!$S$12,Q42&lt;&gt;0),"PB","")))</f>
        <v/>
      </c>
      <c r="V42" s="959" t="str">
        <f t="shared" ref="V42:V48" si="72">IF(C42="",IF((N42*24)&gt;10,"PB",""),IF((O42*24)&gt;10,"PB",""))</f>
        <v/>
      </c>
      <c r="W42" s="959" t="str">
        <f t="shared" ref="W42:W48" si="73">IF((R42*24)&gt;12,"PB","")</f>
        <v/>
      </c>
      <c r="X42" s="960" t="str">
        <f t="shared" ref="X42:X44" si="74">IF(AND(N42=0,O42=0),"",(IF(OR(C42="aa",C42="cp",C42="f",C42="jc",C42="m",C42="css"),"",IF(C42="",IF(OR(D42-B42&gt;6/24,H42-F42&gt;6/24,L42-J42&gt;6/24),"PB",""),IF(OR(E42-C42&gt;6/24,I42-G42&gt;6/24,M42-K42&gt;6/24),"PB","")))))</f>
        <v/>
      </c>
      <c r="Y42" s="959" t="str">
        <f t="shared" ref="Y42:Y48" si="75">IF(T42="","",IF(T42&lt;11,"PB",""))</f>
        <v/>
      </c>
      <c r="Z42" s="836"/>
      <c r="AA42" s="837"/>
      <c r="AC42" s="934">
        <f>AC36+1</f>
        <v>42913</v>
      </c>
      <c r="AD42" s="961">
        <f>IF(AND(N(AC42)&gt;=Paramétrage!$AU$11,N(AC42)&lt;=Paramétrage!$AU$12),IF(C42="cp",1,0),0)</f>
        <v>0</v>
      </c>
      <c r="AE42" s="962">
        <f t="shared" ref="AE42:AE48" si="76">IF(O42&lt;&gt;"erreur",N42,O42)</f>
        <v>0</v>
      </c>
      <c r="AF42" s="961">
        <f>IF(AND(N(AC42)&gt;=Paramétrage!$AX$11,N(AC42)&lt;=Paramétrage!$AX$12),IF(C42="cp",1,0),0)</f>
        <v>0</v>
      </c>
      <c r="AG42" s="962">
        <f t="shared" ref="AG42:AG48" si="77">O42</f>
        <v>0</v>
      </c>
      <c r="AI42" s="962">
        <f>AE42+AI36</f>
        <v>0</v>
      </c>
      <c r="AJ42" s="962">
        <f>AG42+AJ36</f>
        <v>0</v>
      </c>
      <c r="AM42" s="962">
        <f>IF(AND($B42="cp",$C42="m"),$Z42,0)</f>
        <v>0</v>
      </c>
      <c r="AN42" s="962">
        <f>IF(AND($B42="jc",$C42="m"),$Z42,0)</f>
        <v>0</v>
      </c>
      <c r="AO42" s="962">
        <f>IF(AND($B42="cp",$C42="aa"),$Z42,0)</f>
        <v>0</v>
      </c>
      <c r="AP42" s="962">
        <f>IF(AND($B42="jc",$C42="aa"),$Z42,0)</f>
        <v>0</v>
      </c>
      <c r="AR42" s="917">
        <f>IF(AND(AC42&lt;=$AR$3,B42="CP"),1,0)</f>
        <v>0</v>
      </c>
      <c r="AS42" s="917">
        <f>IF(AND(AC42&lt;=$AR$3,C42="CP"),1,0)</f>
        <v>0</v>
      </c>
    </row>
    <row r="43" spans="1:45" ht="14.25" customHeight="1" x14ac:dyDescent="0.3">
      <c r="A43" s="964" t="s">
        <v>13</v>
      </c>
      <c r="B43" s="414" t="b">
        <f>IF(Paramétrage!$O$43="",FALSE,Paramétrage!$O$43)</f>
        <v>0</v>
      </c>
      <c r="C43" s="263"/>
      <c r="D43" s="415" t="b">
        <f>IF(Paramétrage!$Q$43="",FALSE,Paramétrage!$Q$43)</f>
        <v>0</v>
      </c>
      <c r="E43" s="264"/>
      <c r="F43" s="414" t="b">
        <f>IF(Paramétrage!$R$43="",FALSE,Paramétrage!$R$43)</f>
        <v>0</v>
      </c>
      <c r="G43" s="264"/>
      <c r="H43" s="416" t="b">
        <f>IF(Paramétrage!$T$43="",FALSE,Paramétrage!$T$43)</f>
        <v>0</v>
      </c>
      <c r="I43" s="263"/>
      <c r="J43" s="417" t="b">
        <f>IF(Paramétrage!$U$43="",FALSE,Paramétrage!$U$43)</f>
        <v>0</v>
      </c>
      <c r="K43" s="263"/>
      <c r="L43" s="418" t="b">
        <f>IF(Paramétrage!$W$43="",FALSE,Paramétrage!$W$43)</f>
        <v>0</v>
      </c>
      <c r="M43" s="263"/>
      <c r="N43" s="956">
        <f t="shared" si="66"/>
        <v>0</v>
      </c>
      <c r="O43" s="956">
        <f t="shared" si="67"/>
        <v>0</v>
      </c>
      <c r="P43" s="956">
        <f t="shared" si="68"/>
        <v>0</v>
      </c>
      <c r="Q43" s="956">
        <f t="shared" si="69"/>
        <v>0</v>
      </c>
      <c r="R43" s="957">
        <f t="shared" si="70"/>
        <v>0</v>
      </c>
      <c r="S43" s="262"/>
      <c r="T43" s="958" t="str">
        <f t="shared" si="71"/>
        <v/>
      </c>
      <c r="U43" s="959" t="str">
        <f>IF(P43=0,"",IF(P43&lt;Paramétrage!$S$12,"PB",IF(AND(Q43&lt;Paramétrage!$S$12,Q43&lt;&gt;0),"PB","")))</f>
        <v/>
      </c>
      <c r="V43" s="959" t="str">
        <f t="shared" si="72"/>
        <v/>
      </c>
      <c r="W43" s="959" t="str">
        <f t="shared" si="73"/>
        <v/>
      </c>
      <c r="X43" s="960" t="str">
        <f t="shared" si="74"/>
        <v/>
      </c>
      <c r="Y43" s="959" t="str">
        <f t="shared" si="75"/>
        <v/>
      </c>
      <c r="Z43" s="836"/>
      <c r="AA43" s="837"/>
      <c r="AC43" s="934">
        <f t="shared" ref="AC43:AC48" si="78">AC42+1</f>
        <v>42914</v>
      </c>
      <c r="AD43" s="961">
        <f>IF(AND(N(AC43)&gt;=Paramétrage!$AU$11,N(AC43)&lt;=Paramétrage!$AU$12),IF(C43="cp",1,0),0)</f>
        <v>0</v>
      </c>
      <c r="AE43" s="962">
        <f t="shared" si="76"/>
        <v>0</v>
      </c>
      <c r="AF43" s="961">
        <f>IF(AND(N(AC43)&gt;=Paramétrage!$AX$11,N(AC43)&lt;=Paramétrage!$AX$12),IF(C43="cp",1,0),0)</f>
        <v>0</v>
      </c>
      <c r="AG43" s="962">
        <f t="shared" si="77"/>
        <v>0</v>
      </c>
      <c r="AI43" s="962">
        <f t="shared" ref="AI43:AI48" si="79">AE43+AI42</f>
        <v>0</v>
      </c>
      <c r="AJ43" s="962">
        <f t="shared" ref="AJ43:AJ48" si="80">AG43+AJ42</f>
        <v>0</v>
      </c>
      <c r="AM43" s="962">
        <f t="shared" ref="AM43:AM46" si="81">IF(AND($B43="cp",$C43="m"),$Z43,0)</f>
        <v>0</v>
      </c>
      <c r="AN43" s="962">
        <f t="shared" ref="AN43:AN46" si="82">IF(AND($B43="jc",$C43="m"),$Z43,0)</f>
        <v>0</v>
      </c>
      <c r="AO43" s="962">
        <f t="shared" ref="AO43:AO46" si="83">IF(AND($B43="cp",$C43="aa"),$Z43,0)</f>
        <v>0</v>
      </c>
      <c r="AP43" s="962">
        <f t="shared" ref="AP43:AP46" si="84">IF(AND($B43="jc",$C43="aa"),$Z43,0)</f>
        <v>0</v>
      </c>
      <c r="AR43" s="917">
        <f>IF(AND(AC43&lt;=$AR$3,B43="CP"),1,0)</f>
        <v>0</v>
      </c>
      <c r="AS43" s="917">
        <f>IF(AND(AC43&lt;=$AR$3,C43="CP"),1,0)</f>
        <v>0</v>
      </c>
    </row>
    <row r="44" spans="1:45" ht="14.25" customHeight="1" x14ac:dyDescent="0.3">
      <c r="A44" s="964" t="s">
        <v>14</v>
      </c>
      <c r="B44" s="414" t="b">
        <f>IF(Paramétrage!$O$44="",FALSE,Paramétrage!$O$44)</f>
        <v>0</v>
      </c>
      <c r="C44" s="263"/>
      <c r="D44" s="415" t="b">
        <f>IF(Paramétrage!$Q$44="",FALSE,Paramétrage!$Q$44)</f>
        <v>0</v>
      </c>
      <c r="E44" s="264"/>
      <c r="F44" s="414" t="b">
        <f>IF(Paramétrage!$R$44="",FALSE,Paramétrage!$R$44)</f>
        <v>0</v>
      </c>
      <c r="G44" s="264"/>
      <c r="H44" s="416" t="b">
        <f>IF(Paramétrage!$T$44="",FALSE,Paramétrage!$T$44)</f>
        <v>0</v>
      </c>
      <c r="I44" s="263"/>
      <c r="J44" s="417" t="b">
        <f>IF(Paramétrage!$U$44="",FALSE,Paramétrage!$U$44)</f>
        <v>0</v>
      </c>
      <c r="K44" s="263"/>
      <c r="L44" s="418" t="b">
        <f>IF(Paramétrage!$W$44="",FALSE,Paramétrage!$W$44)</f>
        <v>0</v>
      </c>
      <c r="M44" s="263"/>
      <c r="N44" s="956">
        <f t="shared" si="66"/>
        <v>0</v>
      </c>
      <c r="O44" s="956">
        <f t="shared" si="67"/>
        <v>0</v>
      </c>
      <c r="P44" s="956">
        <f t="shared" si="68"/>
        <v>0</v>
      </c>
      <c r="Q44" s="956">
        <f t="shared" si="69"/>
        <v>0</v>
      </c>
      <c r="R44" s="957">
        <f t="shared" si="70"/>
        <v>0</v>
      </c>
      <c r="S44" s="262"/>
      <c r="T44" s="958" t="str">
        <f>IF(AND(B44=FALSE,C44=""),"",IF(AND(B44=0,C44=0),"",(IF(OR(C44="cp",C44="f",C44="jc",C44="css"),"",IF(OR(C44="",C44="aa",C44="m"),(IF(OR(B44="cp",B44="f",B44="jc",B44="css"),"",B44*24+24-MAX(D43,H43,L43)*24)),C44*24+24-MAX(M43,I43,E43)*24)))))</f>
        <v/>
      </c>
      <c r="U44" s="959" t="str">
        <f>IF(P44=0,"",IF(P44&lt;Paramétrage!$S$12,"PB",IF(AND(Q44&lt;Paramétrage!$S$12,Q44&lt;&gt;0),"PB","")))</f>
        <v/>
      </c>
      <c r="V44" s="959" t="str">
        <f t="shared" si="72"/>
        <v/>
      </c>
      <c r="W44" s="959" t="str">
        <f t="shared" si="73"/>
        <v/>
      </c>
      <c r="X44" s="960" t="str">
        <f t="shared" si="74"/>
        <v/>
      </c>
      <c r="Y44" s="959" t="str">
        <f t="shared" si="75"/>
        <v/>
      </c>
      <c r="Z44" s="836"/>
      <c r="AA44" s="837"/>
      <c r="AC44" s="934">
        <f t="shared" si="78"/>
        <v>42915</v>
      </c>
      <c r="AD44" s="961">
        <f>IF(AND(N(AC44)&gt;=Paramétrage!$AU$11,N(AC44)&lt;=Paramétrage!$AU$12),IF(C44="cp",1,0),0)</f>
        <v>0</v>
      </c>
      <c r="AE44" s="962">
        <f t="shared" si="76"/>
        <v>0</v>
      </c>
      <c r="AF44" s="961">
        <f>IF(AND(N(AC44)&gt;=Paramétrage!$AX$11,N(AC44)&lt;=Paramétrage!$AX$12),IF(C44="cp",1,0),0)</f>
        <v>0</v>
      </c>
      <c r="AG44" s="962">
        <f t="shared" si="77"/>
        <v>0</v>
      </c>
      <c r="AI44" s="962">
        <f t="shared" si="79"/>
        <v>0</v>
      </c>
      <c r="AJ44" s="962">
        <f t="shared" si="80"/>
        <v>0</v>
      </c>
      <c r="AM44" s="962">
        <f t="shared" si="81"/>
        <v>0</v>
      </c>
      <c r="AN44" s="962">
        <f t="shared" si="82"/>
        <v>0</v>
      </c>
      <c r="AO44" s="962">
        <f t="shared" si="83"/>
        <v>0</v>
      </c>
      <c r="AP44" s="962">
        <f t="shared" si="84"/>
        <v>0</v>
      </c>
      <c r="AR44" s="917">
        <f>IF(AND(AC44&lt;=$AR$3,B44="CP"),1,0)</f>
        <v>0</v>
      </c>
      <c r="AS44" s="917">
        <f>IF(AND(AC44&lt;=$AR$3,C44="CP"),1,0)</f>
        <v>0</v>
      </c>
    </row>
    <row r="45" spans="1:45" ht="14.25" customHeight="1" x14ac:dyDescent="0.3">
      <c r="A45" s="964" t="s">
        <v>15</v>
      </c>
      <c r="B45" s="414" t="b">
        <f>IF(Paramétrage!$O$45="",FALSE,Paramétrage!$O$45)</f>
        <v>0</v>
      </c>
      <c r="C45" s="263"/>
      <c r="D45" s="415" t="b">
        <f>IF(Paramétrage!$Q$45="",FALSE,Paramétrage!$Q$45)</f>
        <v>0</v>
      </c>
      <c r="E45" s="264"/>
      <c r="F45" s="414" t="b">
        <f>IF(Paramétrage!$R$45="",FALSE,Paramétrage!$R$45)</f>
        <v>0</v>
      </c>
      <c r="G45" s="264"/>
      <c r="H45" s="416" t="b">
        <f>IF(Paramétrage!$T$45="",FALSE,Paramétrage!$T$45)</f>
        <v>0</v>
      </c>
      <c r="I45" s="263"/>
      <c r="J45" s="417" t="b">
        <f>IF(Paramétrage!$U$45="",FALSE,Paramétrage!$U$45)</f>
        <v>0</v>
      </c>
      <c r="K45" s="263"/>
      <c r="L45" s="418" t="b">
        <f>IF(Paramétrage!$W$45="",FALSE,Paramétrage!$W$45)</f>
        <v>0</v>
      </c>
      <c r="M45" s="263"/>
      <c r="N45" s="956">
        <f>IF(OR(B45="aa",B45="cp",B45="f",B45="jc",B45="m",B45="css"),0,(L45-J45)+(H45-F45)+(D45-B45))</f>
        <v>0</v>
      </c>
      <c r="O45" s="956">
        <f>SUM(AM45:AP45)+IF(OR(C45="m",C45="aa"),N45,IF(C45="css",0,IF(C45="cp",0,IF(C45="jc",0,IF(C45="f",0,E45-C45+I45-G45+M45-K45)))))</f>
        <v>0</v>
      </c>
      <c r="P45" s="956">
        <f t="shared" si="68"/>
        <v>0</v>
      </c>
      <c r="Q45" s="956">
        <f t="shared" si="69"/>
        <v>0</v>
      </c>
      <c r="R45" s="957">
        <f>IF(OR(C45="aa",C45="cp",C45="f",C45="jc",C45="m",C45="css"),0,IF(C45=0,MAX(B45,D45,F45,H45,J45,L45)-MIN(B45,D45,F45,H45,J45,L45),IF(C45&lt;&gt;0,MAX(C45,E45,G45,I45,K45,M45)-MIN(C45,E45,G45,I45,K45,M45))))</f>
        <v>0</v>
      </c>
      <c r="S45" s="262"/>
      <c r="T45" s="958" t="str">
        <f t="shared" ref="T45:T48" si="85">IF(AND(B45=FALSE,C45=""),"",IF(AND(B45=0,C45=0),"",(IF(OR(C45="cp",C45="f",C45="jc",C45="css"),"",IF(OR(C45="",C45="aa",C45="m"),(IF(OR(B45="cp",B45="f",B45="jc",B45="css"),"",B45*24+24-MAX(D44,H44,L44)*24)),C45*24+24-MAX(M44,I44,E44)*24)))))</f>
        <v/>
      </c>
      <c r="U45" s="959" t="str">
        <f>IF(P45=0,"",IF(P45&lt;Paramétrage!$S$12,"PB",IF(AND(Q45&lt;Paramétrage!$S$12,Q45&lt;&gt;0),"PB","")))</f>
        <v/>
      </c>
      <c r="V45" s="959" t="str">
        <f t="shared" si="72"/>
        <v/>
      </c>
      <c r="W45" s="959" t="str">
        <f t="shared" si="73"/>
        <v/>
      </c>
      <c r="X45" s="960" t="str">
        <f>IF(AND(N45=0,O45=0),"",(IF(OR(C45="aa",C45="cp",C45="f",C45="jc",C45="m",C45="css"),"",IF(C45="",IF(OR(D45-B45&gt;6/24,H45-F45&gt;6/24,L45-J45&gt;6/24),"PB",""),IF(OR(E45-C45&gt;6/24,I45-G45&gt;6/24,M45-K45&gt;6/24),"PB","")))))</f>
        <v/>
      </c>
      <c r="Y45" s="959" t="str">
        <f t="shared" si="75"/>
        <v/>
      </c>
      <c r="Z45" s="836"/>
      <c r="AA45" s="837"/>
      <c r="AC45" s="934">
        <f t="shared" si="78"/>
        <v>42916</v>
      </c>
      <c r="AD45" s="961">
        <f>IF(AND(N(AC45)&gt;=Paramétrage!$AU$11,N(AC45)&lt;=Paramétrage!$AU$12),IF(C45="cp",1,0),0)</f>
        <v>0</v>
      </c>
      <c r="AE45" s="962">
        <f t="shared" si="76"/>
        <v>0</v>
      </c>
      <c r="AF45" s="961">
        <f>IF(AND(N(AC45)&gt;=Paramétrage!$AX$11,N(AC45)&lt;=Paramétrage!$AX$12),IF(C45="cp",1,0),0)</f>
        <v>0</v>
      </c>
      <c r="AG45" s="962">
        <f t="shared" si="77"/>
        <v>0</v>
      </c>
      <c r="AI45" s="962">
        <f t="shared" si="79"/>
        <v>0</v>
      </c>
      <c r="AJ45" s="962">
        <f t="shared" si="80"/>
        <v>0</v>
      </c>
      <c r="AM45" s="962">
        <f t="shared" si="81"/>
        <v>0</v>
      </c>
      <c r="AN45" s="962">
        <f t="shared" si="82"/>
        <v>0</v>
      </c>
      <c r="AO45" s="962">
        <f t="shared" si="83"/>
        <v>0</v>
      </c>
      <c r="AP45" s="962">
        <f t="shared" si="84"/>
        <v>0</v>
      </c>
      <c r="AR45" s="917">
        <f>IF(AND(AC45&lt;=$AR$3,B45="CP"),1,0)</f>
        <v>0</v>
      </c>
      <c r="AS45" s="917">
        <f>IF(AND(AC45&lt;=$AR$3,C45="CP"),1,0)</f>
        <v>0</v>
      </c>
    </row>
    <row r="46" spans="1:45" ht="14.25" customHeight="1" x14ac:dyDescent="0.3">
      <c r="A46" s="964" t="s">
        <v>16</v>
      </c>
      <c r="B46" s="414" t="b">
        <f>IF(Paramétrage!$O$46="",FALSE,Paramétrage!$O$46)</f>
        <v>0</v>
      </c>
      <c r="C46" s="263"/>
      <c r="D46" s="415" t="b">
        <f>IF(Paramétrage!$Q$46="",FALSE,Paramétrage!$Q$46)</f>
        <v>0</v>
      </c>
      <c r="E46" s="264"/>
      <c r="F46" s="414" t="b">
        <f>IF(Paramétrage!$R$46="",FALSE,Paramétrage!$R$46)</f>
        <v>0</v>
      </c>
      <c r="G46" s="264"/>
      <c r="H46" s="416" t="b">
        <f>IF(Paramétrage!$T$46="",FALSE,Paramétrage!$T$46)</f>
        <v>0</v>
      </c>
      <c r="I46" s="263"/>
      <c r="J46" s="417" t="b">
        <f>IF(Paramétrage!$U$46="",FALSE,Paramétrage!$U$46)</f>
        <v>0</v>
      </c>
      <c r="K46" s="263"/>
      <c r="L46" s="418" t="b">
        <f>IF(Paramétrage!$W$46="",FALSE,Paramétrage!$W$46)</f>
        <v>0</v>
      </c>
      <c r="M46" s="263"/>
      <c r="N46" s="956">
        <f>IF(OR(B46="aa",B46="cp",B46="f",B46="jc",B46="m",B46="css"),0,(L46-J46)+(H46-F46)+(D46-B46))</f>
        <v>0</v>
      </c>
      <c r="O46" s="956">
        <f>SUM(AM46:AP46)+IF(OR(C46="m",C46="aa"),N46,IF(C46="css",0,IF(C46="cp",0,IF(C46="jc",0,IF(C46="f",0,E46-C46+I46-G46+M46-K46)))))</f>
        <v>0</v>
      </c>
      <c r="P46" s="956">
        <f t="shared" si="68"/>
        <v>0</v>
      </c>
      <c r="Q46" s="956">
        <f t="shared" si="69"/>
        <v>0</v>
      </c>
      <c r="R46" s="957">
        <f>IF(OR(C46="aa",C46="cp",C46="f",C46="jc",C46="m",C46="css"),0,IF(C46=0,MAX(B46,D46,F46,H46,J46,L46)-MIN(B46,D46,F46,H46,J46,L46),IF(C46&lt;&gt;0,MAX(C46,E46,G46,I46,K46,M46)-MIN(C46,E46,G46,I46,K46,M46))))</f>
        <v>0</v>
      </c>
      <c r="S46" s="262"/>
      <c r="T46" s="958" t="str">
        <f t="shared" si="85"/>
        <v/>
      </c>
      <c r="U46" s="959" t="str">
        <f>IF(P46=0,"",IF(P46&lt;Paramétrage!$S$12,"PB",IF(AND(Q46&lt;Paramétrage!$S$12,Q46&lt;&gt;0),"PB","")))</f>
        <v/>
      </c>
      <c r="V46" s="959" t="str">
        <f t="shared" si="72"/>
        <v/>
      </c>
      <c r="W46" s="959" t="str">
        <f t="shared" si="73"/>
        <v/>
      </c>
      <c r="X46" s="960" t="str">
        <f>IF(AND(N46=0,O46=0),"",(IF(OR(C46="aa",C46="cp",C46="f",C46="jc",C46="m",C46="css"),"",IF(C46="",IF(OR(D46-B46&gt;6/24,H46-F46&gt;6/24,L46-J46&gt;6/24),"PB",""),IF(OR(E46-C46&gt;6/24,I46-G46&gt;6/24,M46-K46&gt;6/24),"PB","")))))</f>
        <v/>
      </c>
      <c r="Y46" s="959" t="str">
        <f t="shared" si="75"/>
        <v/>
      </c>
      <c r="Z46" s="836"/>
      <c r="AA46" s="837"/>
      <c r="AC46" s="934">
        <f t="shared" si="78"/>
        <v>42917</v>
      </c>
      <c r="AD46" s="961">
        <f>IF(AND(N(AC46)&gt;=Paramétrage!$AU$11,N(AC46)&lt;=Paramétrage!$AU$12),IF(C46="cp",1,0),0)</f>
        <v>0</v>
      </c>
      <c r="AE46" s="962">
        <f t="shared" si="76"/>
        <v>0</v>
      </c>
      <c r="AF46" s="961">
        <f>IF(AND(N(AC46)&gt;=Paramétrage!$AX$11,N(AC46)&lt;=Paramétrage!$AX$12),IF(C46="cp",1,0),0)</f>
        <v>0</v>
      </c>
      <c r="AG46" s="962">
        <f t="shared" si="77"/>
        <v>0</v>
      </c>
      <c r="AI46" s="962">
        <f t="shared" si="79"/>
        <v>0</v>
      </c>
      <c r="AJ46" s="962">
        <f t="shared" si="80"/>
        <v>0</v>
      </c>
      <c r="AM46" s="962">
        <f t="shared" si="81"/>
        <v>0</v>
      </c>
      <c r="AN46" s="962">
        <f t="shared" si="82"/>
        <v>0</v>
      </c>
      <c r="AO46" s="962">
        <f t="shared" si="83"/>
        <v>0</v>
      </c>
      <c r="AP46" s="962">
        <f t="shared" si="84"/>
        <v>0</v>
      </c>
      <c r="AR46" s="917">
        <f>IF(AND(AC46&lt;=$AR$3,B46="CP"),1,0)</f>
        <v>0</v>
      </c>
      <c r="AS46" s="917">
        <f>IF(AND(AC46&lt;=$AR$3,C46="CP"),1,0)</f>
        <v>0</v>
      </c>
    </row>
    <row r="47" spans="1:45" ht="14.25" customHeight="1" x14ac:dyDescent="0.3">
      <c r="A47" s="964" t="s">
        <v>19</v>
      </c>
      <c r="B47" s="414" t="b">
        <f>IF(Paramétrage!$O$47="",FALSE,Paramétrage!$O$47)</f>
        <v>0</v>
      </c>
      <c r="C47" s="263"/>
      <c r="D47" s="415" t="b">
        <f>IF(Paramétrage!$Q$47="",FALSE,Paramétrage!$Q$47)</f>
        <v>0</v>
      </c>
      <c r="E47" s="264"/>
      <c r="F47" s="414" t="b">
        <f>IF(Paramétrage!$R$47="",FALSE,Paramétrage!$R$47)</f>
        <v>0</v>
      </c>
      <c r="G47" s="264"/>
      <c r="H47" s="416" t="b">
        <f>IF(Paramétrage!$T$47="",FALSE,Paramétrage!$T$47)</f>
        <v>0</v>
      </c>
      <c r="I47" s="263"/>
      <c r="J47" s="417" t="b">
        <f>IF(Paramétrage!$U$47="",FALSE,Paramétrage!$U$47)</f>
        <v>0</v>
      </c>
      <c r="K47" s="263"/>
      <c r="L47" s="418" t="b">
        <f>IF(Paramétrage!$W$47="",FALSE,Paramétrage!$W$47)</f>
        <v>0</v>
      </c>
      <c r="M47" s="263"/>
      <c r="N47" s="956">
        <f>IF(OR(B47="aa",B47="cp",B47="f",B47="jc",B47="m",B47="css"),0,(L47-J47)+(H47-F47)+(D47-B47))</f>
        <v>0</v>
      </c>
      <c r="O47" s="956">
        <f>IF(OR(C47="m",C47="aa"),N47,IF(C47="cp",0,IF(OR(C47="css",C47="jc"),0,IF(C47="f",0,E47-C47+I47-G47+M47-K47))))</f>
        <v>0</v>
      </c>
      <c r="P47" s="956">
        <f t="shared" si="68"/>
        <v>0</v>
      </c>
      <c r="Q47" s="956">
        <f t="shared" si="69"/>
        <v>0</v>
      </c>
      <c r="R47" s="957">
        <f>IF(OR(C47="aa",C47="cp",C47="f",C47="jc",C47="m",C47="css"),0,IF(C47=0,MAX(B47,D47,F47,H47,J47,L47)-MIN(B47,D47,F47,H47,J47,L47),IF(C47&lt;&gt;0,MAX(C47,E47,G47,I47,K47,M47)-MIN(C47,E47,G47,I47,K47,M47))))</f>
        <v>0</v>
      </c>
      <c r="S47" s="262"/>
      <c r="T47" s="958" t="str">
        <f t="shared" si="85"/>
        <v/>
      </c>
      <c r="U47" s="959" t="str">
        <f>IF(P47=0,"",IF(P47&lt;Paramétrage!$S$12,"PB",IF(AND(Q47&lt;Paramétrage!$S$12,Q47&lt;&gt;0),"PB","")))</f>
        <v/>
      </c>
      <c r="V47" s="959" t="str">
        <f t="shared" si="72"/>
        <v/>
      </c>
      <c r="W47" s="959" t="str">
        <f t="shared" si="73"/>
        <v/>
      </c>
      <c r="X47" s="960" t="str">
        <f>IF(AND(N47=0,O47=0),"",(IF(OR(C47="aa",C47="cp",C47="f",C47="jc",C47="m",C47="css"),"",IF(C47="",IF(OR(D47-B47&gt;6/24,H47-F47&gt;6/24,L47-J47&gt;6/24),"PB",""),IF(OR(E47-C47&gt;6/24,I47-G47&gt;6/24,M47-K47&gt;6/24),"PB","")))))</f>
        <v/>
      </c>
      <c r="Y47" s="959" t="str">
        <f t="shared" si="75"/>
        <v/>
      </c>
      <c r="Z47" s="836"/>
      <c r="AA47" s="837"/>
      <c r="AC47" s="934">
        <f t="shared" si="78"/>
        <v>42918</v>
      </c>
      <c r="AD47" s="961">
        <f>IF(AND(N(AC47)&gt;=Paramétrage!$AU$11,N(AC47)&lt;=Paramétrage!$AU$12),IF(C47="cp",1,0),0)</f>
        <v>0</v>
      </c>
      <c r="AE47" s="962">
        <f t="shared" si="76"/>
        <v>0</v>
      </c>
      <c r="AF47" s="961">
        <f>IF(AND(N(AC47)&gt;=Paramétrage!$AX$11,N(AC47)&lt;=Paramétrage!$AX$12),IF(C47="cp",1,0),0)</f>
        <v>0</v>
      </c>
      <c r="AG47" s="962">
        <f t="shared" si="77"/>
        <v>0</v>
      </c>
      <c r="AI47" s="962">
        <f t="shared" si="79"/>
        <v>0</v>
      </c>
      <c r="AJ47" s="962">
        <f t="shared" si="80"/>
        <v>0</v>
      </c>
      <c r="AM47" s="962"/>
      <c r="AN47" s="962"/>
      <c r="AO47" s="962"/>
      <c r="AP47" s="962"/>
    </row>
    <row r="48" spans="1:45" ht="14.25" customHeight="1" thickBot="1" x14ac:dyDescent="0.35">
      <c r="A48" s="966" t="s">
        <v>20</v>
      </c>
      <c r="B48" s="414" t="b">
        <f>IF(Paramétrage!$O$48="",FALSE,Paramétrage!$O$48)</f>
        <v>0</v>
      </c>
      <c r="C48" s="263"/>
      <c r="D48" s="415" t="b">
        <f>IF(Paramétrage!$Q$48="",FALSE,Paramétrage!$Q$48)</f>
        <v>0</v>
      </c>
      <c r="E48" s="264"/>
      <c r="F48" s="414" t="b">
        <f>IF(Paramétrage!$R$48="",FALSE,Paramétrage!$R$48)</f>
        <v>0</v>
      </c>
      <c r="G48" s="264"/>
      <c r="H48" s="416" t="b">
        <f>IF(Paramétrage!$T$48="",FALSE,Paramétrage!$T$48)</f>
        <v>0</v>
      </c>
      <c r="I48" s="263"/>
      <c r="J48" s="417" t="b">
        <f>IF(Paramétrage!$U$48="",FALSE,Paramétrage!$U$48)</f>
        <v>0</v>
      </c>
      <c r="K48" s="263"/>
      <c r="L48" s="418" t="b">
        <f>IF(Paramétrage!$W$48="",FALSE,Paramétrage!$W$48)</f>
        <v>0</v>
      </c>
      <c r="M48" s="263"/>
      <c r="N48" s="956">
        <f>IF(OR(B48="aa",B48="m"),M48,IF(B48="cp",0,IF(B48="jc",0,IF(B48="f",0,(D48-B48)*Paramétrage!$S$13+(H48-F48)*Paramétrage!$S$13+(L48-J48)*Paramétrage!$S$13+(D48-B48+H48-F48+L48-J48)))))</f>
        <v>0</v>
      </c>
      <c r="O48" s="956">
        <f>IF(OR(C48="aa",C48="m"),N48,IF(C48="cp",0,IF(C48="jc",0,IF(C48="f",0,(E48-C48)*Paramétrage!$S$13+(I48-G48)*Paramétrage!$S$13+(M48-K48)*Paramétrage!$S$13+(E48-C48+I48-G48+M48-K48)))))</f>
        <v>0</v>
      </c>
      <c r="P48" s="956">
        <f t="shared" si="68"/>
        <v>0</v>
      </c>
      <c r="Q48" s="956">
        <f t="shared" si="69"/>
        <v>0</v>
      </c>
      <c r="R48" s="957">
        <f t="shared" ref="R48" si="86">IF(OR(C48="aa",C48="cp",C48="f",C48="jc",C48="m",C48=0),MAX(B48,D48,F48,H48,J48,L48)-MIN(B48,D48,F48,H48,J48,L48),IF(C48&lt;&gt;0,MAX(C48,E48,G48,I48,K48,M48)-MIN(C48,E48,G48,I48,K48,M48)))</f>
        <v>0</v>
      </c>
      <c r="S48" s="262"/>
      <c r="T48" s="958" t="str">
        <f t="shared" si="85"/>
        <v/>
      </c>
      <c r="U48" s="959" t="str">
        <f>IF(P48=0,"",IF(P48&lt;Paramétrage!$S$12,"PB",IF(AND(Q48&lt;Paramétrage!$S$12,Q48&lt;&gt;0),"PB","")))</f>
        <v/>
      </c>
      <c r="V48" s="959" t="str">
        <f t="shared" si="72"/>
        <v/>
      </c>
      <c r="W48" s="959" t="str">
        <f t="shared" si="73"/>
        <v/>
      </c>
      <c r="X48" s="960" t="str">
        <f t="shared" ref="X48" si="87">IF(AND(N48=0,O48=0),"",(IF(OR(C48="aa",C48="cp",C48="f",C48="jc",C48="m"),"",IF(C48="",IF(OR(D48-B48&gt;6/24,H48-F48&gt;6/24,L48-J48&gt;6/24),"PB",""),IF(OR(E48-C48&gt;6/24,I48-G48&gt;6/24,M48-K48&gt;6/24),"PB","")))))</f>
        <v/>
      </c>
      <c r="Y48" s="959" t="str">
        <f t="shared" si="75"/>
        <v/>
      </c>
      <c r="Z48" s="836"/>
      <c r="AA48" s="837"/>
      <c r="AC48" s="934">
        <f t="shared" si="78"/>
        <v>42919</v>
      </c>
      <c r="AD48" s="961">
        <f>IF(AND(N(AC48)&gt;=Paramétrage!$AU$11,N(AC48)&lt;=Paramétrage!$AU$12),IF(C48="cp",1,0),0)</f>
        <v>0</v>
      </c>
      <c r="AE48" s="962">
        <f t="shared" si="76"/>
        <v>0</v>
      </c>
      <c r="AF48" s="961">
        <f>IF(AND(N(AC48)&gt;=Paramétrage!$AX$11,N(AC48)&lt;=Paramétrage!$AX$12),IF(C48="cp",1,0),0)</f>
        <v>0</v>
      </c>
      <c r="AG48" s="962">
        <f t="shared" si="77"/>
        <v>0</v>
      </c>
      <c r="AI48" s="962">
        <f t="shared" si="79"/>
        <v>0</v>
      </c>
      <c r="AJ48" s="962">
        <f t="shared" si="80"/>
        <v>0</v>
      </c>
      <c r="AM48" s="962"/>
      <c r="AN48" s="962"/>
      <c r="AO48" s="962"/>
      <c r="AP48" s="962"/>
    </row>
    <row r="49" spans="1:45" s="935" customFormat="1" x14ac:dyDescent="0.25">
      <c r="A49" s="969" t="s">
        <v>49</v>
      </c>
      <c r="B49" s="970"/>
      <c r="C49" s="970"/>
      <c r="D49" s="970"/>
      <c r="E49" s="970"/>
      <c r="F49" s="970"/>
      <c r="G49" s="970"/>
      <c r="H49" s="970"/>
      <c r="I49" s="970"/>
      <c r="J49" s="970"/>
      <c r="K49" s="971"/>
      <c r="L49" s="970"/>
      <c r="M49" s="970"/>
      <c r="N49" s="972">
        <f>SUM(N42:N48)</f>
        <v>0</v>
      </c>
      <c r="O49" s="972">
        <f>SUM(O42:O48)</f>
        <v>0</v>
      </c>
      <c r="P49" s="972">
        <f>SUM(P42:P48)</f>
        <v>0</v>
      </c>
      <c r="Q49" s="972">
        <f>SUM(Q42:Q48)</f>
        <v>0</v>
      </c>
      <c r="R49" s="972"/>
      <c r="S49" s="972"/>
      <c r="T49" s="973"/>
      <c r="U49" s="974"/>
      <c r="V49" s="975" t="str">
        <f>IF((O49*24)&gt;48,"PB","")</f>
        <v/>
      </c>
      <c r="W49" s="974"/>
      <c r="X49" s="974"/>
      <c r="Y49" s="974"/>
      <c r="Z49" s="1053" t="s">
        <v>59</v>
      </c>
      <c r="AA49" s="1055">
        <f>+O49-N49</f>
        <v>0</v>
      </c>
      <c r="AB49" s="967"/>
      <c r="AC49" s="934"/>
      <c r="AE49" s="917"/>
      <c r="AF49" s="917"/>
      <c r="AG49" s="917"/>
      <c r="AH49" s="917"/>
      <c r="AI49" s="917"/>
      <c r="AJ49" s="917"/>
      <c r="AK49" s="917"/>
      <c r="AL49" s="917"/>
      <c r="AM49" s="917"/>
      <c r="AN49" s="917"/>
      <c r="AO49" s="917"/>
      <c r="AP49" s="917"/>
      <c r="AR49" s="917"/>
      <c r="AS49" s="917"/>
    </row>
    <row r="50" spans="1:45" s="935" customFormat="1" x14ac:dyDescent="0.25">
      <c r="A50" s="969"/>
      <c r="B50" s="969"/>
      <c r="C50" s="969"/>
      <c r="D50" s="969"/>
      <c r="E50" s="969"/>
      <c r="F50" s="1052"/>
      <c r="G50" s="1052"/>
      <c r="H50" s="1052"/>
      <c r="I50" s="1052"/>
      <c r="J50" s="1052"/>
      <c r="K50" s="969"/>
      <c r="L50" s="969"/>
      <c r="M50" s="969"/>
      <c r="N50" s="973"/>
      <c r="O50" s="969"/>
      <c r="P50" s="980"/>
      <c r="Q50" s="980"/>
      <c r="R50" s="980"/>
      <c r="S50" s="981"/>
      <c r="T50" s="980"/>
      <c r="U50" s="980"/>
      <c r="V50" s="980"/>
      <c r="W50" s="980"/>
      <c r="X50" s="980"/>
      <c r="Y50" s="980"/>
      <c r="Z50" s="1053"/>
      <c r="AA50" s="1055"/>
      <c r="AB50" s="917"/>
      <c r="AC50" s="934"/>
      <c r="AE50" s="917"/>
      <c r="AF50" s="917"/>
      <c r="AG50" s="917"/>
      <c r="AH50" s="917"/>
      <c r="AI50" s="917"/>
      <c r="AJ50" s="917"/>
      <c r="AK50" s="917"/>
      <c r="AL50" s="917"/>
      <c r="AM50" s="917"/>
      <c r="AN50" s="917"/>
      <c r="AO50" s="917"/>
      <c r="AP50" s="917"/>
      <c r="AR50" s="917"/>
      <c r="AS50" s="917"/>
    </row>
    <row r="51" spans="1:45" s="935" customFormat="1" ht="16.5" x14ac:dyDescent="0.3">
      <c r="A51" s="969"/>
      <c r="B51" s="969"/>
      <c r="C51" s="969"/>
      <c r="D51" s="969"/>
      <c r="E51" s="969"/>
      <c r="F51" s="928">
        <f>+F39+7</f>
        <v>42920</v>
      </c>
      <c r="G51" s="928"/>
      <c r="H51" s="929" t="s">
        <v>58</v>
      </c>
      <c r="I51" s="928">
        <f>+F51+6</f>
        <v>42926</v>
      </c>
      <c r="J51" s="930"/>
      <c r="K51" s="969"/>
      <c r="L51" s="969"/>
      <c r="M51" s="969"/>
      <c r="N51" s="973"/>
      <c r="O51" s="969"/>
      <c r="P51" s="980"/>
      <c r="Q51" s="980"/>
      <c r="R51" s="980"/>
      <c r="S51" s="981"/>
      <c r="T51" s="980"/>
      <c r="U51" s="980"/>
      <c r="V51" s="980"/>
      <c r="W51" s="980"/>
      <c r="X51" s="980"/>
      <c r="Y51" s="980"/>
      <c r="Z51" s="1053"/>
      <c r="AA51" s="1054"/>
      <c r="AB51" s="917"/>
      <c r="AC51" s="934"/>
      <c r="AE51" s="917"/>
      <c r="AF51" s="917"/>
      <c r="AG51" s="917"/>
      <c r="AH51" s="917"/>
      <c r="AI51" s="917"/>
      <c r="AJ51" s="917"/>
      <c r="AK51" s="917"/>
      <c r="AL51" s="917"/>
      <c r="AM51" s="917"/>
      <c r="AN51" s="917"/>
      <c r="AO51" s="917"/>
      <c r="AP51" s="917"/>
      <c r="AR51" s="917"/>
      <c r="AS51" s="917"/>
    </row>
    <row r="52" spans="1:45" ht="16.5" x14ac:dyDescent="0.3">
      <c r="A52" s="994"/>
      <c r="B52" s="1063" t="s">
        <v>17</v>
      </c>
      <c r="C52" s="1063"/>
      <c r="D52" s="1063" t="s">
        <v>18</v>
      </c>
      <c r="E52" s="1063"/>
      <c r="F52" s="1063" t="s">
        <v>17</v>
      </c>
      <c r="G52" s="1063"/>
      <c r="H52" s="1063" t="s">
        <v>18</v>
      </c>
      <c r="I52" s="1063"/>
      <c r="J52" s="1063" t="s">
        <v>17</v>
      </c>
      <c r="K52" s="1063"/>
      <c r="L52" s="1063" t="s">
        <v>18</v>
      </c>
      <c r="M52" s="1063"/>
      <c r="N52" s="939" t="s">
        <v>61</v>
      </c>
      <c r="O52" s="939" t="s">
        <v>62</v>
      </c>
      <c r="P52" s="939" t="s">
        <v>60</v>
      </c>
      <c r="Q52" s="939" t="s">
        <v>63</v>
      </c>
      <c r="R52" s="939" t="s">
        <v>64</v>
      </c>
      <c r="S52" s="940" t="s">
        <v>223</v>
      </c>
      <c r="T52" s="939" t="s">
        <v>70</v>
      </c>
      <c r="U52" s="941" t="s">
        <v>65</v>
      </c>
      <c r="V52" s="942"/>
      <c r="W52" s="942"/>
      <c r="X52" s="942"/>
      <c r="Y52" s="943"/>
      <c r="Z52" s="987" t="s">
        <v>22</v>
      </c>
      <c r="AA52" s="988"/>
      <c r="AC52" s="934"/>
    </row>
    <row r="53" spans="1:45" ht="26.25" thickBot="1" x14ac:dyDescent="0.4">
      <c r="A53" s="937" t="str">
        <f>"S"&amp;WEEKNUM(F51,21)</f>
        <v>S27</v>
      </c>
      <c r="B53" s="1064" t="s">
        <v>0</v>
      </c>
      <c r="C53" s="1065" t="s">
        <v>1</v>
      </c>
      <c r="D53" s="1064" t="s">
        <v>0</v>
      </c>
      <c r="E53" s="1065" t="s">
        <v>1</v>
      </c>
      <c r="F53" s="1064" t="s">
        <v>0</v>
      </c>
      <c r="G53" s="1065" t="s">
        <v>1</v>
      </c>
      <c r="H53" s="1064" t="s">
        <v>0</v>
      </c>
      <c r="I53" s="1065" t="s">
        <v>1</v>
      </c>
      <c r="J53" s="1064" t="s">
        <v>0</v>
      </c>
      <c r="K53" s="1065" t="s">
        <v>1</v>
      </c>
      <c r="L53" s="1064" t="s">
        <v>0</v>
      </c>
      <c r="M53" s="1065" t="s">
        <v>1</v>
      </c>
      <c r="N53" s="951"/>
      <c r="O53" s="951"/>
      <c r="P53" s="951"/>
      <c r="Q53" s="951"/>
      <c r="R53" s="951"/>
      <c r="S53" s="951"/>
      <c r="T53" s="939"/>
      <c r="U53" s="952" t="s">
        <v>66</v>
      </c>
      <c r="V53" s="952" t="s">
        <v>67</v>
      </c>
      <c r="W53" s="952" t="s">
        <v>68</v>
      </c>
      <c r="X53" s="952" t="s">
        <v>137</v>
      </c>
      <c r="Y53" s="952" t="s">
        <v>69</v>
      </c>
      <c r="Z53" s="989"/>
      <c r="AA53" s="990"/>
      <c r="AC53" s="934"/>
      <c r="AM53" s="917" t="s">
        <v>274</v>
      </c>
    </row>
    <row r="54" spans="1:45" ht="14.25" customHeight="1" x14ac:dyDescent="0.3">
      <c r="A54" s="955" t="s">
        <v>12</v>
      </c>
      <c r="B54" s="414" t="b">
        <f>IF(Paramétrage!$O$42="",FALSE,Paramétrage!$O$42)</f>
        <v>0</v>
      </c>
      <c r="C54" s="263"/>
      <c r="D54" s="415" t="b">
        <f>IF(Paramétrage!$Q$42="",FALSE,Paramétrage!$Q$42)</f>
        <v>0</v>
      </c>
      <c r="E54" s="264"/>
      <c r="F54" s="414" t="b">
        <f>IF(Paramétrage!$R$42="",FALSE,Paramétrage!$R$42)</f>
        <v>0</v>
      </c>
      <c r="G54" s="264"/>
      <c r="H54" s="416" t="b">
        <f>IF(Paramétrage!$T$42="",FALSE,Paramétrage!$T$42)</f>
        <v>0</v>
      </c>
      <c r="I54" s="263"/>
      <c r="J54" s="417" t="b">
        <f>IF(Paramétrage!$U$42="",FALSE,Paramétrage!$U$42)</f>
        <v>0</v>
      </c>
      <c r="K54" s="263"/>
      <c r="L54" s="418" t="b">
        <f>IF(Paramétrage!$W$42="",FALSE,Paramétrage!$W$42)</f>
        <v>0</v>
      </c>
      <c r="M54" s="263"/>
      <c r="N54" s="956">
        <f t="shared" ref="N54:N56" si="88">IF(OR(B54="aa",B54="cp",B54="f",B54="jc",B54="m",B54="css"),0,(L54-J54)+(H54-F54)+(D54-B54))</f>
        <v>0</v>
      </c>
      <c r="O54" s="956">
        <f t="shared" ref="O54:O56" si="89">SUM(AM54:AP54)+IF(OR(C54="m",C54="aa"),N54,IF(C54="css",0,IF(C54="cp",0,IF(C54="jc",0,IF(C54="f",0,E54-C54+I54-G54+M54-K54)))))</f>
        <v>0</v>
      </c>
      <c r="P54" s="956">
        <f t="shared" ref="P54:P60" si="90">IF(OR(C54="aa",C54="cp",C54="f",C54="jc",C54="m",C54="css"),0,IF(C54="",IF(OR(F54="",F54=FALSE),0,F54-D54),IF(G54="",0,G54-E54)))</f>
        <v>0</v>
      </c>
      <c r="Q54" s="956">
        <f t="shared" ref="Q54:Q60" si="91">IF(P54=0,0,IF(G54="",IF(OR(J54="",J54=FALSE),0,J54-H54),IF(K54="",0,K54-I54)))</f>
        <v>0</v>
      </c>
      <c r="R54" s="957">
        <f t="shared" ref="R54:R56" si="92">IF(OR(C54="aa",C54="cp",C54="f",C54="jc",C54="m",C54="css"),0,IF(C54=0,MAX(B54,D54,F54,H54,J54,L54)-MIN(B54,D54,F54,H54,J54,L54),IF(C54&lt;&gt;0,MAX(C54,E54,G54,I54,K54,M54)-MIN(C54,E54,G54,I54,K54,M54))))</f>
        <v>0</v>
      </c>
      <c r="S54" s="262"/>
      <c r="T54" s="958" t="str">
        <f t="shared" ref="T54:T55" si="93">IF(AND(B54=FALSE,C54=""),"",IF(AND(B54=0,C54=0),"",(IF(OR(C54="cp",C54="f",C54="jc",C54="css"),"",IF(OR(C54="",C54="aa",C54="m"),(IF(OR(B54="cp",B54="f",B54="jc",B54="css"),"",B54*24+24-MAX(D53,H53,L53)*24)),C54*24+24-MAX(M53,I53,E53)*24)))))</f>
        <v/>
      </c>
      <c r="U54" s="959" t="str">
        <f>IF(P54=0,"",IF(P54&lt;Paramétrage!$S$12,"PB",IF(AND(Q54&lt;Paramétrage!$S$12,Q54&lt;&gt;0),"PB","")))</f>
        <v/>
      </c>
      <c r="V54" s="959" t="str">
        <f t="shared" ref="V54:V60" si="94">IF(C54="",IF((N54*24)&gt;10,"PB",""),IF((O54*24)&gt;10,"PB",""))</f>
        <v/>
      </c>
      <c r="W54" s="959" t="str">
        <f t="shared" ref="W54:W60" si="95">IF((R54*24)&gt;12,"PB","")</f>
        <v/>
      </c>
      <c r="X54" s="960" t="str">
        <f t="shared" ref="X54:X56" si="96">IF(AND(N54=0,O54=0),"",(IF(OR(C54="aa",C54="cp",C54="f",C54="jc",C54="m",C54="css"),"",IF(C54="",IF(OR(D54-B54&gt;6/24,H54-F54&gt;6/24,L54-J54&gt;6/24),"PB",""),IF(OR(E54-C54&gt;6/24,I54-G54&gt;6/24,M54-K54&gt;6/24),"PB","")))))</f>
        <v/>
      </c>
      <c r="Y54" s="959" t="str">
        <f t="shared" ref="Y54:Y60" si="97">IF(T54="","",IF(T54&lt;11,"PB",""))</f>
        <v/>
      </c>
      <c r="Z54" s="836"/>
      <c r="AA54" s="837"/>
      <c r="AC54" s="934">
        <f>AC48+1</f>
        <v>42920</v>
      </c>
      <c r="AD54" s="961">
        <f>IF(AND(N(AC54)&gt;=Paramétrage!$AU$11,N(AC54)&lt;=Paramétrage!$AU$12),IF(C54="cp",1,0),0)</f>
        <v>0</v>
      </c>
      <c r="AE54" s="962">
        <f t="shared" ref="AE54:AE60" si="98">IF(O54&lt;&gt;"erreur",N54,O54)</f>
        <v>0</v>
      </c>
      <c r="AF54" s="961">
        <f>IF(AND(N(AC54)&gt;=Paramétrage!$AX$11,N(AC54)&lt;=Paramétrage!$AX$12),IF(C54="cp",1,0),0)</f>
        <v>0</v>
      </c>
      <c r="AG54" s="962">
        <f>O54</f>
        <v>0</v>
      </c>
      <c r="AI54" s="962">
        <f>AE54+AI48</f>
        <v>0</v>
      </c>
      <c r="AJ54" s="962">
        <f>AG54+AJ48</f>
        <v>0</v>
      </c>
      <c r="AM54" s="962">
        <f>IF(AND($B54="cp",$C54="m"),$Z54,0)</f>
        <v>0</v>
      </c>
      <c r="AN54" s="962">
        <f>IF(AND($B54="jc",$C54="m"),$Z54,0)</f>
        <v>0</v>
      </c>
      <c r="AO54" s="962">
        <f>IF(AND($B54="cp",$C54="aa"),$Z54,0)</f>
        <v>0</v>
      </c>
      <c r="AP54" s="962">
        <f>IF(AND($B54="jc",$C54="aa"),$Z54,0)</f>
        <v>0</v>
      </c>
      <c r="AR54" s="917">
        <f>IF(AND(AC54&lt;=$AR$3,B54="CP"),1,0)</f>
        <v>0</v>
      </c>
      <c r="AS54" s="917">
        <f>IF(AND(AC54&lt;=$AR$3,C54="CP"),1,0)</f>
        <v>0</v>
      </c>
    </row>
    <row r="55" spans="1:45" ht="14.25" customHeight="1" x14ac:dyDescent="0.3">
      <c r="A55" s="964" t="s">
        <v>13</v>
      </c>
      <c r="B55" s="414" t="b">
        <f>IF(Paramétrage!$O$43="",FALSE,Paramétrage!$O$43)</f>
        <v>0</v>
      </c>
      <c r="C55" s="263"/>
      <c r="D55" s="415" t="b">
        <f>IF(Paramétrage!$Q$43="",FALSE,Paramétrage!$Q$43)</f>
        <v>0</v>
      </c>
      <c r="E55" s="264"/>
      <c r="F55" s="414" t="b">
        <f>IF(Paramétrage!$R$43="",FALSE,Paramétrage!$R$43)</f>
        <v>0</v>
      </c>
      <c r="G55" s="264"/>
      <c r="H55" s="416" t="b">
        <f>IF(Paramétrage!$T$43="",FALSE,Paramétrage!$T$43)</f>
        <v>0</v>
      </c>
      <c r="I55" s="263"/>
      <c r="J55" s="417" t="b">
        <f>IF(Paramétrage!$U$43="",FALSE,Paramétrage!$U$43)</f>
        <v>0</v>
      </c>
      <c r="K55" s="263"/>
      <c r="L55" s="418" t="b">
        <f>IF(Paramétrage!$W$43="",FALSE,Paramétrage!$W$43)</f>
        <v>0</v>
      </c>
      <c r="M55" s="263"/>
      <c r="N55" s="956">
        <f t="shared" si="88"/>
        <v>0</v>
      </c>
      <c r="O55" s="956">
        <f t="shared" si="89"/>
        <v>0</v>
      </c>
      <c r="P55" s="956">
        <f t="shared" si="90"/>
        <v>0</v>
      </c>
      <c r="Q55" s="956">
        <f t="shared" si="91"/>
        <v>0</v>
      </c>
      <c r="R55" s="957">
        <f t="shared" si="92"/>
        <v>0</v>
      </c>
      <c r="S55" s="262"/>
      <c r="T55" s="958" t="str">
        <f t="shared" si="93"/>
        <v/>
      </c>
      <c r="U55" s="959" t="str">
        <f>IF(P55=0,"",IF(P55&lt;Paramétrage!$S$12,"PB",IF(AND(Q55&lt;Paramétrage!$S$12,Q55&lt;&gt;0),"PB","")))</f>
        <v/>
      </c>
      <c r="V55" s="959" t="str">
        <f t="shared" si="94"/>
        <v/>
      </c>
      <c r="W55" s="959" t="str">
        <f t="shared" si="95"/>
        <v/>
      </c>
      <c r="X55" s="960" t="str">
        <f t="shared" si="96"/>
        <v/>
      </c>
      <c r="Y55" s="959" t="str">
        <f t="shared" si="97"/>
        <v/>
      </c>
      <c r="Z55" s="836"/>
      <c r="AA55" s="837"/>
      <c r="AC55" s="934">
        <f t="shared" ref="AC55:AC60" si="99">AC54+1</f>
        <v>42921</v>
      </c>
      <c r="AD55" s="961">
        <f>IF(AND(N(AC55)&gt;=Paramétrage!$AU$11,N(AC55)&lt;=Paramétrage!$AU$12),IF(C55="cp",1,0),0)</f>
        <v>0</v>
      </c>
      <c r="AE55" s="962">
        <f t="shared" si="98"/>
        <v>0</v>
      </c>
      <c r="AF55" s="961">
        <f>IF(AND(N(AC55)&gt;=Paramétrage!$AX$11,N(AC55)&lt;=Paramétrage!$AX$12),IF(C55="cp",1,0),0)</f>
        <v>0</v>
      </c>
      <c r="AG55" s="962">
        <f t="shared" ref="AG55:AG60" si="100">O55</f>
        <v>0</v>
      </c>
      <c r="AI55" s="962">
        <f t="shared" ref="AI55:AI60" si="101">AE55+AI54</f>
        <v>0</v>
      </c>
      <c r="AJ55" s="962">
        <f t="shared" ref="AJ55:AJ60" si="102">AG55+AJ54</f>
        <v>0</v>
      </c>
      <c r="AM55" s="962">
        <f t="shared" ref="AM55:AM58" si="103">IF(AND($B55="cp",$C55="m"),$Z55,0)</f>
        <v>0</v>
      </c>
      <c r="AN55" s="962">
        <f t="shared" ref="AN55:AN58" si="104">IF(AND($B55="jc",$C55="m"),$Z55,0)</f>
        <v>0</v>
      </c>
      <c r="AO55" s="962">
        <f t="shared" ref="AO55:AO58" si="105">IF(AND($B55="cp",$C55="aa"),$Z55,0)</f>
        <v>0</v>
      </c>
      <c r="AP55" s="962">
        <f t="shared" ref="AP55:AP58" si="106">IF(AND($B55="jc",$C55="aa"),$Z55,0)</f>
        <v>0</v>
      </c>
      <c r="AR55" s="917">
        <f>IF(AND(AC55&lt;=$AR$3,B55="CP"),1,0)</f>
        <v>0</v>
      </c>
      <c r="AS55" s="917">
        <f>IF(AND(AC55&lt;=$AR$3,C55="CP"),1,0)</f>
        <v>0</v>
      </c>
    </row>
    <row r="56" spans="1:45" ht="14.25" customHeight="1" x14ac:dyDescent="0.3">
      <c r="A56" s="964" t="s">
        <v>14</v>
      </c>
      <c r="B56" s="414" t="b">
        <f>IF(Paramétrage!$O$44="",FALSE,Paramétrage!$O$44)</f>
        <v>0</v>
      </c>
      <c r="C56" s="263"/>
      <c r="D56" s="415" t="b">
        <f>IF(Paramétrage!$Q$44="",FALSE,Paramétrage!$Q$44)</f>
        <v>0</v>
      </c>
      <c r="E56" s="264"/>
      <c r="F56" s="414" t="b">
        <f>IF(Paramétrage!$R$44="",FALSE,Paramétrage!$R$44)</f>
        <v>0</v>
      </c>
      <c r="G56" s="264"/>
      <c r="H56" s="416" t="b">
        <f>IF(Paramétrage!$T$44="",FALSE,Paramétrage!$T$44)</f>
        <v>0</v>
      </c>
      <c r="I56" s="263"/>
      <c r="J56" s="417" t="b">
        <f>IF(Paramétrage!$U$44="",FALSE,Paramétrage!$U$44)</f>
        <v>0</v>
      </c>
      <c r="K56" s="263"/>
      <c r="L56" s="418" t="b">
        <f>IF(Paramétrage!$W$44="",FALSE,Paramétrage!$W$44)</f>
        <v>0</v>
      </c>
      <c r="M56" s="263"/>
      <c r="N56" s="956">
        <f t="shared" si="88"/>
        <v>0</v>
      </c>
      <c r="O56" s="956">
        <f t="shared" si="89"/>
        <v>0</v>
      </c>
      <c r="P56" s="956">
        <f t="shared" si="90"/>
        <v>0</v>
      </c>
      <c r="Q56" s="956">
        <f t="shared" si="91"/>
        <v>0</v>
      </c>
      <c r="R56" s="957">
        <f t="shared" si="92"/>
        <v>0</v>
      </c>
      <c r="S56" s="262"/>
      <c r="T56" s="958" t="str">
        <f>IF(AND(B56=FALSE,C56=""),"",IF(AND(B56=0,C56=0),"",(IF(OR(C56="cp",C56="f",C56="jc",C56="css"),"",IF(OR(C56="",C56="aa",C56="m"),(IF(OR(B56="cp",B56="f",B56="jc",B56="css"),"",B56*24+24-MAX(D55,H55,L55)*24)),C56*24+24-MAX(M55,I55,E55)*24)))))</f>
        <v/>
      </c>
      <c r="U56" s="959" t="str">
        <f>IF(P56=0,"",IF(P56&lt;Paramétrage!$S$12,"PB",IF(AND(Q56&lt;Paramétrage!$S$12,Q56&lt;&gt;0),"PB","")))</f>
        <v/>
      </c>
      <c r="V56" s="959" t="str">
        <f t="shared" si="94"/>
        <v/>
      </c>
      <c r="W56" s="959" t="str">
        <f t="shared" si="95"/>
        <v/>
      </c>
      <c r="X56" s="960" t="str">
        <f t="shared" si="96"/>
        <v/>
      </c>
      <c r="Y56" s="959" t="str">
        <f t="shared" si="97"/>
        <v/>
      </c>
      <c r="Z56" s="836"/>
      <c r="AA56" s="837"/>
      <c r="AC56" s="934">
        <f t="shared" si="99"/>
        <v>42922</v>
      </c>
      <c r="AD56" s="961">
        <f>IF(AND(N(AC56)&gt;=Paramétrage!$AU$11,N(AC56)&lt;=Paramétrage!$AU$12),IF(C56="cp",1,0),0)</f>
        <v>0</v>
      </c>
      <c r="AE56" s="962">
        <f t="shared" si="98"/>
        <v>0</v>
      </c>
      <c r="AF56" s="961">
        <f>IF(AND(N(AC56)&gt;=Paramétrage!$AX$11,N(AC56)&lt;=Paramétrage!$AX$12),IF(C56="cp",1,0),0)</f>
        <v>0</v>
      </c>
      <c r="AG56" s="962">
        <f t="shared" si="100"/>
        <v>0</v>
      </c>
      <c r="AI56" s="962">
        <f t="shared" si="101"/>
        <v>0</v>
      </c>
      <c r="AJ56" s="962">
        <f t="shared" si="102"/>
        <v>0</v>
      </c>
      <c r="AM56" s="962">
        <f t="shared" si="103"/>
        <v>0</v>
      </c>
      <c r="AN56" s="962">
        <f t="shared" si="104"/>
        <v>0</v>
      </c>
      <c r="AO56" s="962">
        <f t="shared" si="105"/>
        <v>0</v>
      </c>
      <c r="AP56" s="962">
        <f t="shared" si="106"/>
        <v>0</v>
      </c>
      <c r="AR56" s="917">
        <f>IF(AND(AC56&lt;=$AR$3,B56="CP"),1,0)</f>
        <v>0</v>
      </c>
      <c r="AS56" s="917">
        <f>IF(AND(AC56&lt;=$AR$3,C56="CP"),1,0)</f>
        <v>0</v>
      </c>
    </row>
    <row r="57" spans="1:45" ht="14.25" customHeight="1" x14ac:dyDescent="0.3">
      <c r="A57" s="964" t="s">
        <v>15</v>
      </c>
      <c r="B57" s="414" t="b">
        <f>IF(Paramétrage!$O$45="",FALSE,Paramétrage!$O$45)</f>
        <v>0</v>
      </c>
      <c r="C57" s="263"/>
      <c r="D57" s="415" t="b">
        <f>IF(Paramétrage!$Q$45="",FALSE,Paramétrage!$Q$45)</f>
        <v>0</v>
      </c>
      <c r="E57" s="264"/>
      <c r="F57" s="414" t="b">
        <f>IF(Paramétrage!$R$45="",FALSE,Paramétrage!$R$45)</f>
        <v>0</v>
      </c>
      <c r="G57" s="264"/>
      <c r="H57" s="416" t="b">
        <f>IF(Paramétrage!$T$45="",FALSE,Paramétrage!$T$45)</f>
        <v>0</v>
      </c>
      <c r="I57" s="263"/>
      <c r="J57" s="417" t="b">
        <f>IF(Paramétrage!$U$45="",FALSE,Paramétrage!$U$45)</f>
        <v>0</v>
      </c>
      <c r="K57" s="263"/>
      <c r="L57" s="418" t="b">
        <f>IF(Paramétrage!$W$45="",FALSE,Paramétrage!$W$45)</f>
        <v>0</v>
      </c>
      <c r="M57" s="263"/>
      <c r="N57" s="956">
        <f>IF(OR(B57="aa",B57="cp",B57="f",B57="jc",B57="m",B57="css"),0,(L57-J57)+(H57-F57)+(D57-B57))</f>
        <v>0</v>
      </c>
      <c r="O57" s="956">
        <f>SUM(AM57:AP57)+IF(OR(C57="m",C57="aa"),N57,IF(C57="css",0,IF(C57="cp",0,IF(C57="jc",0,IF(C57="f",0,E57-C57+I57-G57+M57-K57)))))</f>
        <v>0</v>
      </c>
      <c r="P57" s="956">
        <f t="shared" si="90"/>
        <v>0</v>
      </c>
      <c r="Q57" s="956">
        <f t="shared" si="91"/>
        <v>0</v>
      </c>
      <c r="R57" s="957">
        <f>IF(OR(C57="aa",C57="cp",C57="f",C57="jc",C57="m",C57="css"),0,IF(C57=0,MAX(B57,D57,F57,H57,J57,L57)-MIN(B57,D57,F57,H57,J57,L57),IF(C57&lt;&gt;0,MAX(C57,E57,G57,I57,K57,M57)-MIN(C57,E57,G57,I57,K57,M57))))</f>
        <v>0</v>
      </c>
      <c r="S57" s="262"/>
      <c r="T57" s="958" t="str">
        <f t="shared" ref="T57:T60" si="107">IF(AND(B57=FALSE,C57=""),"",IF(AND(B57=0,C57=0),"",(IF(OR(C57="cp",C57="f",C57="jc",C57="css"),"",IF(OR(C57="",C57="aa",C57="m"),(IF(OR(B57="cp",B57="f",B57="jc",B57="css"),"",B57*24+24-MAX(D56,H56,L56)*24)),C57*24+24-MAX(M56,I56,E56)*24)))))</f>
        <v/>
      </c>
      <c r="U57" s="959" t="str">
        <f>IF(P57=0,"",IF(P57&lt;Paramétrage!$S$12,"PB",IF(AND(Q57&lt;Paramétrage!$S$12,Q57&lt;&gt;0),"PB","")))</f>
        <v/>
      </c>
      <c r="V57" s="959" t="str">
        <f t="shared" si="94"/>
        <v/>
      </c>
      <c r="W57" s="959" t="str">
        <f t="shared" si="95"/>
        <v/>
      </c>
      <c r="X57" s="960" t="str">
        <f>IF(AND(N57=0,O57=0),"",(IF(OR(C57="aa",C57="cp",C57="f",C57="jc",C57="m",C57="css"),"",IF(C57="",IF(OR(D57-B57&gt;6/24,H57-F57&gt;6/24,L57-J57&gt;6/24),"PB",""),IF(OR(E57-C57&gt;6/24,I57-G57&gt;6/24,M57-K57&gt;6/24),"PB","")))))</f>
        <v/>
      </c>
      <c r="Y57" s="959" t="str">
        <f t="shared" si="97"/>
        <v/>
      </c>
      <c r="Z57" s="836"/>
      <c r="AA57" s="837"/>
      <c r="AC57" s="934">
        <f t="shared" si="99"/>
        <v>42923</v>
      </c>
      <c r="AD57" s="961">
        <f>IF(AND(N(AC57)&gt;=Paramétrage!$AU$11,N(AC57)&lt;=Paramétrage!$AU$12),IF(C57="cp",1,0),0)</f>
        <v>0</v>
      </c>
      <c r="AE57" s="962">
        <f t="shared" si="98"/>
        <v>0</v>
      </c>
      <c r="AF57" s="961">
        <f>IF(AND(N(AC57)&gt;=Paramétrage!$AX$11,N(AC57)&lt;=Paramétrage!$AX$12),IF(C57="cp",1,0),0)</f>
        <v>0</v>
      </c>
      <c r="AG57" s="962">
        <f t="shared" si="100"/>
        <v>0</v>
      </c>
      <c r="AI57" s="962">
        <f t="shared" si="101"/>
        <v>0</v>
      </c>
      <c r="AJ57" s="962">
        <f t="shared" si="102"/>
        <v>0</v>
      </c>
      <c r="AM57" s="962">
        <f t="shared" si="103"/>
        <v>0</v>
      </c>
      <c r="AN57" s="962">
        <f t="shared" si="104"/>
        <v>0</v>
      </c>
      <c r="AO57" s="962">
        <f t="shared" si="105"/>
        <v>0</v>
      </c>
      <c r="AP57" s="962">
        <f t="shared" si="106"/>
        <v>0</v>
      </c>
      <c r="AR57" s="917">
        <f>IF(AND(AC57&lt;=$AR$3,B57="CP"),1,0)</f>
        <v>0</v>
      </c>
      <c r="AS57" s="917">
        <f>IF(AND(AC57&lt;=$AR$3,C57="CP"),1,0)</f>
        <v>0</v>
      </c>
    </row>
    <row r="58" spans="1:45" ht="14.25" customHeight="1" x14ac:dyDescent="0.3">
      <c r="A58" s="964" t="s">
        <v>16</v>
      </c>
      <c r="B58" s="414" t="b">
        <f>IF(Paramétrage!$O$46="",FALSE,Paramétrage!$O$46)</f>
        <v>0</v>
      </c>
      <c r="C58" s="263"/>
      <c r="D58" s="415" t="b">
        <f>IF(Paramétrage!$Q$46="",FALSE,Paramétrage!$Q$46)</f>
        <v>0</v>
      </c>
      <c r="E58" s="264"/>
      <c r="F58" s="414" t="b">
        <f>IF(Paramétrage!$R$46="",FALSE,Paramétrage!$R$46)</f>
        <v>0</v>
      </c>
      <c r="G58" s="264"/>
      <c r="H58" s="416" t="b">
        <f>IF(Paramétrage!$T$46="",FALSE,Paramétrage!$T$46)</f>
        <v>0</v>
      </c>
      <c r="I58" s="263"/>
      <c r="J58" s="417" t="b">
        <f>IF(Paramétrage!$U$46="",FALSE,Paramétrage!$U$46)</f>
        <v>0</v>
      </c>
      <c r="K58" s="263"/>
      <c r="L58" s="418" t="b">
        <f>IF(Paramétrage!$W$46="",FALSE,Paramétrage!$W$46)</f>
        <v>0</v>
      </c>
      <c r="M58" s="263"/>
      <c r="N58" s="956">
        <f>IF(OR(B58="aa",B58="cp",B58="f",B58="jc",B58="m",B58="css"),0,(L58-J58)+(H58-F58)+(D58-B58))</f>
        <v>0</v>
      </c>
      <c r="O58" s="956">
        <f>SUM(AM58:AP58)+IF(OR(C58="m",C58="aa"),N58,IF(C58="css",0,IF(C58="cp",0,IF(C58="jc",0,IF(C58="f",0,E58-C58+I58-G58+M58-K58)))))</f>
        <v>0</v>
      </c>
      <c r="P58" s="956">
        <f t="shared" si="90"/>
        <v>0</v>
      </c>
      <c r="Q58" s="956">
        <f t="shared" si="91"/>
        <v>0</v>
      </c>
      <c r="R58" s="957">
        <f>IF(OR(C58="aa",C58="cp",C58="f",C58="jc",C58="m",C58="css"),0,IF(C58=0,MAX(B58,D58,F58,H58,J58,L58)-MIN(B58,D58,F58,H58,J58,L58),IF(C58&lt;&gt;0,MAX(C58,E58,G58,I58,K58,M58)-MIN(C58,E58,G58,I58,K58,M58))))</f>
        <v>0</v>
      </c>
      <c r="S58" s="262"/>
      <c r="T58" s="958" t="str">
        <f t="shared" si="107"/>
        <v/>
      </c>
      <c r="U58" s="959" t="str">
        <f>IF(P58=0,"",IF(P58&lt;Paramétrage!$S$12,"PB",IF(AND(Q58&lt;Paramétrage!$S$12,Q58&lt;&gt;0),"PB","")))</f>
        <v/>
      </c>
      <c r="V58" s="959" t="str">
        <f t="shared" si="94"/>
        <v/>
      </c>
      <c r="W58" s="959" t="str">
        <f t="shared" si="95"/>
        <v/>
      </c>
      <c r="X58" s="960" t="str">
        <f>IF(AND(N58=0,O58=0),"",(IF(OR(C58="aa",C58="cp",C58="f",C58="jc",C58="m",C58="css"),"",IF(C58="",IF(OR(D58-B58&gt;6/24,H58-F58&gt;6/24,L58-J58&gt;6/24),"PB",""),IF(OR(E58-C58&gt;6/24,I58-G58&gt;6/24,M58-K58&gt;6/24),"PB","")))))</f>
        <v/>
      </c>
      <c r="Y58" s="959" t="str">
        <f t="shared" si="97"/>
        <v/>
      </c>
      <c r="Z58" s="836"/>
      <c r="AA58" s="837"/>
      <c r="AC58" s="934">
        <f t="shared" si="99"/>
        <v>42924</v>
      </c>
      <c r="AD58" s="961">
        <f>IF(AND(N(AC58)&gt;=Paramétrage!$AU$11,N(AC58)&lt;=Paramétrage!$AU$12),IF(C58="cp",1,0),0)</f>
        <v>0</v>
      </c>
      <c r="AE58" s="962">
        <f t="shared" si="98"/>
        <v>0</v>
      </c>
      <c r="AF58" s="961">
        <f>IF(AND(N(AC58)&gt;=Paramétrage!$AX$11,N(AC58)&lt;=Paramétrage!$AX$12),IF(C58="cp",1,0),0)</f>
        <v>0</v>
      </c>
      <c r="AG58" s="962">
        <f t="shared" si="100"/>
        <v>0</v>
      </c>
      <c r="AI58" s="962">
        <f t="shared" si="101"/>
        <v>0</v>
      </c>
      <c r="AJ58" s="962">
        <f t="shared" si="102"/>
        <v>0</v>
      </c>
      <c r="AM58" s="962">
        <f t="shared" si="103"/>
        <v>0</v>
      </c>
      <c r="AN58" s="962">
        <f t="shared" si="104"/>
        <v>0</v>
      </c>
      <c r="AO58" s="962">
        <f t="shared" si="105"/>
        <v>0</v>
      </c>
      <c r="AP58" s="962">
        <f t="shared" si="106"/>
        <v>0</v>
      </c>
      <c r="AR58" s="917">
        <f>IF(AND(AC58&lt;=$AR$3,B58="CP"),1,0)</f>
        <v>0</v>
      </c>
      <c r="AS58" s="917">
        <f>IF(AND(AC58&lt;=$AR$3,C58="CP"),1,0)</f>
        <v>0</v>
      </c>
    </row>
    <row r="59" spans="1:45" ht="14.25" customHeight="1" x14ac:dyDescent="0.3">
      <c r="A59" s="964" t="s">
        <v>19</v>
      </c>
      <c r="B59" s="414" t="b">
        <f>IF(Paramétrage!$O$47="",FALSE,Paramétrage!$O$47)</f>
        <v>0</v>
      </c>
      <c r="C59" s="263"/>
      <c r="D59" s="415" t="b">
        <f>IF(Paramétrage!$Q$47="",FALSE,Paramétrage!$Q$47)</f>
        <v>0</v>
      </c>
      <c r="E59" s="264"/>
      <c r="F59" s="414" t="b">
        <f>IF(Paramétrage!$R$47="",FALSE,Paramétrage!$R$47)</f>
        <v>0</v>
      </c>
      <c r="G59" s="264"/>
      <c r="H59" s="416" t="b">
        <f>IF(Paramétrage!$T$47="",FALSE,Paramétrage!$T$47)</f>
        <v>0</v>
      </c>
      <c r="I59" s="263"/>
      <c r="J59" s="417" t="b">
        <f>IF(Paramétrage!$U$47="",FALSE,Paramétrage!$U$47)</f>
        <v>0</v>
      </c>
      <c r="K59" s="263"/>
      <c r="L59" s="418" t="b">
        <f>IF(Paramétrage!$W$47="",FALSE,Paramétrage!$W$47)</f>
        <v>0</v>
      </c>
      <c r="M59" s="263"/>
      <c r="N59" s="956">
        <f>IF(OR(B59="aa",B59="cp",B59="f",B59="jc",B59="m",B59="css"),0,(L59-J59)+(H59-F59)+(D59-B59))</f>
        <v>0</v>
      </c>
      <c r="O59" s="956">
        <f>IF(OR(C59="m",C59="aa"),N59,IF(C59="cp",0,IF(OR(C59="css",C59="jc"),0,IF(C59="f",0,E59-C59+I59-G59+M59-K59))))</f>
        <v>0</v>
      </c>
      <c r="P59" s="956">
        <f t="shared" si="90"/>
        <v>0</v>
      </c>
      <c r="Q59" s="956">
        <f t="shared" si="91"/>
        <v>0</v>
      </c>
      <c r="R59" s="957">
        <f>IF(OR(C59="aa",C59="cp",C59="f",C59="jc",C59="m",C59="css"),0,IF(C59=0,MAX(B59,D59,F59,H59,J59,L59)-MIN(B59,D59,F59,H59,J59,L59),IF(C59&lt;&gt;0,MAX(C59,E59,G59,I59,K59,M59)-MIN(C59,E59,G59,I59,K59,M59))))</f>
        <v>0</v>
      </c>
      <c r="S59" s="262"/>
      <c r="T59" s="958" t="str">
        <f t="shared" si="107"/>
        <v/>
      </c>
      <c r="U59" s="959" t="str">
        <f>IF(P59=0,"",IF(P59&lt;Paramétrage!$S$12,"PB",IF(AND(Q59&lt;Paramétrage!$S$12,Q59&lt;&gt;0),"PB","")))</f>
        <v/>
      </c>
      <c r="V59" s="959" t="str">
        <f t="shared" si="94"/>
        <v/>
      </c>
      <c r="W59" s="959" t="str">
        <f t="shared" si="95"/>
        <v/>
      </c>
      <c r="X59" s="960" t="str">
        <f>IF(AND(N59=0,O59=0),"",(IF(OR(C59="aa",C59="cp",C59="f",C59="jc",C59="m",C59="css"),"",IF(C59="",IF(OR(D59-B59&gt;6/24,H59-F59&gt;6/24,L59-J59&gt;6/24),"PB",""),IF(OR(E59-C59&gt;6/24,I59-G59&gt;6/24,M59-K59&gt;6/24),"PB","")))))</f>
        <v/>
      </c>
      <c r="Y59" s="959" t="str">
        <f t="shared" si="97"/>
        <v/>
      </c>
      <c r="Z59" s="836"/>
      <c r="AA59" s="837"/>
      <c r="AC59" s="934">
        <f t="shared" si="99"/>
        <v>42925</v>
      </c>
      <c r="AD59" s="961">
        <f>IF(AND(N(AC59)&gt;=Paramétrage!$AU$11,N(AC59)&lt;=Paramétrage!$AU$12),IF(C59="cp",1,0),0)</f>
        <v>0</v>
      </c>
      <c r="AE59" s="962">
        <f t="shared" si="98"/>
        <v>0</v>
      </c>
      <c r="AF59" s="961">
        <f>IF(AND(N(AC59)&gt;=Paramétrage!$AX$11,N(AC59)&lt;=Paramétrage!$AX$12),IF(C59="cp",1,0),0)</f>
        <v>0</v>
      </c>
      <c r="AG59" s="962">
        <f t="shared" si="100"/>
        <v>0</v>
      </c>
      <c r="AI59" s="962">
        <f t="shared" si="101"/>
        <v>0</v>
      </c>
      <c r="AJ59" s="962">
        <f t="shared" si="102"/>
        <v>0</v>
      </c>
      <c r="AM59" s="962"/>
      <c r="AN59" s="962"/>
      <c r="AO59" s="962"/>
      <c r="AP59" s="962"/>
    </row>
    <row r="60" spans="1:45" ht="14.25" customHeight="1" thickBot="1" x14ac:dyDescent="0.35">
      <c r="A60" s="966" t="s">
        <v>20</v>
      </c>
      <c r="B60" s="414" t="b">
        <f>IF(Paramétrage!$O$48="",FALSE,Paramétrage!$O$48)</f>
        <v>0</v>
      </c>
      <c r="C60" s="263"/>
      <c r="D60" s="415" t="b">
        <f>IF(Paramétrage!$Q$48="",FALSE,Paramétrage!$Q$48)</f>
        <v>0</v>
      </c>
      <c r="E60" s="264"/>
      <c r="F60" s="414" t="b">
        <f>IF(Paramétrage!$R$48="",FALSE,Paramétrage!$R$48)</f>
        <v>0</v>
      </c>
      <c r="G60" s="264"/>
      <c r="H60" s="416" t="b">
        <f>IF(Paramétrage!$T$48="",FALSE,Paramétrage!$T$48)</f>
        <v>0</v>
      </c>
      <c r="I60" s="263"/>
      <c r="J60" s="417" t="b">
        <f>IF(Paramétrage!$U$48="",FALSE,Paramétrage!$U$48)</f>
        <v>0</v>
      </c>
      <c r="K60" s="263"/>
      <c r="L60" s="418" t="b">
        <f>IF(Paramétrage!$W$48="",FALSE,Paramétrage!$W$48)</f>
        <v>0</v>
      </c>
      <c r="M60" s="263"/>
      <c r="N60" s="956">
        <f>IF(OR(B60="aa",B60="m"),M60,IF(B60="cp",0,IF(B60="jc",0,IF(B60="f",0,(D60-B60)*Paramétrage!$S$13+(H60-F60)*Paramétrage!$S$13+(L60-J60)*Paramétrage!$S$13+(D60-B60+H60-F60+L60-J60)))))</f>
        <v>0</v>
      </c>
      <c r="O60" s="956">
        <f>IF(OR(C60="aa",C60="m"),N60,IF(C60="cp",0,IF(C60="jc",0,IF(C60="f",0,(E60-C60)*Paramétrage!$S$13+(I60-G60)*Paramétrage!$S$13+(M60-K60)*Paramétrage!$S$13+(E60-C60+I60-G60+M60-K60)))))</f>
        <v>0</v>
      </c>
      <c r="P60" s="956">
        <f t="shared" si="90"/>
        <v>0</v>
      </c>
      <c r="Q60" s="956">
        <f t="shared" si="91"/>
        <v>0</v>
      </c>
      <c r="R60" s="957">
        <f t="shared" ref="R60" si="108">IF(OR(C60="aa",C60="cp",C60="f",C60="jc",C60="m",C60=0),MAX(B60,D60,F60,H60,J60,L60)-MIN(B60,D60,F60,H60,J60,L60),IF(C60&lt;&gt;0,MAX(C60,E60,G60,I60,K60,M60)-MIN(C60,E60,G60,I60,K60,M60)))</f>
        <v>0</v>
      </c>
      <c r="S60" s="262"/>
      <c r="T60" s="958" t="str">
        <f t="shared" si="107"/>
        <v/>
      </c>
      <c r="U60" s="959" t="str">
        <f>IF(P60=0,"",IF(P60&lt;Paramétrage!$S$12,"PB",IF(AND(Q60&lt;Paramétrage!$S$12,Q60&lt;&gt;0),"PB","")))</f>
        <v/>
      </c>
      <c r="V60" s="959" t="str">
        <f t="shared" si="94"/>
        <v/>
      </c>
      <c r="W60" s="959" t="str">
        <f t="shared" si="95"/>
        <v/>
      </c>
      <c r="X60" s="960" t="str">
        <f t="shared" ref="X60" si="109">IF(AND(N60=0,O60=0),"",(IF(OR(C60="aa",C60="cp",C60="f",C60="jc",C60="m"),"",IF(C60="",IF(OR(D60-B60&gt;6/24,H60-F60&gt;6/24,L60-J60&gt;6/24),"PB",""),IF(OR(E60-C60&gt;6/24,I60-G60&gt;6/24,M60-K60&gt;6/24),"PB","")))))</f>
        <v/>
      </c>
      <c r="Y60" s="959" t="str">
        <f t="shared" si="97"/>
        <v/>
      </c>
      <c r="Z60" s="836"/>
      <c r="AA60" s="837"/>
      <c r="AC60" s="934">
        <f t="shared" si="99"/>
        <v>42926</v>
      </c>
      <c r="AD60" s="961">
        <f>IF(AND(N(AC60)&gt;=Paramétrage!$AU$11,N(AC60)&lt;=Paramétrage!$AU$12),IF(C60="cp",1,0),0)</f>
        <v>0</v>
      </c>
      <c r="AE60" s="962">
        <f t="shared" si="98"/>
        <v>0</v>
      </c>
      <c r="AF60" s="961">
        <f>IF(AND(N(AC60)&gt;=Paramétrage!$AX$11,N(AC60)&lt;=Paramétrage!$AX$12),IF(C60="cp",1,0),0)</f>
        <v>0</v>
      </c>
      <c r="AG60" s="962">
        <f t="shared" si="100"/>
        <v>0</v>
      </c>
      <c r="AI60" s="962">
        <f t="shared" si="101"/>
        <v>0</v>
      </c>
      <c r="AJ60" s="962">
        <f t="shared" si="102"/>
        <v>0</v>
      </c>
      <c r="AM60" s="962"/>
      <c r="AN60" s="962"/>
      <c r="AO60" s="962"/>
      <c r="AP60" s="962"/>
    </row>
    <row r="61" spans="1:45" s="935" customFormat="1" x14ac:dyDescent="0.25">
      <c r="A61" s="969" t="s">
        <v>50</v>
      </c>
      <c r="B61" s="970"/>
      <c r="C61" s="970"/>
      <c r="D61" s="970"/>
      <c r="E61" s="970"/>
      <c r="F61" s="970"/>
      <c r="G61" s="970"/>
      <c r="H61" s="970"/>
      <c r="I61" s="970"/>
      <c r="J61" s="970"/>
      <c r="K61" s="971"/>
      <c r="L61" s="970"/>
      <c r="M61" s="970"/>
      <c r="N61" s="972">
        <f>SUM(N54:N60)</f>
        <v>0</v>
      </c>
      <c r="O61" s="972">
        <f>SUM(O54:O60)</f>
        <v>0</v>
      </c>
      <c r="P61" s="972">
        <f>SUM(P54:P60)</f>
        <v>0</v>
      </c>
      <c r="Q61" s="972">
        <f>SUM(Q54:Q60)</f>
        <v>0</v>
      </c>
      <c r="R61" s="972"/>
      <c r="S61" s="972"/>
      <c r="T61" s="973"/>
      <c r="U61" s="974"/>
      <c r="V61" s="975" t="str">
        <f>IF((O61*24)&gt;48,"PB","")</f>
        <v/>
      </c>
      <c r="W61" s="974"/>
      <c r="X61" s="974"/>
      <c r="Y61" s="974"/>
      <c r="Z61" s="1053" t="s">
        <v>59</v>
      </c>
      <c r="AA61" s="1055">
        <f>+O61-N61</f>
        <v>0</v>
      </c>
      <c r="AB61" s="967"/>
      <c r="AC61" s="934"/>
      <c r="AE61" s="917"/>
      <c r="AF61" s="917"/>
      <c r="AG61" s="917"/>
      <c r="AH61" s="917"/>
      <c r="AI61" s="917"/>
      <c r="AJ61" s="917"/>
      <c r="AK61" s="917"/>
      <c r="AL61" s="917"/>
      <c r="AM61" s="917"/>
      <c r="AN61" s="917"/>
      <c r="AO61" s="917"/>
      <c r="AP61" s="917"/>
      <c r="AR61" s="917"/>
      <c r="AS61" s="917"/>
    </row>
    <row r="62" spans="1:45" s="935" customFormat="1" x14ac:dyDescent="0.25">
      <c r="A62" s="969"/>
      <c r="B62" s="969"/>
      <c r="C62" s="969"/>
      <c r="D62" s="969"/>
      <c r="E62" s="969"/>
      <c r="F62" s="1052"/>
      <c r="G62" s="1052"/>
      <c r="H62" s="1052"/>
      <c r="I62" s="1052"/>
      <c r="J62" s="1052"/>
      <c r="K62" s="969"/>
      <c r="L62" s="969"/>
      <c r="M62" s="969"/>
      <c r="N62" s="972"/>
      <c r="O62" s="972"/>
      <c r="P62" s="981"/>
      <c r="Q62" s="981"/>
      <c r="R62" s="981"/>
      <c r="S62" s="981"/>
      <c r="T62" s="980"/>
      <c r="U62" s="980"/>
      <c r="V62" s="980"/>
      <c r="W62" s="980"/>
      <c r="X62" s="980"/>
      <c r="Y62" s="980"/>
      <c r="Z62" s="1053"/>
      <c r="AA62" s="1055"/>
      <c r="AB62" s="917"/>
      <c r="AC62" s="934"/>
      <c r="AE62" s="917"/>
      <c r="AF62" s="917"/>
      <c r="AG62" s="917"/>
      <c r="AH62" s="917"/>
      <c r="AI62" s="917"/>
      <c r="AJ62" s="917"/>
      <c r="AK62" s="917"/>
      <c r="AL62" s="917"/>
      <c r="AM62" s="917"/>
      <c r="AN62" s="917"/>
      <c r="AO62" s="917"/>
      <c r="AP62" s="917"/>
      <c r="AR62" s="917"/>
      <c r="AS62" s="917"/>
    </row>
    <row r="63" spans="1:45" s="935" customFormat="1" ht="16.5" x14ac:dyDescent="0.3">
      <c r="A63" s="969"/>
      <c r="B63" s="969"/>
      <c r="C63" s="969"/>
      <c r="D63" s="969"/>
      <c r="E63" s="969"/>
      <c r="F63" s="928">
        <f>+F51+7</f>
        <v>42927</v>
      </c>
      <c r="G63" s="928"/>
      <c r="H63" s="929" t="s">
        <v>58</v>
      </c>
      <c r="I63" s="928">
        <f>+F63+6</f>
        <v>42933</v>
      </c>
      <c r="J63" s="930"/>
      <c r="K63" s="969"/>
      <c r="L63" s="969"/>
      <c r="M63" s="969"/>
      <c r="N63" s="973"/>
      <c r="O63" s="969"/>
      <c r="P63" s="980"/>
      <c r="Q63" s="980"/>
      <c r="R63" s="980"/>
      <c r="S63" s="981"/>
      <c r="T63" s="980"/>
      <c r="U63" s="980"/>
      <c r="V63" s="980"/>
      <c r="W63" s="980"/>
      <c r="X63" s="980"/>
      <c r="Y63" s="980"/>
      <c r="Z63" s="1053"/>
      <c r="AA63" s="1054"/>
      <c r="AB63" s="917"/>
      <c r="AC63" s="934"/>
      <c r="AE63" s="917"/>
      <c r="AF63" s="917"/>
      <c r="AG63" s="917"/>
      <c r="AH63" s="917"/>
      <c r="AI63" s="917"/>
      <c r="AJ63" s="917"/>
      <c r="AK63" s="917"/>
      <c r="AL63" s="917"/>
      <c r="AM63" s="917"/>
      <c r="AN63" s="917"/>
      <c r="AO63" s="917"/>
      <c r="AP63" s="917"/>
      <c r="AR63" s="917"/>
      <c r="AS63" s="917"/>
    </row>
    <row r="64" spans="1:45" ht="16.5" x14ac:dyDescent="0.3">
      <c r="A64" s="994"/>
      <c r="B64" s="1063" t="s">
        <v>17</v>
      </c>
      <c r="C64" s="1063"/>
      <c r="D64" s="1063" t="s">
        <v>18</v>
      </c>
      <c r="E64" s="1063"/>
      <c r="F64" s="1063" t="s">
        <v>17</v>
      </c>
      <c r="G64" s="1063"/>
      <c r="H64" s="1063" t="s">
        <v>18</v>
      </c>
      <c r="I64" s="1063"/>
      <c r="J64" s="1063" t="s">
        <v>17</v>
      </c>
      <c r="K64" s="1063"/>
      <c r="L64" s="1063" t="s">
        <v>18</v>
      </c>
      <c r="M64" s="1063"/>
      <c r="N64" s="939" t="s">
        <v>61</v>
      </c>
      <c r="O64" s="939" t="s">
        <v>62</v>
      </c>
      <c r="P64" s="939" t="s">
        <v>60</v>
      </c>
      <c r="Q64" s="939" t="s">
        <v>63</v>
      </c>
      <c r="R64" s="939" t="s">
        <v>64</v>
      </c>
      <c r="S64" s="940" t="s">
        <v>223</v>
      </c>
      <c r="T64" s="939" t="s">
        <v>70</v>
      </c>
      <c r="U64" s="941" t="s">
        <v>65</v>
      </c>
      <c r="V64" s="942"/>
      <c r="W64" s="942"/>
      <c r="X64" s="942"/>
      <c r="Y64" s="943"/>
      <c r="Z64" s="987" t="s">
        <v>22</v>
      </c>
      <c r="AA64" s="988"/>
      <c r="AC64" s="934"/>
    </row>
    <row r="65" spans="1:45" ht="26.25" thickBot="1" x14ac:dyDescent="0.4">
      <c r="A65" s="937" t="str">
        <f>"S"&amp;WEEKNUM(F63,21)</f>
        <v>S28</v>
      </c>
      <c r="B65" s="1064" t="s">
        <v>0</v>
      </c>
      <c r="C65" s="1065" t="s">
        <v>1</v>
      </c>
      <c r="D65" s="1064" t="s">
        <v>0</v>
      </c>
      <c r="E65" s="1065" t="s">
        <v>1</v>
      </c>
      <c r="F65" s="1064" t="s">
        <v>0</v>
      </c>
      <c r="G65" s="1065" t="s">
        <v>1</v>
      </c>
      <c r="H65" s="1064" t="s">
        <v>0</v>
      </c>
      <c r="I65" s="1065" t="s">
        <v>1</v>
      </c>
      <c r="J65" s="1064" t="s">
        <v>0</v>
      </c>
      <c r="K65" s="1065" t="s">
        <v>1</v>
      </c>
      <c r="L65" s="1064" t="s">
        <v>0</v>
      </c>
      <c r="M65" s="1065" t="s">
        <v>1</v>
      </c>
      <c r="N65" s="951"/>
      <c r="O65" s="951"/>
      <c r="P65" s="951"/>
      <c r="Q65" s="951"/>
      <c r="R65" s="951"/>
      <c r="S65" s="951"/>
      <c r="T65" s="939"/>
      <c r="U65" s="952" t="s">
        <v>66</v>
      </c>
      <c r="V65" s="952" t="s">
        <v>67</v>
      </c>
      <c r="W65" s="952" t="s">
        <v>68</v>
      </c>
      <c r="X65" s="952" t="s">
        <v>137</v>
      </c>
      <c r="Y65" s="952" t="s">
        <v>69</v>
      </c>
      <c r="Z65" s="989"/>
      <c r="AA65" s="990"/>
      <c r="AC65" s="934"/>
      <c r="AM65" s="917" t="s">
        <v>274</v>
      </c>
    </row>
    <row r="66" spans="1:45" ht="14.25" customHeight="1" x14ac:dyDescent="0.3">
      <c r="A66" s="955" t="s">
        <v>12</v>
      </c>
      <c r="B66" s="414" t="b">
        <f>IF(Paramétrage!$O$42="",FALSE,Paramétrage!$O$42)</f>
        <v>0</v>
      </c>
      <c r="C66" s="263"/>
      <c r="D66" s="415" t="b">
        <f>IF(Paramétrage!$Q$42="",FALSE,Paramétrage!$Q$42)</f>
        <v>0</v>
      </c>
      <c r="E66" s="264"/>
      <c r="F66" s="414" t="b">
        <f>IF(Paramétrage!$R$42="",FALSE,Paramétrage!$R$42)</f>
        <v>0</v>
      </c>
      <c r="G66" s="264"/>
      <c r="H66" s="416" t="b">
        <f>IF(Paramétrage!$T$42="",FALSE,Paramétrage!$T$42)</f>
        <v>0</v>
      </c>
      <c r="I66" s="263"/>
      <c r="J66" s="417" t="b">
        <f>IF(Paramétrage!$U$42="",FALSE,Paramétrage!$U$42)</f>
        <v>0</v>
      </c>
      <c r="K66" s="263"/>
      <c r="L66" s="418" t="b">
        <f>IF(Paramétrage!$W$42="",FALSE,Paramétrage!$W$42)</f>
        <v>0</v>
      </c>
      <c r="M66" s="263"/>
      <c r="N66" s="956">
        <f t="shared" ref="N66:N68" si="110">IF(OR(B66="aa",B66="cp",B66="f",B66="jc",B66="m",B66="css"),0,(L66-J66)+(H66-F66)+(D66-B66))</f>
        <v>0</v>
      </c>
      <c r="O66" s="956">
        <f t="shared" ref="O66:O68" si="111">SUM(AM66:AP66)+IF(OR(C66="m",C66="aa"),N66,IF(C66="css",0,IF(C66="cp",0,IF(C66="jc",0,IF(C66="f",0,E66-C66+I66-G66+M66-K66)))))</f>
        <v>0</v>
      </c>
      <c r="P66" s="956">
        <f t="shared" ref="P66:P72" si="112">IF(OR(C66="aa",C66="cp",C66="f",C66="jc",C66="m",C66="css"),0,IF(C66="",IF(OR(F66="",F66=FALSE),0,F66-D66),IF(G66="",0,G66-E66)))</f>
        <v>0</v>
      </c>
      <c r="Q66" s="956">
        <f t="shared" ref="Q66:Q72" si="113">IF(P66=0,0,IF(G66="",IF(OR(J66="",J66=FALSE),0,J66-H66),IF(K66="",0,K66-I66)))</f>
        <v>0</v>
      </c>
      <c r="R66" s="957">
        <f t="shared" ref="R66:R68" si="114">IF(OR(C66="aa",C66="cp",C66="f",C66="jc",C66="m",C66="css"),0,IF(C66=0,MAX(B66,D66,F66,H66,J66,L66)-MIN(B66,D66,F66,H66,J66,L66),IF(C66&lt;&gt;0,MAX(C66,E66,G66,I66,K66,M66)-MIN(C66,E66,G66,I66,K66,M66))))</f>
        <v>0</v>
      </c>
      <c r="S66" s="262"/>
      <c r="T66" s="958" t="str">
        <f t="shared" ref="T66:T67" si="115">IF(AND(B66=FALSE,C66=""),"",IF(AND(B66=0,C66=0),"",(IF(OR(C66="cp",C66="f",C66="jc",C66="css"),"",IF(OR(C66="",C66="aa",C66="m"),(IF(OR(B66="cp",B66="f",B66="jc",B66="css"),"",B66*24+24-MAX(D65,H65,L65)*24)),C66*24+24-MAX(M65,I65,E65)*24)))))</f>
        <v/>
      </c>
      <c r="U66" s="959" t="str">
        <f>IF(P66=0,"",IF(P66&lt;Paramétrage!$S$12,"PB",IF(AND(Q66&lt;Paramétrage!$S$12,Q66&lt;&gt;0),"PB","")))</f>
        <v/>
      </c>
      <c r="V66" s="959" t="str">
        <f t="shared" ref="V66:V72" si="116">IF(C66="",IF((N66*24)&gt;10,"PB",""),IF((O66*24)&gt;10,"PB",""))</f>
        <v/>
      </c>
      <c r="W66" s="959" t="str">
        <f t="shared" ref="W66:W72" si="117">IF((R66*24)&gt;12,"PB","")</f>
        <v/>
      </c>
      <c r="X66" s="960" t="str">
        <f t="shared" ref="X66:X68" si="118">IF(AND(N66=0,O66=0),"",(IF(OR(C66="aa",C66="cp",C66="f",C66="jc",C66="m",C66="css"),"",IF(C66="",IF(OR(D66-B66&gt;6/24,H66-F66&gt;6/24,L66-J66&gt;6/24),"PB",""),IF(OR(E66-C66&gt;6/24,I66-G66&gt;6/24,M66-K66&gt;6/24),"PB","")))))</f>
        <v/>
      </c>
      <c r="Y66" s="959" t="str">
        <f t="shared" ref="Y66:Y72" si="119">IF(T66="","",IF(T66&lt;11,"PB",""))</f>
        <v/>
      </c>
      <c r="Z66" s="836"/>
      <c r="AA66" s="837"/>
      <c r="AC66" s="934">
        <f>AC60+1</f>
        <v>42927</v>
      </c>
      <c r="AD66" s="961">
        <f>IF(AND(N(AC66)&gt;=Paramétrage!$AU$11,N(AC66)&lt;=Paramétrage!$AU$12),IF(C66="cp",1,0),0)</f>
        <v>0</v>
      </c>
      <c r="AE66" s="962">
        <f t="shared" ref="AE66:AE72" si="120">IF(O66&lt;&gt;"erreur",N66,O66)</f>
        <v>0</v>
      </c>
      <c r="AF66" s="961">
        <f>IF(AND(N(AC66)&gt;=Paramétrage!$AX$11,N(AC66)&lt;=Paramétrage!$AX$12),IF(C66="cp",1,0),0)</f>
        <v>0</v>
      </c>
      <c r="AG66" s="962">
        <f t="shared" ref="AG66:AG72" si="121">O66</f>
        <v>0</v>
      </c>
      <c r="AI66" s="962">
        <f>AE66+AI60</f>
        <v>0</v>
      </c>
      <c r="AJ66" s="962">
        <f>AG66+AJ60</f>
        <v>0</v>
      </c>
      <c r="AM66" s="962">
        <f>IF(AND($B66="cp",$C66="m"),$Z66,0)</f>
        <v>0</v>
      </c>
      <c r="AN66" s="962">
        <f>IF(AND($B66="jc",$C66="m"),$Z66,0)</f>
        <v>0</v>
      </c>
      <c r="AO66" s="962">
        <f>IF(AND($B66="cp",$C66="aa"),$Z66,0)</f>
        <v>0</v>
      </c>
      <c r="AP66" s="962">
        <f>IF(AND($B66="jc",$C66="aa"),$Z66,0)</f>
        <v>0</v>
      </c>
      <c r="AR66" s="917">
        <f>IF(AND(AC66&lt;=$AR$3,B66="CP"),1,0)</f>
        <v>0</v>
      </c>
      <c r="AS66" s="917">
        <f>IF(AND(AC66&lt;=$AR$3,C66="CP"),1,0)</f>
        <v>0</v>
      </c>
    </row>
    <row r="67" spans="1:45" ht="14.25" customHeight="1" x14ac:dyDescent="0.3">
      <c r="A67" s="964" t="s">
        <v>13</v>
      </c>
      <c r="B67" s="414" t="b">
        <f>IF(Paramétrage!$O$43="",FALSE,Paramétrage!$O$43)</f>
        <v>0</v>
      </c>
      <c r="C67" s="263"/>
      <c r="D67" s="415" t="b">
        <f>IF(Paramétrage!$Q$43="",FALSE,Paramétrage!$Q$43)</f>
        <v>0</v>
      </c>
      <c r="E67" s="264"/>
      <c r="F67" s="414" t="b">
        <f>IF(Paramétrage!$R$43="",FALSE,Paramétrage!$R$43)</f>
        <v>0</v>
      </c>
      <c r="G67" s="264"/>
      <c r="H67" s="416" t="b">
        <f>IF(Paramétrage!$T$43="",FALSE,Paramétrage!$T$43)</f>
        <v>0</v>
      </c>
      <c r="I67" s="263"/>
      <c r="J67" s="417" t="b">
        <f>IF(Paramétrage!$U$43="",FALSE,Paramétrage!$U$43)</f>
        <v>0</v>
      </c>
      <c r="K67" s="263"/>
      <c r="L67" s="418" t="b">
        <f>IF(Paramétrage!$W$43="",FALSE,Paramétrage!$W$43)</f>
        <v>0</v>
      </c>
      <c r="M67" s="263"/>
      <c r="N67" s="956">
        <f t="shared" si="110"/>
        <v>0</v>
      </c>
      <c r="O67" s="956">
        <f t="shared" si="111"/>
        <v>0</v>
      </c>
      <c r="P67" s="956">
        <f t="shared" si="112"/>
        <v>0</v>
      </c>
      <c r="Q67" s="956">
        <f t="shared" si="113"/>
        <v>0</v>
      </c>
      <c r="R67" s="957">
        <f t="shared" si="114"/>
        <v>0</v>
      </c>
      <c r="S67" s="262"/>
      <c r="T67" s="958" t="str">
        <f t="shared" si="115"/>
        <v/>
      </c>
      <c r="U67" s="959" t="str">
        <f>IF(P67=0,"",IF(P67&lt;Paramétrage!$S$12,"PB",IF(AND(Q67&lt;Paramétrage!$S$12,Q67&lt;&gt;0),"PB","")))</f>
        <v/>
      </c>
      <c r="V67" s="959" t="str">
        <f t="shared" si="116"/>
        <v/>
      </c>
      <c r="W67" s="959" t="str">
        <f t="shared" si="117"/>
        <v/>
      </c>
      <c r="X67" s="960" t="str">
        <f t="shared" si="118"/>
        <v/>
      </c>
      <c r="Y67" s="959" t="str">
        <f t="shared" si="119"/>
        <v/>
      </c>
      <c r="Z67" s="836"/>
      <c r="AA67" s="837"/>
      <c r="AC67" s="934">
        <f t="shared" ref="AC67:AC72" si="122">AC66+1</f>
        <v>42928</v>
      </c>
      <c r="AD67" s="961">
        <f>IF(AND(N(AC67)&gt;=Paramétrage!$AU$11,N(AC67)&lt;=Paramétrage!$AU$12),IF(C67="cp",1,0),0)</f>
        <v>0</v>
      </c>
      <c r="AE67" s="962">
        <f t="shared" si="120"/>
        <v>0</v>
      </c>
      <c r="AF67" s="961">
        <f>IF(AND(N(AC67)&gt;=Paramétrage!$AX$11,N(AC67)&lt;=Paramétrage!$AX$12),IF(C67="cp",1,0),0)</f>
        <v>0</v>
      </c>
      <c r="AG67" s="962">
        <f t="shared" si="121"/>
        <v>0</v>
      </c>
      <c r="AI67" s="962">
        <f t="shared" ref="AI67:AI72" si="123">AE67+AI66</f>
        <v>0</v>
      </c>
      <c r="AJ67" s="962">
        <f t="shared" ref="AJ67:AJ72" si="124">AG67+AJ66</f>
        <v>0</v>
      </c>
      <c r="AM67" s="962">
        <f t="shared" ref="AM67:AM70" si="125">IF(AND($B67="cp",$C67="m"),$Z67,0)</f>
        <v>0</v>
      </c>
      <c r="AN67" s="962">
        <f t="shared" ref="AN67:AN70" si="126">IF(AND($B67="jc",$C67="m"),$Z67,0)</f>
        <v>0</v>
      </c>
      <c r="AO67" s="962">
        <f t="shared" ref="AO67:AO70" si="127">IF(AND($B67="cp",$C67="aa"),$Z67,0)</f>
        <v>0</v>
      </c>
      <c r="AP67" s="962">
        <f t="shared" ref="AP67:AP70" si="128">IF(AND($B67="jc",$C67="aa"),$Z67,0)</f>
        <v>0</v>
      </c>
      <c r="AR67" s="917">
        <f>IF(AND(AC67&lt;=$AR$3,B67="CP"),1,0)</f>
        <v>0</v>
      </c>
      <c r="AS67" s="917">
        <f>IF(AND(AC67&lt;=$AR$3,C67="CP"),1,0)</f>
        <v>0</v>
      </c>
    </row>
    <row r="68" spans="1:45" ht="14.25" customHeight="1" x14ac:dyDescent="0.3">
      <c r="A68" s="964" t="s">
        <v>14</v>
      </c>
      <c r="B68" s="414" t="b">
        <f>IF(Paramétrage!$O$44="",FALSE,Paramétrage!$O$44)</f>
        <v>0</v>
      </c>
      <c r="C68" s="263"/>
      <c r="D68" s="415" t="b">
        <f>IF(Paramétrage!$Q$44="",FALSE,Paramétrage!$Q$44)</f>
        <v>0</v>
      </c>
      <c r="E68" s="264"/>
      <c r="F68" s="414" t="b">
        <f>IF(Paramétrage!$R$44="",FALSE,Paramétrage!$R$44)</f>
        <v>0</v>
      </c>
      <c r="G68" s="264"/>
      <c r="H68" s="416" t="b">
        <f>IF(Paramétrage!$T$44="",FALSE,Paramétrage!$T$44)</f>
        <v>0</v>
      </c>
      <c r="I68" s="263"/>
      <c r="J68" s="417" t="b">
        <f>IF(Paramétrage!$U$44="",FALSE,Paramétrage!$U$44)</f>
        <v>0</v>
      </c>
      <c r="K68" s="263"/>
      <c r="L68" s="418" t="b">
        <f>IF(Paramétrage!$W$44="",FALSE,Paramétrage!$W$44)</f>
        <v>0</v>
      </c>
      <c r="M68" s="263"/>
      <c r="N68" s="956">
        <f t="shared" si="110"/>
        <v>0</v>
      </c>
      <c r="O68" s="956">
        <f t="shared" si="111"/>
        <v>0</v>
      </c>
      <c r="P68" s="956">
        <f t="shared" si="112"/>
        <v>0</v>
      </c>
      <c r="Q68" s="956">
        <f t="shared" si="113"/>
        <v>0</v>
      </c>
      <c r="R68" s="957">
        <f t="shared" si="114"/>
        <v>0</v>
      </c>
      <c r="S68" s="262"/>
      <c r="T68" s="958" t="str">
        <f>IF(AND(B68=FALSE,C68=""),"",IF(AND(B68=0,C68=0),"",(IF(OR(C68="cp",C68="f",C68="jc",C68="css"),"",IF(OR(C68="",C68="aa",C68="m"),(IF(OR(B68="cp",B68="f",B68="jc",B68="css"),"",B68*24+24-MAX(D67,H67,L67)*24)),C68*24+24-MAX(M67,I67,E67)*24)))))</f>
        <v/>
      </c>
      <c r="U68" s="959" t="str">
        <f>IF(P68=0,"",IF(P68&lt;Paramétrage!$S$12,"PB",IF(AND(Q68&lt;Paramétrage!$S$12,Q68&lt;&gt;0),"PB","")))</f>
        <v/>
      </c>
      <c r="V68" s="959" t="str">
        <f t="shared" si="116"/>
        <v/>
      </c>
      <c r="W68" s="959" t="str">
        <f t="shared" si="117"/>
        <v/>
      </c>
      <c r="X68" s="960" t="str">
        <f t="shared" si="118"/>
        <v/>
      </c>
      <c r="Y68" s="959" t="str">
        <f t="shared" si="119"/>
        <v/>
      </c>
      <c r="Z68" s="836"/>
      <c r="AA68" s="837"/>
      <c r="AC68" s="934">
        <f t="shared" si="122"/>
        <v>42929</v>
      </c>
      <c r="AD68" s="961">
        <f>IF(AND(N(AC68)&gt;=Paramétrage!$AU$11,N(AC68)&lt;=Paramétrage!$AU$12),IF(C68="cp",1,0),0)</f>
        <v>0</v>
      </c>
      <c r="AE68" s="962">
        <f t="shared" si="120"/>
        <v>0</v>
      </c>
      <c r="AF68" s="961">
        <f>IF(AND(N(AC68)&gt;=Paramétrage!$AX$11,N(AC68)&lt;=Paramétrage!$AX$12),IF(C68="cp",1,0),0)</f>
        <v>0</v>
      </c>
      <c r="AG68" s="962">
        <f t="shared" si="121"/>
        <v>0</v>
      </c>
      <c r="AI68" s="962">
        <f t="shared" si="123"/>
        <v>0</v>
      </c>
      <c r="AJ68" s="962">
        <f t="shared" si="124"/>
        <v>0</v>
      </c>
      <c r="AM68" s="962">
        <f t="shared" si="125"/>
        <v>0</v>
      </c>
      <c r="AN68" s="962">
        <f t="shared" si="126"/>
        <v>0</v>
      </c>
      <c r="AO68" s="962">
        <f t="shared" si="127"/>
        <v>0</v>
      </c>
      <c r="AP68" s="962">
        <f t="shared" si="128"/>
        <v>0</v>
      </c>
      <c r="AR68" s="917">
        <f>IF(AND(AC68&lt;=$AR$3,B68="CP"),1,0)</f>
        <v>0</v>
      </c>
      <c r="AS68" s="917">
        <f>IF(AND(AC68&lt;=$AR$3,C68="CP"),1,0)</f>
        <v>0</v>
      </c>
    </row>
    <row r="69" spans="1:45" ht="14.25" customHeight="1" x14ac:dyDescent="0.3">
      <c r="A69" s="964" t="s">
        <v>15</v>
      </c>
      <c r="B69" s="414" t="b">
        <f>IF(Paramétrage!$O$45="",FALSE,Paramétrage!$O$45)</f>
        <v>0</v>
      </c>
      <c r="C69" s="263"/>
      <c r="D69" s="415" t="b">
        <f>IF(Paramétrage!$Q$45="",FALSE,Paramétrage!$Q$45)</f>
        <v>0</v>
      </c>
      <c r="E69" s="264"/>
      <c r="F69" s="414" t="b">
        <f>IF(Paramétrage!$R$45="",FALSE,Paramétrage!$R$45)</f>
        <v>0</v>
      </c>
      <c r="G69" s="264"/>
      <c r="H69" s="416" t="b">
        <f>IF(Paramétrage!$T$45="",FALSE,Paramétrage!$T$45)</f>
        <v>0</v>
      </c>
      <c r="I69" s="263"/>
      <c r="J69" s="417" t="b">
        <f>IF(Paramétrage!$U$45="",FALSE,Paramétrage!$U$45)</f>
        <v>0</v>
      </c>
      <c r="K69" s="263"/>
      <c r="L69" s="418" t="b">
        <f>IF(Paramétrage!$W$45="",FALSE,Paramétrage!$W$45)</f>
        <v>0</v>
      </c>
      <c r="M69" s="263"/>
      <c r="N69" s="956">
        <f>IF(OR(B69="aa",B69="cp",B69="f",B69="jc",B69="m",B69="css"),0,(L69-J69)+(H69-F69)+(D69-B69))</f>
        <v>0</v>
      </c>
      <c r="O69" s="956">
        <f>SUM(AM69:AP69)+IF(OR(C69="m",C69="aa"),N69,IF(C69="css",0,IF(C69="cp",0,IF(C69="jc",0,IF(C69="f",0,E69-C69+I69-G69+M69-K69)))))</f>
        <v>0</v>
      </c>
      <c r="P69" s="956">
        <f t="shared" si="112"/>
        <v>0</v>
      </c>
      <c r="Q69" s="956">
        <f t="shared" si="113"/>
        <v>0</v>
      </c>
      <c r="R69" s="957">
        <f>IF(OR(C69="aa",C69="cp",C69="f",C69="jc",C69="m",C69="css"),0,IF(C69=0,MAX(B69,D69,F69,H69,J69,L69)-MIN(B69,D69,F69,H69,J69,L69),IF(C69&lt;&gt;0,MAX(C69,E69,G69,I69,K69,M69)-MIN(C69,E69,G69,I69,K69,M69))))</f>
        <v>0</v>
      </c>
      <c r="S69" s="262"/>
      <c r="T69" s="958" t="str">
        <f t="shared" ref="T69:T72" si="129">IF(AND(B69=FALSE,C69=""),"",IF(AND(B69=0,C69=0),"",(IF(OR(C69="cp",C69="f",C69="jc",C69="css"),"",IF(OR(C69="",C69="aa",C69="m"),(IF(OR(B69="cp",B69="f",B69="jc",B69="css"),"",B69*24+24-MAX(D68,H68,L68)*24)),C69*24+24-MAX(M68,I68,E68)*24)))))</f>
        <v/>
      </c>
      <c r="U69" s="959" t="str">
        <f>IF(P69=0,"",IF(P69&lt;Paramétrage!$S$12,"PB",IF(AND(Q69&lt;Paramétrage!$S$12,Q69&lt;&gt;0),"PB","")))</f>
        <v/>
      </c>
      <c r="V69" s="959" t="str">
        <f t="shared" si="116"/>
        <v/>
      </c>
      <c r="W69" s="959" t="str">
        <f t="shared" si="117"/>
        <v/>
      </c>
      <c r="X69" s="960" t="str">
        <f>IF(AND(N69=0,O69=0),"",(IF(OR(C69="aa",C69="cp",C69="f",C69="jc",C69="m",C69="css"),"",IF(C69="",IF(OR(D69-B69&gt;6/24,H69-F69&gt;6/24,L69-J69&gt;6/24),"PB",""),IF(OR(E69-C69&gt;6/24,I69-G69&gt;6/24,M69-K69&gt;6/24),"PB","")))))</f>
        <v/>
      </c>
      <c r="Y69" s="959" t="str">
        <f t="shared" si="119"/>
        <v/>
      </c>
      <c r="Z69" s="836"/>
      <c r="AA69" s="837"/>
      <c r="AC69" s="934">
        <f t="shared" si="122"/>
        <v>42930</v>
      </c>
      <c r="AD69" s="961">
        <f>IF(AND(N(AC69)&gt;=Paramétrage!$AU$11,N(AC69)&lt;=Paramétrage!$AU$12),IF(C69="cp",1,0),0)</f>
        <v>0</v>
      </c>
      <c r="AE69" s="962">
        <f t="shared" si="120"/>
        <v>0</v>
      </c>
      <c r="AF69" s="961">
        <f>IF(AND(N(AC69)&gt;=Paramétrage!$AX$11,N(AC69)&lt;=Paramétrage!$AX$12),IF(C69="cp",1,0),0)</f>
        <v>0</v>
      </c>
      <c r="AG69" s="962">
        <f t="shared" si="121"/>
        <v>0</v>
      </c>
      <c r="AI69" s="962">
        <f t="shared" si="123"/>
        <v>0</v>
      </c>
      <c r="AJ69" s="962">
        <f t="shared" si="124"/>
        <v>0</v>
      </c>
      <c r="AM69" s="962">
        <f t="shared" si="125"/>
        <v>0</v>
      </c>
      <c r="AN69" s="962">
        <f t="shared" si="126"/>
        <v>0</v>
      </c>
      <c r="AO69" s="962">
        <f t="shared" si="127"/>
        <v>0</v>
      </c>
      <c r="AP69" s="962">
        <f t="shared" si="128"/>
        <v>0</v>
      </c>
      <c r="AR69" s="917">
        <f>IF(AND(AC69&lt;=$AR$3,B69="CP"),1,0)</f>
        <v>0</v>
      </c>
      <c r="AS69" s="917">
        <f>IF(AND(AC69&lt;=$AR$3,C69="CP"),1,0)</f>
        <v>0</v>
      </c>
    </row>
    <row r="70" spans="1:45" ht="14.25" customHeight="1" x14ac:dyDescent="0.3">
      <c r="A70" s="964" t="s">
        <v>16</v>
      </c>
      <c r="B70" s="414" t="b">
        <f>IF(Paramétrage!$O$46="",FALSE,Paramétrage!$O$46)</f>
        <v>0</v>
      </c>
      <c r="C70" s="263"/>
      <c r="D70" s="415" t="b">
        <f>IF(Paramétrage!$Q$46="",FALSE,Paramétrage!$Q$46)</f>
        <v>0</v>
      </c>
      <c r="E70" s="264"/>
      <c r="F70" s="414" t="b">
        <f>IF(Paramétrage!$R$46="",FALSE,Paramétrage!$R$46)</f>
        <v>0</v>
      </c>
      <c r="G70" s="264"/>
      <c r="H70" s="416" t="b">
        <f>IF(Paramétrage!$T$46="",FALSE,Paramétrage!$T$46)</f>
        <v>0</v>
      </c>
      <c r="I70" s="263"/>
      <c r="J70" s="417" t="b">
        <f>IF(Paramétrage!$U$46="",FALSE,Paramétrage!$U$46)</f>
        <v>0</v>
      </c>
      <c r="K70" s="263"/>
      <c r="L70" s="418" t="b">
        <f>IF(Paramétrage!$W$46="",FALSE,Paramétrage!$W$46)</f>
        <v>0</v>
      </c>
      <c r="M70" s="263"/>
      <c r="N70" s="956">
        <f>IF(OR(B70="aa",B70="cp",B70="f",B70="jc",B70="m",B70="css"),0,(L70-J70)+(H70-F70)+(D70-B70))</f>
        <v>0</v>
      </c>
      <c r="O70" s="956">
        <f>SUM(AM70:AP70)+IF(OR(C70="m",C70="aa"),N70,IF(C70="css",0,IF(C70="cp",0,IF(C70="jc",0,IF(C70="f",0,E70-C70+I70-G70+M70-K70)))))</f>
        <v>0</v>
      </c>
      <c r="P70" s="956">
        <f t="shared" si="112"/>
        <v>0</v>
      </c>
      <c r="Q70" s="956">
        <f t="shared" si="113"/>
        <v>0</v>
      </c>
      <c r="R70" s="957">
        <f>IF(OR(C70="aa",C70="cp",C70="f",C70="jc",C70="m",C70="css"),0,IF(C70=0,MAX(B70,D70,F70,H70,J70,L70)-MIN(B70,D70,F70,H70,J70,L70),IF(C70&lt;&gt;0,MAX(C70,E70,G70,I70,K70,M70)-MIN(C70,E70,G70,I70,K70,M70))))</f>
        <v>0</v>
      </c>
      <c r="S70" s="262"/>
      <c r="T70" s="958" t="str">
        <f t="shared" si="129"/>
        <v/>
      </c>
      <c r="U70" s="959" t="str">
        <f>IF(P70=0,"",IF(P70&lt;Paramétrage!$S$12,"PB",IF(AND(Q70&lt;Paramétrage!$S$12,Q70&lt;&gt;0),"PB","")))</f>
        <v/>
      </c>
      <c r="V70" s="959" t="str">
        <f t="shared" si="116"/>
        <v/>
      </c>
      <c r="W70" s="959" t="str">
        <f t="shared" si="117"/>
        <v/>
      </c>
      <c r="X70" s="960" t="str">
        <f>IF(AND(N70=0,O70=0),"",(IF(OR(C70="aa",C70="cp",C70="f",C70="jc",C70="m",C70="css"),"",IF(C70="",IF(OR(D70-B70&gt;6/24,H70-F70&gt;6/24,L70-J70&gt;6/24),"PB",""),IF(OR(E70-C70&gt;6/24,I70-G70&gt;6/24,M70-K70&gt;6/24),"PB","")))))</f>
        <v/>
      </c>
      <c r="Y70" s="959" t="str">
        <f t="shared" si="119"/>
        <v/>
      </c>
      <c r="Z70" s="836"/>
      <c r="AA70" s="837"/>
      <c r="AC70" s="934">
        <f t="shared" si="122"/>
        <v>42931</v>
      </c>
      <c r="AD70" s="961">
        <f>IF(AND(N(AC70)&gt;=Paramétrage!$AU$11,N(AC70)&lt;=Paramétrage!$AU$12),IF(C70="cp",1,0),0)</f>
        <v>0</v>
      </c>
      <c r="AE70" s="962">
        <f t="shared" si="120"/>
        <v>0</v>
      </c>
      <c r="AF70" s="961">
        <f>IF(AND(N(AC70)&gt;=Paramétrage!$AX$11,N(AC70)&lt;=Paramétrage!$AX$12),IF(C70="cp",1,0),0)</f>
        <v>0</v>
      </c>
      <c r="AG70" s="962">
        <f t="shared" si="121"/>
        <v>0</v>
      </c>
      <c r="AI70" s="962">
        <f t="shared" si="123"/>
        <v>0</v>
      </c>
      <c r="AJ70" s="962">
        <f t="shared" si="124"/>
        <v>0</v>
      </c>
      <c r="AM70" s="962">
        <f t="shared" si="125"/>
        <v>0</v>
      </c>
      <c r="AN70" s="962">
        <f t="shared" si="126"/>
        <v>0</v>
      </c>
      <c r="AO70" s="962">
        <f t="shared" si="127"/>
        <v>0</v>
      </c>
      <c r="AP70" s="962">
        <f t="shared" si="128"/>
        <v>0</v>
      </c>
      <c r="AR70" s="917">
        <f>IF(AND(AC70&lt;=$AR$3,B70="CP"),1,0)</f>
        <v>0</v>
      </c>
      <c r="AS70" s="917">
        <f>IF(AND(AC70&lt;=$AR$3,C70="CP"),1,0)</f>
        <v>0</v>
      </c>
    </row>
    <row r="71" spans="1:45" ht="14.25" customHeight="1" x14ac:dyDescent="0.3">
      <c r="A71" s="964" t="s">
        <v>19</v>
      </c>
      <c r="B71" s="414" t="b">
        <f>IF(Paramétrage!$O$47="",FALSE,Paramétrage!$O$47)</f>
        <v>0</v>
      </c>
      <c r="C71" s="263"/>
      <c r="D71" s="415" t="b">
        <f>IF(Paramétrage!$Q$47="",FALSE,Paramétrage!$Q$47)</f>
        <v>0</v>
      </c>
      <c r="E71" s="264"/>
      <c r="F71" s="414" t="b">
        <f>IF(Paramétrage!$R$47="",FALSE,Paramétrage!$R$47)</f>
        <v>0</v>
      </c>
      <c r="G71" s="264"/>
      <c r="H71" s="416" t="b">
        <f>IF(Paramétrage!$T$47="",FALSE,Paramétrage!$T$47)</f>
        <v>0</v>
      </c>
      <c r="I71" s="263"/>
      <c r="J71" s="417" t="b">
        <f>IF(Paramétrage!$U$47="",FALSE,Paramétrage!$U$47)</f>
        <v>0</v>
      </c>
      <c r="K71" s="263"/>
      <c r="L71" s="418" t="b">
        <f>IF(Paramétrage!$W$47="",FALSE,Paramétrage!$W$47)</f>
        <v>0</v>
      </c>
      <c r="M71" s="263"/>
      <c r="N71" s="956">
        <f>IF(OR(B71="aa",B71="cp",B71="f",B71="jc",B71="m",B71="css"),0,(L71-J71)+(H71-F71)+(D71-B71))</f>
        <v>0</v>
      </c>
      <c r="O71" s="956">
        <f>IF(OR(C71="m",C71="aa"),N71,IF(C71="cp",0,IF(OR(C71="css",C71="jc"),0,IF(C71="f",0,E71-C71+I71-G71+M71-K71))))</f>
        <v>0</v>
      </c>
      <c r="P71" s="956">
        <f t="shared" si="112"/>
        <v>0</v>
      </c>
      <c r="Q71" s="956">
        <f t="shared" si="113"/>
        <v>0</v>
      </c>
      <c r="R71" s="957">
        <f>IF(OR(C71="aa",C71="cp",C71="f",C71="jc",C71="m",C71="css"),0,IF(C71=0,MAX(B71,D71,F71,H71,J71,L71)-MIN(B71,D71,F71,H71,J71,L71),IF(C71&lt;&gt;0,MAX(C71,E71,G71,I71,K71,M71)-MIN(C71,E71,G71,I71,K71,M71))))</f>
        <v>0</v>
      </c>
      <c r="S71" s="262"/>
      <c r="T71" s="958" t="str">
        <f t="shared" si="129"/>
        <v/>
      </c>
      <c r="U71" s="959" t="str">
        <f>IF(P71=0,"",IF(P71&lt;Paramétrage!$S$12,"PB",IF(AND(Q71&lt;Paramétrage!$S$12,Q71&lt;&gt;0),"PB","")))</f>
        <v/>
      </c>
      <c r="V71" s="959" t="str">
        <f t="shared" si="116"/>
        <v/>
      </c>
      <c r="W71" s="959" t="str">
        <f t="shared" si="117"/>
        <v/>
      </c>
      <c r="X71" s="960" t="str">
        <f>IF(AND(N71=0,O71=0),"",(IF(OR(C71="aa",C71="cp",C71="f",C71="jc",C71="m",C71="css"),"",IF(C71="",IF(OR(D71-B71&gt;6/24,H71-F71&gt;6/24,L71-J71&gt;6/24),"PB",""),IF(OR(E71-C71&gt;6/24,I71-G71&gt;6/24,M71-K71&gt;6/24),"PB","")))))</f>
        <v/>
      </c>
      <c r="Y71" s="959" t="str">
        <f t="shared" si="119"/>
        <v/>
      </c>
      <c r="Z71" s="836"/>
      <c r="AA71" s="837"/>
      <c r="AC71" s="934">
        <f t="shared" si="122"/>
        <v>42932</v>
      </c>
      <c r="AD71" s="961">
        <f>IF(AND(N(AC71)&gt;=Paramétrage!$AU$11,N(AC71)&lt;=Paramétrage!$AU$12),IF(C71="cp",1,0),0)</f>
        <v>0</v>
      </c>
      <c r="AE71" s="962">
        <f t="shared" si="120"/>
        <v>0</v>
      </c>
      <c r="AF71" s="961">
        <f>IF(AND(N(AC71)&gt;=Paramétrage!$AX$11,N(AC71)&lt;=Paramétrage!$AX$12),IF(C71="cp",1,0),0)</f>
        <v>0</v>
      </c>
      <c r="AG71" s="962">
        <f t="shared" si="121"/>
        <v>0</v>
      </c>
      <c r="AI71" s="962">
        <f t="shared" si="123"/>
        <v>0</v>
      </c>
      <c r="AJ71" s="962">
        <f t="shared" si="124"/>
        <v>0</v>
      </c>
      <c r="AM71" s="962"/>
      <c r="AN71" s="962"/>
      <c r="AO71" s="962"/>
      <c r="AP71" s="962"/>
    </row>
    <row r="72" spans="1:45" ht="14.25" customHeight="1" thickBot="1" x14ac:dyDescent="0.35">
      <c r="A72" s="966" t="s">
        <v>20</v>
      </c>
      <c r="B72" s="414" t="b">
        <f>IF(Paramétrage!$O$48="",FALSE,Paramétrage!$O$48)</f>
        <v>0</v>
      </c>
      <c r="C72" s="263"/>
      <c r="D72" s="415" t="b">
        <f>IF(Paramétrage!$Q$48="",FALSE,Paramétrage!$Q$48)</f>
        <v>0</v>
      </c>
      <c r="E72" s="264"/>
      <c r="F72" s="414" t="b">
        <f>IF(Paramétrage!$R$48="",FALSE,Paramétrage!$R$48)</f>
        <v>0</v>
      </c>
      <c r="G72" s="264"/>
      <c r="H72" s="416" t="b">
        <f>IF(Paramétrage!$T$48="",FALSE,Paramétrage!$T$48)</f>
        <v>0</v>
      </c>
      <c r="I72" s="263"/>
      <c r="J72" s="417" t="b">
        <f>IF(Paramétrage!$U$48="",FALSE,Paramétrage!$U$48)</f>
        <v>0</v>
      </c>
      <c r="K72" s="263"/>
      <c r="L72" s="418" t="b">
        <f>IF(Paramétrage!$W$48="",FALSE,Paramétrage!$W$48)</f>
        <v>0</v>
      </c>
      <c r="M72" s="263"/>
      <c r="N72" s="956">
        <f>IF(OR(B72="aa",B72="m"),M72,IF(B72="cp",0,IF(B72="jc",0,IF(B72="f",0,(D72-B72)*Paramétrage!$S$13+(H72-F72)*Paramétrage!$S$13+(L72-J72)*Paramétrage!$S$13+(D72-B72+H72-F72+L72-J72)))))</f>
        <v>0</v>
      </c>
      <c r="O72" s="956">
        <f>IF(OR(C72="aa",C72="m"),N72,IF(C72="cp",0,IF(C72="jc",0,IF(C72="f",0,(E72-C72)*Paramétrage!$S$13+(I72-G72)*Paramétrage!$S$13+(M72-K72)*Paramétrage!$S$13+(E72-C72+I72-G72+M72-K72)))))</f>
        <v>0</v>
      </c>
      <c r="P72" s="956">
        <f t="shared" si="112"/>
        <v>0</v>
      </c>
      <c r="Q72" s="956">
        <f t="shared" si="113"/>
        <v>0</v>
      </c>
      <c r="R72" s="957">
        <f t="shared" ref="R72" si="130">IF(OR(C72="aa",C72="cp",C72="f",C72="jc",C72="m",C72=0),MAX(B72,D72,F72,H72,J72,L72)-MIN(B72,D72,F72,H72,J72,L72),IF(C72&lt;&gt;0,MAX(C72,E72,G72,I72,K72,M72)-MIN(C72,E72,G72,I72,K72,M72)))</f>
        <v>0</v>
      </c>
      <c r="S72" s="262"/>
      <c r="T72" s="958" t="str">
        <f t="shared" si="129"/>
        <v/>
      </c>
      <c r="U72" s="959" t="str">
        <f>IF(P72=0,"",IF(P72&lt;Paramétrage!$S$12,"PB",IF(AND(Q72&lt;Paramétrage!$S$12,Q72&lt;&gt;0),"PB","")))</f>
        <v/>
      </c>
      <c r="V72" s="959" t="str">
        <f t="shared" si="116"/>
        <v/>
      </c>
      <c r="W72" s="959" t="str">
        <f t="shared" si="117"/>
        <v/>
      </c>
      <c r="X72" s="960" t="str">
        <f t="shared" ref="X72" si="131">IF(AND(N72=0,O72=0),"",(IF(OR(C72="aa",C72="cp",C72="f",C72="jc",C72="m"),"",IF(C72="",IF(OR(D72-B72&gt;6/24,H72-F72&gt;6/24,L72-J72&gt;6/24),"PB",""),IF(OR(E72-C72&gt;6/24,I72-G72&gt;6/24,M72-K72&gt;6/24),"PB","")))))</f>
        <v/>
      </c>
      <c r="Y72" s="959" t="str">
        <f t="shared" si="119"/>
        <v/>
      </c>
      <c r="Z72" s="836"/>
      <c r="AA72" s="837"/>
      <c r="AC72" s="934">
        <f t="shared" si="122"/>
        <v>42933</v>
      </c>
      <c r="AD72" s="961">
        <f>IF(AND(N(AC72)&gt;=Paramétrage!$AU$11,N(AC72)&lt;=Paramétrage!$AU$12),IF(C72="cp",1,0),0)</f>
        <v>0</v>
      </c>
      <c r="AE72" s="962">
        <f t="shared" si="120"/>
        <v>0</v>
      </c>
      <c r="AF72" s="961">
        <f>IF(AND(N(AC72)&gt;=Paramétrage!$AX$11,N(AC72)&lt;=Paramétrage!$AX$12),IF(C72="cp",1,0),0)</f>
        <v>0</v>
      </c>
      <c r="AG72" s="962">
        <f t="shared" si="121"/>
        <v>0</v>
      </c>
      <c r="AI72" s="962">
        <f t="shared" si="123"/>
        <v>0</v>
      </c>
      <c r="AJ72" s="962">
        <f t="shared" si="124"/>
        <v>0</v>
      </c>
      <c r="AM72" s="962"/>
      <c r="AN72" s="962"/>
      <c r="AO72" s="962"/>
      <c r="AP72" s="962"/>
    </row>
    <row r="73" spans="1:45" s="935" customFormat="1" x14ac:dyDescent="0.25">
      <c r="A73" s="969" t="s">
        <v>51</v>
      </c>
      <c r="B73" s="970"/>
      <c r="C73" s="970"/>
      <c r="D73" s="970"/>
      <c r="E73" s="970"/>
      <c r="F73" s="970"/>
      <c r="G73" s="970"/>
      <c r="H73" s="970"/>
      <c r="I73" s="970"/>
      <c r="J73" s="970"/>
      <c r="K73" s="971"/>
      <c r="L73" s="970"/>
      <c r="M73" s="970"/>
      <c r="N73" s="972">
        <f>SUM(N66:N72)</f>
        <v>0</v>
      </c>
      <c r="O73" s="972">
        <f>SUM(O66:O72)</f>
        <v>0</v>
      </c>
      <c r="P73" s="972">
        <f>SUM(P66:P72)</f>
        <v>0</v>
      </c>
      <c r="Q73" s="972">
        <f>SUM(Q66:Q72)</f>
        <v>0</v>
      </c>
      <c r="R73" s="972"/>
      <c r="S73" s="972"/>
      <c r="T73" s="973"/>
      <c r="U73" s="974"/>
      <c r="V73" s="975" t="str">
        <f>IF((O73*24)&gt;48,"PB","")</f>
        <v/>
      </c>
      <c r="W73" s="974"/>
      <c r="X73" s="974"/>
      <c r="Y73" s="974"/>
      <c r="Z73" s="1053" t="s">
        <v>59</v>
      </c>
      <c r="AA73" s="1055">
        <f>+O73-N73</f>
        <v>0</v>
      </c>
      <c r="AB73" s="967"/>
      <c r="AC73" s="934"/>
      <c r="AE73" s="917"/>
      <c r="AF73" s="917"/>
      <c r="AG73" s="917"/>
      <c r="AH73" s="917"/>
      <c r="AI73" s="917"/>
      <c r="AJ73" s="917"/>
      <c r="AK73" s="917"/>
      <c r="AL73" s="917"/>
      <c r="AM73" s="917"/>
      <c r="AN73" s="917"/>
      <c r="AO73" s="917"/>
      <c r="AP73" s="917"/>
      <c r="AR73" s="917"/>
      <c r="AS73" s="917"/>
    </row>
    <row r="74" spans="1:45" s="935" customFormat="1" x14ac:dyDescent="0.25">
      <c r="A74" s="969"/>
      <c r="B74" s="969"/>
      <c r="C74" s="969"/>
      <c r="D74" s="969"/>
      <c r="E74" s="969"/>
      <c r="F74" s="1052"/>
      <c r="G74" s="1052"/>
      <c r="H74" s="1052"/>
      <c r="I74" s="1052"/>
      <c r="J74" s="1052"/>
      <c r="K74" s="969"/>
      <c r="L74" s="969"/>
      <c r="M74" s="969"/>
      <c r="N74" s="973"/>
      <c r="O74" s="969"/>
      <c r="P74" s="980"/>
      <c r="Q74" s="980"/>
      <c r="R74" s="980"/>
      <c r="S74" s="981"/>
      <c r="T74" s="980"/>
      <c r="U74" s="980"/>
      <c r="V74" s="980"/>
      <c r="W74" s="980"/>
      <c r="X74" s="980"/>
      <c r="Y74" s="980"/>
      <c r="Z74" s="1053"/>
      <c r="AA74" s="1055"/>
      <c r="AB74" s="917"/>
      <c r="AC74" s="934"/>
      <c r="AE74" s="917"/>
      <c r="AF74" s="917"/>
      <c r="AG74" s="917"/>
      <c r="AH74" s="917"/>
      <c r="AI74" s="917"/>
      <c r="AJ74" s="917"/>
      <c r="AK74" s="917"/>
      <c r="AL74" s="917"/>
      <c r="AM74" s="917"/>
      <c r="AN74" s="917"/>
      <c r="AO74" s="917"/>
      <c r="AP74" s="917"/>
      <c r="AR74" s="917"/>
      <c r="AS74" s="917"/>
    </row>
    <row r="75" spans="1:45" s="935" customFormat="1" ht="16.5" x14ac:dyDescent="0.3">
      <c r="A75" s="969"/>
      <c r="B75" s="969"/>
      <c r="C75" s="969"/>
      <c r="D75" s="969"/>
      <c r="E75" s="969"/>
      <c r="F75" s="928">
        <f>+F63+7</f>
        <v>42934</v>
      </c>
      <c r="G75" s="928"/>
      <c r="H75" s="929" t="s">
        <v>58</v>
      </c>
      <c r="I75" s="928">
        <f>+F75+6</f>
        <v>42940</v>
      </c>
      <c r="J75" s="930"/>
      <c r="K75" s="969"/>
      <c r="L75" s="969"/>
      <c r="M75" s="969"/>
      <c r="N75" s="973"/>
      <c r="O75" s="969"/>
      <c r="P75" s="980"/>
      <c r="Q75" s="980"/>
      <c r="R75" s="980"/>
      <c r="S75" s="981"/>
      <c r="T75" s="980"/>
      <c r="U75" s="980"/>
      <c r="V75" s="980"/>
      <c r="W75" s="980"/>
      <c r="X75" s="980"/>
      <c r="Y75" s="980"/>
      <c r="Z75" s="1053"/>
      <c r="AA75" s="1054"/>
      <c r="AB75" s="917"/>
      <c r="AC75" s="934"/>
      <c r="AE75" s="917"/>
      <c r="AF75" s="917"/>
      <c r="AG75" s="917"/>
      <c r="AH75" s="917"/>
      <c r="AI75" s="917"/>
      <c r="AJ75" s="917"/>
      <c r="AK75" s="917"/>
      <c r="AL75" s="917"/>
      <c r="AM75" s="917"/>
      <c r="AN75" s="917"/>
      <c r="AO75" s="917"/>
      <c r="AP75" s="917"/>
      <c r="AR75" s="917"/>
      <c r="AS75" s="917"/>
    </row>
    <row r="76" spans="1:45" ht="16.5" x14ac:dyDescent="0.3">
      <c r="A76" s="994"/>
      <c r="B76" s="1063" t="s">
        <v>17</v>
      </c>
      <c r="C76" s="1063"/>
      <c r="D76" s="1063" t="s">
        <v>18</v>
      </c>
      <c r="E76" s="1063"/>
      <c r="F76" s="1063" t="s">
        <v>17</v>
      </c>
      <c r="G76" s="1063"/>
      <c r="H76" s="1063" t="s">
        <v>18</v>
      </c>
      <c r="I76" s="1063"/>
      <c r="J76" s="1063" t="s">
        <v>17</v>
      </c>
      <c r="K76" s="1063"/>
      <c r="L76" s="1063" t="s">
        <v>18</v>
      </c>
      <c r="M76" s="1063"/>
      <c r="N76" s="939" t="s">
        <v>61</v>
      </c>
      <c r="O76" s="939" t="s">
        <v>62</v>
      </c>
      <c r="P76" s="939" t="s">
        <v>60</v>
      </c>
      <c r="Q76" s="939" t="s">
        <v>63</v>
      </c>
      <c r="R76" s="939" t="s">
        <v>64</v>
      </c>
      <c r="S76" s="940" t="s">
        <v>223</v>
      </c>
      <c r="T76" s="939" t="s">
        <v>70</v>
      </c>
      <c r="U76" s="941" t="s">
        <v>65</v>
      </c>
      <c r="V76" s="942"/>
      <c r="W76" s="942"/>
      <c r="X76" s="942"/>
      <c r="Y76" s="943"/>
      <c r="Z76" s="987" t="s">
        <v>22</v>
      </c>
      <c r="AA76" s="988"/>
      <c r="AC76" s="934"/>
    </row>
    <row r="77" spans="1:45" ht="26.25" thickBot="1" x14ac:dyDescent="0.4">
      <c r="A77" s="937" t="str">
        <f>"S"&amp;WEEKNUM(F75,21)</f>
        <v>S29</v>
      </c>
      <c r="B77" s="1064" t="s">
        <v>0</v>
      </c>
      <c r="C77" s="1065" t="s">
        <v>1</v>
      </c>
      <c r="D77" s="1064" t="s">
        <v>0</v>
      </c>
      <c r="E77" s="1065" t="s">
        <v>1</v>
      </c>
      <c r="F77" s="1064" t="s">
        <v>0</v>
      </c>
      <c r="G77" s="1065" t="s">
        <v>1</v>
      </c>
      <c r="H77" s="1064" t="s">
        <v>0</v>
      </c>
      <c r="I77" s="1065" t="s">
        <v>1</v>
      </c>
      <c r="J77" s="1064" t="s">
        <v>0</v>
      </c>
      <c r="K77" s="1065" t="s">
        <v>1</v>
      </c>
      <c r="L77" s="1064" t="s">
        <v>0</v>
      </c>
      <c r="M77" s="1065" t="s">
        <v>1</v>
      </c>
      <c r="N77" s="951"/>
      <c r="O77" s="951"/>
      <c r="P77" s="951"/>
      <c r="Q77" s="951"/>
      <c r="R77" s="951"/>
      <c r="S77" s="951"/>
      <c r="T77" s="939"/>
      <c r="U77" s="952" t="s">
        <v>66</v>
      </c>
      <c r="V77" s="952" t="s">
        <v>67</v>
      </c>
      <c r="W77" s="952" t="s">
        <v>68</v>
      </c>
      <c r="X77" s="952" t="s">
        <v>137</v>
      </c>
      <c r="Y77" s="952" t="s">
        <v>69</v>
      </c>
      <c r="Z77" s="989"/>
      <c r="AA77" s="990"/>
      <c r="AC77" s="934"/>
      <c r="AM77" s="917" t="s">
        <v>274</v>
      </c>
    </row>
    <row r="78" spans="1:45" ht="14.25" customHeight="1" x14ac:dyDescent="0.3">
      <c r="A78" s="955" t="s">
        <v>12</v>
      </c>
      <c r="B78" s="414" t="b">
        <f>IF(Paramétrage!$O$42="",FALSE,Paramétrage!$O$42)</f>
        <v>0</v>
      </c>
      <c r="C78" s="263"/>
      <c r="D78" s="415" t="b">
        <f>IF(Paramétrage!$Q$42="",FALSE,Paramétrage!$Q$42)</f>
        <v>0</v>
      </c>
      <c r="E78" s="264"/>
      <c r="F78" s="414" t="b">
        <f>IF(Paramétrage!$R$42="",FALSE,Paramétrage!$R$42)</f>
        <v>0</v>
      </c>
      <c r="G78" s="264"/>
      <c r="H78" s="416" t="b">
        <f>IF(Paramétrage!$T$42="",FALSE,Paramétrage!$T$42)</f>
        <v>0</v>
      </c>
      <c r="I78" s="263"/>
      <c r="J78" s="417" t="b">
        <f>IF(Paramétrage!$U$42="",FALSE,Paramétrage!$U$42)</f>
        <v>0</v>
      </c>
      <c r="K78" s="263"/>
      <c r="L78" s="418" t="b">
        <f>IF(Paramétrage!$W$42="",FALSE,Paramétrage!$W$42)</f>
        <v>0</v>
      </c>
      <c r="M78" s="263"/>
      <c r="N78" s="956">
        <f t="shared" ref="N78:N80" si="132">IF(OR(B78="aa",B78="cp",B78="f",B78="jc",B78="m",B78="css"),0,(L78-J78)+(H78-F78)+(D78-B78))</f>
        <v>0</v>
      </c>
      <c r="O78" s="956">
        <f t="shared" ref="O78:O80" si="133">SUM(AM78:AP78)+IF(OR(C78="m",C78="aa"),N78,IF(C78="css",0,IF(C78="cp",0,IF(C78="jc",0,IF(C78="f",0,E78-C78+I78-G78+M78-K78)))))</f>
        <v>0</v>
      </c>
      <c r="P78" s="956">
        <f t="shared" ref="P78:P84" si="134">IF(OR(C78="aa",C78="cp",C78="f",C78="jc",C78="m",C78="css"),0,IF(C78="",IF(OR(F78="",F78=FALSE),0,F78-D78),IF(G78="",0,G78-E78)))</f>
        <v>0</v>
      </c>
      <c r="Q78" s="956">
        <f t="shared" ref="Q78:Q84" si="135">IF(P78=0,0,IF(G78="",IF(OR(J78="",J78=FALSE),0,J78-H78),IF(K78="",0,K78-I78)))</f>
        <v>0</v>
      </c>
      <c r="R78" s="957">
        <f t="shared" ref="R78:R80" si="136">IF(OR(C78="aa",C78="cp",C78="f",C78="jc",C78="m",C78="css"),0,IF(C78=0,MAX(B78,D78,F78,H78,J78,L78)-MIN(B78,D78,F78,H78,J78,L78),IF(C78&lt;&gt;0,MAX(C78,E78,G78,I78,K78,M78)-MIN(C78,E78,G78,I78,K78,M78))))</f>
        <v>0</v>
      </c>
      <c r="S78" s="262"/>
      <c r="T78" s="958" t="str">
        <f t="shared" ref="T78:T79" si="137">IF(AND(B78=FALSE,C78=""),"",IF(AND(B78=0,C78=0),"",(IF(OR(C78="cp",C78="f",C78="jc",C78="css"),"",IF(OR(C78="",C78="aa",C78="m"),(IF(OR(B78="cp",B78="f",B78="jc",B78="css"),"",B78*24+24-MAX(D77,H77,L77)*24)),C78*24+24-MAX(M77,I77,E77)*24)))))</f>
        <v/>
      </c>
      <c r="U78" s="959" t="str">
        <f>IF(P78=0,"",IF(P78&lt;Paramétrage!$S$12,"PB",IF(AND(Q78&lt;Paramétrage!$S$12,Q78&lt;&gt;0),"PB","")))</f>
        <v/>
      </c>
      <c r="V78" s="959" t="str">
        <f t="shared" ref="V78:V84" si="138">IF(C78="",IF((N78*24)&gt;10,"PB",""),IF((O78*24)&gt;10,"PB",""))</f>
        <v/>
      </c>
      <c r="W78" s="959" t="str">
        <f t="shared" ref="W78:W84" si="139">IF((R78*24)&gt;12,"PB","")</f>
        <v/>
      </c>
      <c r="X78" s="960" t="str">
        <f t="shared" ref="X78:X80" si="140">IF(AND(N78=0,O78=0),"",(IF(OR(C78="aa",C78="cp",C78="f",C78="jc",C78="m",C78="css"),"",IF(C78="",IF(OR(D78-B78&gt;6/24,H78-F78&gt;6/24,L78-J78&gt;6/24),"PB",""),IF(OR(E78-C78&gt;6/24,I78-G78&gt;6/24,M78-K78&gt;6/24),"PB","")))))</f>
        <v/>
      </c>
      <c r="Y78" s="959" t="str">
        <f t="shared" ref="Y78:Y84" si="141">IF(T78="","",IF(T78&lt;11,"PB",""))</f>
        <v/>
      </c>
      <c r="Z78" s="836"/>
      <c r="AA78" s="837"/>
      <c r="AC78" s="934">
        <f>AC72+1</f>
        <v>42934</v>
      </c>
      <c r="AD78" s="961">
        <f>IF(AND(N(AC78)&gt;=Paramétrage!$AU$11,N(AC78)&lt;=Paramétrage!$AU$12),IF(C78="cp",1,0),0)</f>
        <v>0</v>
      </c>
      <c r="AE78" s="962">
        <f t="shared" ref="AE78:AE84" si="142">IF(O78&lt;&gt;"erreur",N78,O78)</f>
        <v>0</v>
      </c>
      <c r="AF78" s="961">
        <f>IF(AND(N(AC78)&gt;=Paramétrage!$AX$11,N(AC78)&lt;=Paramétrage!$AX$12),IF(C78="cp",1,0),0)</f>
        <v>0</v>
      </c>
      <c r="AG78" s="962">
        <f>O78</f>
        <v>0</v>
      </c>
      <c r="AI78" s="962">
        <f>AE78+AI72</f>
        <v>0</v>
      </c>
      <c r="AJ78" s="962">
        <f>AG78+AJ72</f>
        <v>0</v>
      </c>
      <c r="AM78" s="962">
        <f>IF(AND($B78="cp",$C78="m"),$Z78,0)</f>
        <v>0</v>
      </c>
      <c r="AN78" s="962">
        <f>IF(AND($B78="jc",$C78="m"),$Z78,0)</f>
        <v>0</v>
      </c>
      <c r="AO78" s="962">
        <f>IF(AND($B78="cp",$C78="aa"),$Z78,0)</f>
        <v>0</v>
      </c>
      <c r="AP78" s="962">
        <f>IF(AND($B78="jc",$C78="aa"),$Z78,0)</f>
        <v>0</v>
      </c>
      <c r="AR78" s="917">
        <f>IF(AND(AC78&lt;=$AR$3,B78="CP"),1,0)</f>
        <v>0</v>
      </c>
      <c r="AS78" s="917">
        <f>IF(AND(AC78&lt;=$AR$3,C78="CP"),1,0)</f>
        <v>0</v>
      </c>
    </row>
    <row r="79" spans="1:45" ht="14.25" customHeight="1" x14ac:dyDescent="0.3">
      <c r="A79" s="964" t="s">
        <v>13</v>
      </c>
      <c r="B79" s="414" t="b">
        <f>IF(Paramétrage!$O$43="",FALSE,Paramétrage!$O$43)</f>
        <v>0</v>
      </c>
      <c r="C79" s="263"/>
      <c r="D79" s="415" t="b">
        <f>IF(Paramétrage!$Q$43="",FALSE,Paramétrage!$Q$43)</f>
        <v>0</v>
      </c>
      <c r="E79" s="264"/>
      <c r="F79" s="414" t="b">
        <f>IF(Paramétrage!$R$43="",FALSE,Paramétrage!$R$43)</f>
        <v>0</v>
      </c>
      <c r="G79" s="264"/>
      <c r="H79" s="416" t="b">
        <f>IF(Paramétrage!$T$43="",FALSE,Paramétrage!$T$43)</f>
        <v>0</v>
      </c>
      <c r="I79" s="263"/>
      <c r="J79" s="417" t="b">
        <f>IF(Paramétrage!$U$43="",FALSE,Paramétrage!$U$43)</f>
        <v>0</v>
      </c>
      <c r="K79" s="263"/>
      <c r="L79" s="418" t="b">
        <f>IF(Paramétrage!$W$43="",FALSE,Paramétrage!$W$43)</f>
        <v>0</v>
      </c>
      <c r="M79" s="263"/>
      <c r="N79" s="956">
        <f t="shared" si="132"/>
        <v>0</v>
      </c>
      <c r="O79" s="956">
        <f t="shared" si="133"/>
        <v>0</v>
      </c>
      <c r="P79" s="956">
        <f t="shared" si="134"/>
        <v>0</v>
      </c>
      <c r="Q79" s="956">
        <f t="shared" si="135"/>
        <v>0</v>
      </c>
      <c r="R79" s="957">
        <f t="shared" si="136"/>
        <v>0</v>
      </c>
      <c r="S79" s="262"/>
      <c r="T79" s="958" t="str">
        <f t="shared" si="137"/>
        <v/>
      </c>
      <c r="U79" s="959" t="str">
        <f>IF(P79=0,"",IF(P79&lt;Paramétrage!$S$12,"PB",IF(AND(Q79&lt;Paramétrage!$S$12,Q79&lt;&gt;0),"PB","")))</f>
        <v/>
      </c>
      <c r="V79" s="959" t="str">
        <f t="shared" si="138"/>
        <v/>
      </c>
      <c r="W79" s="959" t="str">
        <f t="shared" si="139"/>
        <v/>
      </c>
      <c r="X79" s="960" t="str">
        <f t="shared" si="140"/>
        <v/>
      </c>
      <c r="Y79" s="959" t="str">
        <f t="shared" si="141"/>
        <v/>
      </c>
      <c r="Z79" s="836"/>
      <c r="AA79" s="837"/>
      <c r="AC79" s="934">
        <f t="shared" ref="AC79:AC84" si="143">AC78+1</f>
        <v>42935</v>
      </c>
      <c r="AD79" s="961">
        <f>IF(AND(N(AC79)&gt;=Paramétrage!$AU$11,N(AC79)&lt;=Paramétrage!$AU$12),IF(C79="cp",1,0),0)</f>
        <v>0</v>
      </c>
      <c r="AE79" s="962">
        <f t="shared" si="142"/>
        <v>0</v>
      </c>
      <c r="AF79" s="961">
        <f>IF(AND(N(AC79)&gt;=Paramétrage!$AX$11,N(AC79)&lt;=Paramétrage!$AX$12),IF(C79="cp",1,0),0)</f>
        <v>0</v>
      </c>
      <c r="AG79" s="962">
        <f t="shared" ref="AG79:AG84" si="144">O79</f>
        <v>0</v>
      </c>
      <c r="AI79" s="962">
        <f t="shared" ref="AI79:AI84" si="145">AE79+AI78</f>
        <v>0</v>
      </c>
      <c r="AJ79" s="962">
        <f t="shared" ref="AJ79:AJ84" si="146">AG79+AJ78</f>
        <v>0</v>
      </c>
      <c r="AM79" s="962">
        <f t="shared" ref="AM79:AM82" si="147">IF(AND($B79="cp",$C79="m"),$Z79,0)</f>
        <v>0</v>
      </c>
      <c r="AN79" s="962">
        <f t="shared" ref="AN79:AN82" si="148">IF(AND($B79="jc",$C79="m"),$Z79,0)</f>
        <v>0</v>
      </c>
      <c r="AO79" s="962">
        <f t="shared" ref="AO79:AO82" si="149">IF(AND($B79="cp",$C79="aa"),$Z79,0)</f>
        <v>0</v>
      </c>
      <c r="AP79" s="962">
        <f t="shared" ref="AP79:AP82" si="150">IF(AND($B79="jc",$C79="aa"),$Z79,0)</f>
        <v>0</v>
      </c>
      <c r="AR79" s="917">
        <f>IF(AND(AC79&lt;=$AR$3,B79="CP"),1,0)</f>
        <v>0</v>
      </c>
      <c r="AS79" s="917">
        <f>IF(AND(AC79&lt;=$AR$3,C79="CP"),1,0)</f>
        <v>0</v>
      </c>
    </row>
    <row r="80" spans="1:45" ht="14.25" customHeight="1" x14ac:dyDescent="0.3">
      <c r="A80" s="964" t="s">
        <v>14</v>
      </c>
      <c r="B80" s="414" t="b">
        <f>IF(Paramétrage!$O$44="",FALSE,Paramétrage!$O$44)</f>
        <v>0</v>
      </c>
      <c r="C80" s="263"/>
      <c r="D80" s="415" t="b">
        <f>IF(Paramétrage!$Q$44="",FALSE,Paramétrage!$Q$44)</f>
        <v>0</v>
      </c>
      <c r="E80" s="264"/>
      <c r="F80" s="414" t="b">
        <f>IF(Paramétrage!$R$44="",FALSE,Paramétrage!$R$44)</f>
        <v>0</v>
      </c>
      <c r="G80" s="264"/>
      <c r="H80" s="416" t="b">
        <f>IF(Paramétrage!$T$44="",FALSE,Paramétrage!$T$44)</f>
        <v>0</v>
      </c>
      <c r="I80" s="263"/>
      <c r="J80" s="417" t="b">
        <f>IF(Paramétrage!$U$44="",FALSE,Paramétrage!$U$44)</f>
        <v>0</v>
      </c>
      <c r="K80" s="263"/>
      <c r="L80" s="418" t="b">
        <f>IF(Paramétrage!$W$44="",FALSE,Paramétrage!$W$44)</f>
        <v>0</v>
      </c>
      <c r="M80" s="263"/>
      <c r="N80" s="956">
        <f t="shared" si="132"/>
        <v>0</v>
      </c>
      <c r="O80" s="956">
        <f t="shared" si="133"/>
        <v>0</v>
      </c>
      <c r="P80" s="956">
        <f t="shared" si="134"/>
        <v>0</v>
      </c>
      <c r="Q80" s="956">
        <f t="shared" si="135"/>
        <v>0</v>
      </c>
      <c r="R80" s="957">
        <f t="shared" si="136"/>
        <v>0</v>
      </c>
      <c r="S80" s="262"/>
      <c r="T80" s="958" t="str">
        <f>IF(AND(B80=FALSE,C80=""),"",IF(AND(B80=0,C80=0),"",(IF(OR(C80="cp",C80="f",C80="jc",C80="css"),"",IF(OR(C80="",C80="aa",C80="m"),(IF(OR(B80="cp",B80="f",B80="jc",B80="css"),"",B80*24+24-MAX(D79,H79,L79)*24)),C80*24+24-MAX(M79,I79,E79)*24)))))</f>
        <v/>
      </c>
      <c r="U80" s="959" t="str">
        <f>IF(P80=0,"",IF(P80&lt;Paramétrage!$S$12,"PB",IF(AND(Q80&lt;Paramétrage!$S$12,Q80&lt;&gt;0),"PB","")))</f>
        <v/>
      </c>
      <c r="V80" s="959" t="str">
        <f t="shared" si="138"/>
        <v/>
      </c>
      <c r="W80" s="959" t="str">
        <f t="shared" si="139"/>
        <v/>
      </c>
      <c r="X80" s="960" t="str">
        <f t="shared" si="140"/>
        <v/>
      </c>
      <c r="Y80" s="959" t="str">
        <f t="shared" si="141"/>
        <v/>
      </c>
      <c r="Z80" s="836"/>
      <c r="AA80" s="837"/>
      <c r="AC80" s="934">
        <f t="shared" si="143"/>
        <v>42936</v>
      </c>
      <c r="AD80" s="961">
        <f>IF(AND(N(AC80)&gt;=Paramétrage!$AU$11,N(AC80)&lt;=Paramétrage!$AU$12),IF(C80="cp",1,0),0)</f>
        <v>0</v>
      </c>
      <c r="AE80" s="962">
        <f t="shared" si="142"/>
        <v>0</v>
      </c>
      <c r="AF80" s="961">
        <f>IF(AND(N(AC80)&gt;=Paramétrage!$AX$11,N(AC80)&lt;=Paramétrage!$AX$12),IF(C80="cp",1,0),0)</f>
        <v>0</v>
      </c>
      <c r="AG80" s="962">
        <f t="shared" si="144"/>
        <v>0</v>
      </c>
      <c r="AI80" s="962">
        <f t="shared" si="145"/>
        <v>0</v>
      </c>
      <c r="AJ80" s="962">
        <f t="shared" si="146"/>
        <v>0</v>
      </c>
      <c r="AM80" s="962">
        <f t="shared" si="147"/>
        <v>0</v>
      </c>
      <c r="AN80" s="962">
        <f t="shared" si="148"/>
        <v>0</v>
      </c>
      <c r="AO80" s="962">
        <f t="shared" si="149"/>
        <v>0</v>
      </c>
      <c r="AP80" s="962">
        <f t="shared" si="150"/>
        <v>0</v>
      </c>
      <c r="AR80" s="917">
        <f>IF(AND(AC80&lt;=$AR$3,B80="CP"),1,0)</f>
        <v>0</v>
      </c>
      <c r="AS80" s="917">
        <f>IF(AND(AC80&lt;=$AR$3,C80="CP"),1,0)</f>
        <v>0</v>
      </c>
    </row>
    <row r="81" spans="1:45" ht="14.25" customHeight="1" x14ac:dyDescent="0.3">
      <c r="A81" s="964" t="s">
        <v>15</v>
      </c>
      <c r="B81" s="414" t="b">
        <f>IF(Paramétrage!$O$45="",FALSE,Paramétrage!$O$45)</f>
        <v>0</v>
      </c>
      <c r="C81" s="263"/>
      <c r="D81" s="415" t="b">
        <f>IF(Paramétrage!$Q$45="",FALSE,Paramétrage!$Q$45)</f>
        <v>0</v>
      </c>
      <c r="E81" s="264"/>
      <c r="F81" s="414" t="b">
        <f>IF(Paramétrage!$R$45="",FALSE,Paramétrage!$R$45)</f>
        <v>0</v>
      </c>
      <c r="G81" s="264"/>
      <c r="H81" s="416" t="b">
        <f>IF(Paramétrage!$T$45="",FALSE,Paramétrage!$T$45)</f>
        <v>0</v>
      </c>
      <c r="I81" s="263"/>
      <c r="J81" s="417" t="b">
        <f>IF(Paramétrage!$U$45="",FALSE,Paramétrage!$U$45)</f>
        <v>0</v>
      </c>
      <c r="K81" s="263"/>
      <c r="L81" s="418" t="b">
        <f>IF(Paramétrage!$W$45="",FALSE,Paramétrage!$W$45)</f>
        <v>0</v>
      </c>
      <c r="M81" s="263"/>
      <c r="N81" s="956">
        <f>IF(OR(B81="aa",B81="cp",B81="f",B81="jc",B81="m",B81="css"),0,(L81-J81)+(H81-F81)+(D81-B81))</f>
        <v>0</v>
      </c>
      <c r="O81" s="956">
        <f>SUM(AM81:AP81)+IF(OR(C81="m",C81="aa"),N81,IF(C81="css",0,IF(C81="cp",0,IF(C81="jc",0,IF(C81="f",0,E81-C81+I81-G81+M81-K81)))))</f>
        <v>0</v>
      </c>
      <c r="P81" s="956">
        <f t="shared" si="134"/>
        <v>0</v>
      </c>
      <c r="Q81" s="956">
        <f t="shared" si="135"/>
        <v>0</v>
      </c>
      <c r="R81" s="957">
        <f>IF(OR(C81="aa",C81="cp",C81="f",C81="jc",C81="m",C81="css"),0,IF(C81=0,MAX(B81,D81,F81,H81,J81,L81)-MIN(B81,D81,F81,H81,J81,L81),IF(C81&lt;&gt;0,MAX(C81,E81,G81,I81,K81,M81)-MIN(C81,E81,G81,I81,K81,M81))))</f>
        <v>0</v>
      </c>
      <c r="S81" s="262"/>
      <c r="T81" s="958" t="str">
        <f t="shared" ref="T81:T84" si="151">IF(AND(B81=FALSE,C81=""),"",IF(AND(B81=0,C81=0),"",(IF(OR(C81="cp",C81="f",C81="jc",C81="css"),"",IF(OR(C81="",C81="aa",C81="m"),(IF(OR(B81="cp",B81="f",B81="jc",B81="css"),"",B81*24+24-MAX(D80,H80,L80)*24)),C81*24+24-MAX(M80,I80,E80)*24)))))</f>
        <v/>
      </c>
      <c r="U81" s="959" t="str">
        <f>IF(P81=0,"",IF(P81&lt;Paramétrage!$S$12,"PB",IF(AND(Q81&lt;Paramétrage!$S$12,Q81&lt;&gt;0),"PB","")))</f>
        <v/>
      </c>
      <c r="V81" s="959" t="str">
        <f t="shared" si="138"/>
        <v/>
      </c>
      <c r="W81" s="959" t="str">
        <f t="shared" si="139"/>
        <v/>
      </c>
      <c r="X81" s="960" t="str">
        <f>IF(AND(N81=0,O81=0),"",(IF(OR(C81="aa",C81="cp",C81="f",C81="jc",C81="m",C81="css"),"",IF(C81="",IF(OR(D81-B81&gt;6/24,H81-F81&gt;6/24,L81-J81&gt;6/24),"PB",""),IF(OR(E81-C81&gt;6/24,I81-G81&gt;6/24,M81-K81&gt;6/24),"PB","")))))</f>
        <v/>
      </c>
      <c r="Y81" s="959" t="str">
        <f t="shared" si="141"/>
        <v/>
      </c>
      <c r="Z81" s="836"/>
      <c r="AA81" s="837"/>
      <c r="AC81" s="934">
        <f t="shared" si="143"/>
        <v>42937</v>
      </c>
      <c r="AD81" s="961">
        <f>IF(AND(N(AC81)&gt;=Paramétrage!$AU$11,N(AC81)&lt;=Paramétrage!$AU$12),IF(C81="cp",1,0),0)</f>
        <v>0</v>
      </c>
      <c r="AE81" s="962">
        <f t="shared" si="142"/>
        <v>0</v>
      </c>
      <c r="AF81" s="961">
        <f>IF(AND(N(AC81)&gt;=Paramétrage!$AX$11,N(AC81)&lt;=Paramétrage!$AX$12),IF(C81="cp",1,0),0)</f>
        <v>0</v>
      </c>
      <c r="AG81" s="962">
        <f t="shared" si="144"/>
        <v>0</v>
      </c>
      <c r="AI81" s="962">
        <f t="shared" si="145"/>
        <v>0</v>
      </c>
      <c r="AJ81" s="962">
        <f t="shared" si="146"/>
        <v>0</v>
      </c>
      <c r="AM81" s="962">
        <f t="shared" si="147"/>
        <v>0</v>
      </c>
      <c r="AN81" s="962">
        <f t="shared" si="148"/>
        <v>0</v>
      </c>
      <c r="AO81" s="962">
        <f t="shared" si="149"/>
        <v>0</v>
      </c>
      <c r="AP81" s="962">
        <f t="shared" si="150"/>
        <v>0</v>
      </c>
      <c r="AR81" s="917">
        <f>IF(AND(AC81&lt;=$AR$3,B81="CP"),1,0)</f>
        <v>0</v>
      </c>
      <c r="AS81" s="917">
        <f>IF(AND(AC81&lt;=$AR$3,C81="CP"),1,0)</f>
        <v>0</v>
      </c>
    </row>
    <row r="82" spans="1:45" ht="14.25" customHeight="1" x14ac:dyDescent="0.3">
      <c r="A82" s="964" t="s">
        <v>16</v>
      </c>
      <c r="B82" s="414" t="b">
        <f>IF(Paramétrage!$O$46="",FALSE,Paramétrage!$O$46)</f>
        <v>0</v>
      </c>
      <c r="C82" s="263"/>
      <c r="D82" s="415" t="b">
        <f>IF(Paramétrage!$Q$46="",FALSE,Paramétrage!$Q$46)</f>
        <v>0</v>
      </c>
      <c r="E82" s="264"/>
      <c r="F82" s="414" t="b">
        <f>IF(Paramétrage!$R$46="",FALSE,Paramétrage!$R$46)</f>
        <v>0</v>
      </c>
      <c r="G82" s="264"/>
      <c r="H82" s="416" t="b">
        <f>IF(Paramétrage!$T$46="",FALSE,Paramétrage!$T$46)</f>
        <v>0</v>
      </c>
      <c r="I82" s="263"/>
      <c r="J82" s="417" t="b">
        <f>IF(Paramétrage!$U$46="",FALSE,Paramétrage!$U$46)</f>
        <v>0</v>
      </c>
      <c r="K82" s="263"/>
      <c r="L82" s="418" t="b">
        <f>IF(Paramétrage!$W$46="",FALSE,Paramétrage!$W$46)</f>
        <v>0</v>
      </c>
      <c r="M82" s="263"/>
      <c r="N82" s="956">
        <f>IF(OR(B82="aa",B82="cp",B82="f",B82="jc",B82="m",B82="css"),0,(L82-J82)+(H82-F82)+(D82-B82))</f>
        <v>0</v>
      </c>
      <c r="O82" s="956">
        <f>SUM(AM82:AP82)+IF(OR(C82="m",C82="aa"),N82,IF(C82="css",0,IF(C82="cp",0,IF(C82="jc",0,IF(C82="f",0,E82-C82+I82-G82+M82-K82)))))</f>
        <v>0</v>
      </c>
      <c r="P82" s="956">
        <f t="shared" si="134"/>
        <v>0</v>
      </c>
      <c r="Q82" s="956">
        <f t="shared" si="135"/>
        <v>0</v>
      </c>
      <c r="R82" s="957">
        <f>IF(OR(C82="aa",C82="cp",C82="f",C82="jc",C82="m",C82="css"),0,IF(C82=0,MAX(B82,D82,F82,H82,J82,L82)-MIN(B82,D82,F82,H82,J82,L82),IF(C82&lt;&gt;0,MAX(C82,E82,G82,I82,K82,M82)-MIN(C82,E82,G82,I82,K82,M82))))</f>
        <v>0</v>
      </c>
      <c r="S82" s="262"/>
      <c r="T82" s="958" t="str">
        <f t="shared" si="151"/>
        <v/>
      </c>
      <c r="U82" s="959" t="str">
        <f>IF(P82=0,"",IF(P82&lt;Paramétrage!$S$12,"PB",IF(AND(Q82&lt;Paramétrage!$S$12,Q82&lt;&gt;0),"PB","")))</f>
        <v/>
      </c>
      <c r="V82" s="959" t="str">
        <f t="shared" si="138"/>
        <v/>
      </c>
      <c r="W82" s="959" t="str">
        <f t="shared" si="139"/>
        <v/>
      </c>
      <c r="X82" s="960" t="str">
        <f>IF(AND(N82=0,O82=0),"",(IF(OR(C82="aa",C82="cp",C82="f",C82="jc",C82="m",C82="css"),"",IF(C82="",IF(OR(D82-B82&gt;6/24,H82-F82&gt;6/24,L82-J82&gt;6/24),"PB",""),IF(OR(E82-C82&gt;6/24,I82-G82&gt;6/24,M82-K82&gt;6/24),"PB","")))))</f>
        <v/>
      </c>
      <c r="Y82" s="959" t="str">
        <f t="shared" si="141"/>
        <v/>
      </c>
      <c r="Z82" s="836"/>
      <c r="AA82" s="837"/>
      <c r="AC82" s="934">
        <f t="shared" si="143"/>
        <v>42938</v>
      </c>
      <c r="AD82" s="961">
        <f>IF(AND(N(AC82)&gt;=Paramétrage!$AU$11,N(AC82)&lt;=Paramétrage!$AU$12),IF(C82="cp",1,0),0)</f>
        <v>0</v>
      </c>
      <c r="AE82" s="962">
        <f t="shared" si="142"/>
        <v>0</v>
      </c>
      <c r="AF82" s="961">
        <f>IF(AND(N(AC82)&gt;=Paramétrage!$AX$11,N(AC82)&lt;=Paramétrage!$AX$12),IF(C82="cp",1,0),0)</f>
        <v>0</v>
      </c>
      <c r="AG82" s="962">
        <f t="shared" si="144"/>
        <v>0</v>
      </c>
      <c r="AI82" s="962">
        <f t="shared" si="145"/>
        <v>0</v>
      </c>
      <c r="AJ82" s="962">
        <f t="shared" si="146"/>
        <v>0</v>
      </c>
      <c r="AM82" s="962">
        <f t="shared" si="147"/>
        <v>0</v>
      </c>
      <c r="AN82" s="962">
        <f t="shared" si="148"/>
        <v>0</v>
      </c>
      <c r="AO82" s="962">
        <f t="shared" si="149"/>
        <v>0</v>
      </c>
      <c r="AP82" s="962">
        <f t="shared" si="150"/>
        <v>0</v>
      </c>
      <c r="AR82" s="917">
        <f>IF(AND(AC82&lt;=$AR$3,B82="CP"),1,0)</f>
        <v>0</v>
      </c>
      <c r="AS82" s="917">
        <f>IF(AND(AC82&lt;=$AR$3,C82="CP"),1,0)</f>
        <v>0</v>
      </c>
    </row>
    <row r="83" spans="1:45" ht="14.25" customHeight="1" x14ac:dyDescent="0.3">
      <c r="A83" s="964" t="s">
        <v>19</v>
      </c>
      <c r="B83" s="414" t="b">
        <f>IF(Paramétrage!$O$47="",FALSE,Paramétrage!$O$47)</f>
        <v>0</v>
      </c>
      <c r="C83" s="263"/>
      <c r="D83" s="415" t="b">
        <f>IF(Paramétrage!$Q$47="",FALSE,Paramétrage!$Q$47)</f>
        <v>0</v>
      </c>
      <c r="E83" s="264"/>
      <c r="F83" s="414" t="b">
        <f>IF(Paramétrage!$R$47="",FALSE,Paramétrage!$R$47)</f>
        <v>0</v>
      </c>
      <c r="G83" s="264"/>
      <c r="H83" s="416" t="b">
        <f>IF(Paramétrage!$T$47="",FALSE,Paramétrage!$T$47)</f>
        <v>0</v>
      </c>
      <c r="I83" s="263"/>
      <c r="J83" s="417" t="b">
        <f>IF(Paramétrage!$U$47="",FALSE,Paramétrage!$U$47)</f>
        <v>0</v>
      </c>
      <c r="K83" s="263"/>
      <c r="L83" s="418" t="b">
        <f>IF(Paramétrage!$W$47="",FALSE,Paramétrage!$W$47)</f>
        <v>0</v>
      </c>
      <c r="M83" s="263"/>
      <c r="N83" s="956">
        <f>IF(OR(B83="aa",B83="cp",B83="f",B83="jc",B83="m",B83="css"),0,(L83-J83)+(H83-F83)+(D83-B83))</f>
        <v>0</v>
      </c>
      <c r="O83" s="956">
        <f>IF(OR(C83="m",C83="aa"),N83,IF(C83="cp",0,IF(OR(C83="css",C83="jc"),0,IF(C83="f",0,E83-C83+I83-G83+M83-K83))))</f>
        <v>0</v>
      </c>
      <c r="P83" s="956">
        <f t="shared" si="134"/>
        <v>0</v>
      </c>
      <c r="Q83" s="956">
        <f t="shared" si="135"/>
        <v>0</v>
      </c>
      <c r="R83" s="957">
        <f>IF(OR(C83="aa",C83="cp",C83="f",C83="jc",C83="m",C83="css"),0,IF(C83=0,MAX(B83,D83,F83,H83,J83,L83)-MIN(B83,D83,F83,H83,J83,L83),IF(C83&lt;&gt;0,MAX(C83,E83,G83,I83,K83,M83)-MIN(C83,E83,G83,I83,K83,M83))))</f>
        <v>0</v>
      </c>
      <c r="S83" s="262"/>
      <c r="T83" s="958" t="str">
        <f t="shared" si="151"/>
        <v/>
      </c>
      <c r="U83" s="959" t="str">
        <f>IF(P83=0,"",IF(P83&lt;Paramétrage!$S$12,"PB",IF(AND(Q83&lt;Paramétrage!$S$12,Q83&lt;&gt;0),"PB","")))</f>
        <v/>
      </c>
      <c r="V83" s="959" t="str">
        <f t="shared" si="138"/>
        <v/>
      </c>
      <c r="W83" s="959" t="str">
        <f t="shared" si="139"/>
        <v/>
      </c>
      <c r="X83" s="960" t="str">
        <f>IF(AND(N83=0,O83=0),"",(IF(OR(C83="aa",C83="cp",C83="f",C83="jc",C83="m",C83="css"),"",IF(C83="",IF(OR(D83-B83&gt;6/24,H83-F83&gt;6/24,L83-J83&gt;6/24),"PB",""),IF(OR(E83-C83&gt;6/24,I83-G83&gt;6/24,M83-K83&gt;6/24),"PB","")))))</f>
        <v/>
      </c>
      <c r="Y83" s="959" t="str">
        <f t="shared" si="141"/>
        <v/>
      </c>
      <c r="Z83" s="836"/>
      <c r="AA83" s="837"/>
      <c r="AC83" s="934">
        <f t="shared" si="143"/>
        <v>42939</v>
      </c>
      <c r="AD83" s="961">
        <f>IF(AND(N(AC83)&gt;=Paramétrage!$AU$11,N(AC83)&lt;=Paramétrage!$AU$12),IF(C83="cp",1,0),0)</f>
        <v>0</v>
      </c>
      <c r="AE83" s="962">
        <f t="shared" si="142"/>
        <v>0</v>
      </c>
      <c r="AF83" s="961">
        <f>IF(AND(N(AC83)&gt;=Paramétrage!$AX$11,N(AC83)&lt;=Paramétrage!$AX$12),IF(C83="cp",1,0),0)</f>
        <v>0</v>
      </c>
      <c r="AG83" s="962">
        <f t="shared" si="144"/>
        <v>0</v>
      </c>
      <c r="AI83" s="962">
        <f t="shared" si="145"/>
        <v>0</v>
      </c>
      <c r="AJ83" s="962">
        <f t="shared" si="146"/>
        <v>0</v>
      </c>
      <c r="AM83" s="962"/>
      <c r="AN83" s="962"/>
      <c r="AO83" s="962"/>
      <c r="AP83" s="962"/>
    </row>
    <row r="84" spans="1:45" ht="14.25" customHeight="1" thickBot="1" x14ac:dyDescent="0.35">
      <c r="A84" s="966" t="s">
        <v>20</v>
      </c>
      <c r="B84" s="414" t="b">
        <f>IF(Paramétrage!$O$48="",FALSE,Paramétrage!$O$48)</f>
        <v>0</v>
      </c>
      <c r="C84" s="263"/>
      <c r="D84" s="415" t="b">
        <f>IF(Paramétrage!$Q$48="",FALSE,Paramétrage!$Q$48)</f>
        <v>0</v>
      </c>
      <c r="E84" s="264"/>
      <c r="F84" s="414" t="b">
        <f>IF(Paramétrage!$R$48="",FALSE,Paramétrage!$R$48)</f>
        <v>0</v>
      </c>
      <c r="G84" s="264"/>
      <c r="H84" s="416" t="b">
        <f>IF(Paramétrage!$T$48="",FALSE,Paramétrage!$T$48)</f>
        <v>0</v>
      </c>
      <c r="I84" s="263"/>
      <c r="J84" s="417" t="b">
        <f>IF(Paramétrage!$U$48="",FALSE,Paramétrage!$U$48)</f>
        <v>0</v>
      </c>
      <c r="K84" s="263"/>
      <c r="L84" s="418" t="b">
        <f>IF(Paramétrage!$W$48="",FALSE,Paramétrage!$W$48)</f>
        <v>0</v>
      </c>
      <c r="M84" s="263"/>
      <c r="N84" s="956">
        <f>IF(OR(B84="aa",B84="m"),M84,IF(B84="cp",0,IF(B84="jc",0,IF(B84="f",0,(D84-B84)*Paramétrage!$S$13+(H84-F84)*Paramétrage!$S$13+(L84-J84)*Paramétrage!$S$13+(D84-B84+H84-F84+L84-J84)))))</f>
        <v>0</v>
      </c>
      <c r="O84" s="956">
        <f>IF(OR(C84="aa",C84="m"),N84,IF(C84="cp",0,IF(C84="jc",0,IF(C84="f",0,(E84-C84)*Paramétrage!$S$13+(I84-G84)*Paramétrage!$S$13+(M84-K84)*Paramétrage!$S$13+(E84-C84+I84-G84+M84-K84)))))</f>
        <v>0</v>
      </c>
      <c r="P84" s="956">
        <f t="shared" si="134"/>
        <v>0</v>
      </c>
      <c r="Q84" s="956">
        <f t="shared" si="135"/>
        <v>0</v>
      </c>
      <c r="R84" s="957">
        <f t="shared" ref="R84" si="152">IF(OR(C84="aa",C84="cp",C84="f",C84="jc",C84="m",C84=0),MAX(B84,D84,F84,H84,J84,L84)-MIN(B84,D84,F84,H84,J84,L84),IF(C84&lt;&gt;0,MAX(C84,E84,G84,I84,K84,M84)-MIN(C84,E84,G84,I84,K84,M84)))</f>
        <v>0</v>
      </c>
      <c r="S84" s="262"/>
      <c r="T84" s="958" t="str">
        <f t="shared" si="151"/>
        <v/>
      </c>
      <c r="U84" s="959" t="str">
        <f>IF(P84=0,"",IF(P84&lt;Paramétrage!$S$12,"PB",IF(AND(Q84&lt;Paramétrage!$S$12,Q84&lt;&gt;0),"PB","")))</f>
        <v/>
      </c>
      <c r="V84" s="959" t="str">
        <f t="shared" si="138"/>
        <v/>
      </c>
      <c r="W84" s="959" t="str">
        <f t="shared" si="139"/>
        <v/>
      </c>
      <c r="X84" s="960" t="str">
        <f t="shared" ref="X84" si="153">IF(AND(N84=0,O84=0),"",(IF(OR(C84="aa",C84="cp",C84="f",C84="jc",C84="m"),"",IF(C84="",IF(OR(D84-B84&gt;6/24,H84-F84&gt;6/24,L84-J84&gt;6/24),"PB",""),IF(OR(E84-C84&gt;6/24,I84-G84&gt;6/24,M84-K84&gt;6/24),"PB","")))))</f>
        <v/>
      </c>
      <c r="Y84" s="959" t="str">
        <f t="shared" si="141"/>
        <v/>
      </c>
      <c r="Z84" s="836"/>
      <c r="AA84" s="837"/>
      <c r="AC84" s="934">
        <f t="shared" si="143"/>
        <v>42940</v>
      </c>
      <c r="AD84" s="961">
        <f>IF(AND(N(AC84)&gt;=Paramétrage!$AU$11,N(AC84)&lt;=Paramétrage!$AU$12),IF(C84="cp",1,0),0)</f>
        <v>0</v>
      </c>
      <c r="AE84" s="962">
        <f t="shared" si="142"/>
        <v>0</v>
      </c>
      <c r="AF84" s="961">
        <f>IF(AND(N(AC84)&gt;=Paramétrage!$AX$11,N(AC84)&lt;=Paramétrage!$AX$12),IF(C84="cp",1,0),0)</f>
        <v>0</v>
      </c>
      <c r="AG84" s="962">
        <f t="shared" si="144"/>
        <v>0</v>
      </c>
      <c r="AI84" s="962">
        <f t="shared" si="145"/>
        <v>0</v>
      </c>
      <c r="AJ84" s="962">
        <f t="shared" si="146"/>
        <v>0</v>
      </c>
      <c r="AM84" s="962"/>
      <c r="AN84" s="962"/>
      <c r="AO84" s="962"/>
      <c r="AP84" s="962"/>
    </row>
    <row r="85" spans="1:45" s="935" customFormat="1" x14ac:dyDescent="0.25">
      <c r="A85" s="969" t="s">
        <v>52</v>
      </c>
      <c r="B85" s="970"/>
      <c r="C85" s="970"/>
      <c r="D85" s="970"/>
      <c r="E85" s="970"/>
      <c r="F85" s="970"/>
      <c r="G85" s="970"/>
      <c r="H85" s="970"/>
      <c r="I85" s="970"/>
      <c r="J85" s="970"/>
      <c r="K85" s="971"/>
      <c r="L85" s="970"/>
      <c r="M85" s="970"/>
      <c r="N85" s="972">
        <f>SUM(N78:N84)</f>
        <v>0</v>
      </c>
      <c r="O85" s="972">
        <f>SUM(O78:O84)</f>
        <v>0</v>
      </c>
      <c r="P85" s="972">
        <f>SUM(P78:P84)</f>
        <v>0</v>
      </c>
      <c r="Q85" s="972">
        <f>SUM(Q78:Q84)</f>
        <v>0</v>
      </c>
      <c r="R85" s="972"/>
      <c r="S85" s="972"/>
      <c r="T85" s="973"/>
      <c r="U85" s="974"/>
      <c r="V85" s="975" t="str">
        <f>IF((O85*24)&gt;48,"PB","")</f>
        <v/>
      </c>
      <c r="W85" s="974"/>
      <c r="X85" s="974"/>
      <c r="Y85" s="974"/>
      <c r="Z85" s="1053" t="s">
        <v>59</v>
      </c>
      <c r="AA85" s="1055">
        <f>+O85-N85</f>
        <v>0</v>
      </c>
      <c r="AB85" s="967"/>
      <c r="AC85" s="934"/>
      <c r="AE85" s="917"/>
      <c r="AF85" s="917"/>
      <c r="AG85" s="917"/>
      <c r="AH85" s="917"/>
      <c r="AI85" s="917"/>
      <c r="AJ85" s="917"/>
      <c r="AK85" s="917"/>
      <c r="AL85" s="917"/>
      <c r="AM85" s="917"/>
      <c r="AN85" s="917"/>
      <c r="AO85" s="917"/>
      <c r="AP85" s="917"/>
      <c r="AR85" s="917"/>
      <c r="AS85" s="917"/>
    </row>
    <row r="86" spans="1:45" s="935" customFormat="1" x14ac:dyDescent="0.25">
      <c r="A86" s="969"/>
      <c r="B86" s="969"/>
      <c r="C86" s="969"/>
      <c r="D86" s="969"/>
      <c r="E86" s="969"/>
      <c r="F86" s="1052"/>
      <c r="G86" s="1052"/>
      <c r="H86" s="1052"/>
      <c r="I86" s="1052"/>
      <c r="J86" s="1052"/>
      <c r="K86" s="969"/>
      <c r="L86" s="969"/>
      <c r="M86" s="969"/>
      <c r="N86" s="973"/>
      <c r="O86" s="969"/>
      <c r="P86" s="980"/>
      <c r="Q86" s="980"/>
      <c r="R86" s="980"/>
      <c r="S86" s="981"/>
      <c r="T86" s="980"/>
      <c r="U86" s="980"/>
      <c r="V86" s="980"/>
      <c r="W86" s="980"/>
      <c r="X86" s="980"/>
      <c r="Y86" s="980"/>
      <c r="Z86" s="1053"/>
      <c r="AA86" s="1055"/>
      <c r="AB86" s="917"/>
      <c r="AC86" s="934"/>
      <c r="AE86" s="917"/>
      <c r="AF86" s="917"/>
      <c r="AG86" s="917"/>
      <c r="AH86" s="917"/>
      <c r="AI86" s="917"/>
      <c r="AJ86" s="917"/>
      <c r="AK86" s="917"/>
      <c r="AL86" s="917"/>
      <c r="AM86" s="917"/>
      <c r="AN86" s="917"/>
      <c r="AO86" s="917"/>
      <c r="AP86" s="917"/>
      <c r="AR86" s="917"/>
      <c r="AS86" s="917"/>
    </row>
    <row r="87" spans="1:45" s="935" customFormat="1" ht="16.5" x14ac:dyDescent="0.3">
      <c r="A87" s="969"/>
      <c r="B87" s="969"/>
      <c r="C87" s="969"/>
      <c r="D87" s="969"/>
      <c r="E87" s="969"/>
      <c r="F87" s="928">
        <f>+F75+7</f>
        <v>42941</v>
      </c>
      <c r="G87" s="928"/>
      <c r="H87" s="929" t="s">
        <v>58</v>
      </c>
      <c r="I87" s="928">
        <f>+F87+6</f>
        <v>42947</v>
      </c>
      <c r="J87" s="928"/>
      <c r="K87" s="969"/>
      <c r="L87" s="969"/>
      <c r="M87" s="969"/>
      <c r="N87" s="973"/>
      <c r="O87" s="969"/>
      <c r="P87" s="980"/>
      <c r="Q87" s="980"/>
      <c r="R87" s="980"/>
      <c r="S87" s="981"/>
      <c r="T87" s="980"/>
      <c r="U87" s="980"/>
      <c r="V87" s="980"/>
      <c r="W87" s="980"/>
      <c r="X87" s="980"/>
      <c r="Y87" s="980"/>
      <c r="Z87" s="1053"/>
      <c r="AA87" s="1054"/>
      <c r="AB87" s="917"/>
      <c r="AC87" s="934"/>
      <c r="AE87" s="917"/>
      <c r="AF87" s="917"/>
      <c r="AG87" s="917"/>
      <c r="AH87" s="917"/>
      <c r="AI87" s="917"/>
      <c r="AJ87" s="917"/>
      <c r="AK87" s="917"/>
      <c r="AL87" s="917"/>
      <c r="AM87" s="917"/>
      <c r="AN87" s="917"/>
      <c r="AO87" s="917"/>
      <c r="AP87" s="917"/>
      <c r="AR87" s="917"/>
      <c r="AS87" s="917"/>
    </row>
    <row r="88" spans="1:45" ht="16.5" x14ac:dyDescent="0.3">
      <c r="A88" s="994"/>
      <c r="B88" s="1063" t="s">
        <v>17</v>
      </c>
      <c r="C88" s="1063"/>
      <c r="D88" s="1063" t="s">
        <v>18</v>
      </c>
      <c r="E88" s="1063"/>
      <c r="F88" s="1063" t="s">
        <v>17</v>
      </c>
      <c r="G88" s="1063"/>
      <c r="H88" s="1063" t="s">
        <v>18</v>
      </c>
      <c r="I88" s="1063"/>
      <c r="J88" s="1063" t="s">
        <v>17</v>
      </c>
      <c r="K88" s="1063"/>
      <c r="L88" s="1063" t="s">
        <v>18</v>
      </c>
      <c r="M88" s="1063"/>
      <c r="N88" s="939" t="s">
        <v>61</v>
      </c>
      <c r="O88" s="939" t="s">
        <v>62</v>
      </c>
      <c r="P88" s="939" t="s">
        <v>60</v>
      </c>
      <c r="Q88" s="939" t="s">
        <v>63</v>
      </c>
      <c r="R88" s="939" t="s">
        <v>64</v>
      </c>
      <c r="S88" s="940" t="s">
        <v>223</v>
      </c>
      <c r="T88" s="939" t="s">
        <v>70</v>
      </c>
      <c r="U88" s="941" t="s">
        <v>65</v>
      </c>
      <c r="V88" s="942"/>
      <c r="W88" s="942"/>
      <c r="X88" s="942"/>
      <c r="Y88" s="943"/>
      <c r="Z88" s="987" t="s">
        <v>22</v>
      </c>
      <c r="AA88" s="988"/>
      <c r="AC88" s="934"/>
    </row>
    <row r="89" spans="1:45" ht="26.25" thickBot="1" x14ac:dyDescent="0.4">
      <c r="A89" s="937" t="str">
        <f>"S"&amp;WEEKNUM(F87,21)</f>
        <v>S30</v>
      </c>
      <c r="B89" s="1064" t="s">
        <v>0</v>
      </c>
      <c r="C89" s="1065" t="s">
        <v>1</v>
      </c>
      <c r="D89" s="1064" t="s">
        <v>0</v>
      </c>
      <c r="E89" s="1065" t="s">
        <v>1</v>
      </c>
      <c r="F89" s="1064" t="s">
        <v>0</v>
      </c>
      <c r="G89" s="1065" t="s">
        <v>1</v>
      </c>
      <c r="H89" s="1064" t="s">
        <v>0</v>
      </c>
      <c r="I89" s="1065" t="s">
        <v>1</v>
      </c>
      <c r="J89" s="1064" t="s">
        <v>0</v>
      </c>
      <c r="K89" s="1065" t="s">
        <v>1</v>
      </c>
      <c r="L89" s="1064" t="s">
        <v>0</v>
      </c>
      <c r="M89" s="1065" t="s">
        <v>1</v>
      </c>
      <c r="N89" s="951"/>
      <c r="O89" s="951"/>
      <c r="P89" s="951"/>
      <c r="Q89" s="951"/>
      <c r="R89" s="951"/>
      <c r="S89" s="951"/>
      <c r="T89" s="939"/>
      <c r="U89" s="952" t="s">
        <v>66</v>
      </c>
      <c r="V89" s="952" t="s">
        <v>67</v>
      </c>
      <c r="W89" s="952" t="s">
        <v>68</v>
      </c>
      <c r="X89" s="952" t="s">
        <v>137</v>
      </c>
      <c r="Y89" s="952" t="s">
        <v>69</v>
      </c>
      <c r="Z89" s="989"/>
      <c r="AA89" s="990"/>
      <c r="AC89" s="934"/>
      <c r="AM89" s="917" t="s">
        <v>274</v>
      </c>
    </row>
    <row r="90" spans="1:45" ht="14.25" customHeight="1" x14ac:dyDescent="0.3">
      <c r="A90" s="955" t="s">
        <v>12</v>
      </c>
      <c r="B90" s="15" t="b">
        <f>IF(Paramétrage!$O$42="",FALSE,Paramétrage!$O$42)</f>
        <v>0</v>
      </c>
      <c r="C90" s="263"/>
      <c r="D90" s="15" t="b">
        <f>IF(Paramétrage!$Q$42="",FALSE,Paramétrage!$Q$42)</f>
        <v>0</v>
      </c>
      <c r="E90" s="264"/>
      <c r="F90" s="15" t="b">
        <f>IF(Paramétrage!$R$42="",FALSE,Paramétrage!$R$42)</f>
        <v>0</v>
      </c>
      <c r="G90" s="264"/>
      <c r="H90" s="17" t="b">
        <f>IF(Paramétrage!$T$42="",FALSE,Paramétrage!$T$42)</f>
        <v>0</v>
      </c>
      <c r="I90" s="263"/>
      <c r="J90" s="127" t="b">
        <f>IF(Paramétrage!$U$42="",FALSE,Paramétrage!$U$42)</f>
        <v>0</v>
      </c>
      <c r="K90" s="263"/>
      <c r="L90" s="28" t="b">
        <f>IF(Paramétrage!$W$42="",FALSE,Paramétrage!$W$42)</f>
        <v>0</v>
      </c>
      <c r="M90" s="263"/>
      <c r="N90" s="956">
        <f t="shared" ref="N90:N92" si="154">IF(OR(B90="aa",B90="cp",B90="f",B90="jc",B90="m",B90="css"),0,(L90-J90)+(H90-F90)+(D90-B90))</f>
        <v>0</v>
      </c>
      <c r="O90" s="956">
        <f t="shared" ref="O90:O92" si="155">SUM(AM90:AP90)+IF(OR(C90="m",C90="aa"),N90,IF(C90="css",0,IF(C90="cp",0,IF(C90="jc",0,IF(C90="f",0,E90-C90+I90-G90+M90-K90)))))</f>
        <v>0</v>
      </c>
      <c r="P90" s="956">
        <f t="shared" ref="P90:P96" si="156">IF(OR(C90="aa",C90="cp",C90="f",C90="jc",C90="m",C90="css"),0,IF(C90="",IF(OR(F90="",F90=FALSE),0,F90-D90),IF(G90="",0,G90-E90)))</f>
        <v>0</v>
      </c>
      <c r="Q90" s="956">
        <f t="shared" ref="Q90:Q96" si="157">IF(P90=0,0,IF(G90="",IF(OR(J90="",J90=FALSE),0,J90-H90),IF(K90="",0,K90-I90)))</f>
        <v>0</v>
      </c>
      <c r="R90" s="957">
        <f t="shared" ref="R90:R92" si="158">IF(OR(C90="aa",C90="cp",C90="f",C90="jc",C90="m",C90="css"),0,IF(C90=0,MAX(B90,D90,F90,H90,J90,L90)-MIN(B90,D90,F90,H90,J90,L90),IF(C90&lt;&gt;0,MAX(C90,E90,G90,I90,K90,M90)-MIN(C90,E90,G90,I90,K90,M90))))</f>
        <v>0</v>
      </c>
      <c r="S90" s="262"/>
      <c r="T90" s="958" t="str">
        <f t="shared" ref="T90:T91" si="159">IF(AND(B90=FALSE,C90=""),"",IF(AND(B90=0,C90=0),"",(IF(OR(C90="cp",C90="f",C90="jc",C90="css"),"",IF(OR(C90="",C90="aa",C90="m"),(IF(OR(B90="cp",B90="f",B90="jc",B90="css"),"",B90*24+24-MAX(D89,H89,L89)*24)),C90*24+24-MAX(M89,I89,E89)*24)))))</f>
        <v/>
      </c>
      <c r="U90" s="959" t="str">
        <f>IF(P90=0,"",IF(P90&lt;Paramétrage!$S$12,"PB",IF(AND(Q90&lt;Paramétrage!$S$12,Q90&lt;&gt;0),"PB","")))</f>
        <v/>
      </c>
      <c r="V90" s="959" t="str">
        <f t="shared" ref="V90:V96" si="160">IF(C90="",IF((N90*24)&gt;10,"PB",""),IF((O90*24)&gt;10,"PB",""))</f>
        <v/>
      </c>
      <c r="W90" s="959" t="str">
        <f t="shared" ref="W90:W96" si="161">IF((R90*24)&gt;12,"PB","")</f>
        <v/>
      </c>
      <c r="X90" s="960" t="str">
        <f t="shared" ref="X90:X92" si="162">IF(AND(N90=0,O90=0),"",(IF(OR(C90="aa",C90="cp",C90="f",C90="jc",C90="m",C90="css"),"",IF(C90="",IF(OR(D90-B90&gt;6/24,H90-F90&gt;6/24,L90-J90&gt;6/24),"PB",""),IF(OR(E90-C90&gt;6/24,I90-G90&gt;6/24,M90-K90&gt;6/24),"PB","")))))</f>
        <v/>
      </c>
      <c r="Y90" s="959" t="str">
        <f t="shared" ref="Y90:Y96" si="163">IF(T90="","",IF(T90&lt;11,"PB",""))</f>
        <v/>
      </c>
      <c r="Z90" s="836"/>
      <c r="AA90" s="837"/>
      <c r="AC90" s="934">
        <f>AC84+1</f>
        <v>42941</v>
      </c>
      <c r="AD90" s="961">
        <f>IF(AND(N(AC90)&gt;=Paramétrage!$AU$11,N(AC90)&lt;=Paramétrage!$AU$12),IF(C90="cp",1,0),0)</f>
        <v>0</v>
      </c>
      <c r="AE90" s="962">
        <f t="shared" ref="AE90:AE96" si="164">IF(O90&lt;&gt;"erreur",N90,O90)</f>
        <v>0</v>
      </c>
      <c r="AF90" s="961">
        <f>IF(AND(N(AC90)&gt;=Paramétrage!$AX$11,N(AC90)&lt;=Paramétrage!$AX$12),IF(C90="cp",1,0),0)</f>
        <v>0</v>
      </c>
      <c r="AG90" s="962">
        <f t="shared" ref="AG90:AG96" si="165">O90</f>
        <v>0</v>
      </c>
      <c r="AI90" s="962">
        <f>AE90+AI84</f>
        <v>0</v>
      </c>
      <c r="AJ90" s="962">
        <f>AG90+AJ84</f>
        <v>0</v>
      </c>
      <c r="AM90" s="962">
        <f>IF(AND($B90="cp",$C90="m"),$Z90,0)</f>
        <v>0</v>
      </c>
      <c r="AN90" s="962">
        <f>IF(AND($B90="jc",$C90="m"),$Z90,0)</f>
        <v>0</v>
      </c>
      <c r="AO90" s="962">
        <f>IF(AND($B90="cp",$C90="aa"),$Z90,0)</f>
        <v>0</v>
      </c>
      <c r="AP90" s="962">
        <f>IF(AND($B90="jc",$C90="aa"),$Z90,0)</f>
        <v>0</v>
      </c>
      <c r="AR90" s="917">
        <f>IF(AND(AC90&lt;=$AR$3,B90="CP"),1,0)</f>
        <v>0</v>
      </c>
      <c r="AS90" s="917">
        <f>IF(AND(AC90&lt;=$AR$3,C90="CP"),1,0)</f>
        <v>0</v>
      </c>
    </row>
    <row r="91" spans="1:45" ht="14.25" customHeight="1" x14ac:dyDescent="0.3">
      <c r="A91" s="964" t="s">
        <v>13</v>
      </c>
      <c r="B91" s="15" t="b">
        <f>IF(Paramétrage!$O$43="",FALSE,Paramétrage!$O$43)</f>
        <v>0</v>
      </c>
      <c r="C91" s="263"/>
      <c r="D91" s="15" t="b">
        <f>IF(Paramétrage!$Q$43="",FALSE,Paramétrage!$Q$43)</f>
        <v>0</v>
      </c>
      <c r="E91" s="264"/>
      <c r="F91" s="15" t="b">
        <f>IF(Paramétrage!$R$43="",FALSE,Paramétrage!$R$43)</f>
        <v>0</v>
      </c>
      <c r="G91" s="264"/>
      <c r="H91" s="17" t="b">
        <f>IF(Paramétrage!$T$43="",FALSE,Paramétrage!$T$43)</f>
        <v>0</v>
      </c>
      <c r="I91" s="263"/>
      <c r="J91" s="127" t="b">
        <f>IF(Paramétrage!$U$43="",FALSE,Paramétrage!$U$43)</f>
        <v>0</v>
      </c>
      <c r="K91" s="263"/>
      <c r="L91" s="28" t="b">
        <f>IF(Paramétrage!$W$43="",FALSE,Paramétrage!$W$43)</f>
        <v>0</v>
      </c>
      <c r="M91" s="263"/>
      <c r="N91" s="956">
        <f t="shared" si="154"/>
        <v>0</v>
      </c>
      <c r="O91" s="956">
        <f t="shared" si="155"/>
        <v>0</v>
      </c>
      <c r="P91" s="956">
        <f t="shared" si="156"/>
        <v>0</v>
      </c>
      <c r="Q91" s="956">
        <f t="shared" si="157"/>
        <v>0</v>
      </c>
      <c r="R91" s="957">
        <f t="shared" si="158"/>
        <v>0</v>
      </c>
      <c r="S91" s="262"/>
      <c r="T91" s="958" t="str">
        <f t="shared" si="159"/>
        <v/>
      </c>
      <c r="U91" s="959" t="str">
        <f>IF(P91=0,"",IF(P91&lt;Paramétrage!$S$12,"PB",IF(AND(Q91&lt;Paramétrage!$S$12,Q91&lt;&gt;0),"PB","")))</f>
        <v/>
      </c>
      <c r="V91" s="959" t="str">
        <f t="shared" si="160"/>
        <v/>
      </c>
      <c r="W91" s="959" t="str">
        <f t="shared" si="161"/>
        <v/>
      </c>
      <c r="X91" s="960" t="str">
        <f t="shared" si="162"/>
        <v/>
      </c>
      <c r="Y91" s="959" t="str">
        <f t="shared" si="163"/>
        <v/>
      </c>
      <c r="Z91" s="836"/>
      <c r="AA91" s="837"/>
      <c r="AC91" s="934">
        <f t="shared" ref="AC91:AC96" si="166">AC90+1</f>
        <v>42942</v>
      </c>
      <c r="AD91" s="961">
        <f>IF(AND(N(AC91)&gt;=Paramétrage!$AU$11,N(AC91)&lt;=Paramétrage!$AU$12),IF(C91="cp",1,0),0)</f>
        <v>0</v>
      </c>
      <c r="AE91" s="962">
        <f t="shared" si="164"/>
        <v>0</v>
      </c>
      <c r="AF91" s="961">
        <f>IF(AND(N(AC91)&gt;=Paramétrage!$AX$11,N(AC91)&lt;=Paramétrage!$AX$12),IF(C91="cp",1,0),0)</f>
        <v>0</v>
      </c>
      <c r="AG91" s="962">
        <f t="shared" si="165"/>
        <v>0</v>
      </c>
      <c r="AI91" s="962">
        <f t="shared" ref="AI91:AI96" si="167">AE91+AI90</f>
        <v>0</v>
      </c>
      <c r="AJ91" s="962">
        <f t="shared" ref="AJ91:AJ96" si="168">AG91+AJ90</f>
        <v>0</v>
      </c>
      <c r="AM91" s="962">
        <f t="shared" ref="AM91:AM94" si="169">IF(AND($B91="cp",$C91="m"),$Z91,0)</f>
        <v>0</v>
      </c>
      <c r="AN91" s="962">
        <f t="shared" ref="AN91:AN94" si="170">IF(AND($B91="jc",$C91="m"),$Z91,0)</f>
        <v>0</v>
      </c>
      <c r="AO91" s="962">
        <f t="shared" ref="AO91:AO94" si="171">IF(AND($B91="cp",$C91="aa"),$Z91,0)</f>
        <v>0</v>
      </c>
      <c r="AP91" s="962">
        <f t="shared" ref="AP91:AP94" si="172">IF(AND($B91="jc",$C91="aa"),$Z91,0)</f>
        <v>0</v>
      </c>
      <c r="AR91" s="917">
        <f>IF(AND(AC91&lt;=$AR$3,B91="CP"),1,0)</f>
        <v>0</v>
      </c>
      <c r="AS91" s="917">
        <f>IF(AND(AC91&lt;=$AR$3,C91="CP"),1,0)</f>
        <v>0</v>
      </c>
    </row>
    <row r="92" spans="1:45" ht="14.25" customHeight="1" x14ac:dyDescent="0.3">
      <c r="A92" s="964" t="s">
        <v>14</v>
      </c>
      <c r="B92" s="15" t="b">
        <f>IF(Paramétrage!$O$44="",FALSE,Paramétrage!$O$44)</f>
        <v>0</v>
      </c>
      <c r="C92" s="263"/>
      <c r="D92" s="15" t="b">
        <f>IF(Paramétrage!$Q$44="",FALSE,Paramétrage!$Q$44)</f>
        <v>0</v>
      </c>
      <c r="E92" s="264"/>
      <c r="F92" s="15" t="b">
        <f>IF(Paramétrage!$R$44="",FALSE,Paramétrage!$R$44)</f>
        <v>0</v>
      </c>
      <c r="G92" s="264"/>
      <c r="H92" s="17" t="b">
        <f>IF(Paramétrage!$T$44="",FALSE,Paramétrage!$T$44)</f>
        <v>0</v>
      </c>
      <c r="I92" s="263"/>
      <c r="J92" s="127" t="b">
        <f>IF(Paramétrage!$U$44="",FALSE,Paramétrage!$U$44)</f>
        <v>0</v>
      </c>
      <c r="K92" s="263"/>
      <c r="L92" s="28" t="b">
        <f>IF(Paramétrage!$W$44="",FALSE,Paramétrage!$W$44)</f>
        <v>0</v>
      </c>
      <c r="M92" s="263"/>
      <c r="N92" s="956">
        <f t="shared" si="154"/>
        <v>0</v>
      </c>
      <c r="O92" s="956">
        <f t="shared" si="155"/>
        <v>0</v>
      </c>
      <c r="P92" s="956">
        <f t="shared" si="156"/>
        <v>0</v>
      </c>
      <c r="Q92" s="956">
        <f t="shared" si="157"/>
        <v>0</v>
      </c>
      <c r="R92" s="957">
        <f t="shared" si="158"/>
        <v>0</v>
      </c>
      <c r="S92" s="262"/>
      <c r="T92" s="958" t="str">
        <f>IF(AND(B92=FALSE,C92=""),"",IF(AND(B92=0,C92=0),"",(IF(OR(C92="cp",C92="f",C92="jc",C92="css"),"",IF(OR(C92="",C92="aa",C92="m"),(IF(OR(B92="cp",B92="f",B92="jc",B92="css"),"",B92*24+24-MAX(D91,H91,L91)*24)),C92*24+24-MAX(M91,I91,E91)*24)))))</f>
        <v/>
      </c>
      <c r="U92" s="959" t="str">
        <f>IF(P92=0,"",IF(P92&lt;Paramétrage!$S$12,"PB",IF(AND(Q92&lt;Paramétrage!$S$12,Q92&lt;&gt;0),"PB","")))</f>
        <v/>
      </c>
      <c r="V92" s="959" t="str">
        <f t="shared" si="160"/>
        <v/>
      </c>
      <c r="W92" s="959" t="str">
        <f t="shared" si="161"/>
        <v/>
      </c>
      <c r="X92" s="960" t="str">
        <f t="shared" si="162"/>
        <v/>
      </c>
      <c r="Y92" s="959" t="str">
        <f t="shared" si="163"/>
        <v/>
      </c>
      <c r="Z92" s="836"/>
      <c r="AA92" s="837"/>
      <c r="AC92" s="934">
        <f t="shared" si="166"/>
        <v>42943</v>
      </c>
      <c r="AD92" s="961">
        <f>IF(AND(N(AC92)&gt;=Paramétrage!$AU$11,N(AC92)&lt;=Paramétrage!$AU$12),IF(C92="cp",1,0),0)</f>
        <v>0</v>
      </c>
      <c r="AE92" s="962">
        <f t="shared" si="164"/>
        <v>0</v>
      </c>
      <c r="AF92" s="961">
        <f>IF(AND(N(AC92)&gt;=Paramétrage!$AX$11,N(AC92)&lt;=Paramétrage!$AX$12),IF(C92="cp",1,0),0)</f>
        <v>0</v>
      </c>
      <c r="AG92" s="962">
        <f t="shared" si="165"/>
        <v>0</v>
      </c>
      <c r="AI92" s="962">
        <f t="shared" si="167"/>
        <v>0</v>
      </c>
      <c r="AJ92" s="962">
        <f t="shared" si="168"/>
        <v>0</v>
      </c>
      <c r="AM92" s="962">
        <f t="shared" si="169"/>
        <v>0</v>
      </c>
      <c r="AN92" s="962">
        <f t="shared" si="170"/>
        <v>0</v>
      </c>
      <c r="AO92" s="962">
        <f t="shared" si="171"/>
        <v>0</v>
      </c>
      <c r="AP92" s="962">
        <f t="shared" si="172"/>
        <v>0</v>
      </c>
      <c r="AR92" s="917">
        <f>IF(AND(AC92&lt;=$AR$3,B92="CP"),1,0)</f>
        <v>0</v>
      </c>
      <c r="AS92" s="917">
        <f>IF(AND(AC92&lt;=$AR$3,C92="CP"),1,0)</f>
        <v>0</v>
      </c>
    </row>
    <row r="93" spans="1:45" ht="14.25" customHeight="1" x14ac:dyDescent="0.3">
      <c r="A93" s="964" t="s">
        <v>15</v>
      </c>
      <c r="B93" s="15" t="b">
        <f>IF(Paramétrage!$O$45="",FALSE,Paramétrage!$O$45)</f>
        <v>0</v>
      </c>
      <c r="C93" s="263"/>
      <c r="D93" s="15" t="b">
        <f>IF(Paramétrage!$Q$45="",FALSE,Paramétrage!$Q$45)</f>
        <v>0</v>
      </c>
      <c r="E93" s="264"/>
      <c r="F93" s="15" t="b">
        <f>IF(Paramétrage!$R$45="",FALSE,Paramétrage!$R$45)</f>
        <v>0</v>
      </c>
      <c r="G93" s="264"/>
      <c r="H93" s="17" t="b">
        <f>IF(Paramétrage!$T$45="",FALSE,Paramétrage!$T$45)</f>
        <v>0</v>
      </c>
      <c r="I93" s="263"/>
      <c r="J93" s="127" t="b">
        <f>IF(Paramétrage!$U$45="",FALSE,Paramétrage!$U$45)</f>
        <v>0</v>
      </c>
      <c r="K93" s="263"/>
      <c r="L93" s="28" t="b">
        <f>IF(Paramétrage!$W$45="",FALSE,Paramétrage!$W$45)</f>
        <v>0</v>
      </c>
      <c r="M93" s="263"/>
      <c r="N93" s="956">
        <f>IF(OR(B93="aa",B93="cp",B93="f",B93="jc",B93="m",B93="css"),0,(L93-J93)+(H93-F93)+(D93-B93))</f>
        <v>0</v>
      </c>
      <c r="O93" s="956">
        <f>SUM(AM93:AP93)+IF(OR(C93="m",C93="aa"),N93,IF(C93="css",0,IF(C93="cp",0,IF(C93="jc",0,IF(C93="f",0,E93-C93+I93-G93+M93-K93)))))</f>
        <v>0</v>
      </c>
      <c r="P93" s="956">
        <f t="shared" si="156"/>
        <v>0</v>
      </c>
      <c r="Q93" s="956">
        <f t="shared" si="157"/>
        <v>0</v>
      </c>
      <c r="R93" s="957">
        <f>IF(OR(C93="aa",C93="cp",C93="f",C93="jc",C93="m",C93="css"),0,IF(C93=0,MAX(B93,D93,F93,H93,J93,L93)-MIN(B93,D93,F93,H93,J93,L93),IF(C93&lt;&gt;0,MAX(C93,E93,G93,I93,K93,M93)-MIN(C93,E93,G93,I93,K93,M93))))</f>
        <v>0</v>
      </c>
      <c r="S93" s="262"/>
      <c r="T93" s="958" t="str">
        <f t="shared" ref="T93:T96" si="173">IF(AND(B93=FALSE,C93=""),"",IF(AND(B93=0,C93=0),"",(IF(OR(C93="cp",C93="f",C93="jc",C93="css"),"",IF(OR(C93="",C93="aa",C93="m"),(IF(OR(B93="cp",B93="f",B93="jc",B93="css"),"",B93*24+24-MAX(D92,H92,L92)*24)),C93*24+24-MAX(M92,I92,E92)*24)))))</f>
        <v/>
      </c>
      <c r="U93" s="959" t="str">
        <f>IF(P93=0,"",IF(P93&lt;Paramétrage!$S$12,"PB",IF(AND(Q93&lt;Paramétrage!$S$12,Q93&lt;&gt;0),"PB","")))</f>
        <v/>
      </c>
      <c r="V93" s="959" t="str">
        <f t="shared" si="160"/>
        <v/>
      </c>
      <c r="W93" s="959" t="str">
        <f t="shared" si="161"/>
        <v/>
      </c>
      <c r="X93" s="960" t="str">
        <f>IF(AND(N93=0,O93=0),"",(IF(OR(C93="aa",C93="cp",C93="f",C93="jc",C93="m",C93="css"),"",IF(C93="",IF(OR(D93-B93&gt;6/24,H93-F93&gt;6/24,L93-J93&gt;6/24),"PB",""),IF(OR(E93-C93&gt;6/24,I93-G93&gt;6/24,M93-K93&gt;6/24),"PB","")))))</f>
        <v/>
      </c>
      <c r="Y93" s="959" t="str">
        <f t="shared" si="163"/>
        <v/>
      </c>
      <c r="Z93" s="836"/>
      <c r="AA93" s="837"/>
      <c r="AC93" s="934">
        <f t="shared" si="166"/>
        <v>42944</v>
      </c>
      <c r="AD93" s="961">
        <f>IF(AND(N(AC93)&gt;=Paramétrage!$AU$11,N(AC93)&lt;=Paramétrage!$AU$12),IF(C93="cp",1,0),0)</f>
        <v>0</v>
      </c>
      <c r="AE93" s="962">
        <f t="shared" si="164"/>
        <v>0</v>
      </c>
      <c r="AF93" s="961">
        <f>IF(AND(N(AC93)&gt;=Paramétrage!$AX$11,N(AC93)&lt;=Paramétrage!$AX$12),IF(C93="cp",1,0),0)</f>
        <v>0</v>
      </c>
      <c r="AG93" s="962">
        <f t="shared" si="165"/>
        <v>0</v>
      </c>
      <c r="AI93" s="962">
        <f t="shared" si="167"/>
        <v>0</v>
      </c>
      <c r="AJ93" s="962">
        <f t="shared" si="168"/>
        <v>0</v>
      </c>
      <c r="AM93" s="962">
        <f t="shared" si="169"/>
        <v>0</v>
      </c>
      <c r="AN93" s="962">
        <f t="shared" si="170"/>
        <v>0</v>
      </c>
      <c r="AO93" s="962">
        <f t="shared" si="171"/>
        <v>0</v>
      </c>
      <c r="AP93" s="962">
        <f t="shared" si="172"/>
        <v>0</v>
      </c>
      <c r="AR93" s="917">
        <f>IF(AND(AC93&lt;=$AR$3,B93="CP"),1,0)</f>
        <v>0</v>
      </c>
      <c r="AS93" s="917">
        <f>IF(AND(AC93&lt;=$AR$3,C93="CP"),1,0)</f>
        <v>0</v>
      </c>
    </row>
    <row r="94" spans="1:45" ht="14.25" customHeight="1" x14ac:dyDescent="0.3">
      <c r="A94" s="964" t="s">
        <v>16</v>
      </c>
      <c r="B94" s="15" t="b">
        <f>IF(Paramétrage!$O$46="",FALSE,Paramétrage!$O$46)</f>
        <v>0</v>
      </c>
      <c r="C94" s="263"/>
      <c r="D94" s="15" t="b">
        <f>IF(Paramétrage!$Q$46="",FALSE,Paramétrage!$Q$46)</f>
        <v>0</v>
      </c>
      <c r="E94" s="264"/>
      <c r="F94" s="15" t="b">
        <f>IF(Paramétrage!$R$46="",FALSE,Paramétrage!$R$46)</f>
        <v>0</v>
      </c>
      <c r="G94" s="264"/>
      <c r="H94" s="17" t="b">
        <f>IF(Paramétrage!$T$46="",FALSE,Paramétrage!$T$46)</f>
        <v>0</v>
      </c>
      <c r="I94" s="263"/>
      <c r="J94" s="127" t="b">
        <f>IF(Paramétrage!$U$46="",FALSE,Paramétrage!$U$46)</f>
        <v>0</v>
      </c>
      <c r="K94" s="263"/>
      <c r="L94" s="28" t="b">
        <f>IF(Paramétrage!$W$46="",FALSE,Paramétrage!$W$46)</f>
        <v>0</v>
      </c>
      <c r="M94" s="263"/>
      <c r="N94" s="956">
        <f>IF(OR(B94="aa",B94="cp",B94="f",B94="jc",B94="m",B94="css"),0,(L94-J94)+(H94-F94)+(D94-B94))</f>
        <v>0</v>
      </c>
      <c r="O94" s="956">
        <f>SUM(AM94:AP94)+IF(OR(C94="m",C94="aa"),N94,IF(C94="css",0,IF(C94="cp",0,IF(C94="jc",0,IF(C94="f",0,E94-C94+I94-G94+M94-K94)))))</f>
        <v>0</v>
      </c>
      <c r="P94" s="956">
        <f t="shared" si="156"/>
        <v>0</v>
      </c>
      <c r="Q94" s="956">
        <f t="shared" si="157"/>
        <v>0</v>
      </c>
      <c r="R94" s="957">
        <f>IF(OR(C94="aa",C94="cp",C94="f",C94="jc",C94="m",C94="css"),0,IF(C94=0,MAX(B94,D94,F94,H94,J94,L94)-MIN(B94,D94,F94,H94,J94,L94),IF(C94&lt;&gt;0,MAX(C94,E94,G94,I94,K94,M94)-MIN(C94,E94,G94,I94,K94,M94))))</f>
        <v>0</v>
      </c>
      <c r="S94" s="262"/>
      <c r="T94" s="958" t="str">
        <f t="shared" si="173"/>
        <v/>
      </c>
      <c r="U94" s="959" t="str">
        <f>IF(P94=0,"",IF(P94&lt;Paramétrage!$S$12,"PB",IF(AND(Q94&lt;Paramétrage!$S$12,Q94&lt;&gt;0),"PB","")))</f>
        <v/>
      </c>
      <c r="V94" s="959" t="str">
        <f t="shared" si="160"/>
        <v/>
      </c>
      <c r="W94" s="959" t="str">
        <f t="shared" si="161"/>
        <v/>
      </c>
      <c r="X94" s="960" t="str">
        <f>IF(AND(N94=0,O94=0),"",(IF(OR(C94="aa",C94="cp",C94="f",C94="jc",C94="m",C94="css"),"",IF(C94="",IF(OR(D94-B94&gt;6/24,H94-F94&gt;6/24,L94-J94&gt;6/24),"PB",""),IF(OR(E94-C94&gt;6/24,I94-G94&gt;6/24,M94-K94&gt;6/24),"PB","")))))</f>
        <v/>
      </c>
      <c r="Y94" s="959" t="str">
        <f t="shared" si="163"/>
        <v/>
      </c>
      <c r="Z94" s="836"/>
      <c r="AA94" s="837"/>
      <c r="AC94" s="934">
        <f t="shared" si="166"/>
        <v>42945</v>
      </c>
      <c r="AD94" s="961">
        <f>IF(AND(N(AC94)&gt;=Paramétrage!$AU$11,N(AC94)&lt;=Paramétrage!$AU$12),IF(C94="cp",1,0),0)</f>
        <v>0</v>
      </c>
      <c r="AE94" s="962">
        <f t="shared" si="164"/>
        <v>0</v>
      </c>
      <c r="AF94" s="961">
        <f>IF(AND(N(AC94)&gt;=Paramétrage!$AX$11,N(AC94)&lt;=Paramétrage!$AX$12),IF(C94="cp",1,0),0)</f>
        <v>0</v>
      </c>
      <c r="AG94" s="962">
        <f t="shared" si="165"/>
        <v>0</v>
      </c>
      <c r="AI94" s="962">
        <f t="shared" si="167"/>
        <v>0</v>
      </c>
      <c r="AJ94" s="962">
        <f t="shared" si="168"/>
        <v>0</v>
      </c>
      <c r="AM94" s="962">
        <f t="shared" si="169"/>
        <v>0</v>
      </c>
      <c r="AN94" s="962">
        <f t="shared" si="170"/>
        <v>0</v>
      </c>
      <c r="AO94" s="962">
        <f t="shared" si="171"/>
        <v>0</v>
      </c>
      <c r="AP94" s="962">
        <f t="shared" si="172"/>
        <v>0</v>
      </c>
      <c r="AR94" s="917">
        <f>IF(AND(AC94&lt;=$AR$3,B94="CP"),1,0)</f>
        <v>0</v>
      </c>
      <c r="AS94" s="917">
        <f>IF(AND(AC94&lt;=$AR$3,C94="CP"),1,0)</f>
        <v>0</v>
      </c>
    </row>
    <row r="95" spans="1:45" ht="14.25" customHeight="1" x14ac:dyDescent="0.3">
      <c r="A95" s="964" t="s">
        <v>19</v>
      </c>
      <c r="B95" s="15" t="b">
        <f>IF(Paramétrage!$O$47="",FALSE,Paramétrage!$O$47)</f>
        <v>0</v>
      </c>
      <c r="C95" s="263"/>
      <c r="D95" s="15" t="b">
        <f>IF(Paramétrage!$Q$47="",FALSE,Paramétrage!$Q$47)</f>
        <v>0</v>
      </c>
      <c r="E95" s="264"/>
      <c r="F95" s="15" t="b">
        <f>IF(Paramétrage!$R$47="",FALSE,Paramétrage!$R$47)</f>
        <v>0</v>
      </c>
      <c r="G95" s="264"/>
      <c r="H95" s="17" t="b">
        <f>IF(Paramétrage!$T$47="",FALSE,Paramétrage!$T$47)</f>
        <v>0</v>
      </c>
      <c r="I95" s="263"/>
      <c r="J95" s="127" t="b">
        <f>IF(Paramétrage!$U$47="",FALSE,Paramétrage!$U$47)</f>
        <v>0</v>
      </c>
      <c r="K95" s="263"/>
      <c r="L95" s="28" t="b">
        <f>IF(Paramétrage!$W$47="",FALSE,Paramétrage!$W$47)</f>
        <v>0</v>
      </c>
      <c r="M95" s="263"/>
      <c r="N95" s="956">
        <f>IF(OR(B95="aa",B95="cp",B95="f",B95="jc",B95="m",B95="css"),0,(L95-J95)+(H95-F95)+(D95-B95))</f>
        <v>0</v>
      </c>
      <c r="O95" s="956">
        <f>IF(OR(C95="m",C95="aa"),N95,IF(C95="cp",0,IF(OR(C95="css",C95="jc"),0,IF(C95="f",0,E95-C95+I95-G95+M95-K95))))</f>
        <v>0</v>
      </c>
      <c r="P95" s="956">
        <f t="shared" si="156"/>
        <v>0</v>
      </c>
      <c r="Q95" s="956">
        <f t="shared" si="157"/>
        <v>0</v>
      </c>
      <c r="R95" s="957">
        <f>IF(OR(C95="aa",C95="cp",C95="f",C95="jc",C95="m",C95="css"),0,IF(C95=0,MAX(B95,D95,F95,H95,J95,L95)-MIN(B95,D95,F95,H95,J95,L95),IF(C95&lt;&gt;0,MAX(C95,E95,G95,I95,K95,M95)-MIN(C95,E95,G95,I95,K95,M95))))</f>
        <v>0</v>
      </c>
      <c r="S95" s="262"/>
      <c r="T95" s="958" t="str">
        <f t="shared" si="173"/>
        <v/>
      </c>
      <c r="U95" s="959" t="str">
        <f>IF(P95=0,"",IF(P95&lt;Paramétrage!$S$12,"PB",IF(AND(Q95&lt;Paramétrage!$S$12,Q95&lt;&gt;0),"PB","")))</f>
        <v/>
      </c>
      <c r="V95" s="959" t="str">
        <f t="shared" si="160"/>
        <v/>
      </c>
      <c r="W95" s="959" t="str">
        <f t="shared" si="161"/>
        <v/>
      </c>
      <c r="X95" s="960" t="str">
        <f>IF(AND(N95=0,O95=0),"",(IF(OR(C95="aa",C95="cp",C95="f",C95="jc",C95="m",C95="css"),"",IF(C95="",IF(OR(D95-B95&gt;6/24,H95-F95&gt;6/24,L95-J95&gt;6/24),"PB",""),IF(OR(E95-C95&gt;6/24,I95-G95&gt;6/24,M95-K95&gt;6/24),"PB","")))))</f>
        <v/>
      </c>
      <c r="Y95" s="959" t="str">
        <f t="shared" si="163"/>
        <v/>
      </c>
      <c r="Z95" s="836"/>
      <c r="AA95" s="837"/>
      <c r="AC95" s="934">
        <f t="shared" si="166"/>
        <v>42946</v>
      </c>
      <c r="AD95" s="961">
        <f>IF(AND(N(AC95)&gt;=Paramétrage!$AU$11,N(AC95)&lt;=Paramétrage!$AU$12),IF(C95="cp",1,0),0)</f>
        <v>0</v>
      </c>
      <c r="AE95" s="962">
        <f t="shared" si="164"/>
        <v>0</v>
      </c>
      <c r="AF95" s="961">
        <f>IF(AND(N(AC95)&gt;=Paramétrage!$AX$11,N(AC95)&lt;=Paramétrage!$AX$12),IF(C95="cp",1,0),0)</f>
        <v>0</v>
      </c>
      <c r="AG95" s="962">
        <f t="shared" si="165"/>
        <v>0</v>
      </c>
      <c r="AI95" s="962">
        <f t="shared" si="167"/>
        <v>0</v>
      </c>
      <c r="AJ95" s="962">
        <f t="shared" si="168"/>
        <v>0</v>
      </c>
      <c r="AM95" s="962"/>
      <c r="AN95" s="962"/>
      <c r="AO95" s="962"/>
      <c r="AP95" s="962"/>
    </row>
    <row r="96" spans="1:45" ht="14.25" customHeight="1" thickBot="1" x14ac:dyDescent="0.35">
      <c r="A96" s="966" t="s">
        <v>20</v>
      </c>
      <c r="B96" s="15" t="b">
        <f>IF(Paramétrage!$O$48="",FALSE,Paramétrage!$O$48)</f>
        <v>0</v>
      </c>
      <c r="C96" s="263"/>
      <c r="D96" s="15" t="b">
        <f>IF(Paramétrage!$Q$48="",FALSE,Paramétrage!$Q$48)</f>
        <v>0</v>
      </c>
      <c r="E96" s="264"/>
      <c r="F96" s="15" t="b">
        <f>IF(Paramétrage!$R$48="",FALSE,Paramétrage!$R$48)</f>
        <v>0</v>
      </c>
      <c r="G96" s="264"/>
      <c r="H96" s="17" t="b">
        <f>IF(Paramétrage!$T$48="",FALSE,Paramétrage!$T$48)</f>
        <v>0</v>
      </c>
      <c r="I96" s="263"/>
      <c r="J96" s="127" t="b">
        <f>IF(Paramétrage!$U$48="",FALSE,Paramétrage!$U$48)</f>
        <v>0</v>
      </c>
      <c r="K96" s="263"/>
      <c r="L96" s="28" t="b">
        <f>IF(Paramétrage!$W$48="",FALSE,Paramétrage!$W$48)</f>
        <v>0</v>
      </c>
      <c r="M96" s="263"/>
      <c r="N96" s="956">
        <f>IF(OR(B96="aa",B96="m"),M96,IF(B96="cp",0,IF(B96="jc",0,IF(B96="f",0,(D96-B96)*Paramétrage!$S$13+(H96-F96)*Paramétrage!$S$13+(L96-J96)*Paramétrage!$S$13+(D96-B96+H96-F96+L96-J96)))))</f>
        <v>0</v>
      </c>
      <c r="O96" s="956">
        <f>IF(OR(C96="aa",C96="m"),N96,IF(C96="cp",0,IF(C96="jc",0,IF(C96="f",0,(E96-C96)*Paramétrage!$S$13+(I96-G96)*Paramétrage!$S$13+(M96-K96)*Paramétrage!$S$13+(E96-C96+I96-G96+M96-K96)))))</f>
        <v>0</v>
      </c>
      <c r="P96" s="956">
        <f t="shared" si="156"/>
        <v>0</v>
      </c>
      <c r="Q96" s="956">
        <f t="shared" si="157"/>
        <v>0</v>
      </c>
      <c r="R96" s="957">
        <f t="shared" ref="R96" si="174">IF(OR(C96="aa",C96="cp",C96="f",C96="jc",C96="m",C96=0),MAX(B96,D96,F96,H96,J96,L96)-MIN(B96,D96,F96,H96,J96,L96),IF(C96&lt;&gt;0,MAX(C96,E96,G96,I96,K96,M96)-MIN(C96,E96,G96,I96,K96,M96)))</f>
        <v>0</v>
      </c>
      <c r="S96" s="262"/>
      <c r="T96" s="958" t="str">
        <f t="shared" si="173"/>
        <v/>
      </c>
      <c r="U96" s="959" t="str">
        <f>IF(P96=0,"",IF(P96&lt;Paramétrage!$S$12,"PB",IF(AND(Q96&lt;Paramétrage!$S$12,Q96&lt;&gt;0),"PB","")))</f>
        <v/>
      </c>
      <c r="V96" s="959" t="str">
        <f t="shared" si="160"/>
        <v/>
      </c>
      <c r="W96" s="959" t="str">
        <f t="shared" si="161"/>
        <v/>
      </c>
      <c r="X96" s="960" t="str">
        <f t="shared" ref="X96" si="175">IF(AND(N96=0,O96=0),"",(IF(OR(C96="aa",C96="cp",C96="f",C96="jc",C96="m"),"",IF(C96="",IF(OR(D96-B96&gt;6/24,H96-F96&gt;6/24,L96-J96&gt;6/24),"PB",""),IF(OR(E96-C96&gt;6/24,I96-G96&gt;6/24,M96-K96&gt;6/24),"PB","")))))</f>
        <v/>
      </c>
      <c r="Y96" s="959" t="str">
        <f t="shared" si="163"/>
        <v/>
      </c>
      <c r="Z96" s="836"/>
      <c r="AA96" s="837"/>
      <c r="AC96" s="934">
        <f t="shared" si="166"/>
        <v>42947</v>
      </c>
      <c r="AD96" s="961">
        <f>IF(AND(N(AC96)&gt;=Paramétrage!$AU$11,N(AC96)&lt;=Paramétrage!$AU$12),IF(C96="cp",1,0),0)</f>
        <v>0</v>
      </c>
      <c r="AE96" s="962">
        <f t="shared" si="164"/>
        <v>0</v>
      </c>
      <c r="AF96" s="961">
        <f>IF(AND(N(AC96)&gt;=Paramétrage!$AX$11,N(AC96)&lt;=Paramétrage!$AX$12),IF(C96="cp",1,0),0)</f>
        <v>0</v>
      </c>
      <c r="AG96" s="962">
        <f t="shared" si="165"/>
        <v>0</v>
      </c>
      <c r="AI96" s="962">
        <f t="shared" si="167"/>
        <v>0</v>
      </c>
      <c r="AJ96" s="962">
        <f t="shared" si="168"/>
        <v>0</v>
      </c>
      <c r="AM96" s="962"/>
      <c r="AN96" s="962"/>
      <c r="AO96" s="962"/>
      <c r="AP96" s="962"/>
    </row>
    <row r="97" spans="1:45" s="935" customFormat="1" x14ac:dyDescent="0.25">
      <c r="A97" s="969" t="s">
        <v>53</v>
      </c>
      <c r="B97" s="970"/>
      <c r="C97" s="970"/>
      <c r="D97" s="970"/>
      <c r="E97" s="970"/>
      <c r="F97" s="970"/>
      <c r="G97" s="970"/>
      <c r="H97" s="970"/>
      <c r="I97" s="970"/>
      <c r="J97" s="970"/>
      <c r="K97" s="971"/>
      <c r="L97" s="970"/>
      <c r="M97" s="970"/>
      <c r="N97" s="972">
        <f>SUM(N90:N96)</f>
        <v>0</v>
      </c>
      <c r="O97" s="972">
        <f>SUM(O90:O96)</f>
        <v>0</v>
      </c>
      <c r="P97" s="972">
        <f>SUM(P90:P96)</f>
        <v>0</v>
      </c>
      <c r="Q97" s="972">
        <f>SUM(Q90:Q96)</f>
        <v>0</v>
      </c>
      <c r="R97" s="972"/>
      <c r="S97" s="972"/>
      <c r="T97" s="973"/>
      <c r="U97" s="974"/>
      <c r="V97" s="975" t="str">
        <f>IF((O97*24)&gt;48,"PB","")</f>
        <v/>
      </c>
      <c r="W97" s="974"/>
      <c r="X97" s="974"/>
      <c r="Y97" s="974"/>
      <c r="Z97" s="1053" t="s">
        <v>59</v>
      </c>
      <c r="AA97" s="1055">
        <f>+O97-N97</f>
        <v>0</v>
      </c>
      <c r="AB97" s="967"/>
      <c r="AC97" s="934"/>
      <c r="AE97" s="917"/>
      <c r="AF97" s="917"/>
      <c r="AG97" s="917"/>
      <c r="AH97" s="917"/>
      <c r="AI97" s="917"/>
      <c r="AJ97" s="917"/>
      <c r="AK97" s="917"/>
      <c r="AL97" s="917"/>
      <c r="AM97" s="917"/>
      <c r="AN97" s="917"/>
      <c r="AO97" s="917"/>
      <c r="AP97" s="917"/>
      <c r="AR97" s="917"/>
      <c r="AS97" s="917"/>
    </row>
    <row r="98" spans="1:45" s="935" customFormat="1" x14ac:dyDescent="0.25">
      <c r="A98" s="969"/>
      <c r="B98" s="970"/>
      <c r="C98" s="970"/>
      <c r="D98" s="970"/>
      <c r="E98" s="970"/>
      <c r="F98" s="970"/>
      <c r="G98" s="970"/>
      <c r="H98" s="970"/>
      <c r="I98" s="970"/>
      <c r="J98" s="970"/>
      <c r="K98" s="971"/>
      <c r="L98" s="970"/>
      <c r="M98" s="970"/>
      <c r="N98" s="973"/>
      <c r="O98" s="973"/>
      <c r="P98" s="973"/>
      <c r="Q98" s="973"/>
      <c r="R98" s="973"/>
      <c r="S98" s="981"/>
      <c r="T98" s="973"/>
      <c r="U98" s="974"/>
      <c r="V98" s="978"/>
      <c r="W98" s="974"/>
      <c r="X98" s="974"/>
      <c r="Y98" s="974"/>
      <c r="Z98" s="1053"/>
      <c r="AA98" s="1055"/>
      <c r="AB98" s="967"/>
      <c r="AC98" s="934"/>
      <c r="AE98" s="917"/>
      <c r="AF98" s="917"/>
      <c r="AG98" s="917"/>
      <c r="AH98" s="917"/>
      <c r="AI98" s="917"/>
      <c r="AJ98" s="917"/>
      <c r="AK98" s="917"/>
      <c r="AL98" s="917"/>
      <c r="AM98" s="917"/>
      <c r="AN98" s="917"/>
      <c r="AO98" s="917"/>
      <c r="AP98" s="917"/>
      <c r="AR98" s="917"/>
      <c r="AS98" s="917"/>
    </row>
    <row r="99" spans="1:45" ht="16.5" x14ac:dyDescent="0.3">
      <c r="A99" s="927"/>
      <c r="B99" s="927"/>
      <c r="C99" s="927"/>
      <c r="D99" s="927"/>
      <c r="E99" s="927"/>
      <c r="F99" s="928">
        <f>+'T4'!F87:G87+7</f>
        <v>42948</v>
      </c>
      <c r="G99" s="928"/>
      <c r="H99" s="929" t="s">
        <v>58</v>
      </c>
      <c r="I99" s="928">
        <f>+F99+6</f>
        <v>42954</v>
      </c>
      <c r="J99" s="930"/>
      <c r="K99" s="1089"/>
      <c r="L99" s="927"/>
      <c r="M99" s="927"/>
      <c r="N99" s="927"/>
      <c r="O99" s="927"/>
      <c r="P99" s="927"/>
      <c r="Q99" s="927"/>
      <c r="R99" s="927"/>
      <c r="S99" s="981"/>
      <c r="T99" s="927"/>
      <c r="U99" s="927"/>
      <c r="V99" s="927"/>
      <c r="W99" s="927"/>
      <c r="X99" s="927"/>
      <c r="Y99" s="927"/>
      <c r="Z99" s="1056"/>
      <c r="AA99" s="994"/>
      <c r="AB99" s="933"/>
      <c r="AC99" s="934"/>
      <c r="AD99" s="935"/>
    </row>
    <row r="100" spans="1:45" ht="15.6" customHeight="1" x14ac:dyDescent="0.35">
      <c r="A100" s="937"/>
      <c r="B100" s="938" t="s">
        <v>17</v>
      </c>
      <c r="C100" s="938"/>
      <c r="D100" s="938" t="s">
        <v>18</v>
      </c>
      <c r="E100" s="938"/>
      <c r="F100" s="938" t="s">
        <v>17</v>
      </c>
      <c r="G100" s="938"/>
      <c r="H100" s="938" t="s">
        <v>18</v>
      </c>
      <c r="I100" s="938"/>
      <c r="J100" s="938" t="s">
        <v>17</v>
      </c>
      <c r="K100" s="938"/>
      <c r="L100" s="938" t="s">
        <v>18</v>
      </c>
      <c r="M100" s="938"/>
      <c r="N100" s="939" t="s">
        <v>61</v>
      </c>
      <c r="O100" s="939" t="s">
        <v>62</v>
      </c>
      <c r="P100" s="939" t="s">
        <v>60</v>
      </c>
      <c r="Q100" s="939" t="s">
        <v>63</v>
      </c>
      <c r="R100" s="939" t="s">
        <v>64</v>
      </c>
      <c r="S100" s="940" t="s">
        <v>223</v>
      </c>
      <c r="T100" s="939" t="s">
        <v>70</v>
      </c>
      <c r="U100" s="941" t="s">
        <v>65</v>
      </c>
      <c r="V100" s="942"/>
      <c r="W100" s="942"/>
      <c r="X100" s="942"/>
      <c r="Y100" s="943"/>
      <c r="Z100" s="987" t="s">
        <v>22</v>
      </c>
      <c r="AA100" s="988"/>
      <c r="AC100" s="934"/>
    </row>
    <row r="101" spans="1:45" ht="26.25" thickBot="1" x14ac:dyDescent="0.4">
      <c r="A101" s="937" t="str">
        <f>"S"&amp;WEEKNUM(F99,21)</f>
        <v>S31</v>
      </c>
      <c r="B101" s="949" t="s">
        <v>0</v>
      </c>
      <c r="C101" s="950" t="s">
        <v>1</v>
      </c>
      <c r="D101" s="949" t="s">
        <v>0</v>
      </c>
      <c r="E101" s="950" t="s">
        <v>1</v>
      </c>
      <c r="F101" s="949" t="s">
        <v>0</v>
      </c>
      <c r="G101" s="950" t="s">
        <v>1</v>
      </c>
      <c r="H101" s="949" t="s">
        <v>0</v>
      </c>
      <c r="I101" s="950" t="s">
        <v>1</v>
      </c>
      <c r="J101" s="949" t="s">
        <v>0</v>
      </c>
      <c r="K101" s="950" t="s">
        <v>1</v>
      </c>
      <c r="L101" s="949" t="s">
        <v>0</v>
      </c>
      <c r="M101" s="950" t="s">
        <v>1</v>
      </c>
      <c r="N101" s="951"/>
      <c r="O101" s="951"/>
      <c r="P101" s="951"/>
      <c r="Q101" s="951"/>
      <c r="R101" s="951"/>
      <c r="S101" s="951"/>
      <c r="T101" s="939"/>
      <c r="U101" s="952" t="s">
        <v>66</v>
      </c>
      <c r="V101" s="952" t="s">
        <v>67</v>
      </c>
      <c r="W101" s="952" t="s">
        <v>68</v>
      </c>
      <c r="X101" s="952" t="s">
        <v>137</v>
      </c>
      <c r="Y101" s="952" t="s">
        <v>69</v>
      </c>
      <c r="Z101" s="989"/>
      <c r="AA101" s="990"/>
      <c r="AC101" s="934"/>
      <c r="AM101" s="917" t="s">
        <v>274</v>
      </c>
    </row>
    <row r="102" spans="1:45" ht="16.5" x14ac:dyDescent="0.3">
      <c r="A102" s="955" t="s">
        <v>12</v>
      </c>
      <c r="B102" s="15" t="b">
        <f>IF(Paramétrage!$O$42="",FALSE,Paramétrage!$O$42)</f>
        <v>0</v>
      </c>
      <c r="C102" s="263"/>
      <c r="D102" s="16" t="b">
        <f>IF(Paramétrage!$Q$42="",FALSE,Paramétrage!$Q$42)</f>
        <v>0</v>
      </c>
      <c r="E102" s="264"/>
      <c r="F102" s="15" t="b">
        <f>IF(Paramétrage!$R$42="",FALSE,Paramétrage!$R$42)</f>
        <v>0</v>
      </c>
      <c r="G102" s="264"/>
      <c r="H102" s="17" t="b">
        <f>IF(Paramétrage!$T$42="",FALSE,Paramétrage!$T$42)</f>
        <v>0</v>
      </c>
      <c r="I102" s="263"/>
      <c r="J102" s="127" t="b">
        <f>IF(Paramétrage!$U$42="",FALSE,Paramétrage!$U$42)</f>
        <v>0</v>
      </c>
      <c r="K102" s="263"/>
      <c r="L102" s="28" t="b">
        <f>IF(Paramétrage!$W$42="",FALSE,Paramétrage!$W$42)</f>
        <v>0</v>
      </c>
      <c r="M102" s="263"/>
      <c r="N102" s="956">
        <f t="shared" ref="N102:N104" si="176">IF(OR(B102="aa",B102="cp",B102="f",B102="jc",B102="m",B102="css"),0,(L102-J102)+(H102-F102)+(D102-B102))</f>
        <v>0</v>
      </c>
      <c r="O102" s="956">
        <f t="shared" ref="O102:O104" si="177">SUM(AM102:AP102)+IF(OR(C102="m",C102="aa"),N102,IF(C102="css",0,IF(C102="cp",0,IF(C102="jc",0,IF(C102="f",0,E102-C102+I102-G102+M102-K102)))))</f>
        <v>0</v>
      </c>
      <c r="P102" s="956">
        <f t="shared" ref="P102:P108" si="178">IF(OR(C102="aa",C102="cp",C102="f",C102="jc",C102="m",C102="css"),0,IF(C102="",IF(OR(F102="",F102=FALSE),0,F102-D102),IF(G102="",0,G102-E102)))</f>
        <v>0</v>
      </c>
      <c r="Q102" s="956">
        <f t="shared" ref="Q102:Q108" si="179">IF(P102=0,0,IF(G102="",IF(OR(J102="",J102=FALSE),0,J102-H102),IF(K102="",0,K102-I102)))</f>
        <v>0</v>
      </c>
      <c r="R102" s="957">
        <f t="shared" ref="R102:R104" si="180">IF(OR(C102="aa",C102="cp",C102="f",C102="jc",C102="m",C102="css"),0,IF(C102=0,MAX(B102,D102,F102,H102,J102,L102)-MIN(B102,D102,F102,H102,J102,L102),IF(C102&lt;&gt;0,MAX(C102,E102,G102,I102,K102,M102)-MIN(C102,E102,G102,I102,K102,M102))))</f>
        <v>0</v>
      </c>
      <c r="S102" s="262"/>
      <c r="T102" s="958" t="str">
        <f t="shared" ref="T102:T103" si="181">IF(AND(B102=FALSE,C102=""),"",IF(AND(B102=0,C102=0),"",(IF(OR(C102="cp",C102="f",C102="jc",C102="css"),"",IF(OR(C102="",C102="aa",C102="m"),(IF(OR(B102="cp",B102="f",B102="jc",B102="css"),"",B102*24+24-MAX(D101,H101,L101)*24)),C102*24+24-MAX(M101,I101,E101)*24)))))</f>
        <v/>
      </c>
      <c r="U102" s="959" t="str">
        <f>IF(P102=0,"",IF(P102&lt;Paramétrage!$S$12,"PB",IF(AND(Q102&lt;Paramétrage!$S$12,Q102&lt;&gt;0),"PB","")))</f>
        <v/>
      </c>
      <c r="V102" s="959" t="str">
        <f t="shared" ref="V102:V108" si="182">IF(C102="",IF((N102*24)&gt;10,"PB",""),IF((O102*24)&gt;10,"PB",""))</f>
        <v/>
      </c>
      <c r="W102" s="959" t="str">
        <f t="shared" ref="W102:W108" si="183">IF((R102*24)&gt;12,"PB","")</f>
        <v/>
      </c>
      <c r="X102" s="960" t="str">
        <f t="shared" ref="X102:X104" si="184">IF(AND(N102=0,O102=0),"",(IF(OR(C102="aa",C102="cp",C102="f",C102="jc",C102="m",C102="css"),"",IF(C102="",IF(OR(D102-B102&gt;6/24,H102-F102&gt;6/24,L102-J102&gt;6/24),"PB",""),IF(OR(E102-C102&gt;6/24,I102-G102&gt;6/24,M102-K102&gt;6/24),"PB","")))))</f>
        <v/>
      </c>
      <c r="Y102" s="959" t="str">
        <f t="shared" ref="Y102:Y108" si="185">IF(T102="","",IF(T102&lt;11,"PB",""))</f>
        <v/>
      </c>
      <c r="Z102" s="836"/>
      <c r="AA102" s="837"/>
      <c r="AC102" s="934">
        <f>AC96+1</f>
        <v>42948</v>
      </c>
      <c r="AD102" s="961">
        <f>IF(AND(N(AC102)&gt;=Paramétrage!$AU$11,N(AC102)&lt;=Paramétrage!$AU$12),IF(C102="cp",1,0),0)</f>
        <v>0</v>
      </c>
      <c r="AE102" s="962">
        <f t="shared" ref="AE102:AE108" si="186">IF(O102&lt;&gt;"erreur",N102,O102)</f>
        <v>0</v>
      </c>
      <c r="AF102" s="961">
        <f>IF(AND(N(AC102)&gt;=Paramétrage!$AX$11,N(AC102)&lt;=Paramétrage!$AX$12),IF(C102="cp",1,0),0)</f>
        <v>0</v>
      </c>
      <c r="AG102" s="962">
        <f>O102</f>
        <v>0</v>
      </c>
      <c r="AI102" s="962">
        <f>AE102+AI96</f>
        <v>0</v>
      </c>
      <c r="AJ102" s="962">
        <f>AG102+AJ96</f>
        <v>0</v>
      </c>
      <c r="AM102" s="962">
        <f>IF(AND($B102="cp",$C102="m"),$Z102,0)</f>
        <v>0</v>
      </c>
      <c r="AN102" s="962">
        <f>IF(AND($B102="jc",$C102="m"),$Z102,0)</f>
        <v>0</v>
      </c>
      <c r="AO102" s="962">
        <f>IF(AND($B102="cp",$C102="aa"),$Z102,0)</f>
        <v>0</v>
      </c>
      <c r="AP102" s="962">
        <f>IF(AND($B102="jc",$C102="aa"),$Z102,0)</f>
        <v>0</v>
      </c>
      <c r="AR102" s="917">
        <f>IF(AND(AC102&lt;=$AR$3,B102="CP"),1,0)</f>
        <v>0</v>
      </c>
      <c r="AS102" s="917">
        <f>IF(AND(AC102&lt;=$AR$3,C102="CP"),1,0)</f>
        <v>0</v>
      </c>
    </row>
    <row r="103" spans="1:45" ht="16.5" x14ac:dyDescent="0.3">
      <c r="A103" s="964" t="s">
        <v>13</v>
      </c>
      <c r="B103" s="15" t="b">
        <f>IF(Paramétrage!$O$43="",FALSE,Paramétrage!$O$43)</f>
        <v>0</v>
      </c>
      <c r="C103" s="263"/>
      <c r="D103" s="16" t="b">
        <f>IF(Paramétrage!$Q$43="",FALSE,Paramétrage!$Q$43)</f>
        <v>0</v>
      </c>
      <c r="E103" s="264"/>
      <c r="F103" s="15" t="b">
        <f>IF(Paramétrage!$R$43="",FALSE,Paramétrage!$R$43)</f>
        <v>0</v>
      </c>
      <c r="G103" s="264"/>
      <c r="H103" s="17" t="b">
        <f>IF(Paramétrage!$T$43="",FALSE,Paramétrage!$T$43)</f>
        <v>0</v>
      </c>
      <c r="I103" s="263"/>
      <c r="J103" s="127" t="b">
        <f>IF(Paramétrage!$U$43="",FALSE,Paramétrage!$U$43)</f>
        <v>0</v>
      </c>
      <c r="K103" s="263"/>
      <c r="L103" s="28" t="b">
        <f>IF(Paramétrage!$W$43="",FALSE,Paramétrage!$W$43)</f>
        <v>0</v>
      </c>
      <c r="M103" s="263"/>
      <c r="N103" s="956">
        <f t="shared" si="176"/>
        <v>0</v>
      </c>
      <c r="O103" s="956">
        <f t="shared" si="177"/>
        <v>0</v>
      </c>
      <c r="P103" s="956">
        <f t="shared" si="178"/>
        <v>0</v>
      </c>
      <c r="Q103" s="956">
        <f t="shared" si="179"/>
        <v>0</v>
      </c>
      <c r="R103" s="957">
        <f t="shared" si="180"/>
        <v>0</v>
      </c>
      <c r="S103" s="262"/>
      <c r="T103" s="958" t="str">
        <f t="shared" si="181"/>
        <v/>
      </c>
      <c r="U103" s="959" t="str">
        <f>IF(P103=0,"",IF(P103&lt;Paramétrage!$S$12,"PB",IF(AND(Q103&lt;Paramétrage!$S$12,Q103&lt;&gt;0),"PB","")))</f>
        <v/>
      </c>
      <c r="V103" s="959" t="str">
        <f t="shared" si="182"/>
        <v/>
      </c>
      <c r="W103" s="959" t="str">
        <f t="shared" si="183"/>
        <v/>
      </c>
      <c r="X103" s="960" t="str">
        <f t="shared" si="184"/>
        <v/>
      </c>
      <c r="Y103" s="959" t="str">
        <f t="shared" si="185"/>
        <v/>
      </c>
      <c r="Z103" s="836"/>
      <c r="AA103" s="837"/>
      <c r="AC103" s="934">
        <f t="shared" ref="AC103:AC108" si="187">AC102+1</f>
        <v>42949</v>
      </c>
      <c r="AD103" s="961">
        <f>IF(AND(N(AC103)&gt;=Paramétrage!$AU$11,N(AC103)&lt;=Paramétrage!$AU$12),IF(C103="cp",1,0),0)</f>
        <v>0</v>
      </c>
      <c r="AE103" s="962">
        <f t="shared" si="186"/>
        <v>0</v>
      </c>
      <c r="AF103" s="961">
        <f>IF(AND(N(AC103)&gt;=Paramétrage!$AX$11,N(AC103)&lt;=Paramétrage!$AX$12),IF(C103="cp",1,0),0)</f>
        <v>0</v>
      </c>
      <c r="AG103" s="962">
        <f t="shared" ref="AG103:AG108" si="188">O103</f>
        <v>0</v>
      </c>
      <c r="AI103" s="962">
        <f t="shared" ref="AI103:AI108" si="189">AE103+AI102</f>
        <v>0</v>
      </c>
      <c r="AJ103" s="962">
        <f t="shared" ref="AJ103:AJ108" si="190">AG103+AJ102</f>
        <v>0</v>
      </c>
      <c r="AM103" s="962">
        <f t="shared" ref="AM103:AM106" si="191">IF(AND($B103="cp",$C103="m"),$Z103,0)</f>
        <v>0</v>
      </c>
      <c r="AN103" s="962">
        <f t="shared" ref="AN103:AN106" si="192">IF(AND($B103="jc",$C103="m"),$Z103,0)</f>
        <v>0</v>
      </c>
      <c r="AO103" s="962">
        <f t="shared" ref="AO103:AO106" si="193">IF(AND($B103="cp",$C103="aa"),$Z103,0)</f>
        <v>0</v>
      </c>
      <c r="AP103" s="962">
        <f t="shared" ref="AP103:AP106" si="194">IF(AND($B103="jc",$C103="aa"),$Z103,0)</f>
        <v>0</v>
      </c>
      <c r="AR103" s="917">
        <f>IF(AND(AC103&lt;=$AR$3,B103="CP"),1,0)</f>
        <v>0</v>
      </c>
      <c r="AS103" s="917">
        <f>IF(AND(AC103&lt;=$AR$3,C103="CP"),1,0)</f>
        <v>0</v>
      </c>
    </row>
    <row r="104" spans="1:45" ht="16.5" x14ac:dyDescent="0.3">
      <c r="A104" s="964" t="s">
        <v>14</v>
      </c>
      <c r="B104" s="15" t="b">
        <f>IF(Paramétrage!$O$44="",FALSE,Paramétrage!$O$44)</f>
        <v>0</v>
      </c>
      <c r="C104" s="263"/>
      <c r="D104" s="16" t="b">
        <f>IF(Paramétrage!$Q$44="",FALSE,Paramétrage!$Q$44)</f>
        <v>0</v>
      </c>
      <c r="E104" s="264"/>
      <c r="F104" s="15" t="b">
        <f>IF(Paramétrage!$R$44="",FALSE,Paramétrage!$R$44)</f>
        <v>0</v>
      </c>
      <c r="G104" s="264"/>
      <c r="H104" s="17" t="b">
        <f>IF(Paramétrage!$T$44="",FALSE,Paramétrage!$T$44)</f>
        <v>0</v>
      </c>
      <c r="I104" s="263"/>
      <c r="J104" s="127" t="b">
        <f>IF(Paramétrage!$U$44="",FALSE,Paramétrage!$U$44)</f>
        <v>0</v>
      </c>
      <c r="K104" s="263"/>
      <c r="L104" s="28" t="b">
        <f>IF(Paramétrage!$W$44="",FALSE,Paramétrage!$W$44)</f>
        <v>0</v>
      </c>
      <c r="M104" s="263"/>
      <c r="N104" s="956">
        <f t="shared" si="176"/>
        <v>0</v>
      </c>
      <c r="O104" s="956">
        <f t="shared" si="177"/>
        <v>0</v>
      </c>
      <c r="P104" s="956">
        <f t="shared" si="178"/>
        <v>0</v>
      </c>
      <c r="Q104" s="956">
        <f t="shared" si="179"/>
        <v>0</v>
      </c>
      <c r="R104" s="957">
        <f t="shared" si="180"/>
        <v>0</v>
      </c>
      <c r="S104" s="262"/>
      <c r="T104" s="958" t="str">
        <f>IF(AND(B104=FALSE,C104=""),"",IF(AND(B104=0,C104=0),"",(IF(OR(C104="cp",C104="f",C104="jc",C104="css"),"",IF(OR(C104="",C104="aa",C104="m"),(IF(OR(B104="cp",B104="f",B104="jc",B104="css"),"",B104*24+24-MAX(D103,H103,L103)*24)),C104*24+24-MAX(M103,I103,E103)*24)))))</f>
        <v/>
      </c>
      <c r="U104" s="959" t="str">
        <f>IF(P104=0,"",IF(P104&lt;Paramétrage!$S$12,"PB",IF(AND(Q104&lt;Paramétrage!$S$12,Q104&lt;&gt;0),"PB","")))</f>
        <v/>
      </c>
      <c r="V104" s="959" t="str">
        <f t="shared" si="182"/>
        <v/>
      </c>
      <c r="W104" s="959" t="str">
        <f t="shared" si="183"/>
        <v/>
      </c>
      <c r="X104" s="960" t="str">
        <f t="shared" si="184"/>
        <v/>
      </c>
      <c r="Y104" s="959" t="str">
        <f t="shared" si="185"/>
        <v/>
      </c>
      <c r="Z104" s="836"/>
      <c r="AA104" s="837"/>
      <c r="AC104" s="934">
        <f t="shared" si="187"/>
        <v>42950</v>
      </c>
      <c r="AD104" s="961">
        <f>IF(AND(N(AC104)&gt;=Paramétrage!$AU$11,N(AC104)&lt;=Paramétrage!$AU$12),IF(C104="cp",1,0),0)</f>
        <v>0</v>
      </c>
      <c r="AE104" s="962">
        <f t="shared" si="186"/>
        <v>0</v>
      </c>
      <c r="AF104" s="961">
        <f>IF(AND(N(AC104)&gt;=Paramétrage!$AX$11,N(AC104)&lt;=Paramétrage!$AX$12),IF(C104="cp",1,0),0)</f>
        <v>0</v>
      </c>
      <c r="AG104" s="962">
        <f t="shared" si="188"/>
        <v>0</v>
      </c>
      <c r="AI104" s="962">
        <f t="shared" si="189"/>
        <v>0</v>
      </c>
      <c r="AJ104" s="962">
        <f t="shared" si="190"/>
        <v>0</v>
      </c>
      <c r="AM104" s="962">
        <f t="shared" si="191"/>
        <v>0</v>
      </c>
      <c r="AN104" s="962">
        <f t="shared" si="192"/>
        <v>0</v>
      </c>
      <c r="AO104" s="962">
        <f t="shared" si="193"/>
        <v>0</v>
      </c>
      <c r="AP104" s="962">
        <f t="shared" si="194"/>
        <v>0</v>
      </c>
      <c r="AR104" s="917">
        <f>IF(AND(AC104&lt;=$AR$3,B104="CP"),1,0)</f>
        <v>0</v>
      </c>
      <c r="AS104" s="917">
        <f>IF(AND(AC104&lt;=$AR$3,C104="CP"),1,0)</f>
        <v>0</v>
      </c>
    </row>
    <row r="105" spans="1:45" ht="16.5" x14ac:dyDescent="0.3">
      <c r="A105" s="964" t="s">
        <v>15</v>
      </c>
      <c r="B105" s="15" t="b">
        <f>IF(Paramétrage!$O$45="",FALSE,Paramétrage!$O$45)</f>
        <v>0</v>
      </c>
      <c r="C105" s="263"/>
      <c r="D105" s="16" t="b">
        <f>IF(Paramétrage!$Q$45="",FALSE,Paramétrage!$Q$45)</f>
        <v>0</v>
      </c>
      <c r="E105" s="264"/>
      <c r="F105" s="15" t="b">
        <f>IF(Paramétrage!$R$45="",FALSE,Paramétrage!$R$45)</f>
        <v>0</v>
      </c>
      <c r="G105" s="264"/>
      <c r="H105" s="17" t="b">
        <f>IF(Paramétrage!$T$45="",FALSE,Paramétrage!$T$45)</f>
        <v>0</v>
      </c>
      <c r="I105" s="263"/>
      <c r="J105" s="127" t="b">
        <f>IF(Paramétrage!$U$45="",FALSE,Paramétrage!$U$45)</f>
        <v>0</v>
      </c>
      <c r="K105" s="263"/>
      <c r="L105" s="28" t="b">
        <f>IF(Paramétrage!$W$45="",FALSE,Paramétrage!$W$45)</f>
        <v>0</v>
      </c>
      <c r="M105" s="263"/>
      <c r="N105" s="956">
        <f>IF(OR(B105="aa",B105="cp",B105="f",B105="jc",B105="m",B105="css"),0,(L105-J105)+(H105-F105)+(D105-B105))</f>
        <v>0</v>
      </c>
      <c r="O105" s="956">
        <f>SUM(AM105:AP105)+IF(OR(C105="m",C105="aa"),N105,IF(C105="css",0,IF(C105="cp",0,IF(C105="jc",0,IF(C105="f",0,E105-C105+I105-G105+M105-K105)))))</f>
        <v>0</v>
      </c>
      <c r="P105" s="956">
        <f t="shared" si="178"/>
        <v>0</v>
      </c>
      <c r="Q105" s="956">
        <f t="shared" si="179"/>
        <v>0</v>
      </c>
      <c r="R105" s="957">
        <f>IF(OR(C105="aa",C105="cp",C105="f",C105="jc",C105="m",C105="css"),0,IF(C105=0,MAX(B105,D105,F105,H105,J105,L105)-MIN(B105,D105,F105,H105,J105,L105),IF(C105&lt;&gt;0,MAX(C105,E105,G105,I105,K105,M105)-MIN(C105,E105,G105,I105,K105,M105))))</f>
        <v>0</v>
      </c>
      <c r="S105" s="262"/>
      <c r="T105" s="958" t="str">
        <f t="shared" ref="T105:T108" si="195">IF(AND(B105=FALSE,C105=""),"",IF(AND(B105=0,C105=0),"",(IF(OR(C105="cp",C105="f",C105="jc",C105="css"),"",IF(OR(C105="",C105="aa",C105="m"),(IF(OR(B105="cp",B105="f",B105="jc",B105="css"),"",B105*24+24-MAX(D104,H104,L104)*24)),C105*24+24-MAX(M104,I104,E104)*24)))))</f>
        <v/>
      </c>
      <c r="U105" s="959" t="str">
        <f>IF(P105=0,"",IF(P105&lt;Paramétrage!$S$12,"PB",IF(AND(Q105&lt;Paramétrage!$S$12,Q105&lt;&gt;0),"PB","")))</f>
        <v/>
      </c>
      <c r="V105" s="959" t="str">
        <f t="shared" si="182"/>
        <v/>
      </c>
      <c r="W105" s="959" t="str">
        <f t="shared" si="183"/>
        <v/>
      </c>
      <c r="X105" s="960" t="str">
        <f>IF(AND(N105=0,O105=0),"",(IF(OR(C105="aa",C105="cp",C105="f",C105="jc",C105="m",C105="css"),"",IF(C105="",IF(OR(D105-B105&gt;6/24,H105-F105&gt;6/24,L105-J105&gt;6/24),"PB",""),IF(OR(E105-C105&gt;6/24,I105-G105&gt;6/24,M105-K105&gt;6/24),"PB","")))))</f>
        <v/>
      </c>
      <c r="Y105" s="959" t="str">
        <f t="shared" si="185"/>
        <v/>
      </c>
      <c r="Z105" s="836"/>
      <c r="AA105" s="837"/>
      <c r="AC105" s="934">
        <f t="shared" si="187"/>
        <v>42951</v>
      </c>
      <c r="AD105" s="961">
        <f>IF(AND(N(AC105)&gt;=Paramétrage!$AU$11,N(AC105)&lt;=Paramétrage!$AU$12),IF(C105="cp",1,0),0)</f>
        <v>0</v>
      </c>
      <c r="AE105" s="962">
        <f t="shared" si="186"/>
        <v>0</v>
      </c>
      <c r="AF105" s="961">
        <f>IF(AND(N(AC105)&gt;=Paramétrage!$AX$11,N(AC105)&lt;=Paramétrage!$AX$12),IF(C105="cp",1,0),0)</f>
        <v>0</v>
      </c>
      <c r="AG105" s="962">
        <f t="shared" si="188"/>
        <v>0</v>
      </c>
      <c r="AI105" s="962">
        <f t="shared" si="189"/>
        <v>0</v>
      </c>
      <c r="AJ105" s="962">
        <f t="shared" si="190"/>
        <v>0</v>
      </c>
      <c r="AM105" s="962">
        <f t="shared" si="191"/>
        <v>0</v>
      </c>
      <c r="AN105" s="962">
        <f t="shared" si="192"/>
        <v>0</v>
      </c>
      <c r="AO105" s="962">
        <f t="shared" si="193"/>
        <v>0</v>
      </c>
      <c r="AP105" s="962">
        <f t="shared" si="194"/>
        <v>0</v>
      </c>
      <c r="AR105" s="917">
        <f>IF(AND(AC105&lt;=$AR$3,B105="CP"),1,0)</f>
        <v>0</v>
      </c>
      <c r="AS105" s="917">
        <f>IF(AND(AC105&lt;=$AR$3,C105="CP"),1,0)</f>
        <v>0</v>
      </c>
    </row>
    <row r="106" spans="1:45" ht="16.5" x14ac:dyDescent="0.3">
      <c r="A106" s="964" t="s">
        <v>16</v>
      </c>
      <c r="B106" s="15" t="b">
        <f>IF(Paramétrage!$O$46="",FALSE,Paramétrage!$O$46)</f>
        <v>0</v>
      </c>
      <c r="C106" s="263"/>
      <c r="D106" s="16" t="b">
        <f>IF(Paramétrage!$Q$46="",FALSE,Paramétrage!$Q$46)</f>
        <v>0</v>
      </c>
      <c r="E106" s="264"/>
      <c r="F106" s="15" t="b">
        <f>IF(Paramétrage!$R$46="",FALSE,Paramétrage!$R$46)</f>
        <v>0</v>
      </c>
      <c r="G106" s="264"/>
      <c r="H106" s="17" t="b">
        <f>IF(Paramétrage!$T$46="",FALSE,Paramétrage!$T$46)</f>
        <v>0</v>
      </c>
      <c r="I106" s="263"/>
      <c r="J106" s="127" t="b">
        <f>IF(Paramétrage!$U$46="",FALSE,Paramétrage!$U$46)</f>
        <v>0</v>
      </c>
      <c r="K106" s="263"/>
      <c r="L106" s="28" t="b">
        <f>IF(Paramétrage!$W$46="",FALSE,Paramétrage!$W$46)</f>
        <v>0</v>
      </c>
      <c r="M106" s="263"/>
      <c r="N106" s="956">
        <f>IF(OR(B106="aa",B106="cp",B106="f",B106="jc",B106="m",B106="css"),0,(L106-J106)+(H106-F106)+(D106-B106))</f>
        <v>0</v>
      </c>
      <c r="O106" s="956">
        <f>SUM(AM106:AP106)+IF(OR(C106="m",C106="aa"),N106,IF(C106="css",0,IF(C106="cp",0,IF(C106="jc",0,IF(C106="f",0,E106-C106+I106-G106+M106-K106)))))</f>
        <v>0</v>
      </c>
      <c r="P106" s="956">
        <f t="shared" si="178"/>
        <v>0</v>
      </c>
      <c r="Q106" s="956">
        <f t="shared" si="179"/>
        <v>0</v>
      </c>
      <c r="R106" s="957">
        <f>IF(OR(C106="aa",C106="cp",C106="f",C106="jc",C106="m",C106="css"),0,IF(C106=0,MAX(B106,D106,F106,H106,J106,L106)-MIN(B106,D106,F106,H106,J106,L106),IF(C106&lt;&gt;0,MAX(C106,E106,G106,I106,K106,M106)-MIN(C106,E106,G106,I106,K106,M106))))</f>
        <v>0</v>
      </c>
      <c r="S106" s="262"/>
      <c r="T106" s="958" t="str">
        <f t="shared" si="195"/>
        <v/>
      </c>
      <c r="U106" s="959" t="str">
        <f>IF(P106=0,"",IF(P106&lt;Paramétrage!$S$12,"PB",IF(AND(Q106&lt;Paramétrage!$S$12,Q106&lt;&gt;0),"PB","")))</f>
        <v/>
      </c>
      <c r="V106" s="959" t="str">
        <f t="shared" si="182"/>
        <v/>
      </c>
      <c r="W106" s="959" t="str">
        <f t="shared" si="183"/>
        <v/>
      </c>
      <c r="X106" s="960" t="str">
        <f>IF(AND(N106=0,O106=0),"",(IF(OR(C106="aa",C106="cp",C106="f",C106="jc",C106="m",C106="css"),"",IF(C106="",IF(OR(D106-B106&gt;6/24,H106-F106&gt;6/24,L106-J106&gt;6/24),"PB",""),IF(OR(E106-C106&gt;6/24,I106-G106&gt;6/24,M106-K106&gt;6/24),"PB","")))))</f>
        <v/>
      </c>
      <c r="Y106" s="959" t="str">
        <f t="shared" si="185"/>
        <v/>
      </c>
      <c r="Z106" s="836"/>
      <c r="AA106" s="837"/>
      <c r="AC106" s="934">
        <f t="shared" si="187"/>
        <v>42952</v>
      </c>
      <c r="AD106" s="961">
        <f>IF(AND(N(AC106)&gt;=Paramétrage!$AU$11,N(AC106)&lt;=Paramétrage!$AU$12),IF(C106="cp",1,0),0)</f>
        <v>0</v>
      </c>
      <c r="AE106" s="962">
        <f t="shared" si="186"/>
        <v>0</v>
      </c>
      <c r="AF106" s="961">
        <f>IF(AND(N(AC106)&gt;=Paramétrage!$AX$11,N(AC106)&lt;=Paramétrage!$AX$12),IF(C106="cp",1,0),0)</f>
        <v>0</v>
      </c>
      <c r="AG106" s="962">
        <f t="shared" si="188"/>
        <v>0</v>
      </c>
      <c r="AI106" s="962">
        <f t="shared" si="189"/>
        <v>0</v>
      </c>
      <c r="AJ106" s="962">
        <f t="shared" si="190"/>
        <v>0</v>
      </c>
      <c r="AM106" s="962">
        <f t="shared" si="191"/>
        <v>0</v>
      </c>
      <c r="AN106" s="962">
        <f t="shared" si="192"/>
        <v>0</v>
      </c>
      <c r="AO106" s="962">
        <f t="shared" si="193"/>
        <v>0</v>
      </c>
      <c r="AP106" s="962">
        <f t="shared" si="194"/>
        <v>0</v>
      </c>
      <c r="AR106" s="917">
        <f>IF(AND(AC106&lt;=$AR$3,B106="CP"),1,0)</f>
        <v>0</v>
      </c>
      <c r="AS106" s="917">
        <f>IF(AND(AC106&lt;=$AR$3,C106="CP"),1,0)</f>
        <v>0</v>
      </c>
    </row>
    <row r="107" spans="1:45" ht="16.5" x14ac:dyDescent="0.3">
      <c r="A107" s="964" t="s">
        <v>19</v>
      </c>
      <c r="B107" s="15" t="b">
        <f>IF(Paramétrage!$O$47="",FALSE,Paramétrage!$O$47)</f>
        <v>0</v>
      </c>
      <c r="C107" s="263"/>
      <c r="D107" s="16" t="b">
        <f>IF(Paramétrage!$Q$47="",FALSE,Paramétrage!$Q$47)</f>
        <v>0</v>
      </c>
      <c r="E107" s="264"/>
      <c r="F107" s="15" t="b">
        <f>IF(Paramétrage!$R$47="",FALSE,Paramétrage!$R$47)</f>
        <v>0</v>
      </c>
      <c r="G107" s="264"/>
      <c r="H107" s="17" t="b">
        <f>IF(Paramétrage!$T$47="",FALSE,Paramétrage!$T$47)</f>
        <v>0</v>
      </c>
      <c r="I107" s="263"/>
      <c r="J107" s="127" t="b">
        <f>IF(Paramétrage!$U$47="",FALSE,Paramétrage!$U$47)</f>
        <v>0</v>
      </c>
      <c r="K107" s="263"/>
      <c r="L107" s="28" t="b">
        <f>IF(Paramétrage!$W$47="",FALSE,Paramétrage!$W$47)</f>
        <v>0</v>
      </c>
      <c r="M107" s="263"/>
      <c r="N107" s="956">
        <f>IF(OR(B107="aa",B107="cp",B107="f",B107="jc",B107="m",B107="css"),0,(L107-J107)+(H107-F107)+(D107-B107))</f>
        <v>0</v>
      </c>
      <c r="O107" s="956">
        <f>IF(OR(C107="m",C107="aa"),N107,IF(C107="cp",0,IF(OR(C107="css",C107="jc"),0,IF(C107="f",0,E107-C107+I107-G107+M107-K107))))</f>
        <v>0</v>
      </c>
      <c r="P107" s="956">
        <f t="shared" si="178"/>
        <v>0</v>
      </c>
      <c r="Q107" s="956">
        <f t="shared" si="179"/>
        <v>0</v>
      </c>
      <c r="R107" s="957">
        <f>IF(OR(C107="aa",C107="cp",C107="f",C107="jc",C107="m",C107="css"),0,IF(C107=0,MAX(B107,D107,F107,H107,J107,L107)-MIN(B107,D107,F107,H107,J107,L107),IF(C107&lt;&gt;0,MAX(C107,E107,G107,I107,K107,M107)-MIN(C107,E107,G107,I107,K107,M107))))</f>
        <v>0</v>
      </c>
      <c r="S107" s="262"/>
      <c r="T107" s="958" t="str">
        <f t="shared" si="195"/>
        <v/>
      </c>
      <c r="U107" s="959" t="str">
        <f>IF(P107=0,"",IF(P107&lt;Paramétrage!$S$12,"PB",IF(AND(Q107&lt;Paramétrage!$S$12,Q107&lt;&gt;0),"PB","")))</f>
        <v/>
      </c>
      <c r="V107" s="959" t="str">
        <f t="shared" si="182"/>
        <v/>
      </c>
      <c r="W107" s="959" t="str">
        <f t="shared" si="183"/>
        <v/>
      </c>
      <c r="X107" s="960" t="str">
        <f>IF(AND(N107=0,O107=0),"",(IF(OR(C107="aa",C107="cp",C107="f",C107="jc",C107="m",C107="css"),"",IF(C107="",IF(OR(D107-B107&gt;6/24,H107-F107&gt;6/24,L107-J107&gt;6/24),"PB",""),IF(OR(E107-C107&gt;6/24,I107-G107&gt;6/24,M107-K107&gt;6/24),"PB","")))))</f>
        <v/>
      </c>
      <c r="Y107" s="959" t="str">
        <f t="shared" si="185"/>
        <v/>
      </c>
      <c r="Z107" s="836"/>
      <c r="AA107" s="837"/>
      <c r="AC107" s="934">
        <f t="shared" si="187"/>
        <v>42953</v>
      </c>
      <c r="AD107" s="961">
        <f>IF(AND(N(AC107)&gt;=Paramétrage!$AU$11,N(AC107)&lt;=Paramétrage!$AU$12),IF(C107="cp",1,0),0)</f>
        <v>0</v>
      </c>
      <c r="AE107" s="962">
        <f t="shared" si="186"/>
        <v>0</v>
      </c>
      <c r="AF107" s="961">
        <f>IF(AND(N(AC107)&gt;=Paramétrage!$AX$11,N(AC107)&lt;=Paramétrage!$AX$12),IF(C107="cp",1,0),0)</f>
        <v>0</v>
      </c>
      <c r="AG107" s="962">
        <f t="shared" si="188"/>
        <v>0</v>
      </c>
      <c r="AI107" s="962">
        <f t="shared" si="189"/>
        <v>0</v>
      </c>
      <c r="AJ107" s="962">
        <f t="shared" si="190"/>
        <v>0</v>
      </c>
      <c r="AM107" s="962"/>
      <c r="AN107" s="962"/>
      <c r="AO107" s="962"/>
      <c r="AP107" s="962"/>
    </row>
    <row r="108" spans="1:45" ht="17.25" thickBot="1" x14ac:dyDescent="0.35">
      <c r="A108" s="966" t="s">
        <v>20</v>
      </c>
      <c r="B108" s="15" t="b">
        <f>IF(Paramétrage!$O$48="",FALSE,Paramétrage!$O$48)</f>
        <v>0</v>
      </c>
      <c r="C108" s="263"/>
      <c r="D108" s="16" t="b">
        <f>IF(Paramétrage!$Q$48="",FALSE,Paramétrage!$Q$48)</f>
        <v>0</v>
      </c>
      <c r="E108" s="264"/>
      <c r="F108" s="15" t="b">
        <f>IF(Paramétrage!$R$48="",FALSE,Paramétrage!$R$48)</f>
        <v>0</v>
      </c>
      <c r="G108" s="264"/>
      <c r="H108" s="17" t="b">
        <f>IF(Paramétrage!$T$48="",FALSE,Paramétrage!$T$48)</f>
        <v>0</v>
      </c>
      <c r="I108" s="263"/>
      <c r="J108" s="127" t="b">
        <f>IF(Paramétrage!$U$48="",FALSE,Paramétrage!$U$48)</f>
        <v>0</v>
      </c>
      <c r="K108" s="263"/>
      <c r="L108" s="28" t="b">
        <f>IF(Paramétrage!$W$48="",FALSE,Paramétrage!$W$48)</f>
        <v>0</v>
      </c>
      <c r="M108" s="263"/>
      <c r="N108" s="956">
        <f>IF(OR(B108="aa",B108="m"),M108,IF(B108="cp",0,IF(B108="jc",0,IF(B108="f",0,(D108-B108)*Paramétrage!$S$13+(H108-F108)*Paramétrage!$S$13+(L108-J108)*Paramétrage!$S$13+(D108-B108+H108-F108+L108-J108)))))</f>
        <v>0</v>
      </c>
      <c r="O108" s="956">
        <f>IF(OR(C108="aa",C108="m"),N108,IF(C108="cp",0,IF(C108="jc",0,IF(C108="f",0,(E108-C108)*Paramétrage!$S$13+(I108-G108)*Paramétrage!$S$13+(M108-K108)*Paramétrage!$S$13+(E108-C108+I108-G108+M108-K108)))))</f>
        <v>0</v>
      </c>
      <c r="P108" s="956">
        <f t="shared" si="178"/>
        <v>0</v>
      </c>
      <c r="Q108" s="956">
        <f t="shared" si="179"/>
        <v>0</v>
      </c>
      <c r="R108" s="957">
        <f t="shared" ref="R108" si="196">IF(OR(C108="aa",C108="cp",C108="f",C108="jc",C108="m",C108=0),MAX(B108,D108,F108,H108,J108,L108)-MIN(B108,D108,F108,H108,J108,L108),IF(C108&lt;&gt;0,MAX(C108,E108,G108,I108,K108,M108)-MIN(C108,E108,G108,I108,K108,M108)))</f>
        <v>0</v>
      </c>
      <c r="S108" s="262"/>
      <c r="T108" s="958" t="str">
        <f t="shared" si="195"/>
        <v/>
      </c>
      <c r="U108" s="959" t="str">
        <f>IF(P108=0,"",IF(P108&lt;Paramétrage!$S$12,"PB",IF(AND(Q108&lt;Paramétrage!$S$12,Q108&lt;&gt;0),"PB","")))</f>
        <v/>
      </c>
      <c r="V108" s="959" t="str">
        <f t="shared" si="182"/>
        <v/>
      </c>
      <c r="W108" s="959" t="str">
        <f t="shared" si="183"/>
        <v/>
      </c>
      <c r="X108" s="960" t="str">
        <f t="shared" ref="X108" si="197">IF(AND(N108=0,O108=0),"",(IF(OR(C108="aa",C108="cp",C108="f",C108="jc",C108="m"),"",IF(C108="",IF(OR(D108-B108&gt;6/24,H108-F108&gt;6/24,L108-J108&gt;6/24),"PB",""),IF(OR(E108-C108&gt;6/24,I108-G108&gt;6/24,M108-K108&gt;6/24),"PB","")))))</f>
        <v/>
      </c>
      <c r="Y108" s="959" t="str">
        <f t="shared" si="185"/>
        <v/>
      </c>
      <c r="Z108" s="836"/>
      <c r="AA108" s="837"/>
      <c r="AB108" s="967"/>
      <c r="AC108" s="934">
        <f t="shared" si="187"/>
        <v>42954</v>
      </c>
      <c r="AD108" s="961">
        <f>IF(AND(N(AC108)&gt;=Paramétrage!$AU$11,N(AC108)&lt;=Paramétrage!$AU$12),IF(C108="cp",1,0),0)</f>
        <v>0</v>
      </c>
      <c r="AE108" s="962">
        <f t="shared" si="186"/>
        <v>0</v>
      </c>
      <c r="AF108" s="961">
        <f>IF(AND(N(AC108)&gt;=Paramétrage!$AX$11,N(AC108)&lt;=Paramétrage!$AX$12),IF(C108="cp",1,0),0)</f>
        <v>0</v>
      </c>
      <c r="AG108" s="962">
        <f t="shared" si="188"/>
        <v>0</v>
      </c>
      <c r="AI108" s="962">
        <f t="shared" si="189"/>
        <v>0</v>
      </c>
      <c r="AJ108" s="962">
        <f t="shared" si="190"/>
        <v>0</v>
      </c>
      <c r="AM108" s="962"/>
      <c r="AN108" s="962"/>
      <c r="AO108" s="962"/>
      <c r="AP108" s="962"/>
    </row>
    <row r="109" spans="1:45" s="935" customFormat="1" x14ac:dyDescent="0.25">
      <c r="A109" s="969" t="s">
        <v>54</v>
      </c>
      <c r="B109" s="970"/>
      <c r="C109" s="970"/>
      <c r="D109" s="970"/>
      <c r="E109" s="970"/>
      <c r="F109" s="970"/>
      <c r="G109" s="970"/>
      <c r="H109" s="970"/>
      <c r="I109" s="970"/>
      <c r="J109" s="970"/>
      <c r="K109" s="971"/>
      <c r="L109" s="970"/>
      <c r="M109" s="970"/>
      <c r="N109" s="972">
        <f>SUM(N102:N108)</f>
        <v>0</v>
      </c>
      <c r="O109" s="972">
        <f>SUM(O102:O108)</f>
        <v>0</v>
      </c>
      <c r="P109" s="972">
        <f>SUM(P102:P108)</f>
        <v>0</v>
      </c>
      <c r="Q109" s="972">
        <f>SUM(Q102:Q108)</f>
        <v>0</v>
      </c>
      <c r="R109" s="972"/>
      <c r="S109" s="972"/>
      <c r="T109" s="973"/>
      <c r="U109" s="974"/>
      <c r="V109" s="975" t="str">
        <f>IF((O109*24)&gt;48,"PB","")</f>
        <v/>
      </c>
      <c r="W109" s="974"/>
      <c r="X109" s="974"/>
      <c r="Y109" s="974"/>
      <c r="Z109" s="1053" t="s">
        <v>59</v>
      </c>
      <c r="AA109" s="1055">
        <f>+O109-N109</f>
        <v>0</v>
      </c>
      <c r="AC109" s="934"/>
      <c r="AE109" s="917"/>
      <c r="AF109" s="917"/>
      <c r="AG109" s="917"/>
      <c r="AH109" s="917"/>
      <c r="AI109" s="917"/>
      <c r="AJ109" s="917"/>
      <c r="AK109" s="917"/>
      <c r="AL109" s="917"/>
      <c r="AM109" s="917"/>
      <c r="AN109" s="917"/>
      <c r="AO109" s="917"/>
      <c r="AP109" s="917"/>
      <c r="AR109" s="917"/>
      <c r="AS109" s="917"/>
    </row>
    <row r="110" spans="1:45" s="935" customFormat="1" x14ac:dyDescent="0.25">
      <c r="A110" s="969"/>
      <c r="B110" s="969"/>
      <c r="C110" s="969"/>
      <c r="D110" s="969"/>
      <c r="E110" s="969"/>
      <c r="F110" s="1052"/>
      <c r="G110" s="1052"/>
      <c r="H110" s="1052"/>
      <c r="I110" s="1052"/>
      <c r="J110" s="1052"/>
      <c r="K110" s="969"/>
      <c r="L110" s="969"/>
      <c r="M110" s="969"/>
      <c r="N110" s="972"/>
      <c r="O110" s="972"/>
      <c r="P110" s="981"/>
      <c r="Q110" s="981"/>
      <c r="R110" s="981"/>
      <c r="S110" s="981"/>
      <c r="T110" s="980"/>
      <c r="U110" s="980"/>
      <c r="V110" s="980"/>
      <c r="W110" s="980"/>
      <c r="X110" s="980"/>
      <c r="Y110" s="980"/>
      <c r="Z110" s="1053"/>
      <c r="AA110" s="1055"/>
      <c r="AC110" s="934"/>
      <c r="AE110" s="917"/>
      <c r="AF110" s="917"/>
      <c r="AG110" s="917"/>
      <c r="AH110" s="917"/>
      <c r="AI110" s="917"/>
      <c r="AJ110" s="917"/>
      <c r="AK110" s="917"/>
      <c r="AL110" s="917"/>
      <c r="AM110" s="917"/>
      <c r="AN110" s="917"/>
      <c r="AO110" s="917"/>
      <c r="AP110" s="917"/>
      <c r="AR110" s="917"/>
      <c r="AS110" s="917"/>
    </row>
    <row r="111" spans="1:45" s="935" customFormat="1" ht="16.5" x14ac:dyDescent="0.3">
      <c r="A111" s="969"/>
      <c r="B111" s="969"/>
      <c r="C111" s="969"/>
      <c r="D111" s="969"/>
      <c r="E111" s="969"/>
      <c r="F111" s="928">
        <f>+F99+7</f>
        <v>42955</v>
      </c>
      <c r="G111" s="928"/>
      <c r="H111" s="929" t="s">
        <v>58</v>
      </c>
      <c r="I111" s="928">
        <f>+F111+6</f>
        <v>42961</v>
      </c>
      <c r="J111" s="930"/>
      <c r="K111" s="969"/>
      <c r="L111" s="969"/>
      <c r="M111" s="969"/>
      <c r="N111" s="973"/>
      <c r="O111" s="979"/>
      <c r="P111" s="980"/>
      <c r="Q111" s="980"/>
      <c r="R111" s="980"/>
      <c r="S111" s="981"/>
      <c r="T111" s="980"/>
      <c r="U111" s="980"/>
      <c r="V111" s="980"/>
      <c r="W111" s="980"/>
      <c r="X111" s="980"/>
      <c r="Y111" s="980"/>
      <c r="Z111" s="1053"/>
      <c r="AA111" s="1054"/>
      <c r="AB111" s="917"/>
      <c r="AC111" s="934"/>
      <c r="AE111" s="917"/>
      <c r="AF111" s="917"/>
      <c r="AG111" s="917"/>
      <c r="AH111" s="917"/>
      <c r="AI111" s="917"/>
      <c r="AJ111" s="917"/>
      <c r="AK111" s="917"/>
      <c r="AL111" s="917"/>
      <c r="AM111" s="917"/>
      <c r="AN111" s="917"/>
      <c r="AO111" s="917"/>
      <c r="AP111" s="917"/>
      <c r="AR111" s="917"/>
      <c r="AS111" s="917"/>
    </row>
    <row r="112" spans="1:45" ht="14.45" customHeight="1" x14ac:dyDescent="0.25">
      <c r="A112" s="984"/>
      <c r="B112" s="938" t="s">
        <v>17</v>
      </c>
      <c r="C112" s="938"/>
      <c r="D112" s="938" t="s">
        <v>18</v>
      </c>
      <c r="E112" s="938"/>
      <c r="F112" s="938" t="s">
        <v>17</v>
      </c>
      <c r="G112" s="938"/>
      <c r="H112" s="938" t="s">
        <v>18</v>
      </c>
      <c r="I112" s="938"/>
      <c r="J112" s="938" t="s">
        <v>17</v>
      </c>
      <c r="K112" s="938"/>
      <c r="L112" s="938" t="s">
        <v>18</v>
      </c>
      <c r="M112" s="938"/>
      <c r="N112" s="939" t="s">
        <v>61</v>
      </c>
      <c r="O112" s="939" t="s">
        <v>62</v>
      </c>
      <c r="P112" s="939" t="s">
        <v>60</v>
      </c>
      <c r="Q112" s="939" t="s">
        <v>63</v>
      </c>
      <c r="R112" s="939" t="s">
        <v>64</v>
      </c>
      <c r="S112" s="940" t="s">
        <v>223</v>
      </c>
      <c r="T112" s="939" t="s">
        <v>70</v>
      </c>
      <c r="U112" s="941" t="s">
        <v>65</v>
      </c>
      <c r="V112" s="942"/>
      <c r="W112" s="942"/>
      <c r="X112" s="942"/>
      <c r="Y112" s="943"/>
      <c r="Z112" s="944" t="s">
        <v>22</v>
      </c>
      <c r="AA112" s="944"/>
      <c r="AC112" s="934"/>
    </row>
    <row r="113" spans="1:45" ht="26.25" thickBot="1" x14ac:dyDescent="0.4">
      <c r="A113" s="937" t="str">
        <f>"S"&amp;WEEKNUM(F111,21)</f>
        <v>S32</v>
      </c>
      <c r="B113" s="949" t="s">
        <v>0</v>
      </c>
      <c r="C113" s="950" t="s">
        <v>1</v>
      </c>
      <c r="D113" s="949" t="s">
        <v>0</v>
      </c>
      <c r="E113" s="950" t="s">
        <v>1</v>
      </c>
      <c r="F113" s="949" t="s">
        <v>0</v>
      </c>
      <c r="G113" s="950" t="s">
        <v>1</v>
      </c>
      <c r="H113" s="949" t="s">
        <v>0</v>
      </c>
      <c r="I113" s="950" t="s">
        <v>1</v>
      </c>
      <c r="J113" s="949" t="s">
        <v>0</v>
      </c>
      <c r="K113" s="950" t="s">
        <v>1</v>
      </c>
      <c r="L113" s="949" t="s">
        <v>0</v>
      </c>
      <c r="M113" s="950" t="s">
        <v>1</v>
      </c>
      <c r="N113" s="951"/>
      <c r="O113" s="951"/>
      <c r="P113" s="951"/>
      <c r="Q113" s="951"/>
      <c r="R113" s="951"/>
      <c r="S113" s="951"/>
      <c r="T113" s="939"/>
      <c r="U113" s="952" t="s">
        <v>66</v>
      </c>
      <c r="V113" s="952" t="s">
        <v>67</v>
      </c>
      <c r="W113" s="952" t="s">
        <v>68</v>
      </c>
      <c r="X113" s="952" t="s">
        <v>137</v>
      </c>
      <c r="Y113" s="952" t="s">
        <v>69</v>
      </c>
      <c r="Z113" s="944"/>
      <c r="AA113" s="944"/>
      <c r="AC113" s="934"/>
      <c r="AM113" s="917" t="s">
        <v>274</v>
      </c>
    </row>
    <row r="114" spans="1:45" ht="16.5" x14ac:dyDescent="0.3">
      <c r="A114" s="955" t="s">
        <v>12</v>
      </c>
      <c r="B114" s="15" t="b">
        <f>IF(Paramétrage!$O$42="",FALSE,Paramétrage!$O$42)</f>
        <v>0</v>
      </c>
      <c r="C114" s="263"/>
      <c r="D114" s="16" t="b">
        <f>IF(Paramétrage!$Q$42="",FALSE,Paramétrage!$Q$42)</f>
        <v>0</v>
      </c>
      <c r="E114" s="264"/>
      <c r="F114" s="15" t="b">
        <f>IF(Paramétrage!$R$42="",FALSE,Paramétrage!$R$42)</f>
        <v>0</v>
      </c>
      <c r="G114" s="264"/>
      <c r="H114" s="17" t="b">
        <f>IF(Paramétrage!$T$42="",FALSE,Paramétrage!$T$42)</f>
        <v>0</v>
      </c>
      <c r="I114" s="263"/>
      <c r="J114" s="127" t="b">
        <f>IF(Paramétrage!$U$42="",FALSE,Paramétrage!$U$42)</f>
        <v>0</v>
      </c>
      <c r="K114" s="263"/>
      <c r="L114" s="28" t="b">
        <f>IF(Paramétrage!$W$42="",FALSE,Paramétrage!$W$42)</f>
        <v>0</v>
      </c>
      <c r="M114" s="263"/>
      <c r="N114" s="956">
        <f t="shared" ref="N114:N116" si="198">IF(OR(B114="aa",B114="cp",B114="f",B114="jc",B114="m",B114="css"),0,(L114-J114)+(H114-F114)+(D114-B114))</f>
        <v>0</v>
      </c>
      <c r="O114" s="956">
        <f t="shared" ref="O114:O116" si="199">SUM(AM114:AP114)+IF(OR(C114="m",C114="aa"),N114,IF(C114="css",0,IF(C114="cp",0,IF(C114="jc",0,IF(C114="f",0,E114-C114+I114-G114+M114-K114)))))</f>
        <v>0</v>
      </c>
      <c r="P114" s="956">
        <f>IF(OR(C114="aa",C114="cp",C114="f",C114="jc",C114="m",C114="css"),0,IF(C114="",IF(OR(F114="",F114=FALSE),0,F114-D114),IF(G114="",0,G114-E114)))</f>
        <v>0</v>
      </c>
      <c r="Q114" s="956">
        <f>IF(P114=0,0,IF(G114="",IF(OR(J114="",J114=FALSE),0,J114-H114),IF(K114="",0,K114-I114)))</f>
        <v>0</v>
      </c>
      <c r="R114" s="957">
        <f t="shared" ref="R114:R116" si="200">IF(OR(C114="aa",C114="cp",C114="f",C114="jc",C114="m",C114="css"),0,IF(C114=0,MAX(B114,D114,F114,H114,J114,L114)-MIN(B114,D114,F114,H114,J114,L114),IF(C114&lt;&gt;0,MAX(C114,E114,G114,I114,K114,M114)-MIN(C114,E114,G114,I114,K114,M114))))</f>
        <v>0</v>
      </c>
      <c r="S114" s="262"/>
      <c r="T114" s="958" t="str">
        <f t="shared" ref="T114:T115" si="201">IF(AND(B114=FALSE,C114=""),"",IF(AND(B114=0,C114=0),"",(IF(OR(C114="cp",C114="f",C114="jc",C114="css"),"",IF(OR(C114="",C114="aa",C114="m"),(IF(OR(B114="cp",B114="f",B114="jc",B114="css"),"",B114*24+24-MAX(D113,H113,L113)*24)),C114*24+24-MAX(M113,I113,E113)*24)))))</f>
        <v/>
      </c>
      <c r="U114" s="959" t="str">
        <f>IF(P114=0,"",IF(P114&lt;Paramétrage!$S$12,"PB",IF(AND(Q114&lt;Paramétrage!$S$12,Q114&lt;&gt;0),"PB","")))</f>
        <v/>
      </c>
      <c r="V114" s="959" t="str">
        <f t="shared" ref="V114:V120" si="202">IF(C114="",IF((N114*24)&gt;10,"PB",""),IF((O114*24)&gt;10,"PB",""))</f>
        <v/>
      </c>
      <c r="W114" s="959" t="str">
        <f t="shared" ref="W114:W120" si="203">IF((R114*24)&gt;12,"PB","")</f>
        <v/>
      </c>
      <c r="X114" s="960" t="str">
        <f t="shared" ref="X114:X116" si="204">IF(AND(N114=0,O114=0),"",(IF(OR(C114="aa",C114="cp",C114="f",C114="jc",C114="m",C114="css"),"",IF(C114="",IF(OR(D114-B114&gt;6/24,H114-F114&gt;6/24,L114-J114&gt;6/24),"PB",""),IF(OR(E114-C114&gt;6/24,I114-G114&gt;6/24,M114-K114&gt;6/24),"PB","")))))</f>
        <v/>
      </c>
      <c r="Y114" s="959" t="str">
        <f t="shared" ref="Y114:Y120" si="205">IF(T114="","",IF(T114&lt;11,"PB",""))</f>
        <v/>
      </c>
      <c r="Z114" s="836"/>
      <c r="AA114" s="837"/>
      <c r="AC114" s="934">
        <f>AC108+1</f>
        <v>42955</v>
      </c>
      <c r="AD114" s="961">
        <f>IF(AND(N(AC114)&gt;=Paramétrage!$AU$11,N(AC114)&lt;=Paramétrage!$AU$12),IF(C114="cp",1,0),0)</f>
        <v>0</v>
      </c>
      <c r="AE114" s="962">
        <f t="shared" ref="AE114:AE120" si="206">IF(O114&lt;&gt;"erreur",N114,O114)</f>
        <v>0</v>
      </c>
      <c r="AF114" s="961">
        <f>IF(AND(N(AC114)&gt;=Paramétrage!$AX$11,N(AC114)&lt;=Paramétrage!$AX$12),IF(C114="cp",1,0),0)</f>
        <v>0</v>
      </c>
      <c r="AG114" s="962">
        <f t="shared" ref="AG114:AG120" si="207">O114</f>
        <v>0</v>
      </c>
      <c r="AI114" s="962">
        <f>AE114+AI108</f>
        <v>0</v>
      </c>
      <c r="AJ114" s="962">
        <f>AG114+AJ108</f>
        <v>0</v>
      </c>
      <c r="AM114" s="962">
        <f>IF(AND($B114="cp",$C114="m"),$Z114,0)</f>
        <v>0</v>
      </c>
      <c r="AN114" s="962">
        <f>IF(AND($B114="jc",$C114="m"),$Z114,0)</f>
        <v>0</v>
      </c>
      <c r="AO114" s="962">
        <f>IF(AND($B114="cp",$C114="aa"),$Z114,0)</f>
        <v>0</v>
      </c>
      <c r="AP114" s="962">
        <f>IF(AND($B114="jc",$C114="aa"),$Z114,0)</f>
        <v>0</v>
      </c>
      <c r="AR114" s="917">
        <f>IF(AND(AC114&lt;=$AR$3,B114="CP"),1,0)</f>
        <v>0</v>
      </c>
      <c r="AS114" s="917">
        <f>IF(AND(AC114&lt;=$AR$3,C114="CP"),1,0)</f>
        <v>0</v>
      </c>
    </row>
    <row r="115" spans="1:45" ht="16.5" x14ac:dyDescent="0.3">
      <c r="A115" s="964" t="s">
        <v>13</v>
      </c>
      <c r="B115" s="15" t="b">
        <f>IF(Paramétrage!$O$43="",FALSE,Paramétrage!$O$43)</f>
        <v>0</v>
      </c>
      <c r="C115" s="263"/>
      <c r="D115" s="16" t="b">
        <f>IF(Paramétrage!$Q$43="",FALSE,Paramétrage!$Q$43)</f>
        <v>0</v>
      </c>
      <c r="E115" s="264"/>
      <c r="F115" s="15" t="b">
        <f>IF(Paramétrage!$R$43="",FALSE,Paramétrage!$R$43)</f>
        <v>0</v>
      </c>
      <c r="G115" s="264"/>
      <c r="H115" s="17" t="b">
        <f>IF(Paramétrage!$T$43="",FALSE,Paramétrage!$T$43)</f>
        <v>0</v>
      </c>
      <c r="I115" s="263"/>
      <c r="J115" s="127" t="b">
        <f>IF(Paramétrage!$U$43="",FALSE,Paramétrage!$U$43)</f>
        <v>0</v>
      </c>
      <c r="K115" s="263"/>
      <c r="L115" s="28" t="b">
        <f>IF(Paramétrage!$W$43="",FALSE,Paramétrage!$W$43)</f>
        <v>0</v>
      </c>
      <c r="M115" s="263"/>
      <c r="N115" s="956">
        <f t="shared" si="198"/>
        <v>0</v>
      </c>
      <c r="O115" s="956">
        <f t="shared" si="199"/>
        <v>0</v>
      </c>
      <c r="P115" s="956">
        <f>IF(OR(C115="aa",C115="cp",C115="f",C115="jc",C115="m",C115="css"),0,IF(C115="",IF(OR(F115="",F115=FALSE),0,F115-D115),IF(G115="",0,G115-E115)))</f>
        <v>0</v>
      </c>
      <c r="Q115" s="956">
        <f>IF(P115=0,0,IF(G115="",IF(OR(J115="",J115=FALSE),0,J115-H115),IF(K115="",0,K115-I115)))</f>
        <v>0</v>
      </c>
      <c r="R115" s="957">
        <f t="shared" si="200"/>
        <v>0</v>
      </c>
      <c r="S115" s="262"/>
      <c r="T115" s="958" t="str">
        <f t="shared" si="201"/>
        <v/>
      </c>
      <c r="U115" s="959" t="str">
        <f>IF(P115=0,"",IF(P115&lt;Paramétrage!$S$12,"PB",IF(AND(Q115&lt;Paramétrage!$S$12,Q115&lt;&gt;0),"PB","")))</f>
        <v/>
      </c>
      <c r="V115" s="959" t="str">
        <f t="shared" si="202"/>
        <v/>
      </c>
      <c r="W115" s="959" t="str">
        <f t="shared" si="203"/>
        <v/>
      </c>
      <c r="X115" s="960" t="str">
        <f t="shared" si="204"/>
        <v/>
      </c>
      <c r="Y115" s="959" t="str">
        <f t="shared" si="205"/>
        <v/>
      </c>
      <c r="Z115" s="836"/>
      <c r="AA115" s="837"/>
      <c r="AC115" s="934">
        <f t="shared" ref="AC115:AC120" si="208">AC114+1</f>
        <v>42956</v>
      </c>
      <c r="AD115" s="961">
        <f>IF(AND(N(AC115)&gt;=Paramétrage!$AU$11,N(AC115)&lt;=Paramétrage!$AU$12),IF(C115="cp",1,0),0)</f>
        <v>0</v>
      </c>
      <c r="AE115" s="962">
        <f t="shared" si="206"/>
        <v>0</v>
      </c>
      <c r="AF115" s="961">
        <f>IF(AND(N(AC115)&gt;=Paramétrage!$AX$11,N(AC115)&lt;=Paramétrage!$AX$12),IF(C115="cp",1,0),0)</f>
        <v>0</v>
      </c>
      <c r="AG115" s="962">
        <f t="shared" si="207"/>
        <v>0</v>
      </c>
      <c r="AI115" s="962">
        <f t="shared" ref="AI115:AI120" si="209">AE115+AI114</f>
        <v>0</v>
      </c>
      <c r="AJ115" s="962">
        <f t="shared" ref="AJ115:AJ120" si="210">AG115+AJ114</f>
        <v>0</v>
      </c>
      <c r="AM115" s="962">
        <f t="shared" ref="AM115:AM118" si="211">IF(AND($B115="cp",$C115="m"),$Z115,0)</f>
        <v>0</v>
      </c>
      <c r="AN115" s="962">
        <f t="shared" ref="AN115:AN118" si="212">IF(AND($B115="jc",$C115="m"),$Z115,0)</f>
        <v>0</v>
      </c>
      <c r="AO115" s="962">
        <f t="shared" ref="AO115:AO118" si="213">IF(AND($B115="cp",$C115="aa"),$Z115,0)</f>
        <v>0</v>
      </c>
      <c r="AP115" s="962">
        <f t="shared" ref="AP115:AP118" si="214">IF(AND($B115="jc",$C115="aa"),$Z115,0)</f>
        <v>0</v>
      </c>
      <c r="AR115" s="917">
        <f>IF(AND(AC115&lt;=$AR$3,B115="CP"),1,0)</f>
        <v>0</v>
      </c>
      <c r="AS115" s="917">
        <f>IF(AND(AC115&lt;=$AR$3,C115="CP"),1,0)</f>
        <v>0</v>
      </c>
    </row>
    <row r="116" spans="1:45" ht="16.5" x14ac:dyDescent="0.3">
      <c r="A116" s="964" t="s">
        <v>14</v>
      </c>
      <c r="B116" s="15" t="b">
        <f>IF(Paramétrage!$O$44="",FALSE,Paramétrage!$O$44)</f>
        <v>0</v>
      </c>
      <c r="C116" s="263"/>
      <c r="D116" s="16" t="b">
        <f>IF(Paramétrage!$Q$44="",FALSE,Paramétrage!$Q$44)</f>
        <v>0</v>
      </c>
      <c r="E116" s="264"/>
      <c r="F116" s="15" t="b">
        <f>IF(Paramétrage!$R$44="",FALSE,Paramétrage!$R$44)</f>
        <v>0</v>
      </c>
      <c r="G116" s="264"/>
      <c r="H116" s="17" t="b">
        <f>IF(Paramétrage!$T$44="",FALSE,Paramétrage!$T$44)</f>
        <v>0</v>
      </c>
      <c r="I116" s="263"/>
      <c r="J116" s="127" t="b">
        <f>IF(Paramétrage!$U$44="",FALSE,Paramétrage!$U$44)</f>
        <v>0</v>
      </c>
      <c r="K116" s="263"/>
      <c r="L116" s="28" t="b">
        <f>IF(Paramétrage!$W$44="",FALSE,Paramétrage!$W$44)</f>
        <v>0</v>
      </c>
      <c r="M116" s="263"/>
      <c r="N116" s="956">
        <f t="shared" si="198"/>
        <v>0</v>
      </c>
      <c r="O116" s="956">
        <f t="shared" si="199"/>
        <v>0</v>
      </c>
      <c r="P116" s="956">
        <f t="shared" ref="P116:P120" si="215">IF(OR(C116="aa",C116="cp",C116="f",C116="jc",C116="m",C116="css"),0,IF(C116="",IF(OR(F116="",F116=FALSE),0,F116-D116),IF(G116="",0,G116-E116)))</f>
        <v>0</v>
      </c>
      <c r="Q116" s="956">
        <f t="shared" ref="Q116:Q120" si="216">IF(P116=0,0,IF(G116="",IF(OR(J116="",J116=FALSE),0,J116-H116),IF(K116="",0,K116-I116)))</f>
        <v>0</v>
      </c>
      <c r="R116" s="957">
        <f t="shared" si="200"/>
        <v>0</v>
      </c>
      <c r="S116" s="262"/>
      <c r="T116" s="958" t="str">
        <f>IF(AND(B116=FALSE,C116=""),"",IF(AND(B116=0,C116=0),"",(IF(OR(C116="cp",C116="f",C116="jc",C116="css"),"",IF(OR(C116="",C116="aa",C116="m"),(IF(OR(B116="cp",B116="f",B116="jc",B116="css"),"",B116*24+24-MAX(D115,H115,L115)*24)),C116*24+24-MAX(M115,I115,E115)*24)))))</f>
        <v/>
      </c>
      <c r="U116" s="959" t="str">
        <f>IF(P116=0,"",IF(P116&lt;Paramétrage!$S$12,"PB",IF(AND(Q116&lt;Paramétrage!$S$12,Q116&lt;&gt;0),"PB","")))</f>
        <v/>
      </c>
      <c r="V116" s="959" t="str">
        <f t="shared" si="202"/>
        <v/>
      </c>
      <c r="W116" s="959" t="str">
        <f t="shared" si="203"/>
        <v/>
      </c>
      <c r="X116" s="960" t="str">
        <f t="shared" si="204"/>
        <v/>
      </c>
      <c r="Y116" s="959" t="str">
        <f t="shared" si="205"/>
        <v/>
      </c>
      <c r="Z116" s="836"/>
      <c r="AA116" s="837"/>
      <c r="AC116" s="934">
        <f t="shared" si="208"/>
        <v>42957</v>
      </c>
      <c r="AD116" s="961">
        <f>IF(AND(N(AC116)&gt;=Paramétrage!$AU$11,N(AC116)&lt;=Paramétrage!$AU$12),IF(C116="cp",1,0),0)</f>
        <v>0</v>
      </c>
      <c r="AE116" s="962">
        <f t="shared" si="206"/>
        <v>0</v>
      </c>
      <c r="AF116" s="961">
        <f>IF(AND(N(AC116)&gt;=Paramétrage!$AX$11,N(AC116)&lt;=Paramétrage!$AX$12),IF(C116="cp",1,0),0)</f>
        <v>0</v>
      </c>
      <c r="AG116" s="962">
        <f t="shared" si="207"/>
        <v>0</v>
      </c>
      <c r="AI116" s="962">
        <f t="shared" si="209"/>
        <v>0</v>
      </c>
      <c r="AJ116" s="962">
        <f t="shared" si="210"/>
        <v>0</v>
      </c>
      <c r="AM116" s="962">
        <f t="shared" si="211"/>
        <v>0</v>
      </c>
      <c r="AN116" s="962">
        <f t="shared" si="212"/>
        <v>0</v>
      </c>
      <c r="AO116" s="962">
        <f t="shared" si="213"/>
        <v>0</v>
      </c>
      <c r="AP116" s="962">
        <f t="shared" si="214"/>
        <v>0</v>
      </c>
      <c r="AR116" s="917">
        <f>IF(AND(AC116&lt;=$AR$3,B116="CP"),1,0)</f>
        <v>0</v>
      </c>
      <c r="AS116" s="917">
        <f>IF(AND(AC116&lt;=$AR$3,C116="CP"),1,0)</f>
        <v>0</v>
      </c>
    </row>
    <row r="117" spans="1:45" ht="16.5" x14ac:dyDescent="0.3">
      <c r="A117" s="964" t="s">
        <v>15</v>
      </c>
      <c r="B117" s="15" t="b">
        <f>IF(Paramétrage!$O$45="",FALSE,Paramétrage!$O$45)</f>
        <v>0</v>
      </c>
      <c r="C117" s="263"/>
      <c r="D117" s="16" t="b">
        <f>IF(Paramétrage!$Q$45="",FALSE,Paramétrage!$Q$45)</f>
        <v>0</v>
      </c>
      <c r="E117" s="264"/>
      <c r="F117" s="15" t="b">
        <f>IF(Paramétrage!$R$45="",FALSE,Paramétrage!$R$45)</f>
        <v>0</v>
      </c>
      <c r="G117" s="264"/>
      <c r="H117" s="17" t="b">
        <f>IF(Paramétrage!$T$45="",FALSE,Paramétrage!$T$45)</f>
        <v>0</v>
      </c>
      <c r="I117" s="263"/>
      <c r="J117" s="127" t="b">
        <f>IF(Paramétrage!$U$45="",FALSE,Paramétrage!$U$45)</f>
        <v>0</v>
      </c>
      <c r="K117" s="263"/>
      <c r="L117" s="28" t="b">
        <f>IF(Paramétrage!$W$45="",FALSE,Paramétrage!$W$45)</f>
        <v>0</v>
      </c>
      <c r="M117" s="263"/>
      <c r="N117" s="956">
        <f>IF(OR(B117="aa",B117="cp",B117="f",B117="jc",B117="m",B117="css"),0,(L117-J117)+(H117-F117)+(D117-B117))</f>
        <v>0</v>
      </c>
      <c r="O117" s="956">
        <f>SUM(AM117:AP117)+IF(OR(C117="m",C117="aa"),N117,IF(C117="css",0,IF(C117="cp",0,IF(C117="jc",0,IF(C117="f",0,E117-C117+I117-G117+M117-K117)))))</f>
        <v>0</v>
      </c>
      <c r="P117" s="956">
        <f t="shared" si="215"/>
        <v>0</v>
      </c>
      <c r="Q117" s="956">
        <f t="shared" si="216"/>
        <v>0</v>
      </c>
      <c r="R117" s="957">
        <f>IF(OR(C117="aa",C117="cp",C117="f",C117="jc",C117="m",C117="css"),0,IF(C117=0,MAX(B117,D117,F117,H117,J117,L117)-MIN(B117,D117,F117,H117,J117,L117),IF(C117&lt;&gt;0,MAX(C117,E117,G117,I117,K117,M117)-MIN(C117,E117,G117,I117,K117,M117))))</f>
        <v>0</v>
      </c>
      <c r="S117" s="262"/>
      <c r="T117" s="958" t="str">
        <f t="shared" ref="T117:T120" si="217">IF(AND(B117=FALSE,C117=""),"",IF(AND(B117=0,C117=0),"",(IF(OR(C117="cp",C117="f",C117="jc",C117="css"),"",IF(OR(C117="",C117="aa",C117="m"),(IF(OR(B117="cp",B117="f",B117="jc",B117="css"),"",B117*24+24-MAX(D116,H116,L116)*24)),C117*24+24-MAX(M116,I116,E116)*24)))))</f>
        <v/>
      </c>
      <c r="U117" s="959" t="str">
        <f>IF(P117=0,"",IF(P117&lt;Paramétrage!$S$12,"PB",IF(AND(Q117&lt;Paramétrage!$S$12,Q117&lt;&gt;0),"PB","")))</f>
        <v/>
      </c>
      <c r="V117" s="959" t="str">
        <f t="shared" si="202"/>
        <v/>
      </c>
      <c r="W117" s="959" t="str">
        <f t="shared" si="203"/>
        <v/>
      </c>
      <c r="X117" s="960" t="str">
        <f>IF(AND(N117=0,O117=0),"",(IF(OR(C117="aa",C117="cp",C117="f",C117="jc",C117="m",C117="css"),"",IF(C117="",IF(OR(D117-B117&gt;6/24,H117-F117&gt;6/24,L117-J117&gt;6/24),"PB",""),IF(OR(E117-C117&gt;6/24,I117-G117&gt;6/24,M117-K117&gt;6/24),"PB","")))))</f>
        <v/>
      </c>
      <c r="Y117" s="959" t="str">
        <f t="shared" si="205"/>
        <v/>
      </c>
      <c r="Z117" s="836"/>
      <c r="AA117" s="837"/>
      <c r="AC117" s="934">
        <f t="shared" si="208"/>
        <v>42958</v>
      </c>
      <c r="AD117" s="961">
        <f>IF(AND(N(AC117)&gt;=Paramétrage!$AU$11,N(AC117)&lt;=Paramétrage!$AU$12),IF(C117="cp",1,0),0)</f>
        <v>0</v>
      </c>
      <c r="AE117" s="962">
        <f t="shared" si="206"/>
        <v>0</v>
      </c>
      <c r="AF117" s="961">
        <f>IF(AND(N(AC117)&gt;=Paramétrage!$AX$11,N(AC117)&lt;=Paramétrage!$AX$12),IF(C117="cp",1,0),0)</f>
        <v>0</v>
      </c>
      <c r="AG117" s="962">
        <f t="shared" si="207"/>
        <v>0</v>
      </c>
      <c r="AI117" s="962">
        <f t="shared" si="209"/>
        <v>0</v>
      </c>
      <c r="AJ117" s="962">
        <f t="shared" si="210"/>
        <v>0</v>
      </c>
      <c r="AM117" s="962">
        <f t="shared" si="211"/>
        <v>0</v>
      </c>
      <c r="AN117" s="962">
        <f t="shared" si="212"/>
        <v>0</v>
      </c>
      <c r="AO117" s="962">
        <f t="shared" si="213"/>
        <v>0</v>
      </c>
      <c r="AP117" s="962">
        <f t="shared" si="214"/>
        <v>0</v>
      </c>
      <c r="AR117" s="917">
        <f>IF(AND(AC117&lt;=$AR$3,B117="CP"),1,0)</f>
        <v>0</v>
      </c>
      <c r="AS117" s="917">
        <f>IF(AND(AC117&lt;=$AR$3,C117="CP"),1,0)</f>
        <v>0</v>
      </c>
    </row>
    <row r="118" spans="1:45" ht="16.5" x14ac:dyDescent="0.3">
      <c r="A118" s="964" t="s">
        <v>16</v>
      </c>
      <c r="B118" s="15" t="b">
        <f>IF(Paramétrage!$O$46="",FALSE,Paramétrage!$O$46)</f>
        <v>0</v>
      </c>
      <c r="C118" s="263"/>
      <c r="D118" s="16" t="b">
        <f>IF(Paramétrage!$Q$46="",FALSE,Paramétrage!$Q$46)</f>
        <v>0</v>
      </c>
      <c r="E118" s="264"/>
      <c r="F118" s="15" t="b">
        <f>IF(Paramétrage!$R$46="",FALSE,Paramétrage!$R$46)</f>
        <v>0</v>
      </c>
      <c r="G118" s="264"/>
      <c r="H118" s="17" t="b">
        <f>IF(Paramétrage!$T$46="",FALSE,Paramétrage!$T$46)</f>
        <v>0</v>
      </c>
      <c r="I118" s="263"/>
      <c r="J118" s="127" t="b">
        <f>IF(Paramétrage!$U$46="",FALSE,Paramétrage!$U$46)</f>
        <v>0</v>
      </c>
      <c r="K118" s="263"/>
      <c r="L118" s="28" t="b">
        <f>IF(Paramétrage!$W$46="",FALSE,Paramétrage!$W$46)</f>
        <v>0</v>
      </c>
      <c r="M118" s="263"/>
      <c r="N118" s="956">
        <f>IF(OR(B118="aa",B118="cp",B118="f",B118="jc",B118="m",B118="css"),0,(L118-J118)+(H118-F118)+(D118-B118))</f>
        <v>0</v>
      </c>
      <c r="O118" s="956">
        <f>SUM(AM118:AP118)+IF(OR(C118="m",C118="aa"),N118,IF(C118="css",0,IF(C118="cp",0,IF(C118="jc",0,IF(C118="f",0,E118-C118+I118-G118+M118-K118)))))</f>
        <v>0</v>
      </c>
      <c r="P118" s="956">
        <f t="shared" si="215"/>
        <v>0</v>
      </c>
      <c r="Q118" s="956">
        <f t="shared" si="216"/>
        <v>0</v>
      </c>
      <c r="R118" s="957">
        <f>IF(OR(C118="aa",C118="cp",C118="f",C118="jc",C118="m",C118="css"),0,IF(C118=0,MAX(B118,D118,F118,H118,J118,L118)-MIN(B118,D118,F118,H118,J118,L118),IF(C118&lt;&gt;0,MAX(C118,E118,G118,I118,K118,M118)-MIN(C118,E118,G118,I118,K118,M118))))</f>
        <v>0</v>
      </c>
      <c r="S118" s="262"/>
      <c r="T118" s="958" t="str">
        <f t="shared" si="217"/>
        <v/>
      </c>
      <c r="U118" s="959" t="str">
        <f>IF(P118=0,"",IF(P118&lt;Paramétrage!$S$12,"PB",IF(AND(Q118&lt;Paramétrage!$S$12,Q118&lt;&gt;0),"PB","")))</f>
        <v/>
      </c>
      <c r="V118" s="959" t="str">
        <f t="shared" si="202"/>
        <v/>
      </c>
      <c r="W118" s="959" t="str">
        <f t="shared" si="203"/>
        <v/>
      </c>
      <c r="X118" s="960" t="str">
        <f>IF(AND(N118=0,O118=0),"",(IF(OR(C118="aa",C118="cp",C118="f",C118="jc",C118="m",C118="css"),"",IF(C118="",IF(OR(D118-B118&gt;6/24,H118-F118&gt;6/24,L118-J118&gt;6/24),"PB",""),IF(OR(E118-C118&gt;6/24,I118-G118&gt;6/24,M118-K118&gt;6/24),"PB","")))))</f>
        <v/>
      </c>
      <c r="Y118" s="959" t="str">
        <f t="shared" si="205"/>
        <v/>
      </c>
      <c r="Z118" s="836"/>
      <c r="AA118" s="837"/>
      <c r="AC118" s="934">
        <f t="shared" si="208"/>
        <v>42959</v>
      </c>
      <c r="AD118" s="961">
        <f>IF(AND(N(AC118)&gt;=Paramétrage!$AU$11,N(AC118)&lt;=Paramétrage!$AU$12),IF(C118="cp",1,0),0)</f>
        <v>0</v>
      </c>
      <c r="AE118" s="962">
        <f t="shared" si="206"/>
        <v>0</v>
      </c>
      <c r="AF118" s="961">
        <f>IF(AND(N(AC118)&gt;=Paramétrage!$AX$11,N(AC118)&lt;=Paramétrage!$AX$12),IF(C118="cp",1,0),0)</f>
        <v>0</v>
      </c>
      <c r="AG118" s="962">
        <f t="shared" si="207"/>
        <v>0</v>
      </c>
      <c r="AI118" s="962">
        <f t="shared" si="209"/>
        <v>0</v>
      </c>
      <c r="AJ118" s="962">
        <f t="shared" si="210"/>
        <v>0</v>
      </c>
      <c r="AM118" s="962">
        <f t="shared" si="211"/>
        <v>0</v>
      </c>
      <c r="AN118" s="962">
        <f t="shared" si="212"/>
        <v>0</v>
      </c>
      <c r="AO118" s="962">
        <f t="shared" si="213"/>
        <v>0</v>
      </c>
      <c r="AP118" s="962">
        <f t="shared" si="214"/>
        <v>0</v>
      </c>
      <c r="AR118" s="917">
        <f>IF(AND(AC118&lt;=$AR$3,B118="CP"),1,0)</f>
        <v>0</v>
      </c>
      <c r="AS118" s="917">
        <f>IF(AND(AC118&lt;=$AR$3,C118="CP"),1,0)</f>
        <v>0</v>
      </c>
    </row>
    <row r="119" spans="1:45" ht="16.5" x14ac:dyDescent="0.3">
      <c r="A119" s="964" t="s">
        <v>19</v>
      </c>
      <c r="B119" s="15" t="b">
        <f>IF(Paramétrage!$O$47="",FALSE,Paramétrage!$O$47)</f>
        <v>0</v>
      </c>
      <c r="C119" s="263"/>
      <c r="D119" s="16" t="b">
        <f>IF(Paramétrage!$Q$47="",FALSE,Paramétrage!$Q$47)</f>
        <v>0</v>
      </c>
      <c r="E119" s="264"/>
      <c r="F119" s="15" t="b">
        <f>IF(Paramétrage!$R$47="",FALSE,Paramétrage!$R$47)</f>
        <v>0</v>
      </c>
      <c r="G119" s="264"/>
      <c r="H119" s="17" t="b">
        <f>IF(Paramétrage!$T$47="",FALSE,Paramétrage!$T$47)</f>
        <v>0</v>
      </c>
      <c r="I119" s="263"/>
      <c r="J119" s="127" t="b">
        <f>IF(Paramétrage!$U$47="",FALSE,Paramétrage!$U$47)</f>
        <v>0</v>
      </c>
      <c r="K119" s="263"/>
      <c r="L119" s="28" t="b">
        <f>IF(Paramétrage!$W$47="",FALSE,Paramétrage!$W$47)</f>
        <v>0</v>
      </c>
      <c r="M119" s="263"/>
      <c r="N119" s="956">
        <f>IF(OR(B119="aa",B119="cp",B119="f",B119="jc",B119="m",B119="css"),0,(L119-J119)+(H119-F119)+(D119-B119))</f>
        <v>0</v>
      </c>
      <c r="O119" s="956">
        <f>IF(OR(C119="m",C119="aa"),N119,IF(C119="cp",0,IF(OR(C119="css",C119="jc"),0,IF(C119="f",0,E119-C119+I119-G119+M119-K119))))</f>
        <v>0</v>
      </c>
      <c r="P119" s="956">
        <f t="shared" si="215"/>
        <v>0</v>
      </c>
      <c r="Q119" s="956">
        <f t="shared" si="216"/>
        <v>0</v>
      </c>
      <c r="R119" s="957">
        <f>IF(OR(C119="aa",C119="cp",C119="f",C119="jc",C119="m",C119="css"),0,IF(C119=0,MAX(B119,D119,F119,H119,J119,L119)-MIN(B119,D119,F119,H119,J119,L119),IF(C119&lt;&gt;0,MAX(C119,E119,G119,I119,K119,M119)-MIN(C119,E119,G119,I119,K119,M119))))</f>
        <v>0</v>
      </c>
      <c r="S119" s="262"/>
      <c r="T119" s="958" t="str">
        <f t="shared" si="217"/>
        <v/>
      </c>
      <c r="U119" s="959" t="str">
        <f>IF(P119=0,"",IF(P119&lt;Paramétrage!$S$12,"PB",IF(AND(Q119&lt;Paramétrage!$S$12,Q119&lt;&gt;0),"PB","")))</f>
        <v/>
      </c>
      <c r="V119" s="959" t="str">
        <f t="shared" si="202"/>
        <v/>
      </c>
      <c r="W119" s="959" t="str">
        <f t="shared" si="203"/>
        <v/>
      </c>
      <c r="X119" s="960" t="str">
        <f>IF(AND(N119=0,O119=0),"",(IF(OR(C119="aa",C119="cp",C119="f",C119="jc",C119="m",C119="css"),"",IF(C119="",IF(OR(D119-B119&gt;6/24,H119-F119&gt;6/24,L119-J119&gt;6/24),"PB",""),IF(OR(E119-C119&gt;6/24,I119-G119&gt;6/24,M119-K119&gt;6/24),"PB","")))))</f>
        <v/>
      </c>
      <c r="Y119" s="959" t="str">
        <f t="shared" si="205"/>
        <v/>
      </c>
      <c r="Z119" s="836"/>
      <c r="AA119" s="837"/>
      <c r="AC119" s="934">
        <f t="shared" si="208"/>
        <v>42960</v>
      </c>
      <c r="AD119" s="961">
        <f>IF(AND(N(AC119)&gt;=Paramétrage!$AU$11,N(AC119)&lt;=Paramétrage!$AU$12),IF(C119="cp",1,0),0)</f>
        <v>0</v>
      </c>
      <c r="AE119" s="962">
        <f t="shared" si="206"/>
        <v>0</v>
      </c>
      <c r="AF119" s="961">
        <f>IF(AND(N(AC119)&gt;=Paramétrage!$AX$11,N(AC119)&lt;=Paramétrage!$AX$12),IF(C119="cp",1,0),0)</f>
        <v>0</v>
      </c>
      <c r="AG119" s="962">
        <f t="shared" si="207"/>
        <v>0</v>
      </c>
      <c r="AI119" s="962">
        <f t="shared" si="209"/>
        <v>0</v>
      </c>
      <c r="AJ119" s="962">
        <f t="shared" si="210"/>
        <v>0</v>
      </c>
      <c r="AM119" s="962"/>
      <c r="AN119" s="962"/>
      <c r="AO119" s="962"/>
      <c r="AP119" s="962"/>
    </row>
    <row r="120" spans="1:45" ht="17.25" thickBot="1" x14ac:dyDescent="0.35">
      <c r="A120" s="966" t="s">
        <v>20</v>
      </c>
      <c r="B120" s="15" t="b">
        <f>IF(Paramétrage!$O$48="",FALSE,Paramétrage!$O$48)</f>
        <v>0</v>
      </c>
      <c r="C120" s="263"/>
      <c r="D120" s="16" t="b">
        <f>IF(Paramétrage!$Q$48="",FALSE,Paramétrage!$Q$48)</f>
        <v>0</v>
      </c>
      <c r="E120" s="264"/>
      <c r="F120" s="15" t="b">
        <f>IF(Paramétrage!$R$48="",FALSE,Paramétrage!$R$48)</f>
        <v>0</v>
      </c>
      <c r="G120" s="264"/>
      <c r="H120" s="17" t="b">
        <f>IF(Paramétrage!$T$48="",FALSE,Paramétrage!$T$48)</f>
        <v>0</v>
      </c>
      <c r="I120" s="263"/>
      <c r="J120" s="127" t="b">
        <f>IF(Paramétrage!$U$48="",FALSE,Paramétrage!$U$48)</f>
        <v>0</v>
      </c>
      <c r="K120" s="263"/>
      <c r="L120" s="28" t="b">
        <f>IF(Paramétrage!$W$48="",FALSE,Paramétrage!$W$48)</f>
        <v>0</v>
      </c>
      <c r="M120" s="263"/>
      <c r="N120" s="956">
        <f>IF(OR(B120="aa",B120="m"),M120,IF(B120="cp",0,IF(B120="jc",0,IF(B120="f",0,(D120-B120)*Paramétrage!$S$13+(H120-F120)*Paramétrage!$S$13+(L120-J120)*Paramétrage!$S$13+(D120-B120+H120-F120+L120-J120)))))</f>
        <v>0</v>
      </c>
      <c r="O120" s="956">
        <f>IF(OR(C120="aa",C120="m"),N120,IF(C120="cp",0,IF(C120="jc",0,IF(C120="f",0,(E120-C120)*Paramétrage!$S$13+(I120-G120)*Paramétrage!$S$13+(M120-K120)*Paramétrage!$S$13+(E120-C120+I120-G120+M120-K120)))))</f>
        <v>0</v>
      </c>
      <c r="P120" s="956">
        <f t="shared" si="215"/>
        <v>0</v>
      </c>
      <c r="Q120" s="956">
        <f t="shared" si="216"/>
        <v>0</v>
      </c>
      <c r="R120" s="957">
        <f t="shared" ref="R120" si="218">IF(OR(C120="aa",C120="cp",C120="f",C120="jc",C120="m",C120=0),MAX(B120,D120,F120,H120,J120,L120)-MIN(B120,D120,F120,H120,J120,L120),IF(C120&lt;&gt;0,MAX(C120,E120,G120,I120,K120,M120)-MIN(C120,E120,G120,I120,K120,M120)))</f>
        <v>0</v>
      </c>
      <c r="S120" s="262"/>
      <c r="T120" s="958" t="str">
        <f t="shared" si="217"/>
        <v/>
      </c>
      <c r="U120" s="959" t="str">
        <f>IF(P120=0,"",IF(P120&lt;Paramétrage!$S$12,"PB",IF(AND(Q120&lt;Paramétrage!$S$12,Q120&lt;&gt;0),"PB","")))</f>
        <v/>
      </c>
      <c r="V120" s="959" t="str">
        <f t="shared" si="202"/>
        <v/>
      </c>
      <c r="W120" s="959" t="str">
        <f t="shared" si="203"/>
        <v/>
      </c>
      <c r="X120" s="960" t="str">
        <f t="shared" ref="X120" si="219">IF(AND(N120=0,O120=0),"",(IF(OR(C120="aa",C120="cp",C120="f",C120="jc",C120="m"),"",IF(C120="",IF(OR(D120-B120&gt;6/24,H120-F120&gt;6/24,L120-J120&gt;6/24),"PB",""),IF(OR(E120-C120&gt;6/24,I120-G120&gt;6/24,M120-K120&gt;6/24),"PB","")))))</f>
        <v/>
      </c>
      <c r="Y120" s="959" t="str">
        <f t="shared" si="205"/>
        <v/>
      </c>
      <c r="Z120" s="836"/>
      <c r="AA120" s="837"/>
      <c r="AB120" s="967"/>
      <c r="AC120" s="934">
        <f t="shared" si="208"/>
        <v>42961</v>
      </c>
      <c r="AD120" s="961">
        <f>IF(AND(N(AC120)&gt;=Paramétrage!$AU$11,N(AC120)&lt;=Paramétrage!$AU$12),IF(C120="cp",1,0),0)</f>
        <v>0</v>
      </c>
      <c r="AE120" s="962">
        <f t="shared" si="206"/>
        <v>0</v>
      </c>
      <c r="AF120" s="961">
        <f>IF(AND(N(AC120)&gt;=Paramétrage!$AX$11,N(AC120)&lt;=Paramétrage!$AX$12),IF(C120="cp",1,0),0)</f>
        <v>0</v>
      </c>
      <c r="AG120" s="962">
        <f t="shared" si="207"/>
        <v>0</v>
      </c>
      <c r="AI120" s="962">
        <f t="shared" si="209"/>
        <v>0</v>
      </c>
      <c r="AJ120" s="962">
        <f t="shared" si="210"/>
        <v>0</v>
      </c>
      <c r="AM120" s="962"/>
      <c r="AN120" s="962"/>
      <c r="AO120" s="962"/>
      <c r="AP120" s="962"/>
    </row>
    <row r="121" spans="1:45" s="935" customFormat="1" x14ac:dyDescent="0.25">
      <c r="A121" s="969" t="s">
        <v>55</v>
      </c>
      <c r="B121" s="970"/>
      <c r="C121" s="970"/>
      <c r="D121" s="970"/>
      <c r="E121" s="970"/>
      <c r="F121" s="970"/>
      <c r="G121" s="970"/>
      <c r="H121" s="970"/>
      <c r="I121" s="970"/>
      <c r="J121" s="970"/>
      <c r="K121" s="971"/>
      <c r="L121" s="970"/>
      <c r="M121" s="970"/>
      <c r="N121" s="972">
        <f>SUM(N114:N120)</f>
        <v>0</v>
      </c>
      <c r="O121" s="972">
        <f>SUM(O114:O120)</f>
        <v>0</v>
      </c>
      <c r="P121" s="972">
        <f>SUM(P114:P120)</f>
        <v>0</v>
      </c>
      <c r="Q121" s="972">
        <f>SUM(Q114:Q120)</f>
        <v>0</v>
      </c>
      <c r="R121" s="972"/>
      <c r="S121" s="972"/>
      <c r="T121" s="973"/>
      <c r="U121" s="974"/>
      <c r="V121" s="975" t="str">
        <f>IF((O121*24)&gt;48,"PB","")</f>
        <v/>
      </c>
      <c r="W121" s="974"/>
      <c r="X121" s="974"/>
      <c r="Y121" s="974"/>
      <c r="Z121" s="1053" t="s">
        <v>59</v>
      </c>
      <c r="AA121" s="1055">
        <f>+O121-N121</f>
        <v>0</v>
      </c>
      <c r="AC121" s="934"/>
      <c r="AE121" s="917"/>
      <c r="AG121" s="917"/>
      <c r="AH121" s="917"/>
      <c r="AI121" s="917"/>
      <c r="AJ121" s="917"/>
      <c r="AK121" s="917"/>
      <c r="AL121" s="917"/>
      <c r="AM121" s="917"/>
      <c r="AN121" s="917"/>
      <c r="AO121" s="917"/>
      <c r="AP121" s="917"/>
      <c r="AR121" s="917"/>
      <c r="AS121" s="917"/>
    </row>
    <row r="122" spans="1:45" s="935" customFormat="1" x14ac:dyDescent="0.25">
      <c r="A122" s="969"/>
      <c r="B122" s="969"/>
      <c r="C122" s="969"/>
      <c r="D122" s="969"/>
      <c r="E122" s="969"/>
      <c r="F122" s="1052"/>
      <c r="G122" s="1052"/>
      <c r="H122" s="1052"/>
      <c r="I122" s="1052"/>
      <c r="J122" s="1052"/>
      <c r="K122" s="969"/>
      <c r="L122" s="969"/>
      <c r="M122" s="969"/>
      <c r="N122" s="973"/>
      <c r="O122" s="969"/>
      <c r="P122" s="980"/>
      <c r="Q122" s="980"/>
      <c r="R122" s="980"/>
      <c r="S122" s="981"/>
      <c r="T122" s="980"/>
      <c r="U122" s="980"/>
      <c r="V122" s="980"/>
      <c r="W122" s="980"/>
      <c r="X122" s="980"/>
      <c r="Y122" s="980"/>
      <c r="Z122" s="1053"/>
      <c r="AA122" s="1055"/>
      <c r="AC122" s="934"/>
      <c r="AE122" s="917"/>
      <c r="AG122" s="917"/>
      <c r="AH122" s="917"/>
      <c r="AI122" s="917"/>
      <c r="AJ122" s="917"/>
      <c r="AK122" s="917"/>
      <c r="AL122" s="917"/>
      <c r="AM122" s="917"/>
      <c r="AN122" s="917"/>
      <c r="AO122" s="917"/>
      <c r="AP122" s="917"/>
      <c r="AR122" s="917"/>
      <c r="AS122" s="917"/>
    </row>
    <row r="123" spans="1:45" s="935" customFormat="1" ht="16.5" x14ac:dyDescent="0.3">
      <c r="A123" s="969"/>
      <c r="B123" s="969"/>
      <c r="C123" s="969"/>
      <c r="D123" s="969"/>
      <c r="E123" s="969"/>
      <c r="F123" s="928">
        <f>+F111+7</f>
        <v>42962</v>
      </c>
      <c r="G123" s="928"/>
      <c r="H123" s="929" t="s">
        <v>58</v>
      </c>
      <c r="I123" s="928">
        <f>+F123+6</f>
        <v>42968</v>
      </c>
      <c r="J123" s="930"/>
      <c r="K123" s="969"/>
      <c r="L123" s="969"/>
      <c r="M123" s="969"/>
      <c r="N123" s="973"/>
      <c r="O123" s="969"/>
      <c r="P123" s="980"/>
      <c r="Q123" s="980"/>
      <c r="R123" s="980"/>
      <c r="S123" s="981"/>
      <c r="T123" s="980"/>
      <c r="U123" s="980"/>
      <c r="V123" s="980"/>
      <c r="W123" s="980"/>
      <c r="X123" s="980"/>
      <c r="Y123" s="980"/>
      <c r="Z123" s="1053"/>
      <c r="AA123" s="1054"/>
      <c r="AB123" s="917"/>
      <c r="AC123" s="934"/>
      <c r="AE123" s="917"/>
      <c r="AG123" s="917"/>
      <c r="AH123" s="917"/>
      <c r="AI123" s="917"/>
      <c r="AJ123" s="917"/>
      <c r="AK123" s="917"/>
      <c r="AL123" s="917"/>
      <c r="AM123" s="917"/>
      <c r="AN123" s="917"/>
      <c r="AO123" s="917"/>
      <c r="AP123" s="917"/>
      <c r="AR123" s="917"/>
      <c r="AS123" s="917"/>
    </row>
    <row r="124" spans="1:45" ht="14.45" customHeight="1" x14ac:dyDescent="0.25">
      <c r="A124" s="994"/>
      <c r="B124" s="938" t="s">
        <v>17</v>
      </c>
      <c r="C124" s="938"/>
      <c r="D124" s="938" t="s">
        <v>18</v>
      </c>
      <c r="E124" s="938"/>
      <c r="F124" s="938" t="s">
        <v>17</v>
      </c>
      <c r="G124" s="938"/>
      <c r="H124" s="938" t="s">
        <v>18</v>
      </c>
      <c r="I124" s="938"/>
      <c r="J124" s="938" t="s">
        <v>17</v>
      </c>
      <c r="K124" s="938"/>
      <c r="L124" s="938" t="s">
        <v>18</v>
      </c>
      <c r="M124" s="938"/>
      <c r="N124" s="939" t="s">
        <v>61</v>
      </c>
      <c r="O124" s="939" t="s">
        <v>62</v>
      </c>
      <c r="P124" s="939" t="s">
        <v>60</v>
      </c>
      <c r="Q124" s="939" t="s">
        <v>63</v>
      </c>
      <c r="R124" s="939" t="s">
        <v>64</v>
      </c>
      <c r="S124" s="940" t="s">
        <v>223</v>
      </c>
      <c r="T124" s="939" t="s">
        <v>70</v>
      </c>
      <c r="U124" s="941" t="s">
        <v>65</v>
      </c>
      <c r="V124" s="942"/>
      <c r="W124" s="942"/>
      <c r="X124" s="942"/>
      <c r="Y124" s="943"/>
      <c r="Z124" s="944" t="s">
        <v>22</v>
      </c>
      <c r="AA124" s="944"/>
      <c r="AC124" s="934"/>
    </row>
    <row r="125" spans="1:45" ht="26.25" thickBot="1" x14ac:dyDescent="0.4">
      <c r="A125" s="937" t="str">
        <f>"S"&amp;WEEKNUM(F123,21)</f>
        <v>S33</v>
      </c>
      <c r="B125" s="949" t="s">
        <v>0</v>
      </c>
      <c r="C125" s="950" t="s">
        <v>1</v>
      </c>
      <c r="D125" s="949" t="s">
        <v>0</v>
      </c>
      <c r="E125" s="950" t="s">
        <v>1</v>
      </c>
      <c r="F125" s="949" t="s">
        <v>0</v>
      </c>
      <c r="G125" s="950" t="s">
        <v>1</v>
      </c>
      <c r="H125" s="949" t="s">
        <v>0</v>
      </c>
      <c r="I125" s="950" t="s">
        <v>1</v>
      </c>
      <c r="J125" s="949" t="s">
        <v>0</v>
      </c>
      <c r="K125" s="950" t="s">
        <v>1</v>
      </c>
      <c r="L125" s="949" t="s">
        <v>0</v>
      </c>
      <c r="M125" s="950" t="s">
        <v>1</v>
      </c>
      <c r="N125" s="951"/>
      <c r="O125" s="951"/>
      <c r="P125" s="951"/>
      <c r="Q125" s="951"/>
      <c r="R125" s="951"/>
      <c r="S125" s="951"/>
      <c r="T125" s="939"/>
      <c r="U125" s="952" t="s">
        <v>66</v>
      </c>
      <c r="V125" s="952" t="s">
        <v>67</v>
      </c>
      <c r="W125" s="952" t="s">
        <v>68</v>
      </c>
      <c r="X125" s="952" t="s">
        <v>137</v>
      </c>
      <c r="Y125" s="952" t="s">
        <v>69</v>
      </c>
      <c r="Z125" s="944"/>
      <c r="AA125" s="944"/>
      <c r="AC125" s="934"/>
      <c r="AM125" s="917" t="s">
        <v>274</v>
      </c>
    </row>
    <row r="126" spans="1:45" ht="16.5" x14ac:dyDescent="0.3">
      <c r="A126" s="955" t="s">
        <v>12</v>
      </c>
      <c r="B126" s="15" t="b">
        <f>IF(Paramétrage!$O$42="",FALSE,Paramétrage!$O$42)</f>
        <v>0</v>
      </c>
      <c r="C126" s="263"/>
      <c r="D126" s="16" t="b">
        <f>IF(Paramétrage!$Q$42="",FALSE,Paramétrage!$Q$42)</f>
        <v>0</v>
      </c>
      <c r="E126" s="264"/>
      <c r="F126" s="15" t="b">
        <f>IF(Paramétrage!$R$42="",FALSE,Paramétrage!$R$42)</f>
        <v>0</v>
      </c>
      <c r="G126" s="264"/>
      <c r="H126" s="17" t="b">
        <f>IF(Paramétrage!$T$42="",FALSE,Paramétrage!$T$42)</f>
        <v>0</v>
      </c>
      <c r="I126" s="263"/>
      <c r="J126" s="127" t="b">
        <f>IF(Paramétrage!$U$42="",FALSE,Paramétrage!$U$42)</f>
        <v>0</v>
      </c>
      <c r="K126" s="263"/>
      <c r="L126" s="28" t="b">
        <f>IF(Paramétrage!$W$42="",FALSE,Paramétrage!$W$42)</f>
        <v>0</v>
      </c>
      <c r="M126" s="263"/>
      <c r="N126" s="956">
        <f t="shared" ref="N126:N128" si="220">IF(OR(B126="aa",B126="cp",B126="f",B126="jc",B126="m",B126="css"),0,(L126-J126)+(H126-F126)+(D126-B126))</f>
        <v>0</v>
      </c>
      <c r="O126" s="956">
        <f t="shared" ref="O126:O128" si="221">SUM(AM126:AP126)+IF(OR(C126="m",C126="aa"),N126,IF(C126="css",0,IF(C126="cp",0,IF(C126="jc",0,IF(C126="f",0,E126-C126+I126-G126+M126-K126)))))</f>
        <v>0</v>
      </c>
      <c r="P126" s="956">
        <f t="shared" ref="P126:P132" si="222">IF(OR(C126="aa",C126="cp",C126="f",C126="jc",C126="m",C126="css"),0,IF(C126="",IF(OR(F126="",F126=FALSE),0,F126-D126),IF(G126="",0,G126-E126)))</f>
        <v>0</v>
      </c>
      <c r="Q126" s="956">
        <f t="shared" ref="Q126:Q132" si="223">IF(P126=0,0,IF(G126="",IF(OR(J126="",J126=FALSE),0,J126-H126),IF(K126="",0,K126-I126)))</f>
        <v>0</v>
      </c>
      <c r="R126" s="957">
        <f t="shared" ref="R126:R128" si="224">IF(OR(C126="aa",C126="cp",C126="f",C126="jc",C126="m",C126="css"),0,IF(C126=0,MAX(B126,D126,F126,H126,J126,L126)-MIN(B126,D126,F126,H126,J126,L126),IF(C126&lt;&gt;0,MAX(C126,E126,G126,I126,K126,M126)-MIN(C126,E126,G126,I126,K126,M126))))</f>
        <v>0</v>
      </c>
      <c r="S126" s="262"/>
      <c r="T126" s="958" t="str">
        <f t="shared" ref="T126:T127" si="225">IF(AND(B126=FALSE,C126=""),"",IF(AND(B126=0,C126=0),"",(IF(OR(C126="cp",C126="f",C126="jc",C126="css"),"",IF(OR(C126="",C126="aa",C126="m"),(IF(OR(B126="cp",B126="f",B126="jc",B126="css"),"",B126*24+24-MAX(D125,H125,L125)*24)),C126*24+24-MAX(M125,I125,E125)*24)))))</f>
        <v/>
      </c>
      <c r="U126" s="959" t="str">
        <f>IF(P126=0,"",IF(P126&lt;Paramétrage!$S$12,"PB",IF(AND(Q126&lt;Paramétrage!$S$12,Q126&lt;&gt;0),"PB","")))</f>
        <v/>
      </c>
      <c r="V126" s="959" t="str">
        <f t="shared" ref="V126:V132" si="226">IF(C126="",IF((N126*24)&gt;10,"PB",""),IF((O126*24)&gt;10,"PB",""))</f>
        <v/>
      </c>
      <c r="W126" s="959" t="str">
        <f t="shared" ref="W126:W132" si="227">IF((R126*24)&gt;12,"PB","")</f>
        <v/>
      </c>
      <c r="X126" s="960" t="str">
        <f t="shared" ref="X126:X128" si="228">IF(AND(N126=0,O126=0),"",(IF(OR(C126="aa",C126="cp",C126="f",C126="jc",C126="m",C126="css"),"",IF(C126="",IF(OR(D126-B126&gt;6/24,H126-F126&gt;6/24,L126-J126&gt;6/24),"PB",""),IF(OR(E126-C126&gt;6/24,I126-G126&gt;6/24,M126-K126&gt;6/24),"PB","")))))</f>
        <v/>
      </c>
      <c r="Y126" s="959" t="str">
        <f t="shared" ref="Y126:Y132" si="229">IF(T126="","",IF(T126&lt;11,"PB",""))</f>
        <v/>
      </c>
      <c r="Z126" s="836"/>
      <c r="AA126" s="837"/>
      <c r="AC126" s="934">
        <f>AC120+1</f>
        <v>42962</v>
      </c>
      <c r="AD126" s="961">
        <f>IF(AND(N(AC126)&gt;=Paramétrage!$AU$11,N(AC126)&lt;=Paramétrage!$AU$12),IF(C126="cp",1,0),0)</f>
        <v>0</v>
      </c>
      <c r="AE126" s="962">
        <f t="shared" ref="AE126:AE132" si="230">IF(O126&lt;&gt;"erreur",N126,O126)</f>
        <v>0</v>
      </c>
      <c r="AF126" s="961">
        <f>IF(AND(N(AC126)&gt;=Paramétrage!$AX$11,N(AC126)&lt;=Paramétrage!$AX$12),IF(C126="cp",1,0),0)</f>
        <v>0</v>
      </c>
      <c r="AG126" s="962">
        <f>O126</f>
        <v>0</v>
      </c>
      <c r="AI126" s="962">
        <f>AE126+AI120</f>
        <v>0</v>
      </c>
      <c r="AJ126" s="962">
        <f>AG126+AJ120</f>
        <v>0</v>
      </c>
      <c r="AM126" s="962">
        <f>IF(AND($B126="cp",$C126="m"),$Z126,0)</f>
        <v>0</v>
      </c>
      <c r="AN126" s="962">
        <f>IF(AND($B126="jc",$C126="m"),$Z126,0)</f>
        <v>0</v>
      </c>
      <c r="AO126" s="962">
        <f>IF(AND($B126="cp",$C126="aa"),$Z126,0)</f>
        <v>0</v>
      </c>
      <c r="AP126" s="962">
        <f>IF(AND($B126="jc",$C126="aa"),$Z126,0)</f>
        <v>0</v>
      </c>
      <c r="AR126" s="917">
        <f>IF(AND(AC126&lt;=$AR$3,B126="CP"),1,0)</f>
        <v>0</v>
      </c>
      <c r="AS126" s="917">
        <f>IF(AND(AC126&lt;=$AR$3,C126="CP"),1,0)</f>
        <v>0</v>
      </c>
    </row>
    <row r="127" spans="1:45" ht="16.5" x14ac:dyDescent="0.3">
      <c r="A127" s="964" t="s">
        <v>13</v>
      </c>
      <c r="B127" s="15" t="b">
        <f>IF(Paramétrage!$O$43="",FALSE,Paramétrage!$O$43)</f>
        <v>0</v>
      </c>
      <c r="C127" s="263"/>
      <c r="D127" s="16" t="b">
        <f>IF(Paramétrage!$Q$43="",FALSE,Paramétrage!$Q$43)</f>
        <v>0</v>
      </c>
      <c r="E127" s="264"/>
      <c r="F127" s="15" t="b">
        <f>IF(Paramétrage!$R$43="",FALSE,Paramétrage!$R$43)</f>
        <v>0</v>
      </c>
      <c r="G127" s="264"/>
      <c r="H127" s="17" t="b">
        <f>IF(Paramétrage!$T$43="",FALSE,Paramétrage!$T$43)</f>
        <v>0</v>
      </c>
      <c r="I127" s="263"/>
      <c r="J127" s="127" t="b">
        <f>IF(Paramétrage!$U$43="",FALSE,Paramétrage!$U$43)</f>
        <v>0</v>
      </c>
      <c r="K127" s="263"/>
      <c r="L127" s="28" t="b">
        <f>IF(Paramétrage!$W$43="",FALSE,Paramétrage!$W$43)</f>
        <v>0</v>
      </c>
      <c r="M127" s="263"/>
      <c r="N127" s="956">
        <f t="shared" si="220"/>
        <v>0</v>
      </c>
      <c r="O127" s="956">
        <f t="shared" si="221"/>
        <v>0</v>
      </c>
      <c r="P127" s="956">
        <f t="shared" si="222"/>
        <v>0</v>
      </c>
      <c r="Q127" s="956">
        <f t="shared" si="223"/>
        <v>0</v>
      </c>
      <c r="R127" s="957">
        <f t="shared" si="224"/>
        <v>0</v>
      </c>
      <c r="S127" s="262"/>
      <c r="T127" s="958" t="str">
        <f t="shared" si="225"/>
        <v/>
      </c>
      <c r="U127" s="959" t="str">
        <f>IF(P127=0,"",IF(P127&lt;Paramétrage!$S$12,"PB",IF(AND(Q127&lt;Paramétrage!$S$12,Q127&lt;&gt;0),"PB","")))</f>
        <v/>
      </c>
      <c r="V127" s="959" t="str">
        <f t="shared" si="226"/>
        <v/>
      </c>
      <c r="W127" s="959" t="str">
        <f t="shared" si="227"/>
        <v/>
      </c>
      <c r="X127" s="960" t="str">
        <f t="shared" si="228"/>
        <v/>
      </c>
      <c r="Y127" s="959" t="str">
        <f t="shared" si="229"/>
        <v/>
      </c>
      <c r="Z127" s="836"/>
      <c r="AA127" s="837"/>
      <c r="AC127" s="934">
        <f t="shared" ref="AC127:AC132" si="231">AC126+1</f>
        <v>42963</v>
      </c>
      <c r="AD127" s="961">
        <f>IF(AND(N(AC127)&gt;=Paramétrage!$AU$11,N(AC127)&lt;=Paramétrage!$AU$12),IF(C127="cp",1,0),0)</f>
        <v>0</v>
      </c>
      <c r="AE127" s="962">
        <f t="shared" si="230"/>
        <v>0</v>
      </c>
      <c r="AF127" s="961">
        <f>IF(AND(N(AC127)&gt;=Paramétrage!$AX$11,N(AC127)&lt;=Paramétrage!$AX$12),IF(C127="cp",1,0),0)</f>
        <v>0</v>
      </c>
      <c r="AG127" s="962">
        <f t="shared" ref="AG127:AG132" si="232">O127</f>
        <v>0</v>
      </c>
      <c r="AI127" s="962">
        <f t="shared" ref="AI127:AI132" si="233">AE127+AI126</f>
        <v>0</v>
      </c>
      <c r="AJ127" s="962">
        <f t="shared" ref="AJ127:AJ132" si="234">AG127+AJ126</f>
        <v>0</v>
      </c>
      <c r="AM127" s="962">
        <f t="shared" ref="AM127:AM130" si="235">IF(AND($B127="cp",$C127="m"),$Z127,0)</f>
        <v>0</v>
      </c>
      <c r="AN127" s="962">
        <f t="shared" ref="AN127:AN130" si="236">IF(AND($B127="jc",$C127="m"),$Z127,0)</f>
        <v>0</v>
      </c>
      <c r="AO127" s="962">
        <f t="shared" ref="AO127:AO130" si="237">IF(AND($B127="cp",$C127="aa"),$Z127,0)</f>
        <v>0</v>
      </c>
      <c r="AP127" s="962">
        <f t="shared" ref="AP127:AP130" si="238">IF(AND($B127="jc",$C127="aa"),$Z127,0)</f>
        <v>0</v>
      </c>
      <c r="AR127" s="917">
        <f>IF(AND(AC127&lt;=$AR$3,B127="CP"),1,0)</f>
        <v>0</v>
      </c>
      <c r="AS127" s="917">
        <f>IF(AND(AC127&lt;=$AR$3,C127="CP"),1,0)</f>
        <v>0</v>
      </c>
    </row>
    <row r="128" spans="1:45" ht="16.5" x14ac:dyDescent="0.3">
      <c r="A128" s="964" t="s">
        <v>14</v>
      </c>
      <c r="B128" s="15" t="b">
        <f>IF(Paramétrage!$O$44="",FALSE,Paramétrage!$O$44)</f>
        <v>0</v>
      </c>
      <c r="C128" s="263"/>
      <c r="D128" s="16" t="b">
        <f>IF(Paramétrage!$Q$44="",FALSE,Paramétrage!$Q$44)</f>
        <v>0</v>
      </c>
      <c r="E128" s="264"/>
      <c r="F128" s="15" t="b">
        <f>IF(Paramétrage!$R$44="",FALSE,Paramétrage!$R$44)</f>
        <v>0</v>
      </c>
      <c r="G128" s="264"/>
      <c r="H128" s="17" t="b">
        <f>IF(Paramétrage!$T$44="",FALSE,Paramétrage!$T$44)</f>
        <v>0</v>
      </c>
      <c r="I128" s="263"/>
      <c r="J128" s="127" t="b">
        <f>IF(Paramétrage!$U$44="",FALSE,Paramétrage!$U$44)</f>
        <v>0</v>
      </c>
      <c r="K128" s="263"/>
      <c r="L128" s="28" t="b">
        <f>IF(Paramétrage!$W$44="",FALSE,Paramétrage!$W$44)</f>
        <v>0</v>
      </c>
      <c r="M128" s="263"/>
      <c r="N128" s="956">
        <f t="shared" si="220"/>
        <v>0</v>
      </c>
      <c r="O128" s="956">
        <f t="shared" si="221"/>
        <v>0</v>
      </c>
      <c r="P128" s="956">
        <f t="shared" si="222"/>
        <v>0</v>
      </c>
      <c r="Q128" s="956">
        <f t="shared" si="223"/>
        <v>0</v>
      </c>
      <c r="R128" s="957">
        <f t="shared" si="224"/>
        <v>0</v>
      </c>
      <c r="S128" s="262"/>
      <c r="T128" s="958" t="str">
        <f>IF(AND(B128=FALSE,C128=""),"",IF(AND(B128=0,C128=0),"",(IF(OR(C128="cp",C128="f",C128="jc",C128="css"),"",IF(OR(C128="",C128="aa",C128="m"),(IF(OR(B128="cp",B128="f",B128="jc",B128="css"),"",B128*24+24-MAX(D127,H127,L127)*24)),C128*24+24-MAX(M127,I127,E127)*24)))))</f>
        <v/>
      </c>
      <c r="U128" s="959" t="str">
        <f>IF(P128=0,"",IF(P128&lt;Paramétrage!$S$12,"PB",IF(AND(Q128&lt;Paramétrage!$S$12,Q128&lt;&gt;0),"PB","")))</f>
        <v/>
      </c>
      <c r="V128" s="959" t="str">
        <f t="shared" si="226"/>
        <v/>
      </c>
      <c r="W128" s="959" t="str">
        <f t="shared" si="227"/>
        <v/>
      </c>
      <c r="X128" s="960" t="str">
        <f t="shared" si="228"/>
        <v/>
      </c>
      <c r="Y128" s="959" t="str">
        <f t="shared" si="229"/>
        <v/>
      </c>
      <c r="Z128" s="836"/>
      <c r="AA128" s="837"/>
      <c r="AC128" s="934">
        <f t="shared" si="231"/>
        <v>42964</v>
      </c>
      <c r="AD128" s="961">
        <f>IF(AND(N(AC128)&gt;=Paramétrage!$AU$11,N(AC128)&lt;=Paramétrage!$AU$12),IF(C128="cp",1,0),0)</f>
        <v>0</v>
      </c>
      <c r="AE128" s="962">
        <f t="shared" si="230"/>
        <v>0</v>
      </c>
      <c r="AF128" s="961">
        <f>IF(AND(N(AC128)&gt;=Paramétrage!$AX$11,N(AC128)&lt;=Paramétrage!$AX$12),IF(C128="cp",1,0),0)</f>
        <v>0</v>
      </c>
      <c r="AG128" s="962">
        <f t="shared" si="232"/>
        <v>0</v>
      </c>
      <c r="AI128" s="962">
        <f t="shared" si="233"/>
        <v>0</v>
      </c>
      <c r="AJ128" s="962">
        <f t="shared" si="234"/>
        <v>0</v>
      </c>
      <c r="AM128" s="962">
        <f t="shared" si="235"/>
        <v>0</v>
      </c>
      <c r="AN128" s="962">
        <f t="shared" si="236"/>
        <v>0</v>
      </c>
      <c r="AO128" s="962">
        <f t="shared" si="237"/>
        <v>0</v>
      </c>
      <c r="AP128" s="962">
        <f t="shared" si="238"/>
        <v>0</v>
      </c>
      <c r="AR128" s="917">
        <f>IF(AND(AC128&lt;=$AR$3,B128="CP"),1,0)</f>
        <v>0</v>
      </c>
      <c r="AS128" s="917">
        <f>IF(AND(AC128&lt;=$AR$3,C128="CP"),1,0)</f>
        <v>0</v>
      </c>
    </row>
    <row r="129" spans="1:45" ht="16.5" x14ac:dyDescent="0.3">
      <c r="A129" s="964" t="s">
        <v>15</v>
      </c>
      <c r="B129" s="15" t="b">
        <f>IF(Paramétrage!$O$45="",FALSE,Paramétrage!$O$45)</f>
        <v>0</v>
      </c>
      <c r="C129" s="263"/>
      <c r="D129" s="16" t="b">
        <f>IF(Paramétrage!$Q$45="",FALSE,Paramétrage!$Q$45)</f>
        <v>0</v>
      </c>
      <c r="E129" s="264"/>
      <c r="F129" s="15" t="b">
        <f>IF(Paramétrage!$R$45="",FALSE,Paramétrage!$R$45)</f>
        <v>0</v>
      </c>
      <c r="G129" s="264"/>
      <c r="H129" s="17" t="b">
        <f>IF(Paramétrage!$T$45="",FALSE,Paramétrage!$T$45)</f>
        <v>0</v>
      </c>
      <c r="I129" s="263"/>
      <c r="J129" s="127" t="b">
        <f>IF(Paramétrage!$U$45="",FALSE,Paramétrage!$U$45)</f>
        <v>0</v>
      </c>
      <c r="K129" s="263"/>
      <c r="L129" s="28" t="b">
        <f>IF(Paramétrage!$W$45="",FALSE,Paramétrage!$W$45)</f>
        <v>0</v>
      </c>
      <c r="M129" s="263"/>
      <c r="N129" s="956">
        <f>IF(OR(B129="aa",B129="cp",B129="f",B129="jc",B129="m",B129="css"),0,(L129-J129)+(H129-F129)+(D129-B129))</f>
        <v>0</v>
      </c>
      <c r="O129" s="956">
        <f>SUM(AM129:AP129)+IF(OR(C129="m",C129="aa"),N129,IF(C129="css",0,IF(C129="cp",0,IF(C129="jc",0,IF(C129="f",0,E129-C129+I129-G129+M129-K129)))))</f>
        <v>0</v>
      </c>
      <c r="P129" s="956">
        <f t="shared" si="222"/>
        <v>0</v>
      </c>
      <c r="Q129" s="956">
        <f t="shared" si="223"/>
        <v>0</v>
      </c>
      <c r="R129" s="957">
        <f>IF(OR(C129="aa",C129="cp",C129="f",C129="jc",C129="m",C129="css"),0,IF(C129=0,MAX(B129,D129,F129,H129,J129,L129)-MIN(B129,D129,F129,H129,J129,L129),IF(C129&lt;&gt;0,MAX(C129,E129,G129,I129,K129,M129)-MIN(C129,E129,G129,I129,K129,M129))))</f>
        <v>0</v>
      </c>
      <c r="S129" s="262"/>
      <c r="T129" s="958" t="str">
        <f t="shared" ref="T129:T132" si="239">IF(AND(B129=FALSE,C129=""),"",IF(AND(B129=0,C129=0),"",(IF(OR(C129="cp",C129="f",C129="jc",C129="css"),"",IF(OR(C129="",C129="aa",C129="m"),(IF(OR(B129="cp",B129="f",B129="jc",B129="css"),"",B129*24+24-MAX(D128,H128,L128)*24)),C129*24+24-MAX(M128,I128,E128)*24)))))</f>
        <v/>
      </c>
      <c r="U129" s="959" t="str">
        <f>IF(P129=0,"",IF(P129&lt;Paramétrage!$S$12,"PB",IF(AND(Q129&lt;Paramétrage!$S$12,Q129&lt;&gt;0),"PB","")))</f>
        <v/>
      </c>
      <c r="V129" s="959" t="str">
        <f t="shared" si="226"/>
        <v/>
      </c>
      <c r="W129" s="959" t="str">
        <f t="shared" si="227"/>
        <v/>
      </c>
      <c r="X129" s="960" t="str">
        <f>IF(AND(N129=0,O129=0),"",(IF(OR(C129="aa",C129="cp",C129="f",C129="jc",C129="m",C129="css"),"",IF(C129="",IF(OR(D129-B129&gt;6/24,H129-F129&gt;6/24,L129-J129&gt;6/24),"PB",""),IF(OR(E129-C129&gt;6/24,I129-G129&gt;6/24,M129-K129&gt;6/24),"PB","")))))</f>
        <v/>
      </c>
      <c r="Y129" s="959" t="str">
        <f t="shared" si="229"/>
        <v/>
      </c>
      <c r="Z129" s="836"/>
      <c r="AA129" s="837"/>
      <c r="AC129" s="934">
        <f t="shared" si="231"/>
        <v>42965</v>
      </c>
      <c r="AD129" s="961">
        <f>IF(AND(N(AC129)&gt;=Paramétrage!$AU$11,N(AC129)&lt;=Paramétrage!$AU$12),IF(C129="cp",1,0),0)</f>
        <v>0</v>
      </c>
      <c r="AE129" s="962">
        <f t="shared" si="230"/>
        <v>0</v>
      </c>
      <c r="AF129" s="961">
        <f>IF(AND(N(AC129)&gt;=Paramétrage!$AX$11,N(AC129)&lt;=Paramétrage!$AX$12),IF(C129="cp",1,0),0)</f>
        <v>0</v>
      </c>
      <c r="AG129" s="962">
        <f t="shared" si="232"/>
        <v>0</v>
      </c>
      <c r="AI129" s="962">
        <f t="shared" si="233"/>
        <v>0</v>
      </c>
      <c r="AJ129" s="962">
        <f t="shared" si="234"/>
        <v>0</v>
      </c>
      <c r="AM129" s="962">
        <f t="shared" si="235"/>
        <v>0</v>
      </c>
      <c r="AN129" s="962">
        <f t="shared" si="236"/>
        <v>0</v>
      </c>
      <c r="AO129" s="962">
        <f t="shared" si="237"/>
        <v>0</v>
      </c>
      <c r="AP129" s="962">
        <f t="shared" si="238"/>
        <v>0</v>
      </c>
      <c r="AR129" s="917">
        <f>IF(AND(AC129&lt;=$AR$3,B129="CP"),1,0)</f>
        <v>0</v>
      </c>
      <c r="AS129" s="917">
        <f>IF(AND(AC129&lt;=$AR$3,C129="CP"),1,0)</f>
        <v>0</v>
      </c>
    </row>
    <row r="130" spans="1:45" ht="16.5" x14ac:dyDescent="0.3">
      <c r="A130" s="964" t="s">
        <v>16</v>
      </c>
      <c r="B130" s="15" t="b">
        <f>IF(Paramétrage!$O$46="",FALSE,Paramétrage!$O$46)</f>
        <v>0</v>
      </c>
      <c r="C130" s="263"/>
      <c r="D130" s="16" t="b">
        <f>IF(Paramétrage!$Q$46="",FALSE,Paramétrage!$Q$46)</f>
        <v>0</v>
      </c>
      <c r="E130" s="264"/>
      <c r="F130" s="15" t="b">
        <f>IF(Paramétrage!$R$46="",FALSE,Paramétrage!$R$46)</f>
        <v>0</v>
      </c>
      <c r="G130" s="264"/>
      <c r="H130" s="17" t="b">
        <f>IF(Paramétrage!$T$46="",FALSE,Paramétrage!$T$46)</f>
        <v>0</v>
      </c>
      <c r="I130" s="263"/>
      <c r="J130" s="127" t="b">
        <f>IF(Paramétrage!$U$46="",FALSE,Paramétrage!$U$46)</f>
        <v>0</v>
      </c>
      <c r="K130" s="263"/>
      <c r="L130" s="28" t="b">
        <f>IF(Paramétrage!$W$46="",FALSE,Paramétrage!$W$46)</f>
        <v>0</v>
      </c>
      <c r="M130" s="263"/>
      <c r="N130" s="956">
        <f>IF(OR(B130="aa",B130="cp",B130="f",B130="jc",B130="m",B130="css"),0,(L130-J130)+(H130-F130)+(D130-B130))</f>
        <v>0</v>
      </c>
      <c r="O130" s="956">
        <f>SUM(AM130:AP130)+IF(OR(C130="m",C130="aa"),N130,IF(C130="css",0,IF(C130="cp",0,IF(C130="jc",0,IF(C130="f",0,E130-C130+I130-G130+M130-K130)))))</f>
        <v>0</v>
      </c>
      <c r="P130" s="956">
        <f t="shared" si="222"/>
        <v>0</v>
      </c>
      <c r="Q130" s="956">
        <f t="shared" si="223"/>
        <v>0</v>
      </c>
      <c r="R130" s="957">
        <f>IF(OR(C130="aa",C130="cp",C130="f",C130="jc",C130="m",C130="css"),0,IF(C130=0,MAX(B130,D130,F130,H130,J130,L130)-MIN(B130,D130,F130,H130,J130,L130),IF(C130&lt;&gt;0,MAX(C130,E130,G130,I130,K130,M130)-MIN(C130,E130,G130,I130,K130,M130))))</f>
        <v>0</v>
      </c>
      <c r="S130" s="262"/>
      <c r="T130" s="958" t="str">
        <f t="shared" si="239"/>
        <v/>
      </c>
      <c r="U130" s="959" t="str">
        <f>IF(P130=0,"",IF(P130&lt;Paramétrage!$S$12,"PB",IF(AND(Q130&lt;Paramétrage!$S$12,Q130&lt;&gt;0),"PB","")))</f>
        <v/>
      </c>
      <c r="V130" s="959" t="str">
        <f t="shared" si="226"/>
        <v/>
      </c>
      <c r="W130" s="959" t="str">
        <f t="shared" si="227"/>
        <v/>
      </c>
      <c r="X130" s="960" t="str">
        <f>IF(AND(N130=0,O130=0),"",(IF(OR(C130="aa",C130="cp",C130="f",C130="jc",C130="m",C130="css"),"",IF(C130="",IF(OR(D130-B130&gt;6/24,H130-F130&gt;6/24,L130-J130&gt;6/24),"PB",""),IF(OR(E130-C130&gt;6/24,I130-G130&gt;6/24,M130-K130&gt;6/24),"PB","")))))</f>
        <v/>
      </c>
      <c r="Y130" s="959" t="str">
        <f t="shared" si="229"/>
        <v/>
      </c>
      <c r="Z130" s="836"/>
      <c r="AA130" s="837"/>
      <c r="AC130" s="934">
        <f t="shared" si="231"/>
        <v>42966</v>
      </c>
      <c r="AD130" s="961">
        <f>IF(AND(N(AC130)&gt;=Paramétrage!$AU$11,N(AC130)&lt;=Paramétrage!$AU$12),IF(C130="cp",1,0),0)</f>
        <v>0</v>
      </c>
      <c r="AE130" s="962">
        <f t="shared" si="230"/>
        <v>0</v>
      </c>
      <c r="AF130" s="961">
        <f>IF(AND(N(AC130)&gt;=Paramétrage!$AX$11,N(AC130)&lt;=Paramétrage!$AX$12),IF(C130="cp",1,0),0)</f>
        <v>0</v>
      </c>
      <c r="AG130" s="962">
        <f t="shared" si="232"/>
        <v>0</v>
      </c>
      <c r="AI130" s="962">
        <f t="shared" si="233"/>
        <v>0</v>
      </c>
      <c r="AJ130" s="962">
        <f t="shared" si="234"/>
        <v>0</v>
      </c>
      <c r="AM130" s="962">
        <f t="shared" si="235"/>
        <v>0</v>
      </c>
      <c r="AN130" s="962">
        <f t="shared" si="236"/>
        <v>0</v>
      </c>
      <c r="AO130" s="962">
        <f t="shared" si="237"/>
        <v>0</v>
      </c>
      <c r="AP130" s="962">
        <f t="shared" si="238"/>
        <v>0</v>
      </c>
      <c r="AR130" s="917">
        <f>IF(AND(AC130&lt;=$AR$3,B130="CP"),1,0)</f>
        <v>0</v>
      </c>
      <c r="AS130" s="917">
        <f>IF(AND(AC130&lt;=$AR$3,C130="CP"),1,0)</f>
        <v>0</v>
      </c>
    </row>
    <row r="131" spans="1:45" ht="16.5" x14ac:dyDescent="0.3">
      <c r="A131" s="964" t="s">
        <v>19</v>
      </c>
      <c r="B131" s="15" t="b">
        <f>IF(Paramétrage!$O$47="",FALSE,Paramétrage!$O$47)</f>
        <v>0</v>
      </c>
      <c r="C131" s="263"/>
      <c r="D131" s="16" t="b">
        <f>IF(Paramétrage!$Q$47="",FALSE,Paramétrage!$Q$47)</f>
        <v>0</v>
      </c>
      <c r="E131" s="264"/>
      <c r="F131" s="15" t="b">
        <f>IF(Paramétrage!$R$47="",FALSE,Paramétrage!$R$47)</f>
        <v>0</v>
      </c>
      <c r="G131" s="264"/>
      <c r="H131" s="17" t="b">
        <f>IF(Paramétrage!$T$47="",FALSE,Paramétrage!$T$47)</f>
        <v>0</v>
      </c>
      <c r="I131" s="263"/>
      <c r="J131" s="127" t="b">
        <f>IF(Paramétrage!$U$47="",FALSE,Paramétrage!$U$47)</f>
        <v>0</v>
      </c>
      <c r="K131" s="263"/>
      <c r="L131" s="28" t="b">
        <f>IF(Paramétrage!$W$47="",FALSE,Paramétrage!$W$47)</f>
        <v>0</v>
      </c>
      <c r="M131" s="263"/>
      <c r="N131" s="956">
        <f>IF(OR(B131="aa",B131="cp",B131="f",B131="jc",B131="m",B131="css"),0,(L131-J131)+(H131-F131)+(D131-B131))</f>
        <v>0</v>
      </c>
      <c r="O131" s="956">
        <f>IF(OR(C131="m",C131="aa"),N131,IF(C131="cp",0,IF(OR(C131="css",C131="jc"),0,IF(C131="f",0,E131-C131+I131-G131+M131-K131))))</f>
        <v>0</v>
      </c>
      <c r="P131" s="956">
        <f t="shared" si="222"/>
        <v>0</v>
      </c>
      <c r="Q131" s="956">
        <f t="shared" si="223"/>
        <v>0</v>
      </c>
      <c r="R131" s="957">
        <f>IF(OR(C131="aa",C131="cp",C131="f",C131="jc",C131="m",C131="css"),0,IF(C131=0,MAX(B131,D131,F131,H131,J131,L131)-MIN(B131,D131,F131,H131,J131,L131),IF(C131&lt;&gt;0,MAX(C131,E131,G131,I131,K131,M131)-MIN(C131,E131,G131,I131,K131,M131))))</f>
        <v>0</v>
      </c>
      <c r="S131" s="262"/>
      <c r="T131" s="958" t="str">
        <f t="shared" si="239"/>
        <v/>
      </c>
      <c r="U131" s="959" t="str">
        <f>IF(P131=0,"",IF(P131&lt;Paramétrage!$S$12,"PB",IF(AND(Q131&lt;Paramétrage!$S$12,Q131&lt;&gt;0),"PB","")))</f>
        <v/>
      </c>
      <c r="V131" s="959" t="str">
        <f t="shared" si="226"/>
        <v/>
      </c>
      <c r="W131" s="959" t="str">
        <f t="shared" si="227"/>
        <v/>
      </c>
      <c r="X131" s="960" t="str">
        <f>IF(AND(N131=0,O131=0),"",(IF(OR(C131="aa",C131="cp",C131="f",C131="jc",C131="m",C131="css"),"",IF(C131="",IF(OR(D131-B131&gt;6/24,H131-F131&gt;6/24,L131-J131&gt;6/24),"PB",""),IF(OR(E131-C131&gt;6/24,I131-G131&gt;6/24,M131-K131&gt;6/24),"PB","")))))</f>
        <v/>
      </c>
      <c r="Y131" s="959" t="str">
        <f t="shared" si="229"/>
        <v/>
      </c>
      <c r="Z131" s="836"/>
      <c r="AA131" s="837"/>
      <c r="AC131" s="934">
        <f t="shared" si="231"/>
        <v>42967</v>
      </c>
      <c r="AD131" s="961">
        <f>IF(AND(N(AC131)&gt;=Paramétrage!$AU$11,N(AC131)&lt;=Paramétrage!$AU$12),IF(C131="cp",1,0),0)</f>
        <v>0</v>
      </c>
      <c r="AE131" s="962">
        <f t="shared" si="230"/>
        <v>0</v>
      </c>
      <c r="AF131" s="961">
        <f>IF(AND(N(AC131)&gt;=Paramétrage!$AX$11,N(AC131)&lt;=Paramétrage!$AX$12),IF(C131="cp",1,0),0)</f>
        <v>0</v>
      </c>
      <c r="AG131" s="962">
        <f t="shared" si="232"/>
        <v>0</v>
      </c>
      <c r="AI131" s="962">
        <f t="shared" si="233"/>
        <v>0</v>
      </c>
      <c r="AJ131" s="962">
        <f t="shared" si="234"/>
        <v>0</v>
      </c>
      <c r="AM131" s="962"/>
      <c r="AN131" s="962"/>
      <c r="AO131" s="962"/>
      <c r="AP131" s="962"/>
    </row>
    <row r="132" spans="1:45" ht="17.25" thickBot="1" x14ac:dyDescent="0.35">
      <c r="A132" s="966" t="s">
        <v>20</v>
      </c>
      <c r="B132" s="15" t="b">
        <f>IF(Paramétrage!$O$48="",FALSE,Paramétrage!$O$48)</f>
        <v>0</v>
      </c>
      <c r="C132" s="263"/>
      <c r="D132" s="16" t="b">
        <f>IF(Paramétrage!$Q$48="",FALSE,Paramétrage!$Q$48)</f>
        <v>0</v>
      </c>
      <c r="E132" s="264"/>
      <c r="F132" s="15" t="b">
        <f>IF(Paramétrage!$R$48="",FALSE,Paramétrage!$R$48)</f>
        <v>0</v>
      </c>
      <c r="G132" s="264"/>
      <c r="H132" s="17" t="b">
        <f>IF(Paramétrage!$T$48="",FALSE,Paramétrage!$T$48)</f>
        <v>0</v>
      </c>
      <c r="I132" s="263"/>
      <c r="J132" s="127" t="b">
        <f>IF(Paramétrage!$U$48="",FALSE,Paramétrage!$U$48)</f>
        <v>0</v>
      </c>
      <c r="K132" s="263"/>
      <c r="L132" s="28" t="b">
        <f>IF(Paramétrage!$W$48="",FALSE,Paramétrage!$W$48)</f>
        <v>0</v>
      </c>
      <c r="M132" s="263"/>
      <c r="N132" s="956">
        <f>IF(OR(B132="aa",B132="m"),M132,IF(B132="cp",0,IF(B132="jc",0,IF(B132="f",0,(D132-B132)*Paramétrage!$S$13+(H132-F132)*Paramétrage!$S$13+(L132-J132)*Paramétrage!$S$13+(D132-B132+H132-F132+L132-J132)))))</f>
        <v>0</v>
      </c>
      <c r="O132" s="956">
        <f>IF(OR(C132="aa",C132="m"),N132,IF(C132="cp",0,IF(C132="jc",0,IF(C132="f",0,(E132-C132)*Paramétrage!$S$13+(I132-G132)*Paramétrage!$S$13+(M132-K132)*Paramétrage!$S$13+(E132-C132+I132-G132+M132-K132)))))</f>
        <v>0</v>
      </c>
      <c r="P132" s="956">
        <f t="shared" si="222"/>
        <v>0</v>
      </c>
      <c r="Q132" s="956">
        <f t="shared" si="223"/>
        <v>0</v>
      </c>
      <c r="R132" s="957">
        <f t="shared" ref="R132" si="240">IF(OR(C132="aa",C132="cp",C132="f",C132="jc",C132="m",C132=0),MAX(B132,D132,F132,H132,J132,L132)-MIN(B132,D132,F132,H132,J132,L132),IF(C132&lt;&gt;0,MAX(C132,E132,G132,I132,K132,M132)-MIN(C132,E132,G132,I132,K132,M132)))</f>
        <v>0</v>
      </c>
      <c r="S132" s="262"/>
      <c r="T132" s="958" t="str">
        <f t="shared" si="239"/>
        <v/>
      </c>
      <c r="U132" s="959" t="str">
        <f>IF(P132=0,"",IF(P132&lt;Paramétrage!$S$12,"PB",IF(AND(Q132&lt;Paramétrage!$S$12,Q132&lt;&gt;0),"PB","")))</f>
        <v/>
      </c>
      <c r="V132" s="959" t="str">
        <f t="shared" si="226"/>
        <v/>
      </c>
      <c r="W132" s="959" t="str">
        <f t="shared" si="227"/>
        <v/>
      </c>
      <c r="X132" s="960" t="str">
        <f t="shared" ref="X132" si="241">IF(AND(N132=0,O132=0),"",(IF(OR(C132="aa",C132="cp",C132="f",C132="jc",C132="m"),"",IF(C132="",IF(OR(D132-B132&gt;6/24,H132-F132&gt;6/24,L132-J132&gt;6/24),"PB",""),IF(OR(E132-C132&gt;6/24,I132-G132&gt;6/24,M132-K132&gt;6/24),"PB","")))))</f>
        <v/>
      </c>
      <c r="Y132" s="959" t="str">
        <f t="shared" si="229"/>
        <v/>
      </c>
      <c r="Z132" s="836"/>
      <c r="AA132" s="837"/>
      <c r="AC132" s="934">
        <f t="shared" si="231"/>
        <v>42968</v>
      </c>
      <c r="AD132" s="961">
        <f>IF(AND(N(AC132)&gt;=Paramétrage!$AU$11,N(AC132)&lt;=Paramétrage!$AU$12),IF(C132="cp",1,0),0)</f>
        <v>0</v>
      </c>
      <c r="AE132" s="962">
        <f t="shared" si="230"/>
        <v>0</v>
      </c>
      <c r="AF132" s="961">
        <f>IF(AND(N(AC132)&gt;=Paramétrage!$AX$11,N(AC132)&lt;=Paramétrage!$AX$12),IF(C132="cp",1,0),0)</f>
        <v>0</v>
      </c>
      <c r="AG132" s="962">
        <f t="shared" si="232"/>
        <v>0</v>
      </c>
      <c r="AI132" s="962">
        <f t="shared" si="233"/>
        <v>0</v>
      </c>
      <c r="AJ132" s="962">
        <f t="shared" si="234"/>
        <v>0</v>
      </c>
      <c r="AM132" s="962"/>
      <c r="AN132" s="962"/>
      <c r="AO132" s="962"/>
      <c r="AP132" s="962"/>
    </row>
    <row r="133" spans="1:45" s="935" customFormat="1" x14ac:dyDescent="0.25">
      <c r="A133" s="969" t="s">
        <v>56</v>
      </c>
      <c r="B133" s="970"/>
      <c r="C133" s="970"/>
      <c r="D133" s="970"/>
      <c r="E133" s="970"/>
      <c r="F133" s="970"/>
      <c r="G133" s="970"/>
      <c r="H133" s="970"/>
      <c r="I133" s="970"/>
      <c r="J133" s="970"/>
      <c r="K133" s="971"/>
      <c r="L133" s="970"/>
      <c r="M133" s="970"/>
      <c r="N133" s="972">
        <f>SUM(N126:N132)</f>
        <v>0</v>
      </c>
      <c r="O133" s="972">
        <f>SUM(O126:O132)</f>
        <v>0</v>
      </c>
      <c r="P133" s="972">
        <f>SUM(P126:P132)</f>
        <v>0</v>
      </c>
      <c r="Q133" s="972">
        <f>SUM(Q126:Q132)</f>
        <v>0</v>
      </c>
      <c r="R133" s="972"/>
      <c r="S133" s="972"/>
      <c r="T133" s="973"/>
      <c r="U133" s="974"/>
      <c r="V133" s="975" t="str">
        <f>IF((O133*24)&gt;48,"PB","")</f>
        <v/>
      </c>
      <c r="W133" s="974"/>
      <c r="X133" s="974"/>
      <c r="Y133" s="974"/>
      <c r="Z133" s="1053" t="s">
        <v>59</v>
      </c>
      <c r="AA133" s="1055">
        <f>+O133-N133</f>
        <v>0</v>
      </c>
      <c r="AB133" s="967"/>
      <c r="AC133" s="934"/>
      <c r="AE133" s="917"/>
      <c r="AF133" s="917"/>
      <c r="AG133" s="917"/>
      <c r="AH133" s="917"/>
      <c r="AI133" s="917"/>
      <c r="AJ133" s="917"/>
      <c r="AK133" s="917"/>
      <c r="AL133" s="917"/>
      <c r="AM133" s="917"/>
      <c r="AN133" s="917"/>
      <c r="AO133" s="917"/>
      <c r="AP133" s="917"/>
      <c r="AR133" s="917"/>
      <c r="AS133" s="917"/>
    </row>
    <row r="134" spans="1:45" s="935" customFormat="1" x14ac:dyDescent="0.25">
      <c r="A134" s="969"/>
      <c r="B134" s="969"/>
      <c r="C134" s="969"/>
      <c r="D134" s="969"/>
      <c r="E134" s="969"/>
      <c r="F134" s="1052"/>
      <c r="G134" s="1052"/>
      <c r="H134" s="1052"/>
      <c r="I134" s="1052"/>
      <c r="J134" s="1052"/>
      <c r="K134" s="969"/>
      <c r="L134" s="969"/>
      <c r="M134" s="969"/>
      <c r="N134" s="973"/>
      <c r="O134" s="969"/>
      <c r="P134" s="980"/>
      <c r="Q134" s="980"/>
      <c r="R134" s="980"/>
      <c r="S134" s="981"/>
      <c r="T134" s="980"/>
      <c r="U134" s="980"/>
      <c r="V134" s="980"/>
      <c r="W134" s="980"/>
      <c r="X134" s="980"/>
      <c r="Y134" s="980"/>
      <c r="Z134" s="1053"/>
      <c r="AA134" s="1055"/>
      <c r="AC134" s="934"/>
      <c r="AE134" s="917"/>
      <c r="AF134" s="917"/>
      <c r="AG134" s="917"/>
      <c r="AH134" s="917"/>
      <c r="AI134" s="917"/>
      <c r="AJ134" s="917"/>
      <c r="AK134" s="917"/>
      <c r="AL134" s="917"/>
      <c r="AM134" s="917"/>
      <c r="AN134" s="917"/>
      <c r="AO134" s="917"/>
      <c r="AP134" s="917"/>
      <c r="AR134" s="917"/>
      <c r="AS134" s="917"/>
    </row>
    <row r="135" spans="1:45" s="935" customFormat="1" ht="16.5" x14ac:dyDescent="0.3">
      <c r="A135" s="969"/>
      <c r="B135" s="969"/>
      <c r="C135" s="969"/>
      <c r="D135" s="969"/>
      <c r="E135" s="969"/>
      <c r="F135" s="928">
        <f>+F123+7</f>
        <v>42969</v>
      </c>
      <c r="G135" s="928"/>
      <c r="H135" s="929" t="s">
        <v>58</v>
      </c>
      <c r="I135" s="928">
        <f>+F135+6</f>
        <v>42975</v>
      </c>
      <c r="J135" s="930"/>
      <c r="K135" s="969"/>
      <c r="L135" s="969"/>
      <c r="M135" s="969"/>
      <c r="N135" s="973"/>
      <c r="O135" s="969"/>
      <c r="P135" s="980"/>
      <c r="Q135" s="980"/>
      <c r="R135" s="980"/>
      <c r="S135" s="981"/>
      <c r="T135" s="980"/>
      <c r="U135" s="980"/>
      <c r="V135" s="980"/>
      <c r="W135" s="980"/>
      <c r="X135" s="980"/>
      <c r="Y135" s="980"/>
      <c r="Z135" s="1053"/>
      <c r="AA135" s="1054"/>
      <c r="AC135" s="934"/>
      <c r="AE135" s="917"/>
      <c r="AF135" s="917"/>
      <c r="AG135" s="917"/>
      <c r="AH135" s="917"/>
      <c r="AI135" s="917"/>
      <c r="AJ135" s="917"/>
      <c r="AK135" s="917"/>
      <c r="AL135" s="917"/>
      <c r="AM135" s="917"/>
      <c r="AN135" s="917"/>
      <c r="AO135" s="917"/>
      <c r="AP135" s="917"/>
      <c r="AR135" s="917"/>
      <c r="AS135" s="917"/>
    </row>
    <row r="136" spans="1:45" ht="14.45" customHeight="1" x14ac:dyDescent="0.25">
      <c r="A136" s="994"/>
      <c r="B136" s="938" t="s">
        <v>17</v>
      </c>
      <c r="C136" s="938"/>
      <c r="D136" s="938" t="s">
        <v>18</v>
      </c>
      <c r="E136" s="938"/>
      <c r="F136" s="938" t="s">
        <v>17</v>
      </c>
      <c r="G136" s="938"/>
      <c r="H136" s="938" t="s">
        <v>18</v>
      </c>
      <c r="I136" s="938"/>
      <c r="J136" s="938" t="s">
        <v>17</v>
      </c>
      <c r="K136" s="938"/>
      <c r="L136" s="938" t="s">
        <v>18</v>
      </c>
      <c r="M136" s="938"/>
      <c r="N136" s="939" t="s">
        <v>61</v>
      </c>
      <c r="O136" s="939" t="s">
        <v>62</v>
      </c>
      <c r="P136" s="939" t="s">
        <v>60</v>
      </c>
      <c r="Q136" s="939" t="s">
        <v>63</v>
      </c>
      <c r="R136" s="939" t="s">
        <v>64</v>
      </c>
      <c r="S136" s="940" t="s">
        <v>223</v>
      </c>
      <c r="T136" s="939" t="s">
        <v>70</v>
      </c>
      <c r="U136" s="941" t="s">
        <v>65</v>
      </c>
      <c r="V136" s="942"/>
      <c r="W136" s="942"/>
      <c r="X136" s="942"/>
      <c r="Y136" s="943"/>
      <c r="Z136" s="944" t="s">
        <v>22</v>
      </c>
      <c r="AA136" s="944"/>
      <c r="AC136" s="934"/>
    </row>
    <row r="137" spans="1:45" ht="26.25" thickBot="1" x14ac:dyDescent="0.4">
      <c r="A137" s="937" t="str">
        <f>"S"&amp;WEEKNUM(F135,21)</f>
        <v>S34</v>
      </c>
      <c r="B137" s="949" t="s">
        <v>0</v>
      </c>
      <c r="C137" s="950" t="s">
        <v>1</v>
      </c>
      <c r="D137" s="949" t="s">
        <v>0</v>
      </c>
      <c r="E137" s="950" t="s">
        <v>1</v>
      </c>
      <c r="F137" s="949" t="s">
        <v>0</v>
      </c>
      <c r="G137" s="950" t="s">
        <v>1</v>
      </c>
      <c r="H137" s="949" t="s">
        <v>0</v>
      </c>
      <c r="I137" s="950" t="s">
        <v>1</v>
      </c>
      <c r="J137" s="949" t="s">
        <v>0</v>
      </c>
      <c r="K137" s="950" t="s">
        <v>1</v>
      </c>
      <c r="L137" s="949" t="s">
        <v>0</v>
      </c>
      <c r="M137" s="950" t="s">
        <v>1</v>
      </c>
      <c r="N137" s="951"/>
      <c r="O137" s="951"/>
      <c r="P137" s="951"/>
      <c r="Q137" s="951"/>
      <c r="R137" s="951"/>
      <c r="S137" s="951"/>
      <c r="T137" s="939"/>
      <c r="U137" s="952" t="s">
        <v>66</v>
      </c>
      <c r="V137" s="952" t="s">
        <v>67</v>
      </c>
      <c r="W137" s="952" t="s">
        <v>68</v>
      </c>
      <c r="X137" s="952" t="s">
        <v>137</v>
      </c>
      <c r="Y137" s="952" t="s">
        <v>69</v>
      </c>
      <c r="Z137" s="944"/>
      <c r="AA137" s="944"/>
      <c r="AC137" s="934"/>
      <c r="AM137" s="917" t="s">
        <v>274</v>
      </c>
    </row>
    <row r="138" spans="1:45" ht="16.5" x14ac:dyDescent="0.3">
      <c r="A138" s="955" t="s">
        <v>12</v>
      </c>
      <c r="B138" s="15" t="b">
        <f>IF(Paramétrage!$O$42="",FALSE,Paramétrage!$O$42)</f>
        <v>0</v>
      </c>
      <c r="C138" s="263"/>
      <c r="D138" s="16" t="b">
        <f>IF(Paramétrage!$Q$42="",FALSE,Paramétrage!$Q$42)</f>
        <v>0</v>
      </c>
      <c r="E138" s="264"/>
      <c r="F138" s="15" t="b">
        <f>IF(Paramétrage!$R$42="",FALSE,Paramétrage!$R$42)</f>
        <v>0</v>
      </c>
      <c r="G138" s="264"/>
      <c r="H138" s="17" t="b">
        <f>IF(Paramétrage!$T$42="",FALSE,Paramétrage!$T$42)</f>
        <v>0</v>
      </c>
      <c r="I138" s="263"/>
      <c r="J138" s="127" t="b">
        <f>IF(Paramétrage!$U$42="",FALSE,Paramétrage!$U$42)</f>
        <v>0</v>
      </c>
      <c r="K138" s="263"/>
      <c r="L138" s="28" t="b">
        <f>IF(Paramétrage!$W$42="",FALSE,Paramétrage!$W$42)</f>
        <v>0</v>
      </c>
      <c r="M138" s="263"/>
      <c r="N138" s="956">
        <f t="shared" ref="N138:N140" si="242">IF(OR(B138="aa",B138="cp",B138="f",B138="jc",B138="m",B138="css"),0,(L138-J138)+(H138-F138)+(D138-B138))</f>
        <v>0</v>
      </c>
      <c r="O138" s="956">
        <f t="shared" ref="O138:O140" si="243">SUM(AM138:AP138)+IF(OR(C138="m",C138="aa"),N138,IF(C138="css",0,IF(C138="cp",0,IF(C138="jc",0,IF(C138="f",0,E138-C138+I138-G138+M138-K138)))))</f>
        <v>0</v>
      </c>
      <c r="P138" s="956">
        <f t="shared" ref="P138:P144" si="244">IF(OR(C138="aa",C138="cp",C138="f",C138="jc",C138="m",C138="css"),0,IF(C138="",IF(OR(F138="",F138=FALSE),0,F138-D138),IF(G138="",0,G138-E138)))</f>
        <v>0</v>
      </c>
      <c r="Q138" s="956">
        <f t="shared" ref="Q138:Q144" si="245">IF(P138=0,0,IF(G138="",IF(OR(J138="",J138=FALSE),0,J138-H138),IF(K138="",0,K138-I138)))</f>
        <v>0</v>
      </c>
      <c r="R138" s="957">
        <f t="shared" ref="R138:R140" si="246">IF(OR(C138="aa",C138="cp",C138="f",C138="jc",C138="m",C138="css"),0,IF(C138=0,MAX(B138,D138,F138,H138,J138,L138)-MIN(B138,D138,F138,H138,J138,L138),IF(C138&lt;&gt;0,MAX(C138,E138,G138,I138,K138,M138)-MIN(C138,E138,G138,I138,K138,M138))))</f>
        <v>0</v>
      </c>
      <c r="S138" s="262"/>
      <c r="T138" s="958" t="str">
        <f t="shared" ref="T138:T139" si="247">IF(AND(B138=FALSE,C138=""),"",IF(AND(B138=0,C138=0),"",(IF(OR(C138="cp",C138="f",C138="jc",C138="css"),"",IF(OR(C138="",C138="aa",C138="m"),(IF(OR(B138="cp",B138="f",B138="jc",B138="css"),"",B138*24+24-MAX(D137,H137,L137)*24)),C138*24+24-MAX(M137,I137,E137)*24)))))</f>
        <v/>
      </c>
      <c r="U138" s="959" t="str">
        <f>IF(P138=0,"",IF(P138&lt;Paramétrage!$S$12,"PB",IF(AND(Q138&lt;Paramétrage!$S$12,Q138&lt;&gt;0),"PB","")))</f>
        <v/>
      </c>
      <c r="V138" s="959" t="str">
        <f t="shared" ref="V138:V144" si="248">IF(C138="",IF((N138*24)&gt;10,"PB",""),IF((O138*24)&gt;10,"PB",""))</f>
        <v/>
      </c>
      <c r="W138" s="959" t="str">
        <f t="shared" ref="W138:W144" si="249">IF((R138*24)&gt;12,"PB","")</f>
        <v/>
      </c>
      <c r="X138" s="960" t="str">
        <f t="shared" ref="X138:X140" si="250">IF(AND(N138=0,O138=0),"",(IF(OR(C138="aa",C138="cp",C138="f",C138="jc",C138="m",C138="css"),"",IF(C138="",IF(OR(D138-B138&gt;6/24,H138-F138&gt;6/24,L138-J138&gt;6/24),"PB",""),IF(OR(E138-C138&gt;6/24,I138-G138&gt;6/24,M138-K138&gt;6/24),"PB","")))))</f>
        <v/>
      </c>
      <c r="Y138" s="959" t="str">
        <f t="shared" ref="Y138:Y144" si="251">IF(T138="","",IF(T138&lt;11,"PB",""))</f>
        <v/>
      </c>
      <c r="Z138" s="836"/>
      <c r="AA138" s="837"/>
      <c r="AC138" s="934">
        <f>AC132+1</f>
        <v>42969</v>
      </c>
      <c r="AD138" s="961">
        <f>IF(AND(N(AC138)&gt;=Paramétrage!$AU$11,N(AC138)&lt;=Paramétrage!$AU$12),IF(C138="cp",1,0),0)</f>
        <v>0</v>
      </c>
      <c r="AE138" s="962">
        <f t="shared" ref="AE138:AE144" si="252">IF(O138&lt;&gt;"erreur",N138,O138)</f>
        <v>0</v>
      </c>
      <c r="AF138" s="961">
        <f>IF(AND(N(AC138)&gt;=Paramétrage!$AX$11,N(AC138)&lt;=Paramétrage!$AX$12),IF(C138="cp",1,0),0)</f>
        <v>0</v>
      </c>
      <c r="AG138" s="962">
        <f t="shared" ref="AG138:AG144" si="253">O138</f>
        <v>0</v>
      </c>
      <c r="AI138" s="962">
        <f>AE138+AI132</f>
        <v>0</v>
      </c>
      <c r="AJ138" s="962">
        <f>AG138+AJ132</f>
        <v>0</v>
      </c>
      <c r="AM138" s="962">
        <f>IF(AND($B138="cp",$C138="m"),$Z138,0)</f>
        <v>0</v>
      </c>
      <c r="AN138" s="962">
        <f>IF(AND($B138="jc",$C138="m"),$Z138,0)</f>
        <v>0</v>
      </c>
      <c r="AO138" s="962">
        <f>IF(AND($B138="cp",$C138="aa"),$Z138,0)</f>
        <v>0</v>
      </c>
      <c r="AP138" s="962">
        <f>IF(AND($B138="jc",$C138="aa"),$Z138,0)</f>
        <v>0</v>
      </c>
      <c r="AR138" s="917">
        <f>IF(AND(AC138&lt;=$AR$3,B138="CP"),1,0)</f>
        <v>0</v>
      </c>
      <c r="AS138" s="917">
        <f>IF(AND(AC138&lt;=$AR$3,C138="CP"),1,0)</f>
        <v>0</v>
      </c>
    </row>
    <row r="139" spans="1:45" ht="16.5" x14ac:dyDescent="0.3">
      <c r="A139" s="964" t="s">
        <v>13</v>
      </c>
      <c r="B139" s="15" t="b">
        <f>IF(Paramétrage!$O$43="",FALSE,Paramétrage!$O$43)</f>
        <v>0</v>
      </c>
      <c r="C139" s="263"/>
      <c r="D139" s="16" t="b">
        <f>IF(Paramétrage!$Q$43="",FALSE,Paramétrage!$Q$43)</f>
        <v>0</v>
      </c>
      <c r="E139" s="264"/>
      <c r="F139" s="15" t="b">
        <f>IF(Paramétrage!$R$43="",FALSE,Paramétrage!$R$43)</f>
        <v>0</v>
      </c>
      <c r="G139" s="264"/>
      <c r="H139" s="17" t="b">
        <f>IF(Paramétrage!$T$43="",FALSE,Paramétrage!$T$43)</f>
        <v>0</v>
      </c>
      <c r="I139" s="263"/>
      <c r="J139" s="127" t="b">
        <f>IF(Paramétrage!$U$43="",FALSE,Paramétrage!$U$43)</f>
        <v>0</v>
      </c>
      <c r="K139" s="263"/>
      <c r="L139" s="28" t="b">
        <f>IF(Paramétrage!$W$43="",FALSE,Paramétrage!$W$43)</f>
        <v>0</v>
      </c>
      <c r="M139" s="263"/>
      <c r="N139" s="956">
        <f t="shared" si="242"/>
        <v>0</v>
      </c>
      <c r="O139" s="956">
        <f t="shared" si="243"/>
        <v>0</v>
      </c>
      <c r="P139" s="956">
        <f t="shared" si="244"/>
        <v>0</v>
      </c>
      <c r="Q139" s="956">
        <f t="shared" si="245"/>
        <v>0</v>
      </c>
      <c r="R139" s="957">
        <f t="shared" si="246"/>
        <v>0</v>
      </c>
      <c r="S139" s="262"/>
      <c r="T139" s="958" t="str">
        <f t="shared" si="247"/>
        <v/>
      </c>
      <c r="U139" s="959" t="str">
        <f>IF(P139=0,"",IF(P139&lt;Paramétrage!$S$12,"PB",IF(AND(Q139&lt;Paramétrage!$S$12,Q139&lt;&gt;0),"PB","")))</f>
        <v/>
      </c>
      <c r="V139" s="959" t="str">
        <f t="shared" si="248"/>
        <v/>
      </c>
      <c r="W139" s="959" t="str">
        <f t="shared" si="249"/>
        <v/>
      </c>
      <c r="X139" s="960" t="str">
        <f t="shared" si="250"/>
        <v/>
      </c>
      <c r="Y139" s="959" t="str">
        <f t="shared" si="251"/>
        <v/>
      </c>
      <c r="Z139" s="836"/>
      <c r="AA139" s="837"/>
      <c r="AC139" s="934">
        <f t="shared" ref="AC139:AC144" si="254">AC138+1</f>
        <v>42970</v>
      </c>
      <c r="AD139" s="961">
        <f>IF(AND(N(AC139)&gt;=Paramétrage!$AU$11,N(AC139)&lt;=Paramétrage!$AU$12),IF(C139="cp",1,0),0)</f>
        <v>0</v>
      </c>
      <c r="AE139" s="962">
        <f t="shared" si="252"/>
        <v>0</v>
      </c>
      <c r="AF139" s="961">
        <f>IF(AND(N(AC139)&gt;=Paramétrage!$AX$11,N(AC139)&lt;=Paramétrage!$AX$12),IF(C139="cp",1,0),0)</f>
        <v>0</v>
      </c>
      <c r="AG139" s="962">
        <f t="shared" si="253"/>
        <v>0</v>
      </c>
      <c r="AI139" s="962">
        <f t="shared" ref="AI139:AI144" si="255">AE139+AI138</f>
        <v>0</v>
      </c>
      <c r="AJ139" s="962">
        <f t="shared" ref="AJ139:AJ144" si="256">AG139+AJ138</f>
        <v>0</v>
      </c>
      <c r="AM139" s="962">
        <f t="shared" ref="AM139:AM142" si="257">IF(AND($B139="cp",$C139="m"),$Z139,0)</f>
        <v>0</v>
      </c>
      <c r="AN139" s="962">
        <f t="shared" ref="AN139:AN142" si="258">IF(AND($B139="jc",$C139="m"),$Z139,0)</f>
        <v>0</v>
      </c>
      <c r="AO139" s="962">
        <f t="shared" ref="AO139:AO142" si="259">IF(AND($B139="cp",$C139="aa"),$Z139,0)</f>
        <v>0</v>
      </c>
      <c r="AP139" s="962">
        <f t="shared" ref="AP139:AP142" si="260">IF(AND($B139="jc",$C139="aa"),$Z139,0)</f>
        <v>0</v>
      </c>
      <c r="AR139" s="917">
        <f>IF(AND(AC139&lt;=$AR$3,B139="CP"),1,0)</f>
        <v>0</v>
      </c>
      <c r="AS139" s="917">
        <f>IF(AND(AC139&lt;=$AR$3,C139="CP"),1,0)</f>
        <v>0</v>
      </c>
    </row>
    <row r="140" spans="1:45" ht="16.5" x14ac:dyDescent="0.3">
      <c r="A140" s="964" t="s">
        <v>14</v>
      </c>
      <c r="B140" s="15" t="b">
        <f>IF(Paramétrage!$O$44="",FALSE,Paramétrage!$O$44)</f>
        <v>0</v>
      </c>
      <c r="C140" s="263"/>
      <c r="D140" s="16" t="b">
        <f>IF(Paramétrage!$Q$44="",FALSE,Paramétrage!$Q$44)</f>
        <v>0</v>
      </c>
      <c r="E140" s="264"/>
      <c r="F140" s="15" t="b">
        <f>IF(Paramétrage!$R$44="",FALSE,Paramétrage!$R$44)</f>
        <v>0</v>
      </c>
      <c r="G140" s="264"/>
      <c r="H140" s="17" t="b">
        <f>IF(Paramétrage!$T$44="",FALSE,Paramétrage!$T$44)</f>
        <v>0</v>
      </c>
      <c r="I140" s="263"/>
      <c r="J140" s="127" t="b">
        <f>IF(Paramétrage!$U$44="",FALSE,Paramétrage!$U$44)</f>
        <v>0</v>
      </c>
      <c r="K140" s="263"/>
      <c r="L140" s="28" t="b">
        <f>IF(Paramétrage!$W$44="",FALSE,Paramétrage!$W$44)</f>
        <v>0</v>
      </c>
      <c r="M140" s="263"/>
      <c r="N140" s="956">
        <f t="shared" si="242"/>
        <v>0</v>
      </c>
      <c r="O140" s="956">
        <f t="shared" si="243"/>
        <v>0</v>
      </c>
      <c r="P140" s="956">
        <f t="shared" si="244"/>
        <v>0</v>
      </c>
      <c r="Q140" s="956">
        <f t="shared" si="245"/>
        <v>0</v>
      </c>
      <c r="R140" s="957">
        <f t="shared" si="246"/>
        <v>0</v>
      </c>
      <c r="S140" s="262"/>
      <c r="T140" s="958" t="str">
        <f>IF(AND(B140=FALSE,C140=""),"",IF(AND(B140=0,C140=0),"",(IF(OR(C140="cp",C140="f",C140="jc",C140="css"),"",IF(OR(C140="",C140="aa",C140="m"),(IF(OR(B140="cp",B140="f",B140="jc",B140="css"),"",B140*24+24-MAX(D139,H139,L139)*24)),C140*24+24-MAX(M139,I139,E139)*24)))))</f>
        <v/>
      </c>
      <c r="U140" s="959" t="str">
        <f>IF(P140=0,"",IF(P140&lt;Paramétrage!$S$12,"PB",IF(AND(Q140&lt;Paramétrage!$S$12,Q140&lt;&gt;0),"PB","")))</f>
        <v/>
      </c>
      <c r="V140" s="959" t="str">
        <f t="shared" si="248"/>
        <v/>
      </c>
      <c r="W140" s="959" t="str">
        <f t="shared" si="249"/>
        <v/>
      </c>
      <c r="X140" s="960" t="str">
        <f t="shared" si="250"/>
        <v/>
      </c>
      <c r="Y140" s="959" t="str">
        <f t="shared" si="251"/>
        <v/>
      </c>
      <c r="Z140" s="836"/>
      <c r="AA140" s="837"/>
      <c r="AC140" s="934">
        <f t="shared" si="254"/>
        <v>42971</v>
      </c>
      <c r="AD140" s="961">
        <f>IF(AND(N(AC140)&gt;=Paramétrage!$AU$11,N(AC140)&lt;=Paramétrage!$AU$12),IF(C140="cp",1,0),0)</f>
        <v>0</v>
      </c>
      <c r="AE140" s="962">
        <f t="shared" si="252"/>
        <v>0</v>
      </c>
      <c r="AF140" s="961">
        <f>IF(AND(N(AC140)&gt;=Paramétrage!$AX$11,N(AC140)&lt;=Paramétrage!$AX$12),IF(C140="cp",1,0),0)</f>
        <v>0</v>
      </c>
      <c r="AG140" s="962">
        <f t="shared" si="253"/>
        <v>0</v>
      </c>
      <c r="AI140" s="962">
        <f t="shared" si="255"/>
        <v>0</v>
      </c>
      <c r="AJ140" s="962">
        <f t="shared" si="256"/>
        <v>0</v>
      </c>
      <c r="AM140" s="962">
        <f t="shared" si="257"/>
        <v>0</v>
      </c>
      <c r="AN140" s="962">
        <f t="shared" si="258"/>
        <v>0</v>
      </c>
      <c r="AO140" s="962">
        <f t="shared" si="259"/>
        <v>0</v>
      </c>
      <c r="AP140" s="962">
        <f t="shared" si="260"/>
        <v>0</v>
      </c>
      <c r="AR140" s="917">
        <f>IF(AND(AC140&lt;=$AR$3,B140="CP"),1,0)</f>
        <v>0</v>
      </c>
      <c r="AS140" s="917">
        <f>IF(AND(AC140&lt;=$AR$3,C140="CP"),1,0)</f>
        <v>0</v>
      </c>
    </row>
    <row r="141" spans="1:45" ht="16.5" x14ac:dyDescent="0.3">
      <c r="A141" s="964" t="s">
        <v>15</v>
      </c>
      <c r="B141" s="15" t="b">
        <f>IF(Paramétrage!$O$45="",FALSE,Paramétrage!$O$45)</f>
        <v>0</v>
      </c>
      <c r="C141" s="263"/>
      <c r="D141" s="16" t="b">
        <f>IF(Paramétrage!$Q$45="",FALSE,Paramétrage!$Q$45)</f>
        <v>0</v>
      </c>
      <c r="E141" s="264"/>
      <c r="F141" s="15" t="b">
        <f>IF(Paramétrage!$R$45="",FALSE,Paramétrage!$R$45)</f>
        <v>0</v>
      </c>
      <c r="G141" s="264"/>
      <c r="H141" s="17" t="b">
        <f>IF(Paramétrage!$T$45="",FALSE,Paramétrage!$T$45)</f>
        <v>0</v>
      </c>
      <c r="I141" s="263"/>
      <c r="J141" s="127" t="b">
        <f>IF(Paramétrage!$U$45="",FALSE,Paramétrage!$U$45)</f>
        <v>0</v>
      </c>
      <c r="K141" s="263"/>
      <c r="L141" s="28" t="b">
        <f>IF(Paramétrage!$W$45="",FALSE,Paramétrage!$W$45)</f>
        <v>0</v>
      </c>
      <c r="M141" s="263"/>
      <c r="N141" s="956">
        <f>IF(OR(B141="aa",B141="cp",B141="f",B141="jc",B141="m",B141="css"),0,(L141-J141)+(H141-F141)+(D141-B141))</f>
        <v>0</v>
      </c>
      <c r="O141" s="956">
        <f>SUM(AM141:AP141)+IF(OR(C141="m",C141="aa"),N141,IF(C141="css",0,IF(C141="cp",0,IF(C141="jc",0,IF(C141="f",0,E141-C141+I141-G141+M141-K141)))))</f>
        <v>0</v>
      </c>
      <c r="P141" s="956">
        <f t="shared" si="244"/>
        <v>0</v>
      </c>
      <c r="Q141" s="956">
        <f t="shared" si="245"/>
        <v>0</v>
      </c>
      <c r="R141" s="957">
        <f>IF(OR(C141="aa",C141="cp",C141="f",C141="jc",C141="m",C141="css"),0,IF(C141=0,MAX(B141,D141,F141,H141,J141,L141)-MIN(B141,D141,F141,H141,J141,L141),IF(C141&lt;&gt;0,MAX(C141,E141,G141,I141,K141,M141)-MIN(C141,E141,G141,I141,K141,M141))))</f>
        <v>0</v>
      </c>
      <c r="S141" s="262"/>
      <c r="T141" s="958" t="str">
        <f t="shared" ref="T141:T144" si="261">IF(AND(B141=FALSE,C141=""),"",IF(AND(B141=0,C141=0),"",(IF(OR(C141="cp",C141="f",C141="jc",C141="css"),"",IF(OR(C141="",C141="aa",C141="m"),(IF(OR(B141="cp",B141="f",B141="jc",B141="css"),"",B141*24+24-MAX(D140,H140,L140)*24)),C141*24+24-MAX(M140,I140,E140)*24)))))</f>
        <v/>
      </c>
      <c r="U141" s="959" t="str">
        <f>IF(P141=0,"",IF(P141&lt;Paramétrage!$S$12,"PB",IF(AND(Q141&lt;Paramétrage!$S$12,Q141&lt;&gt;0),"PB","")))</f>
        <v/>
      </c>
      <c r="V141" s="959" t="str">
        <f t="shared" si="248"/>
        <v/>
      </c>
      <c r="W141" s="959" t="str">
        <f t="shared" si="249"/>
        <v/>
      </c>
      <c r="X141" s="960" t="str">
        <f>IF(AND(N141=0,O141=0),"",(IF(OR(C141="aa",C141="cp",C141="f",C141="jc",C141="m",C141="css"),"",IF(C141="",IF(OR(D141-B141&gt;6/24,H141-F141&gt;6/24,L141-J141&gt;6/24),"PB",""),IF(OR(E141-C141&gt;6/24,I141-G141&gt;6/24,M141-K141&gt;6/24),"PB","")))))</f>
        <v/>
      </c>
      <c r="Y141" s="959" t="str">
        <f t="shared" si="251"/>
        <v/>
      </c>
      <c r="Z141" s="836"/>
      <c r="AA141" s="837"/>
      <c r="AC141" s="934">
        <f t="shared" si="254"/>
        <v>42972</v>
      </c>
      <c r="AD141" s="961">
        <f>IF(AND(N(AC141)&gt;=Paramétrage!$AU$11,N(AC141)&lt;=Paramétrage!$AU$12),IF(C141="cp",1,0),0)</f>
        <v>0</v>
      </c>
      <c r="AE141" s="962">
        <f t="shared" si="252"/>
        <v>0</v>
      </c>
      <c r="AF141" s="961">
        <f>IF(AND(N(AC141)&gt;=Paramétrage!$AX$11,N(AC141)&lt;=Paramétrage!$AX$12),IF(C141="cp",1,0),0)</f>
        <v>0</v>
      </c>
      <c r="AG141" s="962">
        <f t="shared" si="253"/>
        <v>0</v>
      </c>
      <c r="AI141" s="962">
        <f t="shared" si="255"/>
        <v>0</v>
      </c>
      <c r="AJ141" s="962">
        <f t="shared" si="256"/>
        <v>0</v>
      </c>
      <c r="AM141" s="962">
        <f t="shared" si="257"/>
        <v>0</v>
      </c>
      <c r="AN141" s="962">
        <f t="shared" si="258"/>
        <v>0</v>
      </c>
      <c r="AO141" s="962">
        <f t="shared" si="259"/>
        <v>0</v>
      </c>
      <c r="AP141" s="962">
        <f t="shared" si="260"/>
        <v>0</v>
      </c>
      <c r="AR141" s="917">
        <f>IF(AND(AC141&lt;=$AR$3,B141="CP"),1,0)</f>
        <v>0</v>
      </c>
      <c r="AS141" s="917">
        <f>IF(AND(AC141&lt;=$AR$3,C141="CP"),1,0)</f>
        <v>0</v>
      </c>
    </row>
    <row r="142" spans="1:45" ht="16.5" x14ac:dyDescent="0.3">
      <c r="A142" s="964" t="s">
        <v>16</v>
      </c>
      <c r="B142" s="15" t="b">
        <f>IF(Paramétrage!$O$46="",FALSE,Paramétrage!$O$46)</f>
        <v>0</v>
      </c>
      <c r="C142" s="263"/>
      <c r="D142" s="16" t="b">
        <f>IF(Paramétrage!$Q$46="",FALSE,Paramétrage!$Q$46)</f>
        <v>0</v>
      </c>
      <c r="E142" s="264"/>
      <c r="F142" s="15" t="b">
        <f>IF(Paramétrage!$R$46="",FALSE,Paramétrage!$R$46)</f>
        <v>0</v>
      </c>
      <c r="G142" s="264"/>
      <c r="H142" s="17" t="b">
        <f>IF(Paramétrage!$T$46="",FALSE,Paramétrage!$T$46)</f>
        <v>0</v>
      </c>
      <c r="I142" s="263"/>
      <c r="J142" s="127" t="b">
        <f>IF(Paramétrage!$U$46="",FALSE,Paramétrage!$U$46)</f>
        <v>0</v>
      </c>
      <c r="K142" s="263"/>
      <c r="L142" s="28" t="b">
        <f>IF(Paramétrage!$W$46="",FALSE,Paramétrage!$W$46)</f>
        <v>0</v>
      </c>
      <c r="M142" s="263"/>
      <c r="N142" s="956">
        <f>IF(OR(B142="aa",B142="cp",B142="f",B142="jc",B142="m",B142="css"),0,(L142-J142)+(H142-F142)+(D142-B142))</f>
        <v>0</v>
      </c>
      <c r="O142" s="956">
        <f>SUM(AM142:AP142)+IF(OR(C142="m",C142="aa"),N142,IF(C142="css",0,IF(C142="cp",0,IF(C142="jc",0,IF(C142="f",0,E142-C142+I142-G142+M142-K142)))))</f>
        <v>0</v>
      </c>
      <c r="P142" s="956">
        <f t="shared" si="244"/>
        <v>0</v>
      </c>
      <c r="Q142" s="956">
        <f t="shared" si="245"/>
        <v>0</v>
      </c>
      <c r="R142" s="957">
        <f>IF(OR(C142="aa",C142="cp",C142="f",C142="jc",C142="m",C142="css"),0,IF(C142=0,MAX(B142,D142,F142,H142,J142,L142)-MIN(B142,D142,F142,H142,J142,L142),IF(C142&lt;&gt;0,MAX(C142,E142,G142,I142,K142,M142)-MIN(C142,E142,G142,I142,K142,M142))))</f>
        <v>0</v>
      </c>
      <c r="S142" s="262"/>
      <c r="T142" s="958" t="str">
        <f t="shared" si="261"/>
        <v/>
      </c>
      <c r="U142" s="959" t="str">
        <f>IF(P142=0,"",IF(P142&lt;Paramétrage!$S$12,"PB",IF(AND(Q142&lt;Paramétrage!$S$12,Q142&lt;&gt;0),"PB","")))</f>
        <v/>
      </c>
      <c r="V142" s="959" t="str">
        <f t="shared" si="248"/>
        <v/>
      </c>
      <c r="W142" s="959" t="str">
        <f t="shared" si="249"/>
        <v/>
      </c>
      <c r="X142" s="960" t="str">
        <f>IF(AND(N142=0,O142=0),"",(IF(OR(C142="aa",C142="cp",C142="f",C142="jc",C142="m",C142="css"),"",IF(C142="",IF(OR(D142-B142&gt;6/24,H142-F142&gt;6/24,L142-J142&gt;6/24),"PB",""),IF(OR(E142-C142&gt;6/24,I142-G142&gt;6/24,M142-K142&gt;6/24),"PB","")))))</f>
        <v/>
      </c>
      <c r="Y142" s="959" t="str">
        <f t="shared" si="251"/>
        <v/>
      </c>
      <c r="Z142" s="836"/>
      <c r="AA142" s="837"/>
      <c r="AC142" s="934">
        <f t="shared" si="254"/>
        <v>42973</v>
      </c>
      <c r="AD142" s="961">
        <f>IF(AND(N(AC142)&gt;=Paramétrage!$AU$11,N(AC142)&lt;=Paramétrage!$AU$12),IF(C142="cp",1,0),0)</f>
        <v>0</v>
      </c>
      <c r="AE142" s="962">
        <f t="shared" si="252"/>
        <v>0</v>
      </c>
      <c r="AF142" s="961">
        <f>IF(AND(N(AC142)&gt;=Paramétrage!$AX$11,N(AC142)&lt;=Paramétrage!$AX$12),IF(C142="cp",1,0),0)</f>
        <v>0</v>
      </c>
      <c r="AG142" s="962">
        <f t="shared" si="253"/>
        <v>0</v>
      </c>
      <c r="AI142" s="962">
        <f t="shared" si="255"/>
        <v>0</v>
      </c>
      <c r="AJ142" s="962">
        <f t="shared" si="256"/>
        <v>0</v>
      </c>
      <c r="AM142" s="962">
        <f t="shared" si="257"/>
        <v>0</v>
      </c>
      <c r="AN142" s="962">
        <f t="shared" si="258"/>
        <v>0</v>
      </c>
      <c r="AO142" s="962">
        <f t="shared" si="259"/>
        <v>0</v>
      </c>
      <c r="AP142" s="962">
        <f t="shared" si="260"/>
        <v>0</v>
      </c>
      <c r="AR142" s="917">
        <f>IF(AND(AC142&lt;=$AR$3,B142="CP"),1,0)</f>
        <v>0</v>
      </c>
      <c r="AS142" s="917">
        <f>IF(AND(AC142&lt;=$AR$3,C142="CP"),1,0)</f>
        <v>0</v>
      </c>
    </row>
    <row r="143" spans="1:45" ht="16.5" x14ac:dyDescent="0.3">
      <c r="A143" s="964" t="s">
        <v>19</v>
      </c>
      <c r="B143" s="15" t="b">
        <f>IF(Paramétrage!$O$47="",FALSE,Paramétrage!$O$47)</f>
        <v>0</v>
      </c>
      <c r="C143" s="263"/>
      <c r="D143" s="16" t="b">
        <f>IF(Paramétrage!$Q$47="",FALSE,Paramétrage!$Q$47)</f>
        <v>0</v>
      </c>
      <c r="E143" s="264"/>
      <c r="F143" s="15" t="b">
        <f>IF(Paramétrage!$R$47="",FALSE,Paramétrage!$R$47)</f>
        <v>0</v>
      </c>
      <c r="G143" s="264"/>
      <c r="H143" s="17" t="b">
        <f>IF(Paramétrage!$T$47="",FALSE,Paramétrage!$T$47)</f>
        <v>0</v>
      </c>
      <c r="I143" s="263"/>
      <c r="J143" s="127" t="b">
        <f>IF(Paramétrage!$U$47="",FALSE,Paramétrage!$U$47)</f>
        <v>0</v>
      </c>
      <c r="K143" s="263"/>
      <c r="L143" s="28" t="b">
        <f>IF(Paramétrage!$W$47="",FALSE,Paramétrage!$W$47)</f>
        <v>0</v>
      </c>
      <c r="M143" s="263"/>
      <c r="N143" s="956">
        <f>IF(OR(B143="aa",B143="cp",B143="f",B143="jc",B143="m",B143="css"),0,(L143-J143)+(H143-F143)+(D143-B143))</f>
        <v>0</v>
      </c>
      <c r="O143" s="956">
        <f>IF(OR(C143="m",C143="aa"),N143,IF(C143="cp",0,IF(OR(C143="css",C143="jc"),0,IF(C143="f",0,E143-C143+I143-G143+M143-K143))))</f>
        <v>0</v>
      </c>
      <c r="P143" s="956">
        <f t="shared" si="244"/>
        <v>0</v>
      </c>
      <c r="Q143" s="956">
        <f t="shared" si="245"/>
        <v>0</v>
      </c>
      <c r="R143" s="957">
        <f>IF(OR(C143="aa",C143="cp",C143="f",C143="jc",C143="m",C143="css"),0,IF(C143=0,MAX(B143,D143,F143,H143,J143,L143)-MIN(B143,D143,F143,H143,J143,L143),IF(C143&lt;&gt;0,MAX(C143,E143,G143,I143,K143,M143)-MIN(C143,E143,G143,I143,K143,M143))))</f>
        <v>0</v>
      </c>
      <c r="S143" s="262"/>
      <c r="T143" s="958" t="str">
        <f t="shared" si="261"/>
        <v/>
      </c>
      <c r="U143" s="959" t="str">
        <f>IF(P143=0,"",IF(P143&lt;Paramétrage!$S$12,"PB",IF(AND(Q143&lt;Paramétrage!$S$12,Q143&lt;&gt;0),"PB","")))</f>
        <v/>
      </c>
      <c r="V143" s="959" t="str">
        <f t="shared" si="248"/>
        <v/>
      </c>
      <c r="W143" s="959" t="str">
        <f t="shared" si="249"/>
        <v/>
      </c>
      <c r="X143" s="960" t="str">
        <f>IF(AND(N143=0,O143=0),"",(IF(OR(C143="aa",C143="cp",C143="f",C143="jc",C143="m",C143="css"),"",IF(C143="",IF(OR(D143-B143&gt;6/24,H143-F143&gt;6/24,L143-J143&gt;6/24),"PB",""),IF(OR(E143-C143&gt;6/24,I143-G143&gt;6/24,M143-K143&gt;6/24),"PB","")))))</f>
        <v/>
      </c>
      <c r="Y143" s="959" t="str">
        <f t="shared" si="251"/>
        <v/>
      </c>
      <c r="Z143" s="836"/>
      <c r="AA143" s="837"/>
      <c r="AC143" s="934">
        <f t="shared" si="254"/>
        <v>42974</v>
      </c>
      <c r="AD143" s="961">
        <f>IF(AND(N(AC143)&gt;=Paramétrage!$AU$11,N(AC143)&lt;=Paramétrage!$AU$12),IF(C143="cp",1,0),0)</f>
        <v>0</v>
      </c>
      <c r="AE143" s="962">
        <f t="shared" si="252"/>
        <v>0</v>
      </c>
      <c r="AF143" s="961">
        <f>IF(AND(N(AC143)&gt;=Paramétrage!$AX$11,N(AC143)&lt;=Paramétrage!$AX$12),IF(C143="cp",1,0),0)</f>
        <v>0</v>
      </c>
      <c r="AG143" s="962">
        <f t="shared" si="253"/>
        <v>0</v>
      </c>
      <c r="AI143" s="962">
        <f t="shared" si="255"/>
        <v>0</v>
      </c>
      <c r="AJ143" s="962">
        <f t="shared" si="256"/>
        <v>0</v>
      </c>
      <c r="AM143" s="962"/>
      <c r="AN143" s="962"/>
      <c r="AO143" s="962"/>
      <c r="AP143" s="962"/>
    </row>
    <row r="144" spans="1:45" ht="17.25" thickBot="1" x14ac:dyDescent="0.35">
      <c r="A144" s="966" t="s">
        <v>20</v>
      </c>
      <c r="B144" s="15" t="b">
        <f>IF(Paramétrage!$O$48="",FALSE,Paramétrage!$O$48)</f>
        <v>0</v>
      </c>
      <c r="C144" s="263"/>
      <c r="D144" s="16" t="b">
        <f>IF(Paramétrage!$Q$48="",FALSE,Paramétrage!$Q$48)</f>
        <v>0</v>
      </c>
      <c r="E144" s="264"/>
      <c r="F144" s="15" t="b">
        <f>IF(Paramétrage!$R$48="",FALSE,Paramétrage!$R$48)</f>
        <v>0</v>
      </c>
      <c r="G144" s="264"/>
      <c r="H144" s="17" t="b">
        <f>IF(Paramétrage!$T$48="",FALSE,Paramétrage!$T$48)</f>
        <v>0</v>
      </c>
      <c r="I144" s="263"/>
      <c r="J144" s="127" t="b">
        <f>IF(Paramétrage!$U$48="",FALSE,Paramétrage!$U$48)</f>
        <v>0</v>
      </c>
      <c r="K144" s="263"/>
      <c r="L144" s="28" t="b">
        <f>IF(Paramétrage!$W$48="",FALSE,Paramétrage!$W$48)</f>
        <v>0</v>
      </c>
      <c r="M144" s="263"/>
      <c r="N144" s="956">
        <f>IF(OR(B144="aa",B144="m"),M144,IF(B144="cp",0,IF(B144="jc",0,IF(B144="f",0,(D144-B144)*Paramétrage!$S$13+(H144-F144)*Paramétrage!$S$13+(L144-J144)*Paramétrage!$S$13+(D144-B144+H144-F144+L144-J144)))))</f>
        <v>0</v>
      </c>
      <c r="O144" s="956">
        <f>IF(OR(C144="aa",C144="m"),N144,IF(C144="cp",0,IF(C144="jc",0,IF(C144="f",0,(E144-C144)*Paramétrage!$S$13+(I144-G144)*Paramétrage!$S$13+(M144-K144)*Paramétrage!$S$13+(E144-C144+I144-G144+M144-K144)))))</f>
        <v>0</v>
      </c>
      <c r="P144" s="956">
        <f t="shared" si="244"/>
        <v>0</v>
      </c>
      <c r="Q144" s="956">
        <f t="shared" si="245"/>
        <v>0</v>
      </c>
      <c r="R144" s="957">
        <f t="shared" ref="R144" si="262">IF(OR(C144="aa",C144="cp",C144="f",C144="jc",C144="m",C144=0),MAX(B144,D144,F144,H144,J144,L144)-MIN(B144,D144,F144,H144,J144,L144),IF(C144&lt;&gt;0,MAX(C144,E144,G144,I144,K144,M144)-MIN(C144,E144,G144,I144,K144,M144)))</f>
        <v>0</v>
      </c>
      <c r="S144" s="262"/>
      <c r="T144" s="958" t="str">
        <f t="shared" si="261"/>
        <v/>
      </c>
      <c r="U144" s="959" t="str">
        <f>IF(P144=0,"",IF(P144&lt;Paramétrage!$S$12,"PB",IF(AND(Q144&lt;Paramétrage!$S$12,Q144&lt;&gt;0),"PB","")))</f>
        <v/>
      </c>
      <c r="V144" s="959" t="str">
        <f t="shared" si="248"/>
        <v/>
      </c>
      <c r="W144" s="959" t="str">
        <f t="shared" si="249"/>
        <v/>
      </c>
      <c r="X144" s="960" t="str">
        <f t="shared" ref="X144" si="263">IF(AND(N144=0,O144=0),"",(IF(OR(C144="aa",C144="cp",C144="f",C144="jc",C144="m"),"",IF(C144="",IF(OR(D144-B144&gt;6/24,H144-F144&gt;6/24,L144-J144&gt;6/24),"PB",""),IF(OR(E144-C144&gt;6/24,I144-G144&gt;6/24,M144-K144&gt;6/24),"PB","")))))</f>
        <v/>
      </c>
      <c r="Y144" s="959" t="str">
        <f t="shared" si="251"/>
        <v/>
      </c>
      <c r="Z144" s="836"/>
      <c r="AA144" s="837"/>
      <c r="AC144" s="934">
        <f t="shared" si="254"/>
        <v>42975</v>
      </c>
      <c r="AD144" s="961">
        <f>IF(AND(N(AC144)&gt;=Paramétrage!$AU$11,N(AC144)&lt;=Paramétrage!$AU$12),IF(C144="cp",1,0),0)</f>
        <v>0</v>
      </c>
      <c r="AE144" s="962">
        <f t="shared" si="252"/>
        <v>0</v>
      </c>
      <c r="AF144" s="961">
        <f>IF(AND(N(AC144)&gt;=Paramétrage!$AX$11,N(AC144)&lt;=Paramétrage!$AX$12),IF(C144="cp",1,0),0)</f>
        <v>0</v>
      </c>
      <c r="AG144" s="962">
        <f t="shared" si="253"/>
        <v>0</v>
      </c>
      <c r="AI144" s="962">
        <f t="shared" si="255"/>
        <v>0</v>
      </c>
      <c r="AJ144" s="962">
        <f t="shared" si="256"/>
        <v>0</v>
      </c>
      <c r="AM144" s="962"/>
      <c r="AN144" s="962"/>
      <c r="AO144" s="962"/>
      <c r="AP144" s="962"/>
    </row>
    <row r="145" spans="1:45" s="935" customFormat="1" x14ac:dyDescent="0.25">
      <c r="A145" s="969" t="s">
        <v>57</v>
      </c>
      <c r="B145" s="970"/>
      <c r="C145" s="970"/>
      <c r="D145" s="970"/>
      <c r="E145" s="970"/>
      <c r="F145" s="970"/>
      <c r="G145" s="970"/>
      <c r="H145" s="970"/>
      <c r="I145" s="970"/>
      <c r="J145" s="970"/>
      <c r="K145" s="971"/>
      <c r="L145" s="970"/>
      <c r="M145" s="970"/>
      <c r="N145" s="972">
        <f>SUM(N138:N144)</f>
        <v>0</v>
      </c>
      <c r="O145" s="972">
        <f>SUM(O138:O144)</f>
        <v>0</v>
      </c>
      <c r="P145" s="972">
        <f>SUM(P138:P144)</f>
        <v>0</v>
      </c>
      <c r="Q145" s="972">
        <f>SUM(Q138:Q144)</f>
        <v>0</v>
      </c>
      <c r="R145" s="972"/>
      <c r="S145" s="972"/>
      <c r="T145" s="973"/>
      <c r="U145" s="974"/>
      <c r="V145" s="975" t="str">
        <f>IF((O145*24)&gt;48,"PB","")</f>
        <v/>
      </c>
      <c r="W145" s="974"/>
      <c r="X145" s="974"/>
      <c r="Y145" s="974"/>
      <c r="Z145" s="1053" t="s">
        <v>59</v>
      </c>
      <c r="AA145" s="1055">
        <f>+O145-N145</f>
        <v>0</v>
      </c>
      <c r="AB145" s="967"/>
      <c r="AC145" s="934"/>
      <c r="AE145" s="917"/>
      <c r="AF145" s="917"/>
      <c r="AG145" s="917"/>
      <c r="AH145" s="917"/>
      <c r="AI145" s="917"/>
      <c r="AJ145" s="917"/>
      <c r="AK145" s="917"/>
      <c r="AL145" s="917"/>
      <c r="AM145" s="917"/>
      <c r="AN145" s="917"/>
      <c r="AO145" s="917"/>
      <c r="AP145" s="917"/>
      <c r="AR145" s="917"/>
      <c r="AS145" s="917"/>
    </row>
    <row r="146" spans="1:45" s="935" customFormat="1" x14ac:dyDescent="0.25">
      <c r="A146" s="969"/>
      <c r="B146" s="969"/>
      <c r="C146" s="969"/>
      <c r="D146" s="969"/>
      <c r="E146" s="969"/>
      <c r="F146" s="1052"/>
      <c r="G146" s="1052"/>
      <c r="H146" s="1052"/>
      <c r="I146" s="1052"/>
      <c r="J146" s="1052"/>
      <c r="K146" s="969"/>
      <c r="L146" s="969"/>
      <c r="M146" s="969"/>
      <c r="N146" s="973"/>
      <c r="O146" s="969"/>
      <c r="P146" s="980"/>
      <c r="Q146" s="980"/>
      <c r="R146" s="980"/>
      <c r="S146" s="972"/>
      <c r="T146" s="980"/>
      <c r="U146" s="980"/>
      <c r="V146" s="980"/>
      <c r="W146" s="980"/>
      <c r="X146" s="980"/>
      <c r="Y146" s="980"/>
      <c r="Z146" s="1053"/>
      <c r="AA146" s="1055"/>
      <c r="AC146" s="934"/>
      <c r="AE146" s="917"/>
      <c r="AF146" s="917"/>
      <c r="AG146" s="917"/>
      <c r="AH146" s="917"/>
      <c r="AI146" s="917"/>
      <c r="AJ146" s="917"/>
      <c r="AK146" s="917"/>
      <c r="AL146" s="917"/>
      <c r="AM146" s="917"/>
      <c r="AN146" s="917"/>
      <c r="AO146" s="917"/>
      <c r="AP146" s="917"/>
      <c r="AR146" s="917"/>
      <c r="AS146" s="917"/>
    </row>
    <row r="147" spans="1:45" s="935" customFormat="1" ht="16.5" x14ac:dyDescent="0.3">
      <c r="A147" s="969"/>
      <c r="B147" s="969"/>
      <c r="C147" s="969"/>
      <c r="D147" s="969"/>
      <c r="E147" s="969"/>
      <c r="F147" s="928">
        <f>+F135+7</f>
        <v>42976</v>
      </c>
      <c r="G147" s="928"/>
      <c r="H147" s="929" t="s">
        <v>58</v>
      </c>
      <c r="I147" s="928">
        <f>annualisation!AA62</f>
        <v>42977</v>
      </c>
      <c r="J147" s="930"/>
      <c r="K147" s="969"/>
      <c r="L147" s="969"/>
      <c r="M147" s="969"/>
      <c r="N147" s="973"/>
      <c r="O147" s="969"/>
      <c r="P147" s="980"/>
      <c r="Q147" s="980"/>
      <c r="R147" s="980"/>
      <c r="S147" s="981"/>
      <c r="T147" s="980"/>
      <c r="U147" s="980"/>
      <c r="V147" s="980"/>
      <c r="W147" s="980"/>
      <c r="X147" s="980"/>
      <c r="Y147" s="980"/>
      <c r="Z147" s="1053"/>
      <c r="AA147" s="1054"/>
      <c r="AC147" s="934"/>
      <c r="AE147" s="917"/>
      <c r="AF147" s="917"/>
      <c r="AG147" s="917"/>
      <c r="AH147" s="917"/>
      <c r="AI147" s="917"/>
      <c r="AJ147" s="917"/>
      <c r="AK147" s="917"/>
      <c r="AL147" s="917"/>
      <c r="AM147" s="917"/>
      <c r="AN147" s="917"/>
      <c r="AO147" s="917"/>
      <c r="AP147" s="917"/>
      <c r="AR147" s="917"/>
      <c r="AS147" s="917"/>
    </row>
    <row r="148" spans="1:45" ht="14.45" customHeight="1" x14ac:dyDescent="0.25">
      <c r="A148" s="994"/>
      <c r="B148" s="938" t="s">
        <v>17</v>
      </c>
      <c r="C148" s="938"/>
      <c r="D148" s="938" t="s">
        <v>18</v>
      </c>
      <c r="E148" s="938"/>
      <c r="F148" s="938" t="s">
        <v>17</v>
      </c>
      <c r="G148" s="938"/>
      <c r="H148" s="938" t="s">
        <v>18</v>
      </c>
      <c r="I148" s="938"/>
      <c r="J148" s="938" t="s">
        <v>17</v>
      </c>
      <c r="K148" s="938"/>
      <c r="L148" s="938" t="s">
        <v>18</v>
      </c>
      <c r="M148" s="938"/>
      <c r="N148" s="939" t="s">
        <v>61</v>
      </c>
      <c r="O148" s="939" t="s">
        <v>62</v>
      </c>
      <c r="P148" s="939" t="s">
        <v>60</v>
      </c>
      <c r="Q148" s="939" t="s">
        <v>63</v>
      </c>
      <c r="R148" s="939" t="s">
        <v>64</v>
      </c>
      <c r="S148" s="940" t="s">
        <v>223</v>
      </c>
      <c r="T148" s="939" t="s">
        <v>70</v>
      </c>
      <c r="U148" s="941" t="s">
        <v>65</v>
      </c>
      <c r="V148" s="942"/>
      <c r="W148" s="942"/>
      <c r="X148" s="942"/>
      <c r="Y148" s="943"/>
      <c r="Z148" s="944" t="s">
        <v>22</v>
      </c>
      <c r="AA148" s="944"/>
      <c r="AC148" s="934"/>
    </row>
    <row r="149" spans="1:45" ht="26.25" thickBot="1" x14ac:dyDescent="0.4">
      <c r="A149" s="937" t="str">
        <f>"S"&amp;WEEKNUM(F147,21)</f>
        <v>S35</v>
      </c>
      <c r="B149" s="949" t="s">
        <v>0</v>
      </c>
      <c r="C149" s="950" t="s">
        <v>1</v>
      </c>
      <c r="D149" s="949" t="s">
        <v>0</v>
      </c>
      <c r="E149" s="950" t="s">
        <v>1</v>
      </c>
      <c r="F149" s="949" t="s">
        <v>0</v>
      </c>
      <c r="G149" s="950" t="s">
        <v>1</v>
      </c>
      <c r="H149" s="949" t="s">
        <v>0</v>
      </c>
      <c r="I149" s="950" t="s">
        <v>1</v>
      </c>
      <c r="J149" s="949" t="s">
        <v>0</v>
      </c>
      <c r="K149" s="950" t="s">
        <v>1</v>
      </c>
      <c r="L149" s="949" t="s">
        <v>0</v>
      </c>
      <c r="M149" s="950" t="s">
        <v>1</v>
      </c>
      <c r="N149" s="951"/>
      <c r="O149" s="951"/>
      <c r="P149" s="951"/>
      <c r="Q149" s="951"/>
      <c r="R149" s="951"/>
      <c r="S149" s="951"/>
      <c r="T149" s="939"/>
      <c r="U149" s="952" t="s">
        <v>66</v>
      </c>
      <c r="V149" s="952" t="s">
        <v>67</v>
      </c>
      <c r="W149" s="952" t="s">
        <v>68</v>
      </c>
      <c r="X149" s="952" t="s">
        <v>137</v>
      </c>
      <c r="Y149" s="952" t="s">
        <v>69</v>
      </c>
      <c r="Z149" s="944"/>
      <c r="AA149" s="944"/>
      <c r="AC149" s="934"/>
      <c r="AM149" s="917" t="s">
        <v>274</v>
      </c>
    </row>
    <row r="150" spans="1:45" ht="16.5" x14ac:dyDescent="0.3">
      <c r="A150" s="955" t="str">
        <f>IF($F$147&gt;$I$147,"","LUNDI")</f>
        <v>LUNDI</v>
      </c>
      <c r="B150" s="15" t="b">
        <f>IF(Paramétrage!$O$42="",FALSE,Paramétrage!$O$42)</f>
        <v>0</v>
      </c>
      <c r="C150" s="263"/>
      <c r="D150" s="16" t="b">
        <f>IF(Paramétrage!$Q$42="",FALSE,Paramétrage!$Q$42)</f>
        <v>0</v>
      </c>
      <c r="E150" s="264"/>
      <c r="F150" s="15" t="b">
        <f>IF(Paramétrage!$R$42="",FALSE,Paramétrage!$R$42)</f>
        <v>0</v>
      </c>
      <c r="G150" s="264"/>
      <c r="H150" s="17" t="b">
        <f>IF(Paramétrage!$T$42="",FALSE,Paramétrage!$T$42)</f>
        <v>0</v>
      </c>
      <c r="I150" s="263"/>
      <c r="J150" s="127" t="b">
        <f>IF(Paramétrage!$U$42="",FALSE,Paramétrage!$U$42)</f>
        <v>0</v>
      </c>
      <c r="K150" s="263"/>
      <c r="L150" s="28" t="b">
        <f>IF(Paramétrage!$W$42="",FALSE,Paramétrage!$W$42)</f>
        <v>0</v>
      </c>
      <c r="M150" s="263"/>
      <c r="N150" s="956">
        <f t="shared" ref="N150:N152" si="264">IF(OR(B150="aa",B150="cp",B150="f",B150="jc",B150="m",B150="css"),0,(L150-J150)+(H150-F150)+(D150-B150))</f>
        <v>0</v>
      </c>
      <c r="O150" s="956">
        <f t="shared" ref="O150:O152" si="265">SUM(AM150:AP150)+IF(OR(C150="m",C150="aa"),N150,IF(C150="css",0,IF(C150="cp",0,IF(C150="jc",0,IF(C150="f",0,E150-C150+I150-G150+M150-K150)))))</f>
        <v>0</v>
      </c>
      <c r="P150" s="956">
        <f t="shared" ref="P150:P156" si="266">IF(OR(C150="aa",C150="cp",C150="f",C150="jc",C150="m",C150="css"),0,IF(C150="",IF(OR(F150="",F150=FALSE),0,F150-D150),IF(G150="",0,G150-E150)))</f>
        <v>0</v>
      </c>
      <c r="Q150" s="956">
        <f t="shared" ref="Q150:Q156" si="267">IF(P150=0,0,IF(G150="",IF(OR(J150="",J150=FALSE),0,J150-H150),IF(K150="",0,K150-I150)))</f>
        <v>0</v>
      </c>
      <c r="R150" s="957">
        <f t="shared" ref="R150:R152" si="268">IF(OR(C150="aa",C150="cp",C150="f",C150="jc",C150="m",C150="css"),0,IF(C150=0,MAX(B150,D150,F150,H150,J150,L150)-MIN(B150,D150,F150,H150,J150,L150),IF(C150&lt;&gt;0,MAX(C150,E150,G150,I150,K150,M150)-MIN(C150,E150,G150,I150,K150,M150))))</f>
        <v>0</v>
      </c>
      <c r="S150" s="262"/>
      <c r="T150" s="958" t="str">
        <f t="shared" ref="T150:T151" si="269">IF(AND(B150=FALSE,C150=""),"",IF(AND(B150=0,C150=0),"",(IF(OR(C150="cp",C150="f",C150="jc",C150="css"),"",IF(OR(C150="",C150="aa",C150="m"),(IF(OR(B150="cp",B150="f",B150="jc",B150="css"),"",B150*24+24-MAX(D149,H149,L149)*24)),C150*24+24-MAX(M149,I149,E149)*24)))))</f>
        <v/>
      </c>
      <c r="U150" s="959" t="str">
        <f>IF(P150=0,"",IF(P150&lt;Paramétrage!$S$12,"PB",IF(AND(Q150&lt;Paramétrage!$S$12,Q150&lt;&gt;0),"PB","")))</f>
        <v/>
      </c>
      <c r="V150" s="959" t="str">
        <f t="shared" ref="V150:V156" si="270">IF(C150="",IF((N150*24)&gt;10,"PB",""),IF((O150*24)&gt;10,"PB",""))</f>
        <v/>
      </c>
      <c r="W150" s="959" t="str">
        <f t="shared" ref="W150:W156" si="271">IF((R150*24)&gt;12,"PB","")</f>
        <v/>
      </c>
      <c r="X150" s="960" t="str">
        <f t="shared" ref="X150:X152" si="272">IF(AND(N150=0,O150=0),"",(IF(OR(C150="aa",C150="cp",C150="f",C150="jc",C150="m",C150="css"),"",IF(C150="",IF(OR(D150-B150&gt;6/24,H150-F150&gt;6/24,L150-J150&gt;6/24),"PB",""),IF(OR(E150-C150&gt;6/24,I150-G150&gt;6/24,M150-K150&gt;6/24),"PB","")))))</f>
        <v/>
      </c>
      <c r="Y150" s="959" t="str">
        <f t="shared" ref="Y150:Y156" si="273">IF(T150="","",IF(T150&lt;11,"PB",""))</f>
        <v/>
      </c>
      <c r="Z150" s="836"/>
      <c r="AA150" s="837"/>
      <c r="AC150" s="934">
        <f>AC144+1</f>
        <v>42976</v>
      </c>
      <c r="AD150" s="961">
        <f>IF(AND(N(AC150)&gt;=Paramétrage!$AU$11,N(AC150)&lt;=Paramétrage!$AU$12),IF(C150="cp",1,0),0)</f>
        <v>0</v>
      </c>
      <c r="AE150" s="962">
        <f t="shared" ref="AE150:AE156" si="274">IF(O150&lt;&gt;"erreur",N150,O150)</f>
        <v>0</v>
      </c>
      <c r="AF150" s="961">
        <f>IF(AND(N(AC150)&gt;=Paramétrage!$AX$11,N(AC150)&lt;=Paramétrage!$AX$12),IF(C150="cp",1,0),0)</f>
        <v>0</v>
      </c>
      <c r="AG150" s="962">
        <f>O150</f>
        <v>0</v>
      </c>
      <c r="AI150" s="962">
        <f>AE150+AI144</f>
        <v>0</v>
      </c>
      <c r="AJ150" s="962">
        <f>AG150+AJ144</f>
        <v>0</v>
      </c>
      <c r="AM150" s="962">
        <f>IF(AND($B150="cp",$C150="m"),$Z150,0)</f>
        <v>0</v>
      </c>
      <c r="AN150" s="962">
        <f>IF(AND($B150="jc",$C150="m"),$Z150,0)</f>
        <v>0</v>
      </c>
      <c r="AO150" s="962">
        <f>IF(AND($B150="cp",$C150="aa"),$Z150,0)</f>
        <v>0</v>
      </c>
      <c r="AP150" s="962">
        <f>IF(AND($B150="jc",$C150="aa"),$Z150,0)</f>
        <v>0</v>
      </c>
      <c r="AR150" s="917">
        <f>IF(AND(AC150&lt;=$AR$3,B150="CP"),1,0)</f>
        <v>0</v>
      </c>
      <c r="AS150" s="917">
        <f>IF(AND(AC150&lt;=$AR$3,C150="CP"),1,0)</f>
        <v>0</v>
      </c>
    </row>
    <row r="151" spans="1:45" ht="16.5" x14ac:dyDescent="0.3">
      <c r="A151" s="1090" t="str">
        <f>IF($F$147+1&gt;$I$147,"","MARDI")</f>
        <v>MARDI</v>
      </c>
      <c r="B151" s="1091"/>
      <c r="C151" s="1092"/>
      <c r="D151" s="1092"/>
      <c r="E151" s="1092"/>
      <c r="F151" s="1092"/>
      <c r="G151" s="1092"/>
      <c r="H151" s="1092"/>
      <c r="I151" s="1092"/>
      <c r="J151" s="1092"/>
      <c r="K151" s="1092"/>
      <c r="L151" s="1092"/>
      <c r="M151" s="1093"/>
      <c r="N151" s="956">
        <f t="shared" si="264"/>
        <v>0</v>
      </c>
      <c r="O151" s="956">
        <f t="shared" si="265"/>
        <v>0</v>
      </c>
      <c r="P151" s="956">
        <f t="shared" si="266"/>
        <v>0</v>
      </c>
      <c r="Q151" s="956">
        <f t="shared" si="267"/>
        <v>0</v>
      </c>
      <c r="R151" s="957">
        <f t="shared" si="268"/>
        <v>0</v>
      </c>
      <c r="S151" s="262"/>
      <c r="T151" s="958" t="str">
        <f t="shared" si="269"/>
        <v/>
      </c>
      <c r="U151" s="959" t="str">
        <f>IF(P151=0,"",IF(P151&lt;Paramétrage!$S$12,"PB",IF(AND(Q151&lt;Paramétrage!$S$12,Q151&lt;&gt;0),"PB","")))</f>
        <v/>
      </c>
      <c r="V151" s="959" t="str">
        <f t="shared" si="270"/>
        <v/>
      </c>
      <c r="W151" s="959" t="str">
        <f t="shared" si="271"/>
        <v/>
      </c>
      <c r="X151" s="960" t="str">
        <f t="shared" si="272"/>
        <v/>
      </c>
      <c r="Y151" s="959" t="str">
        <f t="shared" si="273"/>
        <v/>
      </c>
      <c r="Z151" s="836"/>
      <c r="AA151" s="837"/>
      <c r="AC151" s="934">
        <f t="shared" ref="AC151:AC156" si="275">AC150+1</f>
        <v>42977</v>
      </c>
      <c r="AD151" s="961">
        <f>IF(AND(N(AC151)&gt;=Paramétrage!$AU$11,N(AC151)&lt;=Paramétrage!$AU$12),IF(C151="cp",1,0),0)</f>
        <v>0</v>
      </c>
      <c r="AE151" s="962">
        <f t="shared" si="274"/>
        <v>0</v>
      </c>
      <c r="AF151" s="961">
        <f>IF(AND(N(AC151)&gt;=Paramétrage!$AX$11,N(AC151)&lt;=Paramétrage!$AX$12),IF(C151="cp",1,0),0)</f>
        <v>0</v>
      </c>
      <c r="AG151" s="962">
        <f t="shared" ref="AG151:AG156" si="276">O151</f>
        <v>0</v>
      </c>
      <c r="AI151" s="962">
        <f t="shared" ref="AI151:AI156" si="277">AE151+AI150</f>
        <v>0</v>
      </c>
      <c r="AJ151" s="962">
        <f t="shared" ref="AJ151:AJ156" si="278">AG151+AJ150</f>
        <v>0</v>
      </c>
      <c r="AM151" s="962">
        <f t="shared" ref="AM151:AM154" si="279">IF(AND($B151="cp",$C151="m"),$Z151,0)</f>
        <v>0</v>
      </c>
      <c r="AN151" s="962">
        <f t="shared" ref="AN151:AN154" si="280">IF(AND($B151="jc",$C151="m"),$Z151,0)</f>
        <v>0</v>
      </c>
      <c r="AO151" s="962">
        <f t="shared" ref="AO151:AO154" si="281">IF(AND($B151="cp",$C151="aa"),$Z151,0)</f>
        <v>0</v>
      </c>
      <c r="AP151" s="962">
        <f t="shared" ref="AP151:AP154" si="282">IF(AND($B151="jc",$C151="aa"),$Z151,0)</f>
        <v>0</v>
      </c>
      <c r="AR151" s="917">
        <f>IF(AND(AC151&lt;=$AR$3,B151="CP"),1,0)</f>
        <v>0</v>
      </c>
      <c r="AS151" s="917">
        <f>IF(AND(AC151&lt;=$AR$3,C151="CP"),1,0)</f>
        <v>0</v>
      </c>
    </row>
    <row r="152" spans="1:45" ht="16.5" x14ac:dyDescent="0.3">
      <c r="A152" s="1090" t="str">
        <f>IF($F$147+2&gt;$I$147,"","MERCREDI")</f>
        <v/>
      </c>
      <c r="B152" s="1094"/>
      <c r="C152" s="1095"/>
      <c r="D152" s="1095"/>
      <c r="E152" s="1095"/>
      <c r="F152" s="1095"/>
      <c r="G152" s="1095"/>
      <c r="H152" s="1095"/>
      <c r="I152" s="1095"/>
      <c r="J152" s="1095"/>
      <c r="K152" s="1095"/>
      <c r="L152" s="1095"/>
      <c r="M152" s="1096"/>
      <c r="N152" s="956">
        <f t="shared" si="264"/>
        <v>0</v>
      </c>
      <c r="O152" s="956">
        <f t="shared" si="265"/>
        <v>0</v>
      </c>
      <c r="P152" s="956">
        <f t="shared" si="266"/>
        <v>0</v>
      </c>
      <c r="Q152" s="956">
        <f t="shared" si="267"/>
        <v>0</v>
      </c>
      <c r="R152" s="957">
        <f t="shared" si="268"/>
        <v>0</v>
      </c>
      <c r="S152" s="262"/>
      <c r="T152" s="958" t="str">
        <f>IF(AND(B152=FALSE,C152=""),"",IF(AND(B152=0,C152=0),"",(IF(OR(C152="cp",C152="f",C152="jc",C152="css"),"",IF(OR(C152="",C152="aa",C152="m"),(IF(OR(B152="cp",B152="f",B152="jc",B152="css"),"",B152*24+24-MAX(D151,H151,L151)*24)),C152*24+24-MAX(M151,I151,E151)*24)))))</f>
        <v/>
      </c>
      <c r="U152" s="959" t="str">
        <f>IF(P152=0,"",IF(P152&lt;Paramétrage!$S$12,"PB",IF(AND(Q152&lt;Paramétrage!$S$12,Q152&lt;&gt;0),"PB","")))</f>
        <v/>
      </c>
      <c r="V152" s="959" t="str">
        <f t="shared" si="270"/>
        <v/>
      </c>
      <c r="W152" s="959" t="str">
        <f t="shared" si="271"/>
        <v/>
      </c>
      <c r="X152" s="960" t="str">
        <f t="shared" si="272"/>
        <v/>
      </c>
      <c r="Y152" s="959" t="str">
        <f t="shared" si="273"/>
        <v/>
      </c>
      <c r="Z152" s="836"/>
      <c r="AA152" s="837"/>
      <c r="AC152" s="934">
        <f t="shared" si="275"/>
        <v>42978</v>
      </c>
      <c r="AD152" s="961">
        <f>IF(AND(N(AC152)&gt;=Paramétrage!$AU$11,N(AC152)&lt;=Paramétrage!$AU$12),IF(C152="cp",1,0),0)</f>
        <v>0</v>
      </c>
      <c r="AE152" s="962">
        <f t="shared" si="274"/>
        <v>0</v>
      </c>
      <c r="AF152" s="961">
        <f>IF(AND(N(AC152)&gt;=Paramétrage!$AX$11,N(AC152)&lt;=Paramétrage!$AX$12),IF(C152="cp",1,0),0)</f>
        <v>0</v>
      </c>
      <c r="AG152" s="962">
        <f t="shared" si="276"/>
        <v>0</v>
      </c>
      <c r="AI152" s="962">
        <f t="shared" si="277"/>
        <v>0</v>
      </c>
      <c r="AJ152" s="962">
        <f t="shared" si="278"/>
        <v>0</v>
      </c>
      <c r="AM152" s="962">
        <f t="shared" si="279"/>
        <v>0</v>
      </c>
      <c r="AN152" s="962">
        <f t="shared" si="280"/>
        <v>0</v>
      </c>
      <c r="AO152" s="962">
        <f t="shared" si="281"/>
        <v>0</v>
      </c>
      <c r="AP152" s="962">
        <f t="shared" si="282"/>
        <v>0</v>
      </c>
      <c r="AR152" s="917">
        <f>IF(AND(AC152&lt;=$AR$3,B152="CP"),1,0)</f>
        <v>0</v>
      </c>
      <c r="AS152" s="917">
        <f>IF(AND(AC152&lt;=$AR$3,C152="CP"),1,0)</f>
        <v>0</v>
      </c>
    </row>
    <row r="153" spans="1:45" ht="16.5" x14ac:dyDescent="0.3">
      <c r="A153" s="1090" t="str">
        <f>IF($F$147+3&gt;$I$147,"","JEUDI")</f>
        <v/>
      </c>
      <c r="B153" s="1094"/>
      <c r="C153" s="1095"/>
      <c r="D153" s="1095"/>
      <c r="E153" s="1095"/>
      <c r="F153" s="1095"/>
      <c r="G153" s="1095"/>
      <c r="H153" s="1095"/>
      <c r="I153" s="1095"/>
      <c r="J153" s="1095"/>
      <c r="K153" s="1095"/>
      <c r="L153" s="1095"/>
      <c r="M153" s="1096"/>
      <c r="N153" s="956">
        <f>IF(OR(B153="aa",B153="cp",B153="f",B153="jc",B153="m",B153="css"),0,(L153-J153)+(H153-F153)+(D153-B153))</f>
        <v>0</v>
      </c>
      <c r="O153" s="956">
        <f>SUM(AM153:AP153)+IF(OR(C153="m",C153="aa"),N153,IF(C153="css",0,IF(C153="cp",0,IF(C153="jc",0,IF(C153="f",0,E153-C153+I153-G153+M153-K153)))))</f>
        <v>0</v>
      </c>
      <c r="P153" s="956">
        <f t="shared" si="266"/>
        <v>0</v>
      </c>
      <c r="Q153" s="956">
        <f t="shared" si="267"/>
        <v>0</v>
      </c>
      <c r="R153" s="957">
        <f>IF(OR(C153="aa",C153="cp",C153="f",C153="jc",C153="m",C153="css"),0,IF(C153=0,MAX(B153,D153,F153,H153,J153,L153)-MIN(B153,D153,F153,H153,J153,L153),IF(C153&lt;&gt;0,MAX(C153,E153,G153,I153,K153,M153)-MIN(C153,E153,G153,I153,K153,M153))))</f>
        <v>0</v>
      </c>
      <c r="S153" s="262"/>
      <c r="T153" s="958" t="str">
        <f t="shared" ref="T153:T156" si="283">IF(AND(B153=FALSE,C153=""),"",IF(AND(B153=0,C153=0),"",(IF(OR(C153="cp",C153="f",C153="jc",C153="css"),"",IF(OR(C153="",C153="aa",C153="m"),(IF(OR(B153="cp",B153="f",B153="jc",B153="css"),"",B153*24+24-MAX(D152,H152,L152)*24)),C153*24+24-MAX(M152,I152,E152)*24)))))</f>
        <v/>
      </c>
      <c r="U153" s="959" t="str">
        <f>IF(P153=0,"",IF(P153&lt;Paramétrage!$S$12,"PB",IF(AND(Q153&lt;Paramétrage!$S$12,Q153&lt;&gt;0),"PB","")))</f>
        <v/>
      </c>
      <c r="V153" s="959" t="str">
        <f t="shared" si="270"/>
        <v/>
      </c>
      <c r="W153" s="959" t="str">
        <f t="shared" si="271"/>
        <v/>
      </c>
      <c r="X153" s="960" t="str">
        <f>IF(AND(N153=0,O153=0),"",(IF(OR(C153="aa",C153="cp",C153="f",C153="jc",C153="m",C153="css"),"",IF(C153="",IF(OR(D153-B153&gt;6/24,H153-F153&gt;6/24,L153-J153&gt;6/24),"PB",""),IF(OR(E153-C153&gt;6/24,I153-G153&gt;6/24,M153-K153&gt;6/24),"PB","")))))</f>
        <v/>
      </c>
      <c r="Y153" s="959" t="str">
        <f t="shared" si="273"/>
        <v/>
      </c>
      <c r="Z153" s="836"/>
      <c r="AA153" s="837"/>
      <c r="AC153" s="934">
        <f t="shared" si="275"/>
        <v>42979</v>
      </c>
      <c r="AD153" s="961">
        <f>IF(AND(N(AC153)&gt;=Paramétrage!$AU$11,N(AC153)&lt;=Paramétrage!$AU$12),IF(C153="cp",1,0),0)</f>
        <v>0</v>
      </c>
      <c r="AE153" s="962">
        <f t="shared" si="274"/>
        <v>0</v>
      </c>
      <c r="AF153" s="961">
        <f>IF(AND(N(AC153)&gt;=Paramétrage!$AX$11,N(AC153)&lt;=Paramétrage!$AX$12),IF(C153="cp",1,0),0)</f>
        <v>0</v>
      </c>
      <c r="AG153" s="962">
        <f t="shared" si="276"/>
        <v>0</v>
      </c>
      <c r="AI153" s="962">
        <f t="shared" si="277"/>
        <v>0</v>
      </c>
      <c r="AJ153" s="962">
        <f t="shared" si="278"/>
        <v>0</v>
      </c>
      <c r="AM153" s="962">
        <f t="shared" si="279"/>
        <v>0</v>
      </c>
      <c r="AN153" s="962">
        <f t="shared" si="280"/>
        <v>0</v>
      </c>
      <c r="AO153" s="962">
        <f t="shared" si="281"/>
        <v>0</v>
      </c>
      <c r="AP153" s="962">
        <f t="shared" si="282"/>
        <v>0</v>
      </c>
      <c r="AR153" s="917">
        <f>IF(AND(AC153&lt;=$AR$3,B153="CP"),1,0)</f>
        <v>0</v>
      </c>
      <c r="AS153" s="917">
        <f>IF(AND(AC153&lt;=$AR$3,C153="CP"),1,0)</f>
        <v>0</v>
      </c>
    </row>
    <row r="154" spans="1:45" ht="16.5" x14ac:dyDescent="0.3">
      <c r="A154" s="1090" t="str">
        <f>IF($F$147+4&gt;$I$147,"","VENDREDI")</f>
        <v/>
      </c>
      <c r="B154" s="1094"/>
      <c r="C154" s="1095"/>
      <c r="D154" s="1095"/>
      <c r="E154" s="1095"/>
      <c r="F154" s="1095"/>
      <c r="G154" s="1095"/>
      <c r="H154" s="1095"/>
      <c r="I154" s="1095"/>
      <c r="J154" s="1095"/>
      <c r="K154" s="1095"/>
      <c r="L154" s="1095"/>
      <c r="M154" s="1096"/>
      <c r="N154" s="956">
        <f>IF(OR(B154="aa",B154="cp",B154="f",B154="jc",B154="m",B154="css"),0,(L154-J154)+(H154-F154)+(D154-B154))</f>
        <v>0</v>
      </c>
      <c r="O154" s="956">
        <f>SUM(AM154:AP154)+IF(OR(C154="m",C154="aa"),N154,IF(C154="css",0,IF(C154="cp",0,IF(C154="jc",0,IF(C154="f",0,E154-C154+I154-G154+M154-K154)))))</f>
        <v>0</v>
      </c>
      <c r="P154" s="956">
        <f t="shared" si="266"/>
        <v>0</v>
      </c>
      <c r="Q154" s="956">
        <f t="shared" si="267"/>
        <v>0</v>
      </c>
      <c r="R154" s="957">
        <f>IF(OR(C154="aa",C154="cp",C154="f",C154="jc",C154="m",C154="css"),0,IF(C154=0,MAX(B154,D154,F154,H154,J154,L154)-MIN(B154,D154,F154,H154,J154,L154),IF(C154&lt;&gt;0,MAX(C154,E154,G154,I154,K154,M154)-MIN(C154,E154,G154,I154,K154,M154))))</f>
        <v>0</v>
      </c>
      <c r="S154" s="262"/>
      <c r="T154" s="958" t="str">
        <f t="shared" si="283"/>
        <v/>
      </c>
      <c r="U154" s="959" t="str">
        <f>IF(P154=0,"",IF(P154&lt;Paramétrage!$S$12,"PB",IF(AND(Q154&lt;Paramétrage!$S$12,Q154&lt;&gt;0),"PB","")))</f>
        <v/>
      </c>
      <c r="V154" s="959" t="str">
        <f t="shared" si="270"/>
        <v/>
      </c>
      <c r="W154" s="959" t="str">
        <f t="shared" si="271"/>
        <v/>
      </c>
      <c r="X154" s="960" t="str">
        <f>IF(AND(N154=0,O154=0),"",(IF(OR(C154="aa",C154="cp",C154="f",C154="jc",C154="m",C154="css"),"",IF(C154="",IF(OR(D154-B154&gt;6/24,H154-F154&gt;6/24,L154-J154&gt;6/24),"PB",""),IF(OR(E154-C154&gt;6/24,I154-G154&gt;6/24,M154-K154&gt;6/24),"PB","")))))</f>
        <v/>
      </c>
      <c r="Y154" s="959" t="str">
        <f t="shared" si="273"/>
        <v/>
      </c>
      <c r="Z154" s="836"/>
      <c r="AA154" s="837"/>
      <c r="AC154" s="934">
        <f t="shared" si="275"/>
        <v>42980</v>
      </c>
      <c r="AD154" s="961">
        <f>IF(AND(N(AC154)&gt;=Paramétrage!$AU$11,N(AC154)&lt;=Paramétrage!$AU$12),IF(C154="cp",1,0),0)</f>
        <v>0</v>
      </c>
      <c r="AE154" s="962">
        <f t="shared" si="274"/>
        <v>0</v>
      </c>
      <c r="AF154" s="961">
        <f>IF(AND(N(AC154)&gt;=Paramétrage!$AX$11,N(AC154)&lt;=Paramétrage!$AX$12),IF(C154="cp",1,0),0)</f>
        <v>0</v>
      </c>
      <c r="AG154" s="962">
        <f t="shared" si="276"/>
        <v>0</v>
      </c>
      <c r="AI154" s="962">
        <f t="shared" si="277"/>
        <v>0</v>
      </c>
      <c r="AJ154" s="962">
        <f t="shared" si="278"/>
        <v>0</v>
      </c>
      <c r="AM154" s="962">
        <f t="shared" si="279"/>
        <v>0</v>
      </c>
      <c r="AN154" s="962">
        <f t="shared" si="280"/>
        <v>0</v>
      </c>
      <c r="AO154" s="962">
        <f t="shared" si="281"/>
        <v>0</v>
      </c>
      <c r="AP154" s="962">
        <f t="shared" si="282"/>
        <v>0</v>
      </c>
      <c r="AR154" s="917">
        <f>IF(AND(AC154&lt;=$AR$3,B154="CP"),1,0)</f>
        <v>0</v>
      </c>
      <c r="AS154" s="917">
        <f>IF(AND(AC154&lt;=$AR$3,C154="CP"),1,0)</f>
        <v>0</v>
      </c>
    </row>
    <row r="155" spans="1:45" ht="16.5" x14ac:dyDescent="0.3">
      <c r="A155" s="1090" t="str">
        <f>IF($F$147+5&gt;$I$147,"","SAMEDI")</f>
        <v/>
      </c>
      <c r="B155" s="1094"/>
      <c r="C155" s="1095"/>
      <c r="D155" s="1095"/>
      <c r="E155" s="1095"/>
      <c r="F155" s="1095"/>
      <c r="G155" s="1095"/>
      <c r="H155" s="1095"/>
      <c r="I155" s="1095"/>
      <c r="J155" s="1095"/>
      <c r="K155" s="1095"/>
      <c r="L155" s="1095"/>
      <c r="M155" s="1096"/>
      <c r="N155" s="956">
        <f>IF(OR(B155="aa",B155="cp",B155="f",B155="jc",B155="m",B155="css"),0,(L155-J155)+(H155-F155)+(D155-B155))</f>
        <v>0</v>
      </c>
      <c r="O155" s="956">
        <f>IF(OR(C155="m",C155="aa"),N155,IF(C155="cp",0,IF(OR(C155="css",C155="jc"),0,IF(C155="f",0,E155-C155+I155-G155+M155-K155))))</f>
        <v>0</v>
      </c>
      <c r="P155" s="956">
        <f t="shared" si="266"/>
        <v>0</v>
      </c>
      <c r="Q155" s="956">
        <f t="shared" si="267"/>
        <v>0</v>
      </c>
      <c r="R155" s="957">
        <f>IF(OR(C155="aa",C155="cp",C155="f",C155="jc",C155="m",C155="css"),0,IF(C155=0,MAX(B155,D155,F155,H155,J155,L155)-MIN(B155,D155,F155,H155,J155,L155),IF(C155&lt;&gt;0,MAX(C155,E155,G155,I155,K155,M155)-MIN(C155,E155,G155,I155,K155,M155))))</f>
        <v>0</v>
      </c>
      <c r="S155" s="262"/>
      <c r="T155" s="958" t="str">
        <f t="shared" si="283"/>
        <v/>
      </c>
      <c r="U155" s="959" t="str">
        <f>IF(P155=0,"",IF(P155&lt;Paramétrage!$S$12,"PB",IF(AND(Q155&lt;Paramétrage!$S$12,Q155&lt;&gt;0),"PB","")))</f>
        <v/>
      </c>
      <c r="V155" s="959" t="str">
        <f t="shared" si="270"/>
        <v/>
      </c>
      <c r="W155" s="959" t="str">
        <f t="shared" si="271"/>
        <v/>
      </c>
      <c r="X155" s="960" t="str">
        <f>IF(AND(N155=0,O155=0),"",(IF(OR(C155="aa",C155="cp",C155="f",C155="jc",C155="m",C155="css"),"",IF(C155="",IF(OR(D155-B155&gt;6/24,H155-F155&gt;6/24,L155-J155&gt;6/24),"PB",""),IF(OR(E155-C155&gt;6/24,I155-G155&gt;6/24,M155-K155&gt;6/24),"PB","")))))</f>
        <v/>
      </c>
      <c r="Y155" s="959" t="str">
        <f t="shared" si="273"/>
        <v/>
      </c>
      <c r="Z155" s="836"/>
      <c r="AA155" s="837"/>
      <c r="AC155" s="934">
        <f t="shared" si="275"/>
        <v>42981</v>
      </c>
      <c r="AD155" s="961">
        <f>IF(AND(N(AC155)&gt;=Paramétrage!$AU$11,N(AC155)&lt;=Paramétrage!$AU$12),IF(C155="cp",1,0),0)</f>
        <v>0</v>
      </c>
      <c r="AE155" s="962">
        <f t="shared" si="274"/>
        <v>0</v>
      </c>
      <c r="AF155" s="961">
        <f>IF(AND(N(AC155)&gt;=Paramétrage!$AX$11,N(AC155)&lt;=Paramétrage!$AX$12),IF(C155="cp",1,0),0)</f>
        <v>0</v>
      </c>
      <c r="AG155" s="962">
        <f t="shared" si="276"/>
        <v>0</v>
      </c>
      <c r="AI155" s="962">
        <f t="shared" si="277"/>
        <v>0</v>
      </c>
      <c r="AJ155" s="962">
        <f t="shared" si="278"/>
        <v>0</v>
      </c>
      <c r="AM155" s="962"/>
      <c r="AN155" s="962"/>
      <c r="AO155" s="962"/>
      <c r="AP155" s="962"/>
    </row>
    <row r="156" spans="1:45" ht="17.25" thickBot="1" x14ac:dyDescent="0.35">
      <c r="A156" s="1097" t="str">
        <f>IF($F$147+6&gt;$I$147,"","DIMANCHE")</f>
        <v/>
      </c>
      <c r="B156" s="1098"/>
      <c r="C156" s="1099"/>
      <c r="D156" s="1099"/>
      <c r="E156" s="1099"/>
      <c r="F156" s="1099"/>
      <c r="G156" s="1099"/>
      <c r="H156" s="1099"/>
      <c r="I156" s="1099"/>
      <c r="J156" s="1099"/>
      <c r="K156" s="1099"/>
      <c r="L156" s="1099"/>
      <c r="M156" s="1100"/>
      <c r="N156" s="956">
        <f>IF(OR(B156="aa",B156="m"),M156,IF(B156="cp",0,IF(B156="jc",0,IF(B156="f",0,(D156-B156)*Paramétrage!$S$13+(H156-F156)*Paramétrage!$S$13+(L156-J156)*Paramétrage!$S$13+(D156-B156+H156-F156+L156-J156)))))</f>
        <v>0</v>
      </c>
      <c r="O156" s="956">
        <f>IF(OR(C156="aa",C156="m"),N156,IF(C156="cp",0,IF(C156="jc",0,IF(C156="f",0,(E156-C156)*Paramétrage!$S$13+(I156-G156)*Paramétrage!$S$13+(M156-K156)*Paramétrage!$S$13+(E156-C156+I156-G156+M156-K156)))))</f>
        <v>0</v>
      </c>
      <c r="P156" s="956">
        <f t="shared" si="266"/>
        <v>0</v>
      </c>
      <c r="Q156" s="956">
        <f t="shared" si="267"/>
        <v>0</v>
      </c>
      <c r="R156" s="957">
        <f t="shared" ref="R156" si="284">IF(OR(C156="aa",C156="cp",C156="f",C156="jc",C156="m",C156=0),MAX(B156,D156,F156,H156,J156,L156)-MIN(B156,D156,F156,H156,J156,L156),IF(C156&lt;&gt;0,MAX(C156,E156,G156,I156,K156,M156)-MIN(C156,E156,G156,I156,K156,M156)))</f>
        <v>0</v>
      </c>
      <c r="S156" s="262"/>
      <c r="T156" s="958" t="str">
        <f t="shared" si="283"/>
        <v/>
      </c>
      <c r="U156" s="959" t="str">
        <f>IF(P156=0,"",IF(P156&lt;Paramétrage!$S$12,"PB",IF(AND(Q156&lt;Paramétrage!$S$12,Q156&lt;&gt;0),"PB","")))</f>
        <v/>
      </c>
      <c r="V156" s="959" t="str">
        <f t="shared" si="270"/>
        <v/>
      </c>
      <c r="W156" s="959" t="str">
        <f t="shared" si="271"/>
        <v/>
      </c>
      <c r="X156" s="960" t="str">
        <f t="shared" ref="X156" si="285">IF(AND(N156=0,O156=0),"",(IF(OR(C156="aa",C156="cp",C156="f",C156="jc",C156="m"),"",IF(C156="",IF(OR(D156-B156&gt;6/24,H156-F156&gt;6/24,L156-J156&gt;6/24),"PB",""),IF(OR(E156-C156&gt;6/24,I156-G156&gt;6/24,M156-K156&gt;6/24),"PB","")))))</f>
        <v/>
      </c>
      <c r="Y156" s="959" t="str">
        <f t="shared" si="273"/>
        <v/>
      </c>
      <c r="Z156" s="836"/>
      <c r="AA156" s="837"/>
      <c r="AC156" s="934">
        <f t="shared" si="275"/>
        <v>42982</v>
      </c>
      <c r="AD156" s="961">
        <f>IF(AND(N(AC156)&gt;=Paramétrage!$AU$11,N(AC156)&lt;=Paramétrage!$AU$12),IF(C156="cp",1,0),0)</f>
        <v>0</v>
      </c>
      <c r="AE156" s="962">
        <f t="shared" si="274"/>
        <v>0</v>
      </c>
      <c r="AF156" s="961">
        <f>IF(AND(N(AC156)&gt;=Paramétrage!$AX$11,N(AC156)&lt;=Paramétrage!$AX$12),IF(C156="cp",1,0),0)</f>
        <v>0</v>
      </c>
      <c r="AG156" s="962">
        <f t="shared" si="276"/>
        <v>0</v>
      </c>
      <c r="AI156" s="962">
        <f t="shared" si="277"/>
        <v>0</v>
      </c>
      <c r="AJ156" s="962">
        <f t="shared" si="278"/>
        <v>0</v>
      </c>
      <c r="AM156" s="962"/>
      <c r="AN156" s="962"/>
      <c r="AO156" s="962"/>
      <c r="AP156" s="962"/>
    </row>
    <row r="157" spans="1:45" s="935" customFormat="1" x14ac:dyDescent="0.25">
      <c r="A157" s="969" t="s">
        <v>21</v>
      </c>
      <c r="B157" s="970"/>
      <c r="C157" s="970"/>
      <c r="D157" s="970"/>
      <c r="E157" s="970"/>
      <c r="F157" s="970"/>
      <c r="G157" s="970"/>
      <c r="H157" s="970"/>
      <c r="I157" s="970"/>
      <c r="J157" s="970"/>
      <c r="K157" s="971"/>
      <c r="L157" s="970"/>
      <c r="M157" s="970"/>
      <c r="N157" s="972">
        <f>SUM(N150:N156)</f>
        <v>0</v>
      </c>
      <c r="O157" s="972">
        <f>SUM(O150:O156)</f>
        <v>0</v>
      </c>
      <c r="P157" s="972">
        <f>SUM(P150:P156)</f>
        <v>0</v>
      </c>
      <c r="Q157" s="972">
        <f>SUM(Q150:Q156)</f>
        <v>0</v>
      </c>
      <c r="R157" s="972"/>
      <c r="S157" s="972"/>
      <c r="T157" s="973"/>
      <c r="U157" s="974"/>
      <c r="V157" s="975" t="str">
        <f>IF((O157*24)&gt;48,"PB","")</f>
        <v/>
      </c>
      <c r="W157" s="974"/>
      <c r="X157" s="974"/>
      <c r="Y157" s="974"/>
      <c r="Z157" s="1053" t="s">
        <v>59</v>
      </c>
      <c r="AA157" s="1055">
        <f>+O157-N157</f>
        <v>0</v>
      </c>
      <c r="AB157" s="967"/>
      <c r="AE157" s="917"/>
      <c r="AF157" s="917"/>
      <c r="AG157" s="917"/>
      <c r="AH157" s="917"/>
      <c r="AI157" s="917"/>
      <c r="AJ157" s="917"/>
      <c r="AK157" s="917"/>
      <c r="AL157" s="917"/>
      <c r="AR157" s="917"/>
      <c r="AS157" s="917"/>
    </row>
    <row r="158" spans="1:45" s="935" customFormat="1" x14ac:dyDescent="0.25">
      <c r="A158" s="969"/>
      <c r="B158" s="970"/>
      <c r="C158" s="970"/>
      <c r="D158" s="970"/>
      <c r="E158" s="970"/>
      <c r="F158" s="970"/>
      <c r="G158" s="970"/>
      <c r="H158" s="970"/>
      <c r="I158" s="970"/>
      <c r="J158" s="970"/>
      <c r="K158" s="971"/>
      <c r="L158" s="970"/>
      <c r="M158" s="970"/>
      <c r="N158" s="973"/>
      <c r="O158" s="973"/>
      <c r="P158" s="973"/>
      <c r="Q158" s="973"/>
      <c r="R158" s="973"/>
      <c r="S158" s="973"/>
      <c r="T158" s="973"/>
      <c r="U158" s="974"/>
      <c r="V158" s="978"/>
      <c r="W158" s="974"/>
      <c r="X158" s="974"/>
      <c r="Y158" s="974"/>
      <c r="Z158" s="1053"/>
      <c r="AA158" s="1055"/>
      <c r="AB158" s="967"/>
      <c r="AE158" s="917"/>
      <c r="AF158" s="917"/>
      <c r="AG158" s="917"/>
      <c r="AH158" s="917"/>
      <c r="AI158" s="917"/>
      <c r="AJ158" s="917"/>
      <c r="AK158" s="917"/>
      <c r="AL158" s="917"/>
      <c r="AR158" s="917"/>
      <c r="AS158" s="917"/>
    </row>
    <row r="159" spans="1:45" ht="16.5" x14ac:dyDescent="0.3">
      <c r="A159" s="997" t="s">
        <v>242</v>
      </c>
      <c r="B159" s="997"/>
      <c r="C159" s="997"/>
      <c r="D159" s="997"/>
      <c r="E159" s="997"/>
      <c r="F159" s="1101">
        <f>N157+N145+N133+N121+N109+N97+N85+N73+N61+N49+N37+N25+N13</f>
        <v>0</v>
      </c>
      <c r="G159" s="1102"/>
      <c r="H159" s="999"/>
      <c r="I159" s="999"/>
      <c r="J159" s="999"/>
      <c r="K159" s="999"/>
      <c r="L159" s="999"/>
      <c r="M159" s="999"/>
      <c r="N159" s="999"/>
      <c r="O159" s="997"/>
      <c r="P159" s="997"/>
      <c r="Q159" s="997"/>
      <c r="R159" s="1000"/>
      <c r="S159" s="1000"/>
      <c r="T159" s="1000"/>
      <c r="U159" s="1000"/>
      <c r="V159" s="1000"/>
      <c r="W159" s="1000"/>
      <c r="X159" s="1000"/>
      <c r="Y159" s="1000"/>
      <c r="Z159" s="1001"/>
      <c r="AA159" s="1002"/>
    </row>
    <row r="160" spans="1:45" ht="18.75" x14ac:dyDescent="0.3">
      <c r="A160" s="1003" t="s">
        <v>237</v>
      </c>
      <c r="B160" s="1003"/>
      <c r="C160" s="1003"/>
      <c r="D160" s="1003"/>
      <c r="E160" s="1003"/>
      <c r="F160" s="1103">
        <f>O157+O145+O133+O121+O109+O97+O85+O73+O61+O49+O37+O25+O13</f>
        <v>0</v>
      </c>
      <c r="G160" s="1104"/>
      <c r="H160" s="999"/>
      <c r="I160" s="999"/>
      <c r="J160" s="999"/>
      <c r="K160" s="999"/>
      <c r="L160" s="999"/>
      <c r="M160" s="999"/>
      <c r="N160" s="999"/>
      <c r="O160" s="997"/>
      <c r="P160" s="997"/>
      <c r="Q160" s="997"/>
      <c r="R160" s="1005" t="s">
        <v>120</v>
      </c>
      <c r="S160" s="1005"/>
      <c r="T160" s="1005"/>
      <c r="U160" s="1005"/>
      <c r="V160" s="1005"/>
      <c r="W160" s="1005"/>
      <c r="X160" s="1005"/>
      <c r="Y160" s="1005"/>
      <c r="Z160" s="1005"/>
      <c r="AA160" s="1005"/>
    </row>
    <row r="161" spans="1:36" ht="16.5" x14ac:dyDescent="0.3">
      <c r="A161" s="1003" t="s">
        <v>238</v>
      </c>
      <c r="B161" s="1003"/>
      <c r="C161" s="1003"/>
      <c r="D161" s="1003"/>
      <c r="E161" s="1003"/>
      <c r="F161" s="1103">
        <f>+annualisation!$B$75</f>
        <v>0</v>
      </c>
      <c r="G161" s="1104"/>
      <c r="H161" s="999"/>
      <c r="I161" s="999"/>
      <c r="J161" s="999"/>
      <c r="K161" s="999"/>
      <c r="L161" s="999"/>
      <c r="M161" s="999"/>
      <c r="N161" s="999"/>
      <c r="O161" s="997"/>
      <c r="P161" s="997"/>
      <c r="Q161" s="997"/>
      <c r="R161" s="1000"/>
      <c r="S161" s="1000"/>
      <c r="T161" s="1000"/>
      <c r="U161" s="1000"/>
      <c r="V161" s="1000"/>
      <c r="W161" s="1000"/>
      <c r="X161" s="1000"/>
      <c r="Y161" s="1000"/>
      <c r="Z161" s="1001"/>
      <c r="AA161" s="1002"/>
    </row>
    <row r="162" spans="1:36" ht="16.5" customHeight="1" x14ac:dyDescent="0.3">
      <c r="A162" s="1003" t="s">
        <v>71</v>
      </c>
      <c r="B162" s="1003"/>
      <c r="C162" s="1003"/>
      <c r="D162" s="1003"/>
      <c r="E162" s="1003"/>
      <c r="F162" s="1103">
        <f>+annualisation!F78</f>
        <v>0</v>
      </c>
      <c r="G162" s="1104"/>
      <c r="H162" s="999"/>
      <c r="I162" s="999"/>
      <c r="J162" s="999"/>
      <c r="K162" s="999"/>
      <c r="L162" s="999"/>
      <c r="M162" s="999"/>
      <c r="N162" s="999"/>
      <c r="O162" s="997"/>
      <c r="P162" s="1006"/>
      <c r="Q162" s="1007" t="s">
        <v>155</v>
      </c>
      <c r="R162" s="1008"/>
      <c r="S162" s="1009" t="str">
        <f>Paramétrage!$K$5&amp;" "&amp;Paramétrage!$C$5</f>
        <v xml:space="preserve"> </v>
      </c>
      <c r="T162" s="1009"/>
      <c r="U162" s="1009"/>
      <c r="V162" s="1009"/>
      <c r="W162" s="1009"/>
      <c r="X162" s="1009"/>
      <c r="Y162" s="1010"/>
      <c r="Z162" s="1011" t="s">
        <v>154</v>
      </c>
      <c r="AA162" s="1011"/>
      <c r="AC162" s="934"/>
      <c r="AF162" s="961"/>
      <c r="AG162" s="962">
        <f>'T2'!O6</f>
        <v>0</v>
      </c>
      <c r="AI162" s="962">
        <f>AE162+AI156</f>
        <v>0</v>
      </c>
      <c r="AJ162" s="962">
        <f>AG162+AJ156</f>
        <v>0</v>
      </c>
    </row>
    <row r="163" spans="1:36" ht="16.5" x14ac:dyDescent="0.3">
      <c r="A163" s="1003" t="s">
        <v>239</v>
      </c>
      <c r="B163" s="1003"/>
      <c r="C163" s="1003"/>
      <c r="D163" s="1003"/>
      <c r="E163" s="1003"/>
      <c r="F163" s="1075">
        <f>COUNTIF(C150:C156,"cp")+COUNTIF(C138:C144,"cp")+COUNTIF(C54:C60,"cp")+COUNTIF(C42:C48,"cp")+COUNTIF(C30:C36,"cp")+COUNTIF(C18:C24,"cp")+COUNTIF(C66:C72,"cp")+COUNTIF(C78:C84,"cp")+COUNTIF(C90:C96,"cp")+COUNTIF(C102:C108,"cp")+COUNTIF(C114:C120,"cp")+COUNTIF(C126:C132,"cp")+COUNTIF(C6:C12,"cp")</f>
        <v>0</v>
      </c>
      <c r="G163" s="1076"/>
      <c r="H163" s="1013" t="s">
        <v>23</v>
      </c>
      <c r="I163" s="1014"/>
      <c r="J163" s="1015" t="str">
        <f>ROUND(Paramétrage!AD11,2)-F163-'T1'!F163-'T2'!F163-'T3'!F175&amp;" jours"</f>
        <v>25 jours</v>
      </c>
      <c r="K163" s="1016"/>
      <c r="L163" s="999"/>
      <c r="M163" s="999"/>
      <c r="N163" s="999"/>
      <c r="O163" s="997"/>
      <c r="P163" s="997"/>
      <c r="Q163" s="1017"/>
      <c r="R163" s="1018"/>
      <c r="S163" s="1019"/>
      <c r="T163" s="1019"/>
      <c r="U163" s="1019"/>
      <c r="V163" s="1019"/>
      <c r="W163" s="1019"/>
      <c r="X163" s="1019"/>
      <c r="Y163" s="1020"/>
      <c r="Z163" s="1011"/>
      <c r="AA163" s="1011"/>
      <c r="AC163" s="934"/>
      <c r="AG163" s="962">
        <f>'T2'!O7</f>
        <v>0</v>
      </c>
      <c r="AI163" s="962">
        <f t="shared" ref="AI163:AI168" si="286">AE163+AI162</f>
        <v>0</v>
      </c>
      <c r="AJ163" s="962">
        <f t="shared" ref="AJ163:AJ168" si="287">AG163+AJ162</f>
        <v>0</v>
      </c>
    </row>
    <row r="164" spans="1:36" ht="16.5" x14ac:dyDescent="0.3">
      <c r="A164" s="1003" t="s">
        <v>240</v>
      </c>
      <c r="B164" s="1003"/>
      <c r="C164" s="1003"/>
      <c r="D164" s="1003"/>
      <c r="E164" s="1003"/>
      <c r="F164" s="1075">
        <f>COUNTIF(C150:C156,"jc")+COUNTIF(C138:C144,"jc")+COUNTIF(C54:C60,"jc")+COUNTIF(C42:C48,"jc")+COUNTIF(C30:C36,"jc")+COUNTIF(C18:C24,"jc")+COUNTIF(C66:C72,"jc")+COUNTIF(C78:C84,"jc")+COUNTIF(C90:C96,"jc")+COUNTIF(C102:C108,"jc")+COUNTIF(C114:C120,"jc")+COUNTIF(C126:C132,"jc")+COUNTIF(C6:C12,"jc")</f>
        <v>0</v>
      </c>
      <c r="G164" s="1076"/>
      <c r="H164" s="999"/>
      <c r="I164" s="999"/>
      <c r="J164" s="999"/>
      <c r="K164" s="999"/>
      <c r="L164" s="999"/>
      <c r="M164" s="999"/>
      <c r="N164" s="999"/>
      <c r="O164" s="997"/>
      <c r="P164" s="997"/>
      <c r="Q164" s="1021"/>
      <c r="R164" s="1022"/>
      <c r="S164" s="1023"/>
      <c r="T164" s="1023"/>
      <c r="U164" s="1023"/>
      <c r="V164" s="1023"/>
      <c r="W164" s="1023"/>
      <c r="X164" s="1023"/>
      <c r="Y164" s="1024"/>
      <c r="Z164" s="1011"/>
      <c r="AA164" s="1011"/>
      <c r="AC164" s="934"/>
      <c r="AG164" s="962">
        <f>'T2'!O8</f>
        <v>0</v>
      </c>
      <c r="AI164" s="962">
        <f t="shared" si="286"/>
        <v>0</v>
      </c>
      <c r="AJ164" s="962">
        <f t="shared" si="287"/>
        <v>0</v>
      </c>
    </row>
    <row r="165" spans="1:36" ht="16.5" x14ac:dyDescent="0.3">
      <c r="A165" s="1003" t="s">
        <v>241</v>
      </c>
      <c r="B165" s="1003"/>
      <c r="C165" s="1003"/>
      <c r="D165" s="1003"/>
      <c r="E165" s="1003"/>
      <c r="F165" s="1075">
        <f>COUNTIF(C150:C156,"m")+COUNTIF(C138:C144,"m")+COUNTIF(C54:C60,"m")+COUNTIF(C42:C48,"m")+COUNTIF(C30:C36,"m")+COUNTIF(C18:C24,"m")+COUNTIF(C66:C72,"m")+COUNTIF(C78:C84,"m")+COUNTIF(C90:C96,"m")+COUNTIF(C102:C108,"m")+COUNTIF(C114:C120,"m")+COUNTIF(C126:C132,"m")+COUNTIF(C6:C12,"m")</f>
        <v>0</v>
      </c>
      <c r="G165" s="1076"/>
      <c r="H165" s="999"/>
      <c r="I165" s="999"/>
      <c r="J165" s="999"/>
      <c r="K165" s="999"/>
      <c r="L165" s="999"/>
      <c r="M165" s="999"/>
      <c r="N165" s="999"/>
      <c r="O165" s="997"/>
      <c r="P165" s="1025" t="str">
        <f>A5</f>
        <v>S23</v>
      </c>
      <c r="Q165" s="1026"/>
      <c r="R165" s="1027"/>
      <c r="S165" s="1028"/>
      <c r="T165" s="1028"/>
      <c r="U165" s="1028"/>
      <c r="V165" s="1028"/>
      <c r="W165" s="1028"/>
      <c r="X165" s="1028"/>
      <c r="Y165" s="1027"/>
      <c r="Z165" s="1029"/>
      <c r="AA165" s="1030"/>
      <c r="AC165" s="934"/>
      <c r="AG165" s="962">
        <f>'T2'!O9</f>
        <v>0</v>
      </c>
      <c r="AI165" s="962">
        <f t="shared" si="286"/>
        <v>0</v>
      </c>
      <c r="AJ165" s="962">
        <f t="shared" si="287"/>
        <v>0</v>
      </c>
    </row>
    <row r="166" spans="1:36" ht="16.5" x14ac:dyDescent="0.3">
      <c r="A166" s="1003" t="s">
        <v>222</v>
      </c>
      <c r="B166" s="1000"/>
      <c r="C166" s="1000"/>
      <c r="D166" s="1000"/>
      <c r="E166" s="1000"/>
      <c r="F166" s="1012">
        <f>COUNTIF(C6:C156,"aa")</f>
        <v>0</v>
      </c>
      <c r="G166" s="1012"/>
      <c r="H166" s="1000"/>
      <c r="I166" s="1000"/>
      <c r="J166" s="999"/>
      <c r="K166" s="999"/>
      <c r="L166" s="999"/>
      <c r="M166" s="999"/>
      <c r="N166" s="999"/>
      <c r="O166" s="997"/>
      <c r="P166" s="1025"/>
      <c r="Q166" s="1031"/>
      <c r="R166" s="1032"/>
      <c r="S166" s="1033"/>
      <c r="T166" s="1033"/>
      <c r="U166" s="1033"/>
      <c r="V166" s="1033"/>
      <c r="W166" s="1033"/>
      <c r="X166" s="1033"/>
      <c r="Y166" s="1032"/>
      <c r="Z166" s="1034"/>
      <c r="AA166" s="1035"/>
      <c r="AC166" s="934"/>
      <c r="AG166" s="962">
        <f>'T2'!O10</f>
        <v>0</v>
      </c>
      <c r="AI166" s="962">
        <f t="shared" si="286"/>
        <v>0</v>
      </c>
      <c r="AJ166" s="962">
        <f t="shared" si="287"/>
        <v>0</v>
      </c>
    </row>
    <row r="167" spans="1:36" ht="16.5" x14ac:dyDescent="0.3">
      <c r="A167" s="1000"/>
      <c r="B167" s="1000"/>
      <c r="C167" s="1000"/>
      <c r="D167" s="1000"/>
      <c r="E167" s="1000"/>
      <c r="F167" s="1036"/>
      <c r="G167" s="1000"/>
      <c r="H167" s="1000"/>
      <c r="I167" s="1000"/>
      <c r="J167" s="999"/>
      <c r="K167" s="999"/>
      <c r="L167" s="999"/>
      <c r="M167" s="999"/>
      <c r="N167" s="999"/>
      <c r="O167" s="997"/>
      <c r="P167" s="1025" t="str">
        <f>A17</f>
        <v>S24</v>
      </c>
      <c r="Q167" s="1026"/>
      <c r="R167" s="1027"/>
      <c r="S167" s="1028"/>
      <c r="T167" s="1028"/>
      <c r="U167" s="1028"/>
      <c r="V167" s="1028"/>
      <c r="W167" s="1028"/>
      <c r="X167" s="1028"/>
      <c r="Y167" s="1027"/>
      <c r="Z167" s="1029"/>
      <c r="AA167" s="1030"/>
      <c r="AC167" s="934"/>
      <c r="AG167" s="962">
        <f>'T2'!O11</f>
        <v>0</v>
      </c>
      <c r="AI167" s="962">
        <f t="shared" si="286"/>
        <v>0</v>
      </c>
      <c r="AJ167" s="962">
        <f t="shared" si="287"/>
        <v>0</v>
      </c>
    </row>
    <row r="168" spans="1:36" ht="16.5" x14ac:dyDescent="0.3">
      <c r="A168" s="1000"/>
      <c r="B168" s="1000"/>
      <c r="C168" s="1000"/>
      <c r="D168" s="1000"/>
      <c r="E168" s="1000"/>
      <c r="F168" s="1000"/>
      <c r="G168" s="1000"/>
      <c r="H168" s="1000"/>
      <c r="I168" s="1000"/>
      <c r="J168" s="999"/>
      <c r="K168" s="999"/>
      <c r="L168" s="999"/>
      <c r="M168" s="999"/>
      <c r="N168" s="999"/>
      <c r="O168" s="997"/>
      <c r="P168" s="1025"/>
      <c r="Q168" s="1031"/>
      <c r="R168" s="1032"/>
      <c r="S168" s="1033"/>
      <c r="T168" s="1033"/>
      <c r="U168" s="1033"/>
      <c r="V168" s="1033"/>
      <c r="W168" s="1033"/>
      <c r="X168" s="1033"/>
      <c r="Y168" s="1032"/>
      <c r="Z168" s="1034"/>
      <c r="AA168" s="1035"/>
      <c r="AC168" s="934"/>
      <c r="AG168" s="962">
        <f>'T2'!O12</f>
        <v>0</v>
      </c>
      <c r="AI168" s="962">
        <f t="shared" si="286"/>
        <v>0</v>
      </c>
      <c r="AJ168" s="962">
        <f t="shared" si="287"/>
        <v>0</v>
      </c>
    </row>
    <row r="169" spans="1:36" ht="16.5" x14ac:dyDescent="0.3">
      <c r="A169" s="1000"/>
      <c r="B169" s="1000"/>
      <c r="C169" s="1000"/>
      <c r="D169" s="1000"/>
      <c r="E169" s="1000"/>
      <c r="F169" s="1000"/>
      <c r="G169" s="1000"/>
      <c r="H169" s="1000"/>
      <c r="I169" s="1000"/>
      <c r="J169" s="999"/>
      <c r="K169" s="999"/>
      <c r="L169" s="999"/>
      <c r="M169" s="999"/>
      <c r="N169" s="999"/>
      <c r="O169" s="997"/>
      <c r="P169" s="1025" t="str">
        <f>A29</f>
        <v>S25</v>
      </c>
      <c r="Q169" s="1026"/>
      <c r="R169" s="1027"/>
      <c r="S169" s="1028"/>
      <c r="T169" s="1028"/>
      <c r="U169" s="1028"/>
      <c r="V169" s="1028"/>
      <c r="W169" s="1028"/>
      <c r="X169" s="1028"/>
      <c r="Y169" s="1027"/>
      <c r="Z169" s="1029"/>
      <c r="AA169" s="1030"/>
    </row>
    <row r="170" spans="1:36" ht="16.5" customHeight="1" x14ac:dyDescent="0.3">
      <c r="A170" s="1005" t="str">
        <f>IF(Paramétrage!F30="o","Signatures","")</f>
        <v/>
      </c>
      <c r="B170" s="1005"/>
      <c r="C170" s="1005"/>
      <c r="D170" s="1005"/>
      <c r="E170" s="1005"/>
      <c r="F170" s="1005"/>
      <c r="G170" s="1005"/>
      <c r="H170" s="1000"/>
      <c r="I170" s="1000"/>
      <c r="J170" s="999"/>
      <c r="K170" s="999"/>
      <c r="L170" s="999"/>
      <c r="M170" s="999"/>
      <c r="N170" s="999"/>
      <c r="O170" s="997"/>
      <c r="P170" s="1025"/>
      <c r="Q170" s="1031"/>
      <c r="R170" s="1032"/>
      <c r="S170" s="1033"/>
      <c r="T170" s="1033"/>
      <c r="U170" s="1033"/>
      <c r="V170" s="1033"/>
      <c r="W170" s="1033"/>
      <c r="X170" s="1033"/>
      <c r="Y170" s="1032"/>
      <c r="Z170" s="1034"/>
      <c r="AA170" s="1035"/>
    </row>
    <row r="171" spans="1:36" ht="16.5" x14ac:dyDescent="0.3">
      <c r="A171" s="1000"/>
      <c r="B171" s="1000"/>
      <c r="C171" s="1000"/>
      <c r="D171" s="1000"/>
      <c r="E171" s="1000"/>
      <c r="F171" s="1000"/>
      <c r="G171" s="1000"/>
      <c r="H171" s="1000"/>
      <c r="I171" s="1000"/>
      <c r="J171" s="999"/>
      <c r="K171" s="999"/>
      <c r="L171" s="999"/>
      <c r="M171" s="999"/>
      <c r="N171" s="999"/>
      <c r="O171" s="997"/>
      <c r="P171" s="1025" t="str">
        <f>A41</f>
        <v>S26</v>
      </c>
      <c r="Q171" s="1026"/>
      <c r="R171" s="1027"/>
      <c r="S171" s="1028"/>
      <c r="T171" s="1028"/>
      <c r="U171" s="1028"/>
      <c r="V171" s="1028"/>
      <c r="W171" s="1028"/>
      <c r="X171" s="1028"/>
      <c r="Y171" s="1027"/>
      <c r="Z171" s="1029"/>
      <c r="AA171" s="1030"/>
    </row>
    <row r="172" spans="1:36" ht="16.5" customHeight="1" x14ac:dyDescent="0.3">
      <c r="A172" s="1037" t="str">
        <f>Paramétrage!K5&amp;" "&amp;Paramétrage!C5</f>
        <v xml:space="preserve"> </v>
      </c>
      <c r="B172" s="1037"/>
      <c r="C172" s="1037"/>
      <c r="D172" s="1038" t="s">
        <v>121</v>
      </c>
      <c r="E172" s="1038"/>
      <c r="F172" s="1038"/>
      <c r="G172" s="1038"/>
      <c r="H172" s="1000"/>
      <c r="I172" s="1000"/>
      <c r="J172" s="999"/>
      <c r="K172" s="999"/>
      <c r="L172" s="999"/>
      <c r="M172" s="999"/>
      <c r="N172" s="999"/>
      <c r="O172" s="997"/>
      <c r="P172" s="1025"/>
      <c r="Q172" s="1031"/>
      <c r="R172" s="1032"/>
      <c r="S172" s="1033"/>
      <c r="T172" s="1033"/>
      <c r="U172" s="1033"/>
      <c r="V172" s="1033"/>
      <c r="W172" s="1033"/>
      <c r="X172" s="1033"/>
      <c r="Y172" s="1032"/>
      <c r="Z172" s="1034"/>
      <c r="AA172" s="1035"/>
    </row>
    <row r="173" spans="1:36" ht="16.5" x14ac:dyDescent="0.3">
      <c r="A173" s="1037"/>
      <c r="B173" s="1037"/>
      <c r="C173" s="1037"/>
      <c r="D173" s="1038"/>
      <c r="E173" s="1038"/>
      <c r="F173" s="1038"/>
      <c r="G173" s="1038"/>
      <c r="H173" s="1000"/>
      <c r="I173" s="1000"/>
      <c r="J173" s="999"/>
      <c r="K173" s="999"/>
      <c r="L173" s="999"/>
      <c r="M173" s="999"/>
      <c r="N173" s="999"/>
      <c r="O173" s="997"/>
      <c r="P173" s="1025" t="str">
        <f>A53</f>
        <v>S27</v>
      </c>
      <c r="Q173" s="1026"/>
      <c r="R173" s="1027"/>
      <c r="S173" s="1028"/>
      <c r="T173" s="1028"/>
      <c r="U173" s="1028"/>
      <c r="V173" s="1028"/>
      <c r="W173" s="1028"/>
      <c r="X173" s="1028"/>
      <c r="Y173" s="1027"/>
      <c r="Z173" s="1029"/>
      <c r="AA173" s="1030"/>
    </row>
    <row r="174" spans="1:36" ht="16.5" x14ac:dyDescent="0.3">
      <c r="A174" s="1000"/>
      <c r="B174" s="1000"/>
      <c r="C174" s="1000"/>
      <c r="D174" s="1000"/>
      <c r="E174" s="1000"/>
      <c r="F174" s="1000"/>
      <c r="G174" s="1000"/>
      <c r="H174" s="1000"/>
      <c r="I174" s="1000"/>
      <c r="J174" s="999"/>
      <c r="K174" s="999"/>
      <c r="L174" s="999"/>
      <c r="M174" s="999"/>
      <c r="N174" s="999"/>
      <c r="O174" s="997"/>
      <c r="P174" s="1025"/>
      <c r="Q174" s="1031"/>
      <c r="R174" s="1032"/>
      <c r="S174" s="1033"/>
      <c r="T174" s="1033"/>
      <c r="U174" s="1033"/>
      <c r="V174" s="1033"/>
      <c r="W174" s="1033"/>
      <c r="X174" s="1033"/>
      <c r="Y174" s="1032"/>
      <c r="Z174" s="1034"/>
      <c r="AA174" s="1035"/>
      <c r="AG174" s="962">
        <f>'T2'!O18</f>
        <v>0</v>
      </c>
      <c r="AI174" s="962">
        <f>AE174+AI168</f>
        <v>0</v>
      </c>
      <c r="AJ174" s="962">
        <f>AG174+AJ168</f>
        <v>0</v>
      </c>
    </row>
    <row r="175" spans="1:36" ht="16.5" x14ac:dyDescent="0.3">
      <c r="A175" s="1000"/>
      <c r="B175" s="1000"/>
      <c r="C175" s="1000"/>
      <c r="D175" s="1000"/>
      <c r="E175" s="1000"/>
      <c r="F175" s="1000"/>
      <c r="G175" s="1000"/>
      <c r="H175" s="1000"/>
      <c r="I175" s="1000"/>
      <c r="J175" s="999"/>
      <c r="K175" s="999"/>
      <c r="L175" s="999"/>
      <c r="M175" s="999"/>
      <c r="N175" s="999"/>
      <c r="O175" s="997"/>
      <c r="P175" s="1025" t="str">
        <f>A65</f>
        <v>S28</v>
      </c>
      <c r="Q175" s="1026"/>
      <c r="R175" s="1027"/>
      <c r="S175" s="1028"/>
      <c r="T175" s="1028"/>
      <c r="U175" s="1028"/>
      <c r="V175" s="1028"/>
      <c r="W175" s="1028"/>
      <c r="X175" s="1028"/>
      <c r="Y175" s="1027"/>
      <c r="Z175" s="1029"/>
      <c r="AA175" s="1030"/>
      <c r="AG175" s="962">
        <f>'T2'!O19</f>
        <v>0</v>
      </c>
      <c r="AI175" s="962">
        <f t="shared" ref="AI175:AI180" si="288">AE175+AI174</f>
        <v>0</v>
      </c>
      <c r="AJ175" s="962">
        <f t="shared" ref="AJ175:AJ180" si="289">AG175+AJ174</f>
        <v>0</v>
      </c>
    </row>
    <row r="176" spans="1:36" ht="16.5" x14ac:dyDescent="0.3">
      <c r="A176" s="1000"/>
      <c r="B176" s="1000"/>
      <c r="C176" s="1000"/>
      <c r="D176" s="1000"/>
      <c r="E176" s="1000"/>
      <c r="F176" s="1000"/>
      <c r="G176" s="1000"/>
      <c r="H176" s="1000"/>
      <c r="I176" s="1000"/>
      <c r="J176" s="999"/>
      <c r="K176" s="999"/>
      <c r="L176" s="999"/>
      <c r="M176" s="999"/>
      <c r="N176" s="999"/>
      <c r="O176" s="997"/>
      <c r="P176" s="1025"/>
      <c r="Q176" s="1031"/>
      <c r="R176" s="1032"/>
      <c r="S176" s="1033"/>
      <c r="T176" s="1033"/>
      <c r="U176" s="1033"/>
      <c r="V176" s="1033"/>
      <c r="W176" s="1033"/>
      <c r="X176" s="1033"/>
      <c r="Y176" s="1032"/>
      <c r="Z176" s="1034"/>
      <c r="AA176" s="1035"/>
      <c r="AG176" s="962">
        <f>'T2'!O20</f>
        <v>0</v>
      </c>
      <c r="AI176" s="962">
        <f t="shared" si="288"/>
        <v>0</v>
      </c>
      <c r="AJ176" s="962">
        <f t="shared" si="289"/>
        <v>0</v>
      </c>
    </row>
    <row r="177" spans="1:36" ht="16.5" x14ac:dyDescent="0.3">
      <c r="A177" s="1000"/>
      <c r="B177" s="1000"/>
      <c r="C177" s="1000"/>
      <c r="D177" s="1000"/>
      <c r="E177" s="1000"/>
      <c r="F177" s="1000"/>
      <c r="G177" s="1000"/>
      <c r="H177" s="1000"/>
      <c r="I177" s="1000"/>
      <c r="J177" s="999"/>
      <c r="K177" s="999"/>
      <c r="L177" s="999"/>
      <c r="M177" s="999"/>
      <c r="N177" s="999"/>
      <c r="O177" s="997"/>
      <c r="P177" s="1025" t="str">
        <f>A77</f>
        <v>S29</v>
      </c>
      <c r="Q177" s="1026"/>
      <c r="R177" s="1027"/>
      <c r="S177" s="1028"/>
      <c r="T177" s="1028"/>
      <c r="U177" s="1028"/>
      <c r="V177" s="1028"/>
      <c r="W177" s="1028"/>
      <c r="X177" s="1028"/>
      <c r="Y177" s="1027"/>
      <c r="Z177" s="1029"/>
      <c r="AA177" s="1030"/>
      <c r="AG177" s="962">
        <f>'T2'!O21</f>
        <v>0</v>
      </c>
      <c r="AI177" s="962">
        <f t="shared" si="288"/>
        <v>0</v>
      </c>
      <c r="AJ177" s="962">
        <f t="shared" si="289"/>
        <v>0</v>
      </c>
    </row>
    <row r="178" spans="1:36" ht="16.5" x14ac:dyDescent="0.3">
      <c r="A178" s="1000"/>
      <c r="B178" s="1000"/>
      <c r="C178" s="1000"/>
      <c r="D178" s="1000"/>
      <c r="E178" s="1000"/>
      <c r="F178" s="1000"/>
      <c r="G178" s="1000"/>
      <c r="H178" s="1000"/>
      <c r="I178" s="1000"/>
      <c r="J178" s="999"/>
      <c r="K178" s="999"/>
      <c r="L178" s="999"/>
      <c r="M178" s="999"/>
      <c r="N178" s="999"/>
      <c r="O178" s="997"/>
      <c r="P178" s="1025"/>
      <c r="Q178" s="1031"/>
      <c r="R178" s="1032"/>
      <c r="S178" s="1033"/>
      <c r="T178" s="1033"/>
      <c r="U178" s="1033"/>
      <c r="V178" s="1033"/>
      <c r="W178" s="1033"/>
      <c r="X178" s="1033"/>
      <c r="Y178" s="1032"/>
      <c r="Z178" s="1034"/>
      <c r="AA178" s="1035"/>
      <c r="AG178" s="962">
        <f>'T2'!O22</f>
        <v>0</v>
      </c>
      <c r="AI178" s="962">
        <f t="shared" si="288"/>
        <v>0</v>
      </c>
      <c r="AJ178" s="962">
        <f t="shared" si="289"/>
        <v>0</v>
      </c>
    </row>
    <row r="179" spans="1:36" ht="16.5" x14ac:dyDescent="0.3">
      <c r="A179" s="1000"/>
      <c r="B179" s="1000"/>
      <c r="C179" s="1000"/>
      <c r="D179" s="1000"/>
      <c r="E179" s="1000"/>
      <c r="F179" s="1000"/>
      <c r="G179" s="1000"/>
      <c r="H179" s="1000"/>
      <c r="I179" s="1000"/>
      <c r="J179" s="999"/>
      <c r="K179" s="999"/>
      <c r="L179" s="999"/>
      <c r="M179" s="999"/>
      <c r="N179" s="999"/>
      <c r="O179" s="997"/>
      <c r="P179" s="1025" t="str">
        <f>A89</f>
        <v>S30</v>
      </c>
      <c r="Q179" s="1026"/>
      <c r="R179" s="1027"/>
      <c r="S179" s="1028"/>
      <c r="T179" s="1028"/>
      <c r="U179" s="1028"/>
      <c r="V179" s="1028"/>
      <c r="W179" s="1028"/>
      <c r="X179" s="1028"/>
      <c r="Y179" s="1027"/>
      <c r="Z179" s="1029"/>
      <c r="AA179" s="1030"/>
      <c r="AG179" s="962">
        <f>'T2'!O23</f>
        <v>0</v>
      </c>
      <c r="AI179" s="962">
        <f t="shared" si="288"/>
        <v>0</v>
      </c>
      <c r="AJ179" s="962">
        <f t="shared" si="289"/>
        <v>0</v>
      </c>
    </row>
    <row r="180" spans="1:36" ht="16.5" x14ac:dyDescent="0.3">
      <c r="A180" s="1000"/>
      <c r="B180" s="1000"/>
      <c r="C180" s="1000"/>
      <c r="D180" s="1000"/>
      <c r="E180" s="1000"/>
      <c r="F180" s="1000"/>
      <c r="G180" s="1000"/>
      <c r="H180" s="1000"/>
      <c r="I180" s="1000"/>
      <c r="J180" s="999"/>
      <c r="K180" s="999"/>
      <c r="L180" s="999"/>
      <c r="M180" s="999"/>
      <c r="N180" s="999"/>
      <c r="O180" s="997"/>
      <c r="P180" s="1025"/>
      <c r="Q180" s="1031"/>
      <c r="R180" s="1032"/>
      <c r="S180" s="1033"/>
      <c r="T180" s="1033"/>
      <c r="U180" s="1033"/>
      <c r="V180" s="1033"/>
      <c r="W180" s="1033"/>
      <c r="X180" s="1033"/>
      <c r="Y180" s="1032"/>
      <c r="Z180" s="1034"/>
      <c r="AA180" s="1035"/>
      <c r="AG180" s="962">
        <f>'T2'!O24</f>
        <v>0</v>
      </c>
      <c r="AI180" s="962">
        <f t="shared" si="288"/>
        <v>0</v>
      </c>
      <c r="AJ180" s="962">
        <f t="shared" si="289"/>
        <v>0</v>
      </c>
    </row>
    <row r="181" spans="1:36" ht="16.5" x14ac:dyDescent="0.3">
      <c r="A181" s="1040" t="s">
        <v>347</v>
      </c>
      <c r="B181" s="1000"/>
      <c r="C181" s="1000"/>
      <c r="D181" s="1000"/>
      <c r="E181" s="1000"/>
      <c r="F181" s="1000"/>
      <c r="G181" s="1000"/>
      <c r="H181" s="1000"/>
      <c r="I181" s="1000"/>
      <c r="J181" s="999"/>
      <c r="K181" s="999"/>
      <c r="L181" s="999"/>
      <c r="M181" s="999"/>
      <c r="N181" s="999"/>
      <c r="O181" s="997"/>
      <c r="P181" s="1025" t="str">
        <f>A101</f>
        <v>S31</v>
      </c>
      <c r="Q181" s="1026"/>
      <c r="R181" s="1027"/>
      <c r="S181" s="1028"/>
      <c r="T181" s="1028"/>
      <c r="U181" s="1028"/>
      <c r="V181" s="1028"/>
      <c r="W181" s="1028"/>
      <c r="X181" s="1028"/>
      <c r="Y181" s="1027"/>
      <c r="Z181" s="1029"/>
      <c r="AA181" s="1030"/>
    </row>
    <row r="182" spans="1:36" ht="16.5" x14ac:dyDescent="0.3">
      <c r="A182" s="1000"/>
      <c r="B182" s="1000"/>
      <c r="C182" s="1000"/>
      <c r="D182" s="1000"/>
      <c r="E182" s="1000"/>
      <c r="F182" s="1000"/>
      <c r="G182" s="1000"/>
      <c r="H182" s="1000"/>
      <c r="I182" s="1000"/>
      <c r="J182" s="999"/>
      <c r="K182" s="999"/>
      <c r="L182" s="999"/>
      <c r="M182" s="999"/>
      <c r="N182" s="999"/>
      <c r="O182" s="997"/>
      <c r="P182" s="1025"/>
      <c r="Q182" s="1031"/>
      <c r="R182" s="1032"/>
      <c r="S182" s="1033"/>
      <c r="T182" s="1033"/>
      <c r="U182" s="1033"/>
      <c r="V182" s="1033"/>
      <c r="W182" s="1033"/>
      <c r="X182" s="1033"/>
      <c r="Y182" s="1032"/>
      <c r="Z182" s="1034"/>
      <c r="AA182" s="1035"/>
    </row>
    <row r="183" spans="1:36" ht="16.5" x14ac:dyDescent="0.3">
      <c r="A183" s="1000"/>
      <c r="B183" s="1000"/>
      <c r="C183" s="1000"/>
      <c r="D183" s="1000"/>
      <c r="E183" s="1000"/>
      <c r="F183" s="1000"/>
      <c r="G183" s="1000"/>
      <c r="H183" s="1000"/>
      <c r="I183" s="1000"/>
      <c r="J183" s="999"/>
      <c r="K183" s="999"/>
      <c r="L183" s="999"/>
      <c r="M183" s="999"/>
      <c r="N183" s="999"/>
      <c r="O183" s="997"/>
      <c r="P183" s="1025" t="str">
        <f>A113</f>
        <v>S32</v>
      </c>
      <c r="Q183" s="1026"/>
      <c r="R183" s="1027"/>
      <c r="S183" s="1028"/>
      <c r="T183" s="1028"/>
      <c r="U183" s="1028"/>
      <c r="V183" s="1028"/>
      <c r="W183" s="1028"/>
      <c r="X183" s="1028"/>
      <c r="Y183" s="1027"/>
      <c r="Z183" s="1029"/>
      <c r="AA183" s="1030"/>
    </row>
    <row r="184" spans="1:36" ht="16.5" x14ac:dyDescent="0.3">
      <c r="A184" s="1000"/>
      <c r="B184" s="1000"/>
      <c r="C184" s="1000"/>
      <c r="D184" s="1000"/>
      <c r="E184" s="1000"/>
      <c r="F184" s="1000"/>
      <c r="G184" s="1000"/>
      <c r="H184" s="1000"/>
      <c r="I184" s="1000"/>
      <c r="J184" s="999"/>
      <c r="K184" s="999"/>
      <c r="L184" s="999"/>
      <c r="M184" s="999"/>
      <c r="N184" s="999"/>
      <c r="O184" s="997"/>
      <c r="P184" s="1025"/>
      <c r="Q184" s="1031"/>
      <c r="R184" s="1032"/>
      <c r="S184" s="1033"/>
      <c r="T184" s="1033"/>
      <c r="U184" s="1033"/>
      <c r="V184" s="1033"/>
      <c r="W184" s="1033"/>
      <c r="X184" s="1033"/>
      <c r="Y184" s="1032"/>
      <c r="Z184" s="1034"/>
      <c r="AA184" s="1035"/>
    </row>
    <row r="185" spans="1:36" ht="16.5" x14ac:dyDescent="0.3">
      <c r="A185" s="1000"/>
      <c r="B185" s="1000"/>
      <c r="C185" s="1000"/>
      <c r="D185" s="1000"/>
      <c r="E185" s="1000"/>
      <c r="F185" s="1000"/>
      <c r="G185" s="1000"/>
      <c r="H185" s="1000"/>
      <c r="I185" s="1000"/>
      <c r="J185" s="999"/>
      <c r="K185" s="999"/>
      <c r="L185" s="999"/>
      <c r="M185" s="999"/>
      <c r="N185" s="999"/>
      <c r="O185" s="997"/>
      <c r="P185" s="1025" t="str">
        <f>A125</f>
        <v>S33</v>
      </c>
      <c r="Q185" s="1026"/>
      <c r="R185" s="1027"/>
      <c r="S185" s="1028"/>
      <c r="T185" s="1028"/>
      <c r="U185" s="1028"/>
      <c r="V185" s="1028"/>
      <c r="W185" s="1028"/>
      <c r="X185" s="1028"/>
      <c r="Y185" s="1027"/>
      <c r="Z185" s="1029"/>
      <c r="AA185" s="1030"/>
    </row>
    <row r="186" spans="1:36" ht="16.5" x14ac:dyDescent="0.3">
      <c r="A186" s="1000"/>
      <c r="B186" s="1000"/>
      <c r="C186" s="1000"/>
      <c r="D186" s="1000"/>
      <c r="E186" s="1000"/>
      <c r="F186" s="1000"/>
      <c r="G186" s="1000"/>
      <c r="H186" s="1000"/>
      <c r="I186" s="1000"/>
      <c r="J186" s="999"/>
      <c r="K186" s="999"/>
      <c r="L186" s="999"/>
      <c r="M186" s="999"/>
      <c r="N186" s="999"/>
      <c r="O186" s="997"/>
      <c r="P186" s="1025"/>
      <c r="Q186" s="1031"/>
      <c r="R186" s="1032"/>
      <c r="S186" s="1033"/>
      <c r="T186" s="1033"/>
      <c r="U186" s="1033"/>
      <c r="V186" s="1033"/>
      <c r="W186" s="1033"/>
      <c r="X186" s="1033"/>
      <c r="Y186" s="1032"/>
      <c r="Z186" s="1034"/>
      <c r="AA186" s="1035"/>
      <c r="AG186" s="962">
        <f>'T2'!O30</f>
        <v>0</v>
      </c>
      <c r="AI186" s="962">
        <f>AE186+AI180</f>
        <v>0</v>
      </c>
      <c r="AJ186" s="962">
        <f>AG186+AJ180</f>
        <v>0</v>
      </c>
    </row>
    <row r="187" spans="1:36" ht="16.5" x14ac:dyDescent="0.3">
      <c r="A187" s="1000"/>
      <c r="B187" s="1000"/>
      <c r="C187" s="1000"/>
      <c r="D187" s="1000"/>
      <c r="E187" s="1000"/>
      <c r="F187" s="1000"/>
      <c r="G187" s="1000"/>
      <c r="H187" s="1000"/>
      <c r="I187" s="1000"/>
      <c r="J187" s="999"/>
      <c r="K187" s="999"/>
      <c r="L187" s="999"/>
      <c r="M187" s="999"/>
      <c r="N187" s="999"/>
      <c r="O187" s="997"/>
      <c r="P187" s="1025" t="str">
        <f>A137</f>
        <v>S34</v>
      </c>
      <c r="Q187" s="1026"/>
      <c r="R187" s="1027"/>
      <c r="S187" s="1028"/>
      <c r="T187" s="1028"/>
      <c r="U187" s="1028"/>
      <c r="V187" s="1028"/>
      <c r="W187" s="1028"/>
      <c r="X187" s="1028"/>
      <c r="Y187" s="1027"/>
      <c r="Z187" s="1029"/>
      <c r="AA187" s="1030"/>
      <c r="AG187" s="962">
        <f>'T2'!O31</f>
        <v>0</v>
      </c>
      <c r="AI187" s="962">
        <f t="shared" ref="AI187:AI192" si="290">AE187+AI186</f>
        <v>0</v>
      </c>
      <c r="AJ187" s="962">
        <f t="shared" ref="AJ187:AJ192" si="291">AG187+AJ186</f>
        <v>0</v>
      </c>
    </row>
    <row r="188" spans="1:36" ht="16.5" x14ac:dyDescent="0.3">
      <c r="A188" s="1000"/>
      <c r="B188" s="1000"/>
      <c r="C188" s="1000"/>
      <c r="D188" s="1000"/>
      <c r="E188" s="1000"/>
      <c r="F188" s="1000"/>
      <c r="G188" s="1000"/>
      <c r="H188" s="1000"/>
      <c r="I188" s="1000"/>
      <c r="J188" s="999"/>
      <c r="K188" s="999"/>
      <c r="L188" s="999"/>
      <c r="M188" s="999"/>
      <c r="N188" s="999"/>
      <c r="O188" s="997"/>
      <c r="P188" s="1025"/>
      <c r="Q188" s="1031"/>
      <c r="R188" s="1032"/>
      <c r="S188" s="1033"/>
      <c r="T188" s="1033"/>
      <c r="U188" s="1033"/>
      <c r="V188" s="1033"/>
      <c r="W188" s="1033"/>
      <c r="X188" s="1033"/>
      <c r="Y188" s="1032"/>
      <c r="Z188" s="1034"/>
      <c r="AA188" s="1035"/>
      <c r="AG188" s="962">
        <f>'T2'!O32</f>
        <v>0</v>
      </c>
      <c r="AI188" s="962">
        <f t="shared" si="290"/>
        <v>0</v>
      </c>
      <c r="AJ188" s="962">
        <f t="shared" si="291"/>
        <v>0</v>
      </c>
    </row>
    <row r="189" spans="1:36" ht="16.5" x14ac:dyDescent="0.3">
      <c r="A189" s="1000"/>
      <c r="B189" s="1000"/>
      <c r="C189" s="1000"/>
      <c r="D189" s="1000"/>
      <c r="E189" s="1000"/>
      <c r="F189" s="1000"/>
      <c r="G189" s="1000"/>
      <c r="H189" s="1000"/>
      <c r="I189" s="1000"/>
      <c r="J189" s="999"/>
      <c r="K189" s="999"/>
      <c r="L189" s="999"/>
      <c r="M189" s="999"/>
      <c r="N189" s="999"/>
      <c r="O189" s="997"/>
      <c r="P189" s="1025" t="str">
        <f>A149</f>
        <v>S35</v>
      </c>
      <c r="Q189" s="1026"/>
      <c r="R189" s="1027"/>
      <c r="S189" s="1028"/>
      <c r="T189" s="1028"/>
      <c r="U189" s="1028"/>
      <c r="V189" s="1028"/>
      <c r="W189" s="1028"/>
      <c r="X189" s="1028"/>
      <c r="Y189" s="1027"/>
      <c r="Z189" s="1029"/>
      <c r="AA189" s="1030"/>
      <c r="AG189" s="962">
        <f>'T2'!O33</f>
        <v>0</v>
      </c>
      <c r="AI189" s="962">
        <f t="shared" si="290"/>
        <v>0</v>
      </c>
      <c r="AJ189" s="962">
        <f t="shared" si="291"/>
        <v>0</v>
      </c>
    </row>
    <row r="190" spans="1:36" ht="16.5" x14ac:dyDescent="0.3">
      <c r="A190" s="1000"/>
      <c r="B190" s="1000"/>
      <c r="C190" s="1000"/>
      <c r="D190" s="1000"/>
      <c r="E190" s="1000"/>
      <c r="F190" s="1000"/>
      <c r="G190" s="1000"/>
      <c r="H190" s="1000"/>
      <c r="I190" s="1000"/>
      <c r="J190" s="999"/>
      <c r="K190" s="999"/>
      <c r="L190" s="999"/>
      <c r="M190" s="999"/>
      <c r="N190" s="999"/>
      <c r="O190" s="997"/>
      <c r="P190" s="1025"/>
      <c r="Q190" s="1031"/>
      <c r="R190" s="1032"/>
      <c r="S190" s="1033"/>
      <c r="T190" s="1033"/>
      <c r="U190" s="1033"/>
      <c r="V190" s="1033"/>
      <c r="W190" s="1033"/>
      <c r="X190" s="1033"/>
      <c r="Y190" s="1032"/>
      <c r="Z190" s="1034"/>
      <c r="AA190" s="1035"/>
      <c r="AG190" s="962">
        <f>'T2'!O34</f>
        <v>0</v>
      </c>
      <c r="AI190" s="962">
        <f t="shared" si="290"/>
        <v>0</v>
      </c>
      <c r="AJ190" s="962">
        <f t="shared" si="291"/>
        <v>0</v>
      </c>
    </row>
    <row r="191" spans="1:36" ht="16.5" thickBot="1" x14ac:dyDescent="0.3">
      <c r="A191" s="999"/>
      <c r="B191" s="999"/>
      <c r="C191" s="999"/>
      <c r="D191" s="999"/>
      <c r="E191" s="999"/>
      <c r="F191" s="999"/>
      <c r="G191" s="999"/>
      <c r="H191" s="999"/>
      <c r="I191" s="999"/>
      <c r="J191" s="999"/>
      <c r="K191" s="999"/>
      <c r="L191" s="999"/>
      <c r="M191" s="999"/>
      <c r="N191" s="999"/>
      <c r="O191" s="999"/>
      <c r="P191" s="999"/>
      <c r="Q191" s="999"/>
      <c r="R191" s="999"/>
      <c r="S191" s="1006"/>
      <c r="T191" s="999"/>
      <c r="U191" s="999"/>
      <c r="V191" s="999"/>
      <c r="W191" s="999"/>
      <c r="X191" s="999"/>
      <c r="Y191" s="999"/>
      <c r="Z191" s="999"/>
      <c r="AA191" s="999"/>
      <c r="AG191" s="962">
        <f>'T2'!O35</f>
        <v>0</v>
      </c>
      <c r="AI191" s="962">
        <f t="shared" si="290"/>
        <v>0</v>
      </c>
      <c r="AJ191" s="962">
        <f t="shared" si="291"/>
        <v>0</v>
      </c>
    </row>
    <row r="192" spans="1:36" x14ac:dyDescent="0.25">
      <c r="A192" s="1041" t="s">
        <v>123</v>
      </c>
      <c r="B192" s="1042"/>
      <c r="C192" s="1042"/>
      <c r="D192" s="1042"/>
      <c r="E192" s="1042"/>
      <c r="F192" s="1042"/>
      <c r="G192" s="1042"/>
      <c r="H192" s="1042"/>
      <c r="I192" s="1042"/>
      <c r="J192" s="1042"/>
      <c r="K192" s="1042"/>
      <c r="L192" s="1042"/>
      <c r="M192" s="1042"/>
      <c r="N192" s="1042"/>
      <c r="O192" s="1042"/>
      <c r="P192" s="1042"/>
      <c r="Q192" s="1042"/>
      <c r="R192" s="1042"/>
      <c r="S192" s="1042"/>
      <c r="T192" s="1042"/>
      <c r="U192" s="1042"/>
      <c r="V192" s="1042"/>
      <c r="W192" s="1042"/>
      <c r="X192" s="1042"/>
      <c r="Y192" s="1042"/>
      <c r="Z192" s="1042"/>
      <c r="AA192" s="1043"/>
      <c r="AG192" s="962">
        <f>'T2'!O36</f>
        <v>0</v>
      </c>
      <c r="AI192" s="962">
        <f t="shared" si="290"/>
        <v>0</v>
      </c>
      <c r="AJ192" s="962">
        <f t="shared" si="291"/>
        <v>0</v>
      </c>
    </row>
    <row r="193" spans="1:36" ht="15.75" thickBot="1" x14ac:dyDescent="0.3">
      <c r="A193" s="1044"/>
      <c r="B193" s="1045"/>
      <c r="C193" s="1045"/>
      <c r="D193" s="1045"/>
      <c r="E193" s="1045"/>
      <c r="F193" s="1045"/>
      <c r="G193" s="1045"/>
      <c r="H193" s="1045"/>
      <c r="I193" s="1045"/>
      <c r="J193" s="1045"/>
      <c r="K193" s="1045"/>
      <c r="L193" s="1045"/>
      <c r="M193" s="1045"/>
      <c r="N193" s="1045"/>
      <c r="O193" s="1045"/>
      <c r="P193" s="1045"/>
      <c r="Q193" s="1045"/>
      <c r="R193" s="1045"/>
      <c r="S193" s="1045"/>
      <c r="T193" s="1045"/>
      <c r="U193" s="1045"/>
      <c r="V193" s="1045"/>
      <c r="W193" s="1045"/>
      <c r="X193" s="1045"/>
      <c r="Y193" s="1045"/>
      <c r="Z193" s="1045"/>
      <c r="AA193" s="1046"/>
    </row>
    <row r="198" spans="1:36" x14ac:dyDescent="0.25">
      <c r="AG198" s="962">
        <f>'T2'!O42</f>
        <v>0</v>
      </c>
      <c r="AI198" s="962">
        <f>AE198+AI192</f>
        <v>0</v>
      </c>
      <c r="AJ198" s="962">
        <f>AG198+AJ192</f>
        <v>0</v>
      </c>
    </row>
    <row r="199" spans="1:36" x14ac:dyDescent="0.25">
      <c r="AG199" s="962">
        <f>'T2'!O43</f>
        <v>0</v>
      </c>
      <c r="AI199" s="962">
        <f t="shared" ref="AI199:AI204" si="292">AE199+AI198</f>
        <v>0</v>
      </c>
      <c r="AJ199" s="962">
        <f t="shared" ref="AJ199:AJ204" si="293">AG199+AJ198</f>
        <v>0</v>
      </c>
    </row>
    <row r="200" spans="1:36" x14ac:dyDescent="0.25">
      <c r="AG200" s="962">
        <f>'T2'!O44</f>
        <v>0</v>
      </c>
      <c r="AI200" s="962">
        <f t="shared" si="292"/>
        <v>0</v>
      </c>
      <c r="AJ200" s="962">
        <f t="shared" si="293"/>
        <v>0</v>
      </c>
    </row>
    <row r="201" spans="1:36" x14ac:dyDescent="0.25">
      <c r="AG201" s="962">
        <f>'T2'!O45</f>
        <v>0</v>
      </c>
      <c r="AI201" s="962">
        <f t="shared" si="292"/>
        <v>0</v>
      </c>
      <c r="AJ201" s="962">
        <f t="shared" si="293"/>
        <v>0</v>
      </c>
    </row>
    <row r="202" spans="1:36" x14ac:dyDescent="0.25">
      <c r="AG202" s="962">
        <f>'T2'!O46</f>
        <v>0</v>
      </c>
      <c r="AI202" s="962">
        <f t="shared" si="292"/>
        <v>0</v>
      </c>
      <c r="AJ202" s="962">
        <f t="shared" si="293"/>
        <v>0</v>
      </c>
    </row>
    <row r="203" spans="1:36" x14ac:dyDescent="0.25">
      <c r="AG203" s="962">
        <f>'T2'!O47</f>
        <v>0</v>
      </c>
      <c r="AI203" s="962">
        <f t="shared" si="292"/>
        <v>0</v>
      </c>
      <c r="AJ203" s="962">
        <f t="shared" si="293"/>
        <v>0</v>
      </c>
    </row>
    <row r="204" spans="1:36" x14ac:dyDescent="0.25">
      <c r="AG204" s="962">
        <f>'T2'!O48</f>
        <v>0</v>
      </c>
      <c r="AI204" s="962">
        <f t="shared" si="292"/>
        <v>0</v>
      </c>
      <c r="AJ204" s="962">
        <f t="shared" si="293"/>
        <v>0</v>
      </c>
    </row>
    <row r="210" spans="33:36" x14ac:dyDescent="0.25">
      <c r="AG210" s="962">
        <f>'T2'!O54</f>
        <v>0</v>
      </c>
      <c r="AI210" s="962">
        <f>AE210+AI204</f>
        <v>0</v>
      </c>
      <c r="AJ210" s="962">
        <f>AG210+AJ204</f>
        <v>0</v>
      </c>
    </row>
    <row r="211" spans="33:36" x14ac:dyDescent="0.25">
      <c r="AG211" s="962">
        <f>'T2'!O55</f>
        <v>0</v>
      </c>
      <c r="AI211" s="962">
        <f t="shared" ref="AI211:AI216" si="294">AE211+AI210</f>
        <v>0</v>
      </c>
      <c r="AJ211" s="962">
        <f t="shared" ref="AJ211:AJ216" si="295">AG211+AJ210</f>
        <v>0</v>
      </c>
    </row>
    <row r="212" spans="33:36" x14ac:dyDescent="0.25">
      <c r="AG212" s="962">
        <f>'T2'!O56</f>
        <v>0</v>
      </c>
      <c r="AI212" s="962">
        <f t="shared" si="294"/>
        <v>0</v>
      </c>
      <c r="AJ212" s="962">
        <f t="shared" si="295"/>
        <v>0</v>
      </c>
    </row>
    <row r="213" spans="33:36" x14ac:dyDescent="0.25">
      <c r="AG213" s="962">
        <f>'T2'!O57</f>
        <v>0</v>
      </c>
      <c r="AI213" s="962">
        <f t="shared" si="294"/>
        <v>0</v>
      </c>
      <c r="AJ213" s="962">
        <f t="shared" si="295"/>
        <v>0</v>
      </c>
    </row>
    <row r="214" spans="33:36" x14ac:dyDescent="0.25">
      <c r="AG214" s="962">
        <f>'T2'!O58</f>
        <v>0</v>
      </c>
      <c r="AI214" s="962">
        <f t="shared" si="294"/>
        <v>0</v>
      </c>
      <c r="AJ214" s="962">
        <f t="shared" si="295"/>
        <v>0</v>
      </c>
    </row>
    <row r="215" spans="33:36" x14ac:dyDescent="0.25">
      <c r="AG215" s="962">
        <f>'T2'!O59</f>
        <v>0</v>
      </c>
      <c r="AI215" s="962">
        <f t="shared" si="294"/>
        <v>0</v>
      </c>
      <c r="AJ215" s="962">
        <f t="shared" si="295"/>
        <v>0</v>
      </c>
    </row>
    <row r="216" spans="33:36" x14ac:dyDescent="0.25">
      <c r="AG216" s="962">
        <f>'T2'!O60</f>
        <v>0</v>
      </c>
      <c r="AI216" s="962">
        <f t="shared" si="294"/>
        <v>0</v>
      </c>
      <c r="AJ216" s="962">
        <f t="shared" si="295"/>
        <v>0</v>
      </c>
    </row>
    <row r="222" spans="33:36" x14ac:dyDescent="0.25">
      <c r="AG222" s="962">
        <f>'T2'!O66</f>
        <v>0</v>
      </c>
      <c r="AI222" s="962">
        <f>AE222+AI216</f>
        <v>0</v>
      </c>
      <c r="AJ222" s="962">
        <f>AG222+AJ216</f>
        <v>0</v>
      </c>
    </row>
    <row r="223" spans="33:36" x14ac:dyDescent="0.25">
      <c r="AG223" s="962">
        <f>'T2'!O67</f>
        <v>0</v>
      </c>
      <c r="AI223" s="962">
        <f t="shared" ref="AI223:AI228" si="296">AE223+AI222</f>
        <v>0</v>
      </c>
      <c r="AJ223" s="962">
        <f t="shared" ref="AJ223:AJ228" si="297">AG223+AJ222</f>
        <v>0</v>
      </c>
    </row>
    <row r="224" spans="33:36" x14ac:dyDescent="0.25">
      <c r="AG224" s="962">
        <f>'T2'!O68</f>
        <v>0</v>
      </c>
      <c r="AI224" s="962">
        <f t="shared" si="296"/>
        <v>0</v>
      </c>
      <c r="AJ224" s="962">
        <f t="shared" si="297"/>
        <v>0</v>
      </c>
    </row>
    <row r="225" spans="33:36" x14ac:dyDescent="0.25">
      <c r="AG225" s="962">
        <f>'T2'!O69</f>
        <v>0</v>
      </c>
      <c r="AI225" s="962">
        <f t="shared" si="296"/>
        <v>0</v>
      </c>
      <c r="AJ225" s="962">
        <f t="shared" si="297"/>
        <v>0</v>
      </c>
    </row>
    <row r="226" spans="33:36" x14ac:dyDescent="0.25">
      <c r="AG226" s="962">
        <f>'T2'!O70</f>
        <v>0</v>
      </c>
      <c r="AI226" s="962">
        <f t="shared" si="296"/>
        <v>0</v>
      </c>
      <c r="AJ226" s="962">
        <f t="shared" si="297"/>
        <v>0</v>
      </c>
    </row>
    <row r="227" spans="33:36" x14ac:dyDescent="0.25">
      <c r="AG227" s="962">
        <f>'T2'!O71</f>
        <v>0</v>
      </c>
      <c r="AI227" s="962">
        <f t="shared" si="296"/>
        <v>0</v>
      </c>
      <c r="AJ227" s="962">
        <f t="shared" si="297"/>
        <v>0</v>
      </c>
    </row>
    <row r="228" spans="33:36" x14ac:dyDescent="0.25">
      <c r="AG228" s="962">
        <f>'T2'!O72</f>
        <v>0</v>
      </c>
      <c r="AI228" s="962">
        <f t="shared" si="296"/>
        <v>0</v>
      </c>
      <c r="AJ228" s="962">
        <f t="shared" si="297"/>
        <v>0</v>
      </c>
    </row>
    <row r="234" spans="33:36" x14ac:dyDescent="0.25">
      <c r="AG234" s="962">
        <f>'T2'!O78</f>
        <v>0</v>
      </c>
      <c r="AI234" s="962">
        <f>AE234+AI228</f>
        <v>0</v>
      </c>
      <c r="AJ234" s="962">
        <f>AG234+AJ228</f>
        <v>0</v>
      </c>
    </row>
    <row r="235" spans="33:36" x14ac:dyDescent="0.25">
      <c r="AG235" s="962">
        <f>'T2'!O79</f>
        <v>0</v>
      </c>
      <c r="AI235" s="962">
        <f t="shared" ref="AI235:AI240" si="298">AE235+AI234</f>
        <v>0</v>
      </c>
      <c r="AJ235" s="962">
        <f t="shared" ref="AJ235:AJ240" si="299">AG235+AJ234</f>
        <v>0</v>
      </c>
    </row>
    <row r="236" spans="33:36" x14ac:dyDescent="0.25">
      <c r="AG236" s="962">
        <f>'T2'!O80</f>
        <v>0</v>
      </c>
      <c r="AI236" s="962">
        <f t="shared" si="298"/>
        <v>0</v>
      </c>
      <c r="AJ236" s="962">
        <f t="shared" si="299"/>
        <v>0</v>
      </c>
    </row>
    <row r="237" spans="33:36" x14ac:dyDescent="0.25">
      <c r="AG237" s="962">
        <f>'T2'!O81</f>
        <v>0</v>
      </c>
      <c r="AI237" s="962">
        <f t="shared" si="298"/>
        <v>0</v>
      </c>
      <c r="AJ237" s="962">
        <f t="shared" si="299"/>
        <v>0</v>
      </c>
    </row>
    <row r="238" spans="33:36" x14ac:dyDescent="0.25">
      <c r="AG238" s="962">
        <f>'T2'!O82</f>
        <v>0</v>
      </c>
      <c r="AI238" s="962">
        <f t="shared" si="298"/>
        <v>0</v>
      </c>
      <c r="AJ238" s="962">
        <f t="shared" si="299"/>
        <v>0</v>
      </c>
    </row>
    <row r="239" spans="33:36" x14ac:dyDescent="0.25">
      <c r="AG239" s="962">
        <f>'T2'!O83</f>
        <v>0</v>
      </c>
      <c r="AI239" s="962">
        <f t="shared" si="298"/>
        <v>0</v>
      </c>
      <c r="AJ239" s="962">
        <f t="shared" si="299"/>
        <v>0</v>
      </c>
    </row>
    <row r="240" spans="33:36" x14ac:dyDescent="0.25">
      <c r="AG240" s="962">
        <f>'T2'!O84</f>
        <v>0</v>
      </c>
      <c r="AI240" s="962">
        <f t="shared" si="298"/>
        <v>0</v>
      </c>
      <c r="AJ240" s="962">
        <f t="shared" si="299"/>
        <v>0</v>
      </c>
    </row>
    <row r="246" spans="33:36" x14ac:dyDescent="0.25">
      <c r="AG246" s="962">
        <f>'T2'!O90</f>
        <v>0</v>
      </c>
      <c r="AI246" s="962">
        <f>AE246+AI240</f>
        <v>0</v>
      </c>
      <c r="AJ246" s="962">
        <f>AG246+AJ240</f>
        <v>0</v>
      </c>
    </row>
    <row r="247" spans="33:36" x14ac:dyDescent="0.25">
      <c r="AG247" s="962">
        <f>'T2'!O91</f>
        <v>0</v>
      </c>
      <c r="AI247" s="962">
        <f t="shared" ref="AI247:AI252" si="300">AE247+AI246</f>
        <v>0</v>
      </c>
      <c r="AJ247" s="962">
        <f t="shared" ref="AJ247:AJ252" si="301">AG247+AJ246</f>
        <v>0</v>
      </c>
    </row>
    <row r="248" spans="33:36" x14ac:dyDescent="0.25">
      <c r="AG248" s="962">
        <f>'T2'!O92</f>
        <v>0</v>
      </c>
      <c r="AI248" s="962">
        <f t="shared" si="300"/>
        <v>0</v>
      </c>
      <c r="AJ248" s="962">
        <f t="shared" si="301"/>
        <v>0</v>
      </c>
    </row>
    <row r="249" spans="33:36" x14ac:dyDescent="0.25">
      <c r="AG249" s="962">
        <f>'T2'!O93</f>
        <v>0</v>
      </c>
      <c r="AI249" s="962">
        <f t="shared" si="300"/>
        <v>0</v>
      </c>
      <c r="AJ249" s="962">
        <f t="shared" si="301"/>
        <v>0</v>
      </c>
    </row>
    <row r="250" spans="33:36" x14ac:dyDescent="0.25">
      <c r="AG250" s="962">
        <f>'T2'!O94</f>
        <v>0</v>
      </c>
      <c r="AI250" s="962">
        <f t="shared" si="300"/>
        <v>0</v>
      </c>
      <c r="AJ250" s="962">
        <f t="shared" si="301"/>
        <v>0</v>
      </c>
    </row>
    <row r="251" spans="33:36" x14ac:dyDescent="0.25">
      <c r="AG251" s="962">
        <f>'T2'!O95</f>
        <v>0</v>
      </c>
      <c r="AI251" s="962">
        <f t="shared" si="300"/>
        <v>0</v>
      </c>
      <c r="AJ251" s="962">
        <f t="shared" si="301"/>
        <v>0</v>
      </c>
    </row>
    <row r="252" spans="33:36" x14ac:dyDescent="0.25">
      <c r="AG252" s="962">
        <f>'T2'!O96</f>
        <v>0</v>
      </c>
      <c r="AI252" s="962">
        <f t="shared" si="300"/>
        <v>0</v>
      </c>
      <c r="AJ252" s="962">
        <f t="shared" si="301"/>
        <v>0</v>
      </c>
    </row>
    <row r="258" spans="33:36" x14ac:dyDescent="0.25">
      <c r="AG258" s="962">
        <f>'T2'!O102</f>
        <v>0</v>
      </c>
      <c r="AI258" s="962">
        <f>AE258+AI252</f>
        <v>0</v>
      </c>
      <c r="AJ258" s="962">
        <f>AG258+AJ252</f>
        <v>0</v>
      </c>
    </row>
    <row r="259" spans="33:36" x14ac:dyDescent="0.25">
      <c r="AG259" s="962">
        <f>'T2'!O103</f>
        <v>0</v>
      </c>
      <c r="AI259" s="962">
        <f t="shared" ref="AI259:AI264" si="302">AE259+AI258</f>
        <v>0</v>
      </c>
      <c r="AJ259" s="962">
        <f t="shared" ref="AJ259:AJ264" si="303">AG259+AJ258</f>
        <v>0</v>
      </c>
    </row>
    <row r="260" spans="33:36" x14ac:dyDescent="0.25">
      <c r="AG260" s="962">
        <f>'T2'!O104</f>
        <v>0</v>
      </c>
      <c r="AI260" s="962">
        <f t="shared" si="302"/>
        <v>0</v>
      </c>
      <c r="AJ260" s="962">
        <f t="shared" si="303"/>
        <v>0</v>
      </c>
    </row>
    <row r="261" spans="33:36" x14ac:dyDescent="0.25">
      <c r="AG261" s="962">
        <f>'T2'!O105</f>
        <v>0</v>
      </c>
      <c r="AI261" s="962">
        <f t="shared" si="302"/>
        <v>0</v>
      </c>
      <c r="AJ261" s="962">
        <f t="shared" si="303"/>
        <v>0</v>
      </c>
    </row>
    <row r="262" spans="33:36" x14ac:dyDescent="0.25">
      <c r="AG262" s="962">
        <f>'T2'!O106</f>
        <v>0</v>
      </c>
      <c r="AI262" s="962">
        <f t="shared" si="302"/>
        <v>0</v>
      </c>
      <c r="AJ262" s="962">
        <f t="shared" si="303"/>
        <v>0</v>
      </c>
    </row>
    <row r="263" spans="33:36" x14ac:dyDescent="0.25">
      <c r="AG263" s="962">
        <f>'T2'!O107</f>
        <v>0</v>
      </c>
      <c r="AI263" s="962">
        <f t="shared" si="302"/>
        <v>0</v>
      </c>
      <c r="AJ263" s="962">
        <f t="shared" si="303"/>
        <v>0</v>
      </c>
    </row>
    <row r="264" spans="33:36" x14ac:dyDescent="0.25">
      <c r="AG264" s="962">
        <f>'T2'!O108</f>
        <v>0</v>
      </c>
      <c r="AI264" s="962">
        <f t="shared" si="302"/>
        <v>0</v>
      </c>
      <c r="AJ264" s="962">
        <f t="shared" si="303"/>
        <v>0</v>
      </c>
    </row>
    <row r="270" spans="33:36" x14ac:dyDescent="0.25">
      <c r="AG270" s="962">
        <f>'T2'!O114</f>
        <v>0</v>
      </c>
      <c r="AI270" s="962">
        <f>AE270+AI264</f>
        <v>0</v>
      </c>
      <c r="AJ270" s="962">
        <f>AG270+AJ264</f>
        <v>0</v>
      </c>
    </row>
    <row r="271" spans="33:36" x14ac:dyDescent="0.25">
      <c r="AG271" s="962">
        <f>'T2'!O115</f>
        <v>0</v>
      </c>
      <c r="AI271" s="962">
        <f t="shared" ref="AI271:AI276" si="304">AE271+AI270</f>
        <v>0</v>
      </c>
      <c r="AJ271" s="962">
        <f t="shared" ref="AJ271:AJ276" si="305">AG271+AJ270</f>
        <v>0</v>
      </c>
    </row>
    <row r="272" spans="33:36" x14ac:dyDescent="0.25">
      <c r="AG272" s="962">
        <f>'T2'!O116</f>
        <v>0</v>
      </c>
      <c r="AI272" s="962">
        <f t="shared" si="304"/>
        <v>0</v>
      </c>
      <c r="AJ272" s="962">
        <f t="shared" si="305"/>
        <v>0</v>
      </c>
    </row>
    <row r="273" spans="33:36" x14ac:dyDescent="0.25">
      <c r="AG273" s="962">
        <f>'T2'!O117</f>
        <v>0</v>
      </c>
      <c r="AI273" s="962">
        <f t="shared" si="304"/>
        <v>0</v>
      </c>
      <c r="AJ273" s="962">
        <f t="shared" si="305"/>
        <v>0</v>
      </c>
    </row>
    <row r="274" spans="33:36" x14ac:dyDescent="0.25">
      <c r="AG274" s="962">
        <f>'T2'!O118</f>
        <v>0</v>
      </c>
      <c r="AI274" s="962">
        <f t="shared" si="304"/>
        <v>0</v>
      </c>
      <c r="AJ274" s="962">
        <f t="shared" si="305"/>
        <v>0</v>
      </c>
    </row>
    <row r="275" spans="33:36" x14ac:dyDescent="0.25">
      <c r="AG275" s="962">
        <f>'T2'!O119</f>
        <v>0</v>
      </c>
      <c r="AI275" s="962">
        <f t="shared" si="304"/>
        <v>0</v>
      </c>
      <c r="AJ275" s="962">
        <f t="shared" si="305"/>
        <v>0</v>
      </c>
    </row>
    <row r="276" spans="33:36" x14ac:dyDescent="0.25">
      <c r="AG276" s="962">
        <f>'T2'!O120</f>
        <v>0</v>
      </c>
      <c r="AI276" s="962">
        <f t="shared" si="304"/>
        <v>0</v>
      </c>
      <c r="AJ276" s="962">
        <f t="shared" si="305"/>
        <v>0</v>
      </c>
    </row>
    <row r="282" spans="33:36" x14ac:dyDescent="0.25">
      <c r="AG282" s="962">
        <f>'T2'!O126</f>
        <v>0</v>
      </c>
      <c r="AI282" s="962">
        <f>AE282+AI276</f>
        <v>0</v>
      </c>
      <c r="AJ282" s="962">
        <f>AG282+AJ276</f>
        <v>0</v>
      </c>
    </row>
    <row r="283" spans="33:36" x14ac:dyDescent="0.25">
      <c r="AG283" s="962">
        <f>'T2'!O127</f>
        <v>0</v>
      </c>
      <c r="AI283" s="962">
        <f t="shared" ref="AI283:AI288" si="306">AE283+AI282</f>
        <v>0</v>
      </c>
      <c r="AJ283" s="962">
        <f t="shared" ref="AJ283:AJ288" si="307">AG283+AJ282</f>
        <v>0</v>
      </c>
    </row>
    <row r="284" spans="33:36" x14ac:dyDescent="0.25">
      <c r="AG284" s="962">
        <f>'T2'!O128</f>
        <v>0</v>
      </c>
      <c r="AI284" s="962">
        <f t="shared" si="306"/>
        <v>0</v>
      </c>
      <c r="AJ284" s="962">
        <f t="shared" si="307"/>
        <v>0</v>
      </c>
    </row>
    <row r="285" spans="33:36" x14ac:dyDescent="0.25">
      <c r="AG285" s="962">
        <f>'T2'!O129</f>
        <v>0</v>
      </c>
      <c r="AI285" s="962">
        <f t="shared" si="306"/>
        <v>0</v>
      </c>
      <c r="AJ285" s="962">
        <f t="shared" si="307"/>
        <v>0</v>
      </c>
    </row>
    <row r="286" spans="33:36" x14ac:dyDescent="0.25">
      <c r="AG286" s="962">
        <f>'T2'!O130</f>
        <v>0</v>
      </c>
      <c r="AI286" s="962">
        <f t="shared" si="306"/>
        <v>0</v>
      </c>
      <c r="AJ286" s="962">
        <f t="shared" si="307"/>
        <v>0</v>
      </c>
    </row>
    <row r="287" spans="33:36" x14ac:dyDescent="0.25">
      <c r="AG287" s="962">
        <f>'T2'!O131</f>
        <v>0</v>
      </c>
      <c r="AI287" s="962">
        <f t="shared" si="306"/>
        <v>0</v>
      </c>
      <c r="AJ287" s="962">
        <f t="shared" si="307"/>
        <v>0</v>
      </c>
    </row>
    <row r="288" spans="33:36" x14ac:dyDescent="0.25">
      <c r="AG288" s="962">
        <f>'T2'!O132</f>
        <v>0</v>
      </c>
      <c r="AI288" s="962">
        <f t="shared" si="306"/>
        <v>0</v>
      </c>
      <c r="AJ288" s="962">
        <f t="shared" si="307"/>
        <v>0</v>
      </c>
    </row>
    <row r="294" spans="33:36" x14ac:dyDescent="0.25">
      <c r="AG294" s="962">
        <f>'T2'!O138</f>
        <v>0</v>
      </c>
      <c r="AI294" s="962">
        <f>AE294+AI288</f>
        <v>0</v>
      </c>
      <c r="AJ294" s="962">
        <f>AG294+AJ288</f>
        <v>0</v>
      </c>
    </row>
    <row r="295" spans="33:36" x14ac:dyDescent="0.25">
      <c r="AG295" s="962">
        <f>'T2'!O139</f>
        <v>0</v>
      </c>
      <c r="AI295" s="962">
        <f t="shared" ref="AI295:AI300" si="308">AE295+AI294</f>
        <v>0</v>
      </c>
      <c r="AJ295" s="962">
        <f t="shared" ref="AJ295:AJ300" si="309">AG295+AJ294</f>
        <v>0</v>
      </c>
    </row>
    <row r="296" spans="33:36" x14ac:dyDescent="0.25">
      <c r="AG296" s="962">
        <f>'T2'!O140</f>
        <v>0</v>
      </c>
      <c r="AI296" s="962">
        <f t="shared" si="308"/>
        <v>0</v>
      </c>
      <c r="AJ296" s="962">
        <f t="shared" si="309"/>
        <v>0</v>
      </c>
    </row>
    <row r="297" spans="33:36" x14ac:dyDescent="0.25">
      <c r="AG297" s="962">
        <f>'T2'!O141</f>
        <v>0</v>
      </c>
      <c r="AI297" s="962">
        <f t="shared" si="308"/>
        <v>0</v>
      </c>
      <c r="AJ297" s="962">
        <f t="shared" si="309"/>
        <v>0</v>
      </c>
    </row>
    <row r="298" spans="33:36" x14ac:dyDescent="0.25">
      <c r="AG298" s="962">
        <f>'T2'!O142</f>
        <v>0</v>
      </c>
      <c r="AI298" s="962">
        <f t="shared" si="308"/>
        <v>0</v>
      </c>
      <c r="AJ298" s="962">
        <f t="shared" si="309"/>
        <v>0</v>
      </c>
    </row>
    <row r="299" spans="33:36" x14ac:dyDescent="0.25">
      <c r="AG299" s="962">
        <f>'T2'!O143</f>
        <v>0</v>
      </c>
      <c r="AI299" s="962">
        <f t="shared" si="308"/>
        <v>0</v>
      </c>
      <c r="AJ299" s="962">
        <f t="shared" si="309"/>
        <v>0</v>
      </c>
    </row>
    <row r="300" spans="33:36" x14ac:dyDescent="0.25">
      <c r="AG300" s="962">
        <f>'T2'!O144</f>
        <v>0</v>
      </c>
      <c r="AI300" s="962">
        <f t="shared" si="308"/>
        <v>0</v>
      </c>
      <c r="AJ300" s="962">
        <f t="shared" si="309"/>
        <v>0</v>
      </c>
    </row>
    <row r="306" spans="33:36" x14ac:dyDescent="0.25">
      <c r="AG306" s="962">
        <f>'T2'!O150</f>
        <v>0</v>
      </c>
      <c r="AI306" s="962">
        <f>AE306+AI300</f>
        <v>0</v>
      </c>
      <c r="AJ306" s="962">
        <f>AG306+AJ300</f>
        <v>0</v>
      </c>
    </row>
    <row r="307" spans="33:36" x14ac:dyDescent="0.25">
      <c r="AG307" s="962">
        <f>'T2'!O151</f>
        <v>0</v>
      </c>
      <c r="AI307" s="962">
        <f t="shared" ref="AI307:AI312" si="310">AE307+AI306</f>
        <v>0</v>
      </c>
      <c r="AJ307" s="962">
        <f t="shared" ref="AJ307:AJ312" si="311">AG307+AJ306</f>
        <v>0</v>
      </c>
    </row>
    <row r="308" spans="33:36" x14ac:dyDescent="0.25">
      <c r="AG308" s="962">
        <f>'T2'!O152</f>
        <v>0</v>
      </c>
      <c r="AI308" s="962">
        <f t="shared" si="310"/>
        <v>0</v>
      </c>
      <c r="AJ308" s="962">
        <f t="shared" si="311"/>
        <v>0</v>
      </c>
    </row>
    <row r="309" spans="33:36" x14ac:dyDescent="0.25">
      <c r="AG309" s="962">
        <f>'T2'!O153</f>
        <v>0</v>
      </c>
      <c r="AI309" s="962">
        <f t="shared" si="310"/>
        <v>0</v>
      </c>
      <c r="AJ309" s="962">
        <f t="shared" si="311"/>
        <v>0</v>
      </c>
    </row>
    <row r="310" spans="33:36" x14ac:dyDescent="0.25">
      <c r="AG310" s="962">
        <f>'T2'!O154</f>
        <v>0</v>
      </c>
      <c r="AI310" s="962">
        <f t="shared" si="310"/>
        <v>0</v>
      </c>
      <c r="AJ310" s="962">
        <f t="shared" si="311"/>
        <v>0</v>
      </c>
    </row>
    <row r="311" spans="33:36" x14ac:dyDescent="0.25">
      <c r="AG311" s="962">
        <f>'T2'!O155</f>
        <v>0</v>
      </c>
      <c r="AI311" s="962">
        <f t="shared" si="310"/>
        <v>0</v>
      </c>
      <c r="AJ311" s="962">
        <f t="shared" si="311"/>
        <v>0</v>
      </c>
    </row>
    <row r="312" spans="33:36" x14ac:dyDescent="0.25">
      <c r="AG312" s="962">
        <f>'T2'!O156</f>
        <v>0</v>
      </c>
      <c r="AI312" s="962">
        <f t="shared" si="310"/>
        <v>0</v>
      </c>
      <c r="AJ312" s="962">
        <f t="shared" si="311"/>
        <v>0</v>
      </c>
    </row>
    <row r="318" spans="33:36" x14ac:dyDescent="0.25">
      <c r="AG318" s="962">
        <f>'T3'!O6</f>
        <v>0</v>
      </c>
      <c r="AI318" s="962">
        <f>AE318+AI312</f>
        <v>0</v>
      </c>
      <c r="AJ318" s="962">
        <f>AG318+AJ312</f>
        <v>0</v>
      </c>
    </row>
    <row r="319" spans="33:36" x14ac:dyDescent="0.25">
      <c r="AG319" s="962">
        <f>'T3'!O7</f>
        <v>0</v>
      </c>
      <c r="AI319" s="962">
        <f t="shared" ref="AI319:AI324" si="312">AE319+AI318</f>
        <v>0</v>
      </c>
      <c r="AJ319" s="962">
        <f t="shared" ref="AJ319:AJ324" si="313">AG319+AJ318</f>
        <v>0</v>
      </c>
    </row>
    <row r="320" spans="33:36" x14ac:dyDescent="0.25">
      <c r="AG320" s="962">
        <f>'T3'!O8</f>
        <v>0</v>
      </c>
      <c r="AI320" s="962">
        <f t="shared" si="312"/>
        <v>0</v>
      </c>
      <c r="AJ320" s="962">
        <f t="shared" si="313"/>
        <v>0</v>
      </c>
    </row>
    <row r="321" spans="33:36" x14ac:dyDescent="0.25">
      <c r="AG321" s="962">
        <f>'T3'!O9</f>
        <v>0</v>
      </c>
      <c r="AI321" s="962">
        <f t="shared" si="312"/>
        <v>0</v>
      </c>
      <c r="AJ321" s="962">
        <f t="shared" si="313"/>
        <v>0</v>
      </c>
    </row>
    <row r="322" spans="33:36" x14ac:dyDescent="0.25">
      <c r="AG322" s="962">
        <f>'T3'!O10</f>
        <v>0</v>
      </c>
      <c r="AI322" s="962">
        <f t="shared" si="312"/>
        <v>0</v>
      </c>
      <c r="AJ322" s="962">
        <f t="shared" si="313"/>
        <v>0</v>
      </c>
    </row>
    <row r="323" spans="33:36" x14ac:dyDescent="0.25">
      <c r="AG323" s="962">
        <f>'T3'!O11</f>
        <v>0</v>
      </c>
      <c r="AI323" s="962">
        <f t="shared" si="312"/>
        <v>0</v>
      </c>
      <c r="AJ323" s="962">
        <f t="shared" si="313"/>
        <v>0</v>
      </c>
    </row>
    <row r="324" spans="33:36" x14ac:dyDescent="0.25">
      <c r="AG324" s="962">
        <f>'T3'!O12</f>
        <v>0</v>
      </c>
      <c r="AI324" s="962">
        <f t="shared" si="312"/>
        <v>0</v>
      </c>
      <c r="AJ324" s="962">
        <f t="shared" si="313"/>
        <v>0</v>
      </c>
    </row>
    <row r="330" spans="33:36" x14ac:dyDescent="0.25">
      <c r="AG330" s="962">
        <f>'T3'!O18</f>
        <v>0</v>
      </c>
      <c r="AI330" s="962">
        <f>AE330+AI324</f>
        <v>0</v>
      </c>
      <c r="AJ330" s="962">
        <f>AG330+AJ324</f>
        <v>0</v>
      </c>
    </row>
    <row r="331" spans="33:36" x14ac:dyDescent="0.25">
      <c r="AG331" s="962">
        <f>'T3'!O19</f>
        <v>0</v>
      </c>
      <c r="AI331" s="962">
        <f t="shared" ref="AI331:AI336" si="314">AE331+AI330</f>
        <v>0</v>
      </c>
      <c r="AJ331" s="962">
        <f t="shared" ref="AJ331:AJ336" si="315">AG331+AJ330</f>
        <v>0</v>
      </c>
    </row>
    <row r="332" spans="33:36" x14ac:dyDescent="0.25">
      <c r="AG332" s="962">
        <f>'T3'!O20</f>
        <v>0</v>
      </c>
      <c r="AI332" s="962">
        <f t="shared" si="314"/>
        <v>0</v>
      </c>
      <c r="AJ332" s="962">
        <f t="shared" si="315"/>
        <v>0</v>
      </c>
    </row>
    <row r="333" spans="33:36" x14ac:dyDescent="0.25">
      <c r="AG333" s="962">
        <f>'T3'!O21</f>
        <v>0</v>
      </c>
      <c r="AI333" s="962">
        <f t="shared" si="314"/>
        <v>0</v>
      </c>
      <c r="AJ333" s="962">
        <f t="shared" si="315"/>
        <v>0</v>
      </c>
    </row>
    <row r="334" spans="33:36" x14ac:dyDescent="0.25">
      <c r="AG334" s="962">
        <f>'T3'!O22</f>
        <v>0</v>
      </c>
      <c r="AI334" s="962">
        <f t="shared" si="314"/>
        <v>0</v>
      </c>
      <c r="AJ334" s="962">
        <f t="shared" si="315"/>
        <v>0</v>
      </c>
    </row>
    <row r="335" spans="33:36" x14ac:dyDescent="0.25">
      <c r="AG335" s="962">
        <f>'T3'!O23</f>
        <v>0</v>
      </c>
      <c r="AI335" s="962">
        <f t="shared" si="314"/>
        <v>0</v>
      </c>
      <c r="AJ335" s="962">
        <f t="shared" si="315"/>
        <v>0</v>
      </c>
    </row>
    <row r="336" spans="33:36" x14ac:dyDescent="0.25">
      <c r="AG336" s="962">
        <f>'T3'!O24</f>
        <v>0</v>
      </c>
      <c r="AI336" s="962">
        <f t="shared" si="314"/>
        <v>0</v>
      </c>
      <c r="AJ336" s="962">
        <f t="shared" si="315"/>
        <v>0</v>
      </c>
    </row>
    <row r="342" spans="33:36" x14ac:dyDescent="0.25">
      <c r="AG342" s="962">
        <f>'T3'!O30</f>
        <v>0</v>
      </c>
      <c r="AI342" s="962">
        <f>AE342+AI336</f>
        <v>0</v>
      </c>
      <c r="AJ342" s="962">
        <f>AG342+AJ336</f>
        <v>0</v>
      </c>
    </row>
    <row r="343" spans="33:36" x14ac:dyDescent="0.25">
      <c r="AG343" s="962">
        <f>'T3'!O31</f>
        <v>0</v>
      </c>
      <c r="AI343" s="962">
        <f t="shared" ref="AI343:AI348" si="316">AE343+AI342</f>
        <v>0</v>
      </c>
      <c r="AJ343" s="962">
        <f t="shared" ref="AJ343:AJ348" si="317">AG343+AJ342</f>
        <v>0</v>
      </c>
    </row>
    <row r="344" spans="33:36" x14ac:dyDescent="0.25">
      <c r="AG344" s="962">
        <f>'T3'!O32</f>
        <v>0</v>
      </c>
      <c r="AI344" s="962">
        <f t="shared" si="316"/>
        <v>0</v>
      </c>
      <c r="AJ344" s="962">
        <f t="shared" si="317"/>
        <v>0</v>
      </c>
    </row>
    <row r="345" spans="33:36" x14ac:dyDescent="0.25">
      <c r="AG345" s="962">
        <f>'T3'!O33</f>
        <v>0</v>
      </c>
      <c r="AI345" s="962">
        <f t="shared" si="316"/>
        <v>0</v>
      </c>
      <c r="AJ345" s="962">
        <f t="shared" si="317"/>
        <v>0</v>
      </c>
    </row>
    <row r="346" spans="33:36" x14ac:dyDescent="0.25">
      <c r="AG346" s="962">
        <f>'T3'!O34</f>
        <v>0</v>
      </c>
      <c r="AI346" s="962">
        <f t="shared" si="316"/>
        <v>0</v>
      </c>
      <c r="AJ346" s="962">
        <f t="shared" si="317"/>
        <v>0</v>
      </c>
    </row>
    <row r="347" spans="33:36" x14ac:dyDescent="0.25">
      <c r="AG347" s="962">
        <f>'T3'!O35</f>
        <v>0</v>
      </c>
      <c r="AI347" s="962">
        <f t="shared" si="316"/>
        <v>0</v>
      </c>
      <c r="AJ347" s="962">
        <f t="shared" si="317"/>
        <v>0</v>
      </c>
    </row>
    <row r="348" spans="33:36" x14ac:dyDescent="0.25">
      <c r="AG348" s="962">
        <f>'T3'!O36</f>
        <v>0</v>
      </c>
      <c r="AI348" s="962">
        <f t="shared" si="316"/>
        <v>0</v>
      </c>
      <c r="AJ348" s="962">
        <f t="shared" si="317"/>
        <v>0</v>
      </c>
    </row>
    <row r="354" spans="33:36" x14ac:dyDescent="0.25">
      <c r="AG354" s="962">
        <f>'T3'!O42</f>
        <v>0</v>
      </c>
      <c r="AI354" s="962">
        <f>AE354+AI348</f>
        <v>0</v>
      </c>
      <c r="AJ354" s="962">
        <f>AG354+AJ348</f>
        <v>0</v>
      </c>
    </row>
    <row r="355" spans="33:36" x14ac:dyDescent="0.25">
      <c r="AG355" s="962">
        <f>'T3'!O43</f>
        <v>0</v>
      </c>
      <c r="AI355" s="962">
        <f t="shared" ref="AI355:AI360" si="318">AE355+AI354</f>
        <v>0</v>
      </c>
      <c r="AJ355" s="962">
        <f t="shared" ref="AJ355:AJ360" si="319">AG355+AJ354</f>
        <v>0</v>
      </c>
    </row>
    <row r="356" spans="33:36" x14ac:dyDescent="0.25">
      <c r="AG356" s="962">
        <f>'T3'!O44</f>
        <v>0</v>
      </c>
      <c r="AI356" s="962">
        <f t="shared" si="318"/>
        <v>0</v>
      </c>
      <c r="AJ356" s="962">
        <f t="shared" si="319"/>
        <v>0</v>
      </c>
    </row>
    <row r="357" spans="33:36" x14ac:dyDescent="0.25">
      <c r="AG357" s="962">
        <f>'T3'!O45</f>
        <v>0</v>
      </c>
      <c r="AI357" s="962">
        <f t="shared" si="318"/>
        <v>0</v>
      </c>
      <c r="AJ357" s="962">
        <f t="shared" si="319"/>
        <v>0</v>
      </c>
    </row>
    <row r="358" spans="33:36" x14ac:dyDescent="0.25">
      <c r="AG358" s="962">
        <f>'T3'!O46</f>
        <v>0</v>
      </c>
      <c r="AI358" s="962">
        <f t="shared" si="318"/>
        <v>0</v>
      </c>
      <c r="AJ358" s="962">
        <f t="shared" si="319"/>
        <v>0</v>
      </c>
    </row>
    <row r="359" spans="33:36" x14ac:dyDescent="0.25">
      <c r="AG359" s="962">
        <f>'T3'!O47</f>
        <v>0</v>
      </c>
      <c r="AI359" s="962">
        <f t="shared" si="318"/>
        <v>0</v>
      </c>
      <c r="AJ359" s="962">
        <f t="shared" si="319"/>
        <v>0</v>
      </c>
    </row>
    <row r="360" spans="33:36" x14ac:dyDescent="0.25">
      <c r="AG360" s="962">
        <f>'T3'!O48</f>
        <v>0</v>
      </c>
      <c r="AI360" s="962">
        <f t="shared" si="318"/>
        <v>0</v>
      </c>
      <c r="AJ360" s="962">
        <f t="shared" si="319"/>
        <v>0</v>
      </c>
    </row>
    <row r="366" spans="33:36" x14ac:dyDescent="0.25">
      <c r="AG366" s="962">
        <f>'T3'!O54</f>
        <v>0</v>
      </c>
      <c r="AI366" s="962">
        <f>AE366+AI360</f>
        <v>0</v>
      </c>
      <c r="AJ366" s="962">
        <f>AG366+AJ360</f>
        <v>0</v>
      </c>
    </row>
    <row r="367" spans="33:36" x14ac:dyDescent="0.25">
      <c r="AG367" s="962">
        <f>'T3'!O55</f>
        <v>0</v>
      </c>
      <c r="AI367" s="962">
        <f t="shared" ref="AI367:AI372" si="320">AE367+AI366</f>
        <v>0</v>
      </c>
      <c r="AJ367" s="962">
        <f t="shared" ref="AJ367:AJ372" si="321">AG367+AJ366</f>
        <v>0</v>
      </c>
    </row>
    <row r="368" spans="33:36" x14ac:dyDescent="0.25">
      <c r="AG368" s="962">
        <f>'T3'!O56</f>
        <v>0</v>
      </c>
      <c r="AI368" s="962">
        <f t="shared" si="320"/>
        <v>0</v>
      </c>
      <c r="AJ368" s="962">
        <f t="shared" si="321"/>
        <v>0</v>
      </c>
    </row>
    <row r="369" spans="33:36" x14ac:dyDescent="0.25">
      <c r="AG369" s="962">
        <f>'T3'!O57</f>
        <v>0</v>
      </c>
      <c r="AI369" s="962">
        <f t="shared" si="320"/>
        <v>0</v>
      </c>
      <c r="AJ369" s="962">
        <f t="shared" si="321"/>
        <v>0</v>
      </c>
    </row>
    <row r="370" spans="33:36" x14ac:dyDescent="0.25">
      <c r="AG370" s="962">
        <f>'T3'!O58</f>
        <v>0</v>
      </c>
      <c r="AI370" s="962">
        <f t="shared" si="320"/>
        <v>0</v>
      </c>
      <c r="AJ370" s="962">
        <f t="shared" si="321"/>
        <v>0</v>
      </c>
    </row>
    <row r="371" spans="33:36" x14ac:dyDescent="0.25">
      <c r="AG371" s="962">
        <f>'T3'!O59</f>
        <v>0</v>
      </c>
      <c r="AI371" s="962">
        <f t="shared" si="320"/>
        <v>0</v>
      </c>
      <c r="AJ371" s="962">
        <f t="shared" si="321"/>
        <v>0</v>
      </c>
    </row>
    <row r="372" spans="33:36" x14ac:dyDescent="0.25">
      <c r="AG372" s="962">
        <f>'T3'!O60</f>
        <v>0</v>
      </c>
      <c r="AI372" s="962">
        <f t="shared" si="320"/>
        <v>0</v>
      </c>
      <c r="AJ372" s="962">
        <f t="shared" si="321"/>
        <v>0</v>
      </c>
    </row>
    <row r="378" spans="33:36" x14ac:dyDescent="0.25">
      <c r="AG378" s="962">
        <f>'T3'!O66</f>
        <v>0</v>
      </c>
      <c r="AI378" s="962">
        <f>AE378+AI372</f>
        <v>0</v>
      </c>
      <c r="AJ378" s="962">
        <f>AG378+AJ372</f>
        <v>0</v>
      </c>
    </row>
    <row r="379" spans="33:36" x14ac:dyDescent="0.25">
      <c r="AG379" s="962">
        <f>'T3'!O67</f>
        <v>0</v>
      </c>
      <c r="AI379" s="962">
        <f t="shared" ref="AI379:AI384" si="322">AE379+AI378</f>
        <v>0</v>
      </c>
      <c r="AJ379" s="962">
        <f t="shared" ref="AJ379:AJ384" si="323">AG379+AJ378</f>
        <v>0</v>
      </c>
    </row>
    <row r="380" spans="33:36" x14ac:dyDescent="0.25">
      <c r="AG380" s="962">
        <f>'T3'!O68</f>
        <v>0</v>
      </c>
      <c r="AI380" s="962">
        <f t="shared" si="322"/>
        <v>0</v>
      </c>
      <c r="AJ380" s="962">
        <f t="shared" si="323"/>
        <v>0</v>
      </c>
    </row>
    <row r="381" spans="33:36" x14ac:dyDescent="0.25">
      <c r="AG381" s="962">
        <f>'T3'!O69</f>
        <v>0</v>
      </c>
      <c r="AI381" s="962">
        <f t="shared" si="322"/>
        <v>0</v>
      </c>
      <c r="AJ381" s="962">
        <f t="shared" si="323"/>
        <v>0</v>
      </c>
    </row>
    <row r="382" spans="33:36" x14ac:dyDescent="0.25">
      <c r="AG382" s="962">
        <f>'T3'!O70</f>
        <v>0</v>
      </c>
      <c r="AI382" s="962">
        <f t="shared" si="322"/>
        <v>0</v>
      </c>
      <c r="AJ382" s="962">
        <f t="shared" si="323"/>
        <v>0</v>
      </c>
    </row>
    <row r="383" spans="33:36" x14ac:dyDescent="0.25">
      <c r="AG383" s="962">
        <f>'T3'!O71</f>
        <v>0</v>
      </c>
      <c r="AI383" s="962">
        <f t="shared" si="322"/>
        <v>0</v>
      </c>
      <c r="AJ383" s="962">
        <f t="shared" si="323"/>
        <v>0</v>
      </c>
    </row>
    <row r="384" spans="33:36" x14ac:dyDescent="0.25">
      <c r="AG384" s="962">
        <f>'T3'!O72</f>
        <v>0</v>
      </c>
      <c r="AI384" s="962">
        <f t="shared" si="322"/>
        <v>0</v>
      </c>
      <c r="AJ384" s="962">
        <f t="shared" si="323"/>
        <v>0</v>
      </c>
    </row>
    <row r="390" spans="33:36" x14ac:dyDescent="0.25">
      <c r="AG390" s="962">
        <f>'T3'!O78</f>
        <v>0</v>
      </c>
      <c r="AI390" s="962">
        <f>AE390+AI384</f>
        <v>0</v>
      </c>
      <c r="AJ390" s="962">
        <f>AG390+AJ384</f>
        <v>0</v>
      </c>
    </row>
    <row r="391" spans="33:36" x14ac:dyDescent="0.25">
      <c r="AG391" s="962">
        <f>'T3'!O79</f>
        <v>0</v>
      </c>
      <c r="AI391" s="962">
        <f t="shared" ref="AI391:AI396" si="324">AE391+AI390</f>
        <v>0</v>
      </c>
      <c r="AJ391" s="962">
        <f t="shared" ref="AJ391:AJ396" si="325">AG391+AJ390</f>
        <v>0</v>
      </c>
    </row>
    <row r="392" spans="33:36" x14ac:dyDescent="0.25">
      <c r="AG392" s="962">
        <f>'T3'!O80</f>
        <v>0</v>
      </c>
      <c r="AI392" s="962">
        <f t="shared" si="324"/>
        <v>0</v>
      </c>
      <c r="AJ392" s="962">
        <f t="shared" si="325"/>
        <v>0</v>
      </c>
    </row>
    <row r="393" spans="33:36" x14ac:dyDescent="0.25">
      <c r="AG393" s="962">
        <f>'T3'!O81</f>
        <v>0</v>
      </c>
      <c r="AI393" s="962">
        <f t="shared" si="324"/>
        <v>0</v>
      </c>
      <c r="AJ393" s="962">
        <f t="shared" si="325"/>
        <v>0</v>
      </c>
    </row>
    <row r="394" spans="33:36" x14ac:dyDescent="0.25">
      <c r="AG394" s="962">
        <f>'T3'!O82</f>
        <v>0</v>
      </c>
      <c r="AI394" s="962">
        <f t="shared" si="324"/>
        <v>0</v>
      </c>
      <c r="AJ394" s="962">
        <f t="shared" si="325"/>
        <v>0</v>
      </c>
    </row>
    <row r="395" spans="33:36" x14ac:dyDescent="0.25">
      <c r="AG395" s="962">
        <f>'T3'!O83</f>
        <v>0</v>
      </c>
      <c r="AI395" s="962">
        <f t="shared" si="324"/>
        <v>0</v>
      </c>
      <c r="AJ395" s="962">
        <f t="shared" si="325"/>
        <v>0</v>
      </c>
    </row>
    <row r="396" spans="33:36" x14ac:dyDescent="0.25">
      <c r="AG396" s="962">
        <f>'T3'!O84</f>
        <v>0</v>
      </c>
      <c r="AI396" s="962">
        <f t="shared" si="324"/>
        <v>0</v>
      </c>
      <c r="AJ396" s="962">
        <f t="shared" si="325"/>
        <v>0</v>
      </c>
    </row>
    <row r="402" spans="33:36" x14ac:dyDescent="0.25">
      <c r="AG402" s="962">
        <f>'T3'!O90</f>
        <v>0</v>
      </c>
      <c r="AI402" s="962">
        <f>AE402+AI396</f>
        <v>0</v>
      </c>
      <c r="AJ402" s="962">
        <f>AG402+AJ396</f>
        <v>0</v>
      </c>
    </row>
    <row r="403" spans="33:36" x14ac:dyDescent="0.25">
      <c r="AG403" s="962">
        <f>'T3'!O91</f>
        <v>0</v>
      </c>
      <c r="AI403" s="962">
        <f t="shared" ref="AI403:AI408" si="326">AE403+AI402</f>
        <v>0</v>
      </c>
      <c r="AJ403" s="962">
        <f t="shared" ref="AJ403:AJ408" si="327">AG403+AJ402</f>
        <v>0</v>
      </c>
    </row>
    <row r="404" spans="33:36" x14ac:dyDescent="0.25">
      <c r="AG404" s="962">
        <f>'T3'!O92</f>
        <v>0</v>
      </c>
      <c r="AI404" s="962">
        <f t="shared" si="326"/>
        <v>0</v>
      </c>
      <c r="AJ404" s="962">
        <f t="shared" si="327"/>
        <v>0</v>
      </c>
    </row>
    <row r="405" spans="33:36" x14ac:dyDescent="0.25">
      <c r="AG405" s="962">
        <f>'T3'!O93</f>
        <v>0</v>
      </c>
      <c r="AI405" s="962">
        <f t="shared" si="326"/>
        <v>0</v>
      </c>
      <c r="AJ405" s="962">
        <f t="shared" si="327"/>
        <v>0</v>
      </c>
    </row>
    <row r="406" spans="33:36" x14ac:dyDescent="0.25">
      <c r="AG406" s="962">
        <f>'T3'!O94</f>
        <v>0</v>
      </c>
      <c r="AI406" s="962">
        <f t="shared" si="326"/>
        <v>0</v>
      </c>
      <c r="AJ406" s="962">
        <f t="shared" si="327"/>
        <v>0</v>
      </c>
    </row>
    <row r="407" spans="33:36" x14ac:dyDescent="0.25">
      <c r="AG407" s="962">
        <f>'T3'!O95</f>
        <v>0</v>
      </c>
      <c r="AI407" s="962">
        <f t="shared" si="326"/>
        <v>0</v>
      </c>
      <c r="AJ407" s="962">
        <f t="shared" si="327"/>
        <v>0</v>
      </c>
    </row>
    <row r="408" spans="33:36" x14ac:dyDescent="0.25">
      <c r="AG408" s="962">
        <f>'T3'!O96</f>
        <v>0</v>
      </c>
      <c r="AI408" s="962">
        <f t="shared" si="326"/>
        <v>0</v>
      </c>
      <c r="AJ408" s="962">
        <f t="shared" si="327"/>
        <v>0</v>
      </c>
    </row>
    <row r="414" spans="33:36" x14ac:dyDescent="0.25">
      <c r="AG414" s="962">
        <f>'T3'!O102</f>
        <v>0</v>
      </c>
      <c r="AI414" s="962">
        <f>AE414+AI408</f>
        <v>0</v>
      </c>
      <c r="AJ414" s="962">
        <f>AG414+AJ408</f>
        <v>0</v>
      </c>
    </row>
    <row r="415" spans="33:36" x14ac:dyDescent="0.25">
      <c r="AG415" s="962">
        <f>'T3'!O103</f>
        <v>0</v>
      </c>
      <c r="AI415" s="962">
        <f t="shared" ref="AI415:AI420" si="328">AE415+AI414</f>
        <v>0</v>
      </c>
      <c r="AJ415" s="962">
        <f t="shared" ref="AJ415:AJ420" si="329">AG415+AJ414</f>
        <v>0</v>
      </c>
    </row>
    <row r="416" spans="33:36" x14ac:dyDescent="0.25">
      <c r="AG416" s="962">
        <f>'T3'!O104</f>
        <v>0</v>
      </c>
      <c r="AI416" s="962">
        <f t="shared" si="328"/>
        <v>0</v>
      </c>
      <c r="AJ416" s="962">
        <f t="shared" si="329"/>
        <v>0</v>
      </c>
    </row>
    <row r="417" spans="33:36" x14ac:dyDescent="0.25">
      <c r="AG417" s="962">
        <f>'T3'!O105</f>
        <v>0</v>
      </c>
      <c r="AI417" s="962">
        <f t="shared" si="328"/>
        <v>0</v>
      </c>
      <c r="AJ417" s="962">
        <f t="shared" si="329"/>
        <v>0</v>
      </c>
    </row>
    <row r="418" spans="33:36" x14ac:dyDescent="0.25">
      <c r="AG418" s="962">
        <f>'T3'!O106</f>
        <v>0</v>
      </c>
      <c r="AI418" s="962">
        <f t="shared" si="328"/>
        <v>0</v>
      </c>
      <c r="AJ418" s="962">
        <f t="shared" si="329"/>
        <v>0</v>
      </c>
    </row>
    <row r="419" spans="33:36" x14ac:dyDescent="0.25">
      <c r="AG419" s="962">
        <f>'T3'!O107</f>
        <v>0</v>
      </c>
      <c r="AI419" s="962">
        <f t="shared" si="328"/>
        <v>0</v>
      </c>
      <c r="AJ419" s="962">
        <f t="shared" si="329"/>
        <v>0</v>
      </c>
    </row>
    <row r="420" spans="33:36" x14ac:dyDescent="0.25">
      <c r="AG420" s="962">
        <f>'T3'!O108</f>
        <v>0</v>
      </c>
      <c r="AI420" s="962">
        <f t="shared" si="328"/>
        <v>0</v>
      </c>
      <c r="AJ420" s="962">
        <f t="shared" si="329"/>
        <v>0</v>
      </c>
    </row>
    <row r="426" spans="33:36" x14ac:dyDescent="0.25">
      <c r="AG426" s="962">
        <f>'T3'!O114</f>
        <v>0</v>
      </c>
      <c r="AI426" s="962">
        <f>AE426+AI420</f>
        <v>0</v>
      </c>
      <c r="AJ426" s="962">
        <f>AG426+AJ420</f>
        <v>0</v>
      </c>
    </row>
    <row r="427" spans="33:36" x14ac:dyDescent="0.25">
      <c r="AG427" s="962">
        <f>'T3'!O115</f>
        <v>0</v>
      </c>
      <c r="AI427" s="962">
        <f t="shared" ref="AI427:AI432" si="330">AE427+AI426</f>
        <v>0</v>
      </c>
      <c r="AJ427" s="962">
        <f t="shared" ref="AJ427:AJ432" si="331">AG427+AJ426</f>
        <v>0</v>
      </c>
    </row>
    <row r="428" spans="33:36" x14ac:dyDescent="0.25">
      <c r="AG428" s="962">
        <f>'T3'!O116</f>
        <v>0</v>
      </c>
      <c r="AI428" s="962">
        <f t="shared" si="330"/>
        <v>0</v>
      </c>
      <c r="AJ428" s="962">
        <f t="shared" si="331"/>
        <v>0</v>
      </c>
    </row>
    <row r="429" spans="33:36" x14ac:dyDescent="0.25">
      <c r="AG429" s="962">
        <f>'T3'!O117</f>
        <v>0</v>
      </c>
      <c r="AI429" s="962">
        <f t="shared" si="330"/>
        <v>0</v>
      </c>
      <c r="AJ429" s="962">
        <f t="shared" si="331"/>
        <v>0</v>
      </c>
    </row>
    <row r="430" spans="33:36" x14ac:dyDescent="0.25">
      <c r="AG430" s="962">
        <f>'T3'!O118</f>
        <v>0</v>
      </c>
      <c r="AI430" s="962">
        <f t="shared" si="330"/>
        <v>0</v>
      </c>
      <c r="AJ430" s="962">
        <f t="shared" si="331"/>
        <v>0</v>
      </c>
    </row>
    <row r="431" spans="33:36" x14ac:dyDescent="0.25">
      <c r="AG431" s="962">
        <f>'T3'!O119</f>
        <v>0</v>
      </c>
      <c r="AI431" s="962">
        <f t="shared" si="330"/>
        <v>0</v>
      </c>
      <c r="AJ431" s="962">
        <f t="shared" si="331"/>
        <v>0</v>
      </c>
    </row>
    <row r="432" spans="33:36" x14ac:dyDescent="0.25">
      <c r="AG432" s="962">
        <f>'T3'!O120</f>
        <v>0</v>
      </c>
      <c r="AI432" s="962">
        <f t="shared" si="330"/>
        <v>0</v>
      </c>
      <c r="AJ432" s="962">
        <f t="shared" si="331"/>
        <v>0</v>
      </c>
    </row>
    <row r="438" spans="33:36" x14ac:dyDescent="0.25">
      <c r="AG438" s="962">
        <f>'T3'!O126</f>
        <v>0</v>
      </c>
      <c r="AI438" s="962">
        <f>AE438+AI432</f>
        <v>0</v>
      </c>
      <c r="AJ438" s="962">
        <f>AG438+AJ432</f>
        <v>0</v>
      </c>
    </row>
    <row r="439" spans="33:36" x14ac:dyDescent="0.25">
      <c r="AG439" s="962">
        <f>'T3'!O127</f>
        <v>0</v>
      </c>
      <c r="AI439" s="962">
        <f t="shared" ref="AI439:AI444" si="332">AE439+AI438</f>
        <v>0</v>
      </c>
      <c r="AJ439" s="962">
        <f t="shared" ref="AJ439:AJ444" si="333">AG439+AJ438</f>
        <v>0</v>
      </c>
    </row>
    <row r="440" spans="33:36" x14ac:dyDescent="0.25">
      <c r="AG440" s="962">
        <f>'T3'!O128</f>
        <v>0</v>
      </c>
      <c r="AI440" s="962">
        <f t="shared" si="332"/>
        <v>0</v>
      </c>
      <c r="AJ440" s="962">
        <f t="shared" si="333"/>
        <v>0</v>
      </c>
    </row>
    <row r="441" spans="33:36" x14ac:dyDescent="0.25">
      <c r="AG441" s="962">
        <f>'T3'!O129</f>
        <v>0</v>
      </c>
      <c r="AI441" s="962">
        <f t="shared" si="332"/>
        <v>0</v>
      </c>
      <c r="AJ441" s="962">
        <f t="shared" si="333"/>
        <v>0</v>
      </c>
    </row>
    <row r="442" spans="33:36" x14ac:dyDescent="0.25">
      <c r="AG442" s="962">
        <f>'T3'!O130</f>
        <v>0</v>
      </c>
      <c r="AI442" s="962">
        <f t="shared" si="332"/>
        <v>0</v>
      </c>
      <c r="AJ442" s="962">
        <f t="shared" si="333"/>
        <v>0</v>
      </c>
    </row>
    <row r="443" spans="33:36" x14ac:dyDescent="0.25">
      <c r="AG443" s="962">
        <f>'T3'!O131</f>
        <v>0</v>
      </c>
      <c r="AI443" s="962">
        <f t="shared" si="332"/>
        <v>0</v>
      </c>
      <c r="AJ443" s="962">
        <f t="shared" si="333"/>
        <v>0</v>
      </c>
    </row>
    <row r="444" spans="33:36" x14ac:dyDescent="0.25">
      <c r="AG444" s="962">
        <f>'T3'!O132</f>
        <v>0</v>
      </c>
      <c r="AI444" s="962">
        <f t="shared" si="332"/>
        <v>0</v>
      </c>
      <c r="AJ444" s="962">
        <f t="shared" si="333"/>
        <v>0</v>
      </c>
    </row>
    <row r="450" spans="33:36" x14ac:dyDescent="0.25">
      <c r="AG450" s="962">
        <f>'T3'!O138</f>
        <v>0</v>
      </c>
      <c r="AI450" s="962">
        <f>AE450+AI444</f>
        <v>0</v>
      </c>
      <c r="AJ450" s="962">
        <f>AG450+AJ444</f>
        <v>0</v>
      </c>
    </row>
    <row r="451" spans="33:36" x14ac:dyDescent="0.25">
      <c r="AG451" s="962">
        <f>'T3'!O139</f>
        <v>0</v>
      </c>
      <c r="AI451" s="962">
        <f t="shared" ref="AI451:AI456" si="334">AE451+AI450</f>
        <v>0</v>
      </c>
      <c r="AJ451" s="962">
        <f t="shared" ref="AJ451:AJ456" si="335">AG451+AJ450</f>
        <v>0</v>
      </c>
    </row>
    <row r="452" spans="33:36" x14ac:dyDescent="0.25">
      <c r="AG452" s="962">
        <f>'T3'!O140</f>
        <v>0</v>
      </c>
      <c r="AI452" s="962">
        <f t="shared" si="334"/>
        <v>0</v>
      </c>
      <c r="AJ452" s="962">
        <f t="shared" si="335"/>
        <v>0</v>
      </c>
    </row>
    <row r="453" spans="33:36" x14ac:dyDescent="0.25">
      <c r="AG453" s="962">
        <f>'T3'!O141</f>
        <v>0</v>
      </c>
      <c r="AI453" s="962">
        <f t="shared" si="334"/>
        <v>0</v>
      </c>
      <c r="AJ453" s="962">
        <f t="shared" si="335"/>
        <v>0</v>
      </c>
    </row>
    <row r="454" spans="33:36" x14ac:dyDescent="0.25">
      <c r="AG454" s="962">
        <f>'T3'!O142</f>
        <v>0</v>
      </c>
      <c r="AI454" s="962">
        <f t="shared" si="334"/>
        <v>0</v>
      </c>
      <c r="AJ454" s="962">
        <f t="shared" si="335"/>
        <v>0</v>
      </c>
    </row>
    <row r="455" spans="33:36" x14ac:dyDescent="0.25">
      <c r="AG455" s="962">
        <f>'T3'!O143</f>
        <v>0</v>
      </c>
      <c r="AI455" s="962">
        <f t="shared" si="334"/>
        <v>0</v>
      </c>
      <c r="AJ455" s="962">
        <f t="shared" si="335"/>
        <v>0</v>
      </c>
    </row>
    <row r="456" spans="33:36" x14ac:dyDescent="0.25">
      <c r="AG456" s="962">
        <f>'T3'!O144</f>
        <v>0</v>
      </c>
      <c r="AI456" s="962">
        <f t="shared" si="334"/>
        <v>0</v>
      </c>
      <c r="AJ456" s="962">
        <f t="shared" si="335"/>
        <v>0</v>
      </c>
    </row>
    <row r="462" spans="33:36" x14ac:dyDescent="0.25">
      <c r="AG462" s="962">
        <f>'T3'!O150</f>
        <v>0</v>
      </c>
      <c r="AI462" s="962">
        <f>AE462+AI456</f>
        <v>0</v>
      </c>
      <c r="AJ462" s="962">
        <f>AG462+AJ456</f>
        <v>0</v>
      </c>
    </row>
    <row r="463" spans="33:36" x14ac:dyDescent="0.25">
      <c r="AG463" s="962">
        <f>'T3'!O151</f>
        <v>0</v>
      </c>
      <c r="AI463" s="962">
        <f t="shared" ref="AI463:AI468" si="336">AE463+AI462</f>
        <v>0</v>
      </c>
      <c r="AJ463" s="962">
        <f t="shared" ref="AJ463:AJ468" si="337">AG463+AJ462</f>
        <v>0</v>
      </c>
    </row>
    <row r="464" spans="33:36" x14ac:dyDescent="0.25">
      <c r="AG464" s="962">
        <f>'T3'!O152</f>
        <v>0</v>
      </c>
      <c r="AI464" s="962">
        <f t="shared" si="336"/>
        <v>0</v>
      </c>
      <c r="AJ464" s="962">
        <f t="shared" si="337"/>
        <v>0</v>
      </c>
    </row>
    <row r="465" spans="33:36" x14ac:dyDescent="0.25">
      <c r="AG465" s="962">
        <f>'T3'!O153</f>
        <v>0</v>
      </c>
      <c r="AI465" s="962">
        <f t="shared" si="336"/>
        <v>0</v>
      </c>
      <c r="AJ465" s="962">
        <f t="shared" si="337"/>
        <v>0</v>
      </c>
    </row>
    <row r="466" spans="33:36" x14ac:dyDescent="0.25">
      <c r="AG466" s="962">
        <f>'T3'!O154</f>
        <v>0</v>
      </c>
      <c r="AI466" s="962">
        <f t="shared" si="336"/>
        <v>0</v>
      </c>
      <c r="AJ466" s="962">
        <f t="shared" si="337"/>
        <v>0</v>
      </c>
    </row>
    <row r="467" spans="33:36" x14ac:dyDescent="0.25">
      <c r="AG467" s="962">
        <f>'T3'!O155</f>
        <v>0</v>
      </c>
      <c r="AI467" s="962">
        <f t="shared" si="336"/>
        <v>0</v>
      </c>
      <c r="AJ467" s="962">
        <f t="shared" si="337"/>
        <v>0</v>
      </c>
    </row>
    <row r="468" spans="33:36" x14ac:dyDescent="0.25">
      <c r="AG468" s="962">
        <f>'T3'!O156</f>
        <v>0</v>
      </c>
      <c r="AI468" s="962">
        <f t="shared" si="336"/>
        <v>0</v>
      </c>
      <c r="AJ468" s="962">
        <f t="shared" si="337"/>
        <v>0</v>
      </c>
    </row>
    <row r="474" spans="33:36" x14ac:dyDescent="0.25">
      <c r="AG474" s="962">
        <f>'T3'!O162</f>
        <v>0</v>
      </c>
      <c r="AI474" s="962">
        <f>AE474+AI468</f>
        <v>0</v>
      </c>
      <c r="AJ474" s="962">
        <f>AG474+AJ468</f>
        <v>0</v>
      </c>
    </row>
    <row r="475" spans="33:36" x14ac:dyDescent="0.25">
      <c r="AG475" s="962">
        <f>'T3'!O163</f>
        <v>0</v>
      </c>
      <c r="AI475" s="962">
        <f t="shared" ref="AI475:AI480" si="338">AE475+AI474</f>
        <v>0</v>
      </c>
      <c r="AJ475" s="962">
        <f t="shared" ref="AJ475:AJ480" si="339">AG475+AJ474</f>
        <v>0</v>
      </c>
    </row>
    <row r="476" spans="33:36" x14ac:dyDescent="0.25">
      <c r="AG476" s="962">
        <f>'T3'!O164</f>
        <v>0</v>
      </c>
      <c r="AI476" s="962">
        <f t="shared" si="338"/>
        <v>0</v>
      </c>
      <c r="AJ476" s="962">
        <f t="shared" si="339"/>
        <v>0</v>
      </c>
    </row>
    <row r="477" spans="33:36" x14ac:dyDescent="0.25">
      <c r="AG477" s="962">
        <f>'T3'!O165</f>
        <v>0</v>
      </c>
      <c r="AI477" s="962">
        <f t="shared" si="338"/>
        <v>0</v>
      </c>
      <c r="AJ477" s="962">
        <f t="shared" si="339"/>
        <v>0</v>
      </c>
    </row>
    <row r="478" spans="33:36" x14ac:dyDescent="0.25">
      <c r="AG478" s="962">
        <f>'T3'!O166</f>
        <v>0</v>
      </c>
      <c r="AI478" s="962">
        <f t="shared" si="338"/>
        <v>0</v>
      </c>
      <c r="AJ478" s="962">
        <f t="shared" si="339"/>
        <v>0</v>
      </c>
    </row>
    <row r="479" spans="33:36" x14ac:dyDescent="0.25">
      <c r="AG479" s="962">
        <f>'T3'!O167</f>
        <v>0</v>
      </c>
      <c r="AI479" s="962">
        <f t="shared" si="338"/>
        <v>0</v>
      </c>
      <c r="AJ479" s="962">
        <f t="shared" si="339"/>
        <v>0</v>
      </c>
    </row>
    <row r="480" spans="33:36" x14ac:dyDescent="0.25">
      <c r="AG480" s="962">
        <f>'T3'!O168</f>
        <v>0</v>
      </c>
      <c r="AI480" s="962">
        <f t="shared" si="338"/>
        <v>0</v>
      </c>
      <c r="AJ480" s="962">
        <f t="shared" si="339"/>
        <v>0</v>
      </c>
    </row>
    <row r="486" spans="33:36" x14ac:dyDescent="0.25">
      <c r="AG486" s="962">
        <f>'T4'!O6</f>
        <v>0</v>
      </c>
      <c r="AI486" s="962">
        <f>AE486+AI480</f>
        <v>0</v>
      </c>
      <c r="AJ486" s="962">
        <f>AG486+AJ480</f>
        <v>0</v>
      </c>
    </row>
    <row r="487" spans="33:36" x14ac:dyDescent="0.25">
      <c r="AG487" s="962">
        <f>'T4'!O7</f>
        <v>0</v>
      </c>
      <c r="AI487" s="962">
        <f t="shared" ref="AI487:AI492" si="340">AE487+AI486</f>
        <v>0</v>
      </c>
      <c r="AJ487" s="962">
        <f t="shared" ref="AJ487:AJ492" si="341">AG487+AJ486</f>
        <v>0</v>
      </c>
    </row>
    <row r="488" spans="33:36" x14ac:dyDescent="0.25">
      <c r="AG488" s="962">
        <f>'T4'!O8</f>
        <v>0</v>
      </c>
      <c r="AI488" s="962">
        <f t="shared" si="340"/>
        <v>0</v>
      </c>
      <c r="AJ488" s="962">
        <f t="shared" si="341"/>
        <v>0</v>
      </c>
    </row>
    <row r="489" spans="33:36" x14ac:dyDescent="0.25">
      <c r="AG489" s="962">
        <f>'T4'!O9</f>
        <v>0</v>
      </c>
      <c r="AI489" s="962">
        <f t="shared" si="340"/>
        <v>0</v>
      </c>
      <c r="AJ489" s="962">
        <f t="shared" si="341"/>
        <v>0</v>
      </c>
    </row>
    <row r="490" spans="33:36" x14ac:dyDescent="0.25">
      <c r="AG490" s="962">
        <f>'T4'!O10</f>
        <v>0</v>
      </c>
      <c r="AI490" s="962">
        <f t="shared" si="340"/>
        <v>0</v>
      </c>
      <c r="AJ490" s="962">
        <f t="shared" si="341"/>
        <v>0</v>
      </c>
    </row>
    <row r="491" spans="33:36" x14ac:dyDescent="0.25">
      <c r="AG491" s="962">
        <f>'T4'!O11</f>
        <v>0</v>
      </c>
      <c r="AI491" s="962">
        <f t="shared" si="340"/>
        <v>0</v>
      </c>
      <c r="AJ491" s="962">
        <f t="shared" si="341"/>
        <v>0</v>
      </c>
    </row>
    <row r="492" spans="33:36" x14ac:dyDescent="0.25">
      <c r="AG492" s="962">
        <f>'T4'!O12</f>
        <v>0</v>
      </c>
      <c r="AI492" s="962">
        <f t="shared" si="340"/>
        <v>0</v>
      </c>
      <c r="AJ492" s="962">
        <f t="shared" si="341"/>
        <v>0</v>
      </c>
    </row>
    <row r="498" spans="33:36" x14ac:dyDescent="0.25">
      <c r="AG498" s="962">
        <f>'T4'!O18</f>
        <v>0</v>
      </c>
      <c r="AI498" s="962">
        <f>AE498+AI492</f>
        <v>0</v>
      </c>
      <c r="AJ498" s="962">
        <f>AG498+AJ492</f>
        <v>0</v>
      </c>
    </row>
    <row r="499" spans="33:36" x14ac:dyDescent="0.25">
      <c r="AG499" s="962">
        <f>'T4'!O19</f>
        <v>0</v>
      </c>
      <c r="AI499" s="962">
        <f t="shared" ref="AI499:AI504" si="342">AE499+AI498</f>
        <v>0</v>
      </c>
      <c r="AJ499" s="962">
        <f t="shared" ref="AJ499:AJ504" si="343">AG499+AJ498</f>
        <v>0</v>
      </c>
    </row>
    <row r="500" spans="33:36" x14ac:dyDescent="0.25">
      <c r="AG500" s="962">
        <f>'T4'!O20</f>
        <v>0</v>
      </c>
      <c r="AI500" s="962">
        <f t="shared" si="342"/>
        <v>0</v>
      </c>
      <c r="AJ500" s="962">
        <f t="shared" si="343"/>
        <v>0</v>
      </c>
    </row>
    <row r="501" spans="33:36" x14ac:dyDescent="0.25">
      <c r="AG501" s="962">
        <f>'T4'!O21</f>
        <v>0</v>
      </c>
      <c r="AI501" s="962">
        <f t="shared" si="342"/>
        <v>0</v>
      </c>
      <c r="AJ501" s="962">
        <f t="shared" si="343"/>
        <v>0</v>
      </c>
    </row>
    <row r="502" spans="33:36" x14ac:dyDescent="0.25">
      <c r="AG502" s="962">
        <f>'T4'!O22</f>
        <v>0</v>
      </c>
      <c r="AI502" s="962">
        <f t="shared" si="342"/>
        <v>0</v>
      </c>
      <c r="AJ502" s="962">
        <f t="shared" si="343"/>
        <v>0</v>
      </c>
    </row>
    <row r="503" spans="33:36" x14ac:dyDescent="0.25">
      <c r="AG503" s="962">
        <f>'T4'!O23</f>
        <v>0</v>
      </c>
      <c r="AI503" s="962">
        <f t="shared" si="342"/>
        <v>0</v>
      </c>
      <c r="AJ503" s="962">
        <f t="shared" si="343"/>
        <v>0</v>
      </c>
    </row>
    <row r="504" spans="33:36" x14ac:dyDescent="0.25">
      <c r="AG504" s="962">
        <f>'T4'!O24</f>
        <v>0</v>
      </c>
      <c r="AI504" s="962">
        <f t="shared" si="342"/>
        <v>0</v>
      </c>
      <c r="AJ504" s="962">
        <f t="shared" si="343"/>
        <v>0</v>
      </c>
    </row>
    <row r="510" spans="33:36" x14ac:dyDescent="0.25">
      <c r="AG510" s="962">
        <f>'T4'!O30</f>
        <v>0</v>
      </c>
      <c r="AI510" s="962">
        <f>AE510+AI504</f>
        <v>0</v>
      </c>
      <c r="AJ510" s="962">
        <f>AG510+AJ504</f>
        <v>0</v>
      </c>
    </row>
    <row r="511" spans="33:36" x14ac:dyDescent="0.25">
      <c r="AG511" s="962">
        <f>'T4'!O31</f>
        <v>0</v>
      </c>
      <c r="AI511" s="962">
        <f t="shared" ref="AI511:AI516" si="344">AE511+AI510</f>
        <v>0</v>
      </c>
      <c r="AJ511" s="962">
        <f t="shared" ref="AJ511:AJ516" si="345">AG511+AJ510</f>
        <v>0</v>
      </c>
    </row>
    <row r="512" spans="33:36" x14ac:dyDescent="0.25">
      <c r="AG512" s="962">
        <f>'T4'!O32</f>
        <v>0</v>
      </c>
      <c r="AI512" s="962">
        <f t="shared" si="344"/>
        <v>0</v>
      </c>
      <c r="AJ512" s="962">
        <f t="shared" si="345"/>
        <v>0</v>
      </c>
    </row>
    <row r="513" spans="33:36" x14ac:dyDescent="0.25">
      <c r="AG513" s="962">
        <f>'T4'!O33</f>
        <v>0</v>
      </c>
      <c r="AI513" s="962">
        <f t="shared" si="344"/>
        <v>0</v>
      </c>
      <c r="AJ513" s="962">
        <f t="shared" si="345"/>
        <v>0</v>
      </c>
    </row>
    <row r="514" spans="33:36" x14ac:dyDescent="0.25">
      <c r="AG514" s="962">
        <f>'T4'!O34</f>
        <v>0</v>
      </c>
      <c r="AI514" s="962">
        <f t="shared" si="344"/>
        <v>0</v>
      </c>
      <c r="AJ514" s="962">
        <f t="shared" si="345"/>
        <v>0</v>
      </c>
    </row>
    <row r="515" spans="33:36" x14ac:dyDescent="0.25">
      <c r="AG515" s="962">
        <f>'T4'!O35</f>
        <v>0</v>
      </c>
      <c r="AI515" s="962">
        <f t="shared" si="344"/>
        <v>0</v>
      </c>
      <c r="AJ515" s="962">
        <f t="shared" si="345"/>
        <v>0</v>
      </c>
    </row>
    <row r="516" spans="33:36" x14ac:dyDescent="0.25">
      <c r="AG516" s="962">
        <f>'T4'!O36</f>
        <v>0</v>
      </c>
      <c r="AI516" s="962">
        <f t="shared" si="344"/>
        <v>0</v>
      </c>
      <c r="AJ516" s="962">
        <f t="shared" si="345"/>
        <v>0</v>
      </c>
    </row>
    <row r="522" spans="33:36" x14ac:dyDescent="0.25">
      <c r="AG522" s="962">
        <f>'T4'!O42</f>
        <v>0</v>
      </c>
      <c r="AI522" s="962">
        <f>AE522+AI516</f>
        <v>0</v>
      </c>
      <c r="AJ522" s="962">
        <f>AG522+AJ516</f>
        <v>0</v>
      </c>
    </row>
    <row r="523" spans="33:36" x14ac:dyDescent="0.25">
      <c r="AG523" s="962">
        <f>'T4'!O43</f>
        <v>0</v>
      </c>
      <c r="AI523" s="962">
        <f t="shared" ref="AI523:AI528" si="346">AE523+AI522</f>
        <v>0</v>
      </c>
      <c r="AJ523" s="962">
        <f t="shared" ref="AJ523:AJ528" si="347">AG523+AJ522</f>
        <v>0</v>
      </c>
    </row>
    <row r="524" spans="33:36" x14ac:dyDescent="0.25">
      <c r="AG524" s="962">
        <f>'T4'!O44</f>
        <v>0</v>
      </c>
      <c r="AI524" s="962">
        <f t="shared" si="346"/>
        <v>0</v>
      </c>
      <c r="AJ524" s="962">
        <f t="shared" si="347"/>
        <v>0</v>
      </c>
    </row>
    <row r="525" spans="33:36" x14ac:dyDescent="0.25">
      <c r="AG525" s="962">
        <f>'T4'!O45</f>
        <v>0</v>
      </c>
      <c r="AI525" s="962">
        <f t="shared" si="346"/>
        <v>0</v>
      </c>
      <c r="AJ525" s="962">
        <f t="shared" si="347"/>
        <v>0</v>
      </c>
    </row>
    <row r="526" spans="33:36" x14ac:dyDescent="0.25">
      <c r="AG526" s="962">
        <f>'T4'!O46</f>
        <v>0</v>
      </c>
      <c r="AI526" s="962">
        <f t="shared" si="346"/>
        <v>0</v>
      </c>
      <c r="AJ526" s="962">
        <f t="shared" si="347"/>
        <v>0</v>
      </c>
    </row>
    <row r="527" spans="33:36" x14ac:dyDescent="0.25">
      <c r="AG527" s="962">
        <f>'T4'!O47</f>
        <v>0</v>
      </c>
      <c r="AI527" s="962">
        <f t="shared" si="346"/>
        <v>0</v>
      </c>
      <c r="AJ527" s="962">
        <f t="shared" si="347"/>
        <v>0</v>
      </c>
    </row>
    <row r="528" spans="33:36" x14ac:dyDescent="0.25">
      <c r="AG528" s="962">
        <f>'T4'!O48</f>
        <v>0</v>
      </c>
      <c r="AI528" s="962">
        <f t="shared" si="346"/>
        <v>0</v>
      </c>
      <c r="AJ528" s="962">
        <f t="shared" si="347"/>
        <v>0</v>
      </c>
    </row>
    <row r="534" spans="33:36" x14ac:dyDescent="0.25">
      <c r="AG534" s="962">
        <f>'T4'!O54</f>
        <v>0</v>
      </c>
      <c r="AI534" s="962">
        <f>AE534+AI528</f>
        <v>0</v>
      </c>
      <c r="AJ534" s="962">
        <f>AG534+AJ528</f>
        <v>0</v>
      </c>
    </row>
    <row r="535" spans="33:36" x14ac:dyDescent="0.25">
      <c r="AG535" s="962">
        <f>'T4'!O55</f>
        <v>0</v>
      </c>
      <c r="AI535" s="962">
        <f t="shared" ref="AI535:AI540" si="348">AE535+AI534</f>
        <v>0</v>
      </c>
      <c r="AJ535" s="962">
        <f t="shared" ref="AJ535:AJ540" si="349">AG535+AJ534</f>
        <v>0</v>
      </c>
    </row>
    <row r="536" spans="33:36" x14ac:dyDescent="0.25">
      <c r="AG536" s="962">
        <f>'T4'!O56</f>
        <v>0</v>
      </c>
      <c r="AI536" s="962">
        <f t="shared" si="348"/>
        <v>0</v>
      </c>
      <c r="AJ536" s="962">
        <f t="shared" si="349"/>
        <v>0</v>
      </c>
    </row>
    <row r="537" spans="33:36" x14ac:dyDescent="0.25">
      <c r="AG537" s="962">
        <f>'T4'!O57</f>
        <v>0</v>
      </c>
      <c r="AI537" s="962">
        <f t="shared" si="348"/>
        <v>0</v>
      </c>
      <c r="AJ537" s="962">
        <f t="shared" si="349"/>
        <v>0</v>
      </c>
    </row>
    <row r="538" spans="33:36" x14ac:dyDescent="0.25">
      <c r="AG538" s="962">
        <f>'T4'!O58</f>
        <v>0</v>
      </c>
      <c r="AI538" s="962">
        <f t="shared" si="348"/>
        <v>0</v>
      </c>
      <c r="AJ538" s="962">
        <f t="shared" si="349"/>
        <v>0</v>
      </c>
    </row>
    <row r="539" spans="33:36" x14ac:dyDescent="0.25">
      <c r="AG539" s="962">
        <f>'T4'!O59</f>
        <v>0</v>
      </c>
      <c r="AI539" s="962">
        <f t="shared" si="348"/>
        <v>0</v>
      </c>
      <c r="AJ539" s="962">
        <f t="shared" si="349"/>
        <v>0</v>
      </c>
    </row>
    <row r="540" spans="33:36" x14ac:dyDescent="0.25">
      <c r="AG540" s="962">
        <f>'T4'!O60</f>
        <v>0</v>
      </c>
      <c r="AI540" s="962">
        <f t="shared" si="348"/>
        <v>0</v>
      </c>
      <c r="AJ540" s="962">
        <f t="shared" si="349"/>
        <v>0</v>
      </c>
    </row>
    <row r="546" spans="33:36" x14ac:dyDescent="0.25">
      <c r="AG546" s="962">
        <f>'T4'!O66</f>
        <v>0</v>
      </c>
      <c r="AI546" s="962">
        <f>AE546+AI540</f>
        <v>0</v>
      </c>
      <c r="AJ546" s="962">
        <f>AG546+AJ540</f>
        <v>0</v>
      </c>
    </row>
    <row r="547" spans="33:36" x14ac:dyDescent="0.25">
      <c r="AG547" s="962">
        <f>'T4'!O67</f>
        <v>0</v>
      </c>
      <c r="AI547" s="962">
        <f t="shared" ref="AI547:AI552" si="350">AE547+AI546</f>
        <v>0</v>
      </c>
      <c r="AJ547" s="962">
        <f t="shared" ref="AJ547:AJ552" si="351">AG547+AJ546</f>
        <v>0</v>
      </c>
    </row>
    <row r="548" spans="33:36" x14ac:dyDescent="0.25">
      <c r="AG548" s="962">
        <f>'T4'!O68</f>
        <v>0</v>
      </c>
      <c r="AI548" s="962">
        <f t="shared" si="350"/>
        <v>0</v>
      </c>
      <c r="AJ548" s="962">
        <f t="shared" si="351"/>
        <v>0</v>
      </c>
    </row>
    <row r="549" spans="33:36" x14ac:dyDescent="0.25">
      <c r="AG549" s="962">
        <f>'T4'!O69</f>
        <v>0</v>
      </c>
      <c r="AI549" s="962">
        <f t="shared" si="350"/>
        <v>0</v>
      </c>
      <c r="AJ549" s="962">
        <f t="shared" si="351"/>
        <v>0</v>
      </c>
    </row>
    <row r="550" spans="33:36" x14ac:dyDescent="0.25">
      <c r="AG550" s="962">
        <f>'T4'!O70</f>
        <v>0</v>
      </c>
      <c r="AI550" s="962">
        <f t="shared" si="350"/>
        <v>0</v>
      </c>
      <c r="AJ550" s="962">
        <f t="shared" si="351"/>
        <v>0</v>
      </c>
    </row>
    <row r="551" spans="33:36" x14ac:dyDescent="0.25">
      <c r="AG551" s="962">
        <f>'T4'!O71</f>
        <v>0</v>
      </c>
      <c r="AI551" s="962">
        <f t="shared" si="350"/>
        <v>0</v>
      </c>
      <c r="AJ551" s="962">
        <f t="shared" si="351"/>
        <v>0</v>
      </c>
    </row>
    <row r="552" spans="33:36" x14ac:dyDescent="0.25">
      <c r="AG552" s="962">
        <f>'T4'!O72</f>
        <v>0</v>
      </c>
      <c r="AI552" s="962">
        <f t="shared" si="350"/>
        <v>0</v>
      </c>
      <c r="AJ552" s="962">
        <f t="shared" si="351"/>
        <v>0</v>
      </c>
    </row>
    <row r="558" spans="33:36" x14ac:dyDescent="0.25">
      <c r="AG558" s="962">
        <f>'T4'!O78</f>
        <v>0</v>
      </c>
      <c r="AI558" s="962">
        <f>AE558+AI552</f>
        <v>0</v>
      </c>
      <c r="AJ558" s="962">
        <f>AG558+AJ552</f>
        <v>0</v>
      </c>
    </row>
    <row r="559" spans="33:36" x14ac:dyDescent="0.25">
      <c r="AG559" s="962">
        <f>'T4'!O79</f>
        <v>0</v>
      </c>
      <c r="AI559" s="962">
        <f t="shared" ref="AI559:AI564" si="352">AE559+AI558</f>
        <v>0</v>
      </c>
      <c r="AJ559" s="962">
        <f t="shared" ref="AJ559:AJ564" si="353">AG559+AJ558</f>
        <v>0</v>
      </c>
    </row>
    <row r="560" spans="33:36" x14ac:dyDescent="0.25">
      <c r="AG560" s="962">
        <f>'T4'!O80</f>
        <v>0</v>
      </c>
      <c r="AI560" s="962">
        <f t="shared" si="352"/>
        <v>0</v>
      </c>
      <c r="AJ560" s="962">
        <f t="shared" si="353"/>
        <v>0</v>
      </c>
    </row>
    <row r="561" spans="33:36" x14ac:dyDescent="0.25">
      <c r="AG561" s="962">
        <f>'T4'!O81</f>
        <v>0</v>
      </c>
      <c r="AI561" s="962">
        <f t="shared" si="352"/>
        <v>0</v>
      </c>
      <c r="AJ561" s="962">
        <f t="shared" si="353"/>
        <v>0</v>
      </c>
    </row>
    <row r="562" spans="33:36" x14ac:dyDescent="0.25">
      <c r="AG562" s="962">
        <f>'T4'!O82</f>
        <v>0</v>
      </c>
      <c r="AI562" s="962">
        <f t="shared" si="352"/>
        <v>0</v>
      </c>
      <c r="AJ562" s="962">
        <f t="shared" si="353"/>
        <v>0</v>
      </c>
    </row>
    <row r="563" spans="33:36" x14ac:dyDescent="0.25">
      <c r="AG563" s="962">
        <f>'T4'!O83</f>
        <v>0</v>
      </c>
      <c r="AI563" s="962">
        <f t="shared" si="352"/>
        <v>0</v>
      </c>
      <c r="AJ563" s="962">
        <f t="shared" si="353"/>
        <v>0</v>
      </c>
    </row>
    <row r="564" spans="33:36" x14ac:dyDescent="0.25">
      <c r="AG564" s="962">
        <f>'T4'!O84</f>
        <v>0</v>
      </c>
      <c r="AI564" s="962">
        <f t="shared" si="352"/>
        <v>0</v>
      </c>
      <c r="AJ564" s="962">
        <f t="shared" si="353"/>
        <v>0</v>
      </c>
    </row>
    <row r="570" spans="33:36" x14ac:dyDescent="0.25">
      <c r="AG570" s="962">
        <f>'T4'!O90</f>
        <v>0</v>
      </c>
      <c r="AI570" s="962">
        <f>AE570+AI564</f>
        <v>0</v>
      </c>
      <c r="AJ570" s="962">
        <f>AG570+AJ564</f>
        <v>0</v>
      </c>
    </row>
    <row r="571" spans="33:36" x14ac:dyDescent="0.25">
      <c r="AG571" s="962">
        <f>'T4'!O91</f>
        <v>0</v>
      </c>
      <c r="AI571" s="962">
        <f t="shared" ref="AI571:AI576" si="354">AE571+AI570</f>
        <v>0</v>
      </c>
      <c r="AJ571" s="962">
        <f t="shared" ref="AJ571:AJ576" si="355">AG571+AJ570</f>
        <v>0</v>
      </c>
    </row>
    <row r="572" spans="33:36" x14ac:dyDescent="0.25">
      <c r="AG572" s="962">
        <f>'T4'!O92</f>
        <v>0</v>
      </c>
      <c r="AI572" s="962">
        <f t="shared" si="354"/>
        <v>0</v>
      </c>
      <c r="AJ572" s="962">
        <f t="shared" si="355"/>
        <v>0</v>
      </c>
    </row>
    <row r="573" spans="33:36" x14ac:dyDescent="0.25">
      <c r="AG573" s="962">
        <f>'T4'!O93</f>
        <v>0</v>
      </c>
      <c r="AI573" s="962">
        <f t="shared" si="354"/>
        <v>0</v>
      </c>
      <c r="AJ573" s="962">
        <f t="shared" si="355"/>
        <v>0</v>
      </c>
    </row>
    <row r="574" spans="33:36" x14ac:dyDescent="0.25">
      <c r="AG574" s="962">
        <f>'T4'!O94</f>
        <v>0</v>
      </c>
      <c r="AI574" s="962">
        <f t="shared" si="354"/>
        <v>0</v>
      </c>
      <c r="AJ574" s="962">
        <f t="shared" si="355"/>
        <v>0</v>
      </c>
    </row>
    <row r="575" spans="33:36" x14ac:dyDescent="0.25">
      <c r="AG575" s="962">
        <f>'T4'!O95</f>
        <v>0</v>
      </c>
      <c r="AI575" s="962">
        <f t="shared" si="354"/>
        <v>0</v>
      </c>
      <c r="AJ575" s="962">
        <f t="shared" si="355"/>
        <v>0</v>
      </c>
    </row>
    <row r="576" spans="33:36" x14ac:dyDescent="0.25">
      <c r="AG576" s="962">
        <f>'T4'!O96</f>
        <v>0</v>
      </c>
      <c r="AI576" s="962">
        <f t="shared" si="354"/>
        <v>0</v>
      </c>
      <c r="AJ576" s="962">
        <f t="shared" si="355"/>
        <v>0</v>
      </c>
    </row>
    <row r="582" spans="33:36" x14ac:dyDescent="0.25">
      <c r="AG582" s="962">
        <f>'T4'!O102</f>
        <v>0</v>
      </c>
      <c r="AI582" s="962">
        <f>AE582+AI576</f>
        <v>0</v>
      </c>
      <c r="AJ582" s="962">
        <f>AG582+AJ576</f>
        <v>0</v>
      </c>
    </row>
    <row r="583" spans="33:36" x14ac:dyDescent="0.25">
      <c r="AG583" s="962">
        <f>'T4'!O103</f>
        <v>0</v>
      </c>
      <c r="AI583" s="962">
        <f t="shared" ref="AI583:AI588" si="356">AE583+AI582</f>
        <v>0</v>
      </c>
      <c r="AJ583" s="962">
        <f t="shared" ref="AJ583:AJ588" si="357">AG583+AJ582</f>
        <v>0</v>
      </c>
    </row>
    <row r="584" spans="33:36" x14ac:dyDescent="0.25">
      <c r="AG584" s="962">
        <f>'T4'!O104</f>
        <v>0</v>
      </c>
      <c r="AI584" s="962">
        <f t="shared" si="356"/>
        <v>0</v>
      </c>
      <c r="AJ584" s="962">
        <f t="shared" si="357"/>
        <v>0</v>
      </c>
    </row>
    <row r="585" spans="33:36" x14ac:dyDescent="0.25">
      <c r="AG585" s="962">
        <f>'T4'!O105</f>
        <v>0</v>
      </c>
      <c r="AI585" s="962">
        <f t="shared" si="356"/>
        <v>0</v>
      </c>
      <c r="AJ585" s="962">
        <f t="shared" si="357"/>
        <v>0</v>
      </c>
    </row>
    <row r="586" spans="33:36" x14ac:dyDescent="0.25">
      <c r="AG586" s="962">
        <f>'T4'!O106</f>
        <v>0</v>
      </c>
      <c r="AI586" s="962">
        <f t="shared" si="356"/>
        <v>0</v>
      </c>
      <c r="AJ586" s="962">
        <f t="shared" si="357"/>
        <v>0</v>
      </c>
    </row>
    <row r="587" spans="33:36" x14ac:dyDescent="0.25">
      <c r="AG587" s="962">
        <f>'T4'!O107</f>
        <v>0</v>
      </c>
      <c r="AI587" s="962">
        <f t="shared" si="356"/>
        <v>0</v>
      </c>
      <c r="AJ587" s="962">
        <f t="shared" si="357"/>
        <v>0</v>
      </c>
    </row>
    <row r="588" spans="33:36" x14ac:dyDescent="0.25">
      <c r="AG588" s="962">
        <f>'T4'!O108</f>
        <v>0</v>
      </c>
      <c r="AI588" s="962">
        <f t="shared" si="356"/>
        <v>0</v>
      </c>
      <c r="AJ588" s="962">
        <f t="shared" si="357"/>
        <v>0</v>
      </c>
    </row>
    <row r="594" spans="33:36" x14ac:dyDescent="0.25">
      <c r="AG594" s="962">
        <f>'T4'!O114</f>
        <v>0</v>
      </c>
      <c r="AI594" s="962">
        <f>AE594+AI588</f>
        <v>0</v>
      </c>
      <c r="AJ594" s="962">
        <f>AG594+AJ588</f>
        <v>0</v>
      </c>
    </row>
    <row r="595" spans="33:36" x14ac:dyDescent="0.25">
      <c r="AG595" s="962">
        <f>'T4'!O115</f>
        <v>0</v>
      </c>
      <c r="AI595" s="962">
        <f t="shared" ref="AI595:AI600" si="358">AE595+AI594</f>
        <v>0</v>
      </c>
      <c r="AJ595" s="962">
        <f t="shared" ref="AJ595:AJ600" si="359">AG595+AJ594</f>
        <v>0</v>
      </c>
    </row>
    <row r="596" spans="33:36" x14ac:dyDescent="0.25">
      <c r="AG596" s="962">
        <f>'T4'!O116</f>
        <v>0</v>
      </c>
      <c r="AI596" s="962">
        <f t="shared" si="358"/>
        <v>0</v>
      </c>
      <c r="AJ596" s="962">
        <f t="shared" si="359"/>
        <v>0</v>
      </c>
    </row>
    <row r="597" spans="33:36" x14ac:dyDescent="0.25">
      <c r="AG597" s="962">
        <f>'T4'!O117</f>
        <v>0</v>
      </c>
      <c r="AI597" s="962">
        <f t="shared" si="358"/>
        <v>0</v>
      </c>
      <c r="AJ597" s="962">
        <f t="shared" si="359"/>
        <v>0</v>
      </c>
    </row>
    <row r="598" spans="33:36" x14ac:dyDescent="0.25">
      <c r="AG598" s="962">
        <f>'T4'!O118</f>
        <v>0</v>
      </c>
      <c r="AI598" s="962">
        <f t="shared" si="358"/>
        <v>0</v>
      </c>
      <c r="AJ598" s="962">
        <f t="shared" si="359"/>
        <v>0</v>
      </c>
    </row>
    <row r="599" spans="33:36" x14ac:dyDescent="0.25">
      <c r="AG599" s="962">
        <f>'T4'!O119</f>
        <v>0</v>
      </c>
      <c r="AI599" s="962">
        <f t="shared" si="358"/>
        <v>0</v>
      </c>
      <c r="AJ599" s="962">
        <f t="shared" si="359"/>
        <v>0</v>
      </c>
    </row>
    <row r="600" spans="33:36" x14ac:dyDescent="0.25">
      <c r="AG600" s="962">
        <f>'T4'!O120</f>
        <v>0</v>
      </c>
      <c r="AI600" s="962">
        <f t="shared" si="358"/>
        <v>0</v>
      </c>
      <c r="AJ600" s="962">
        <f t="shared" si="359"/>
        <v>0</v>
      </c>
    </row>
    <row r="606" spans="33:36" x14ac:dyDescent="0.25">
      <c r="AG606" s="962">
        <f>'T4'!O126</f>
        <v>0</v>
      </c>
      <c r="AI606" s="962">
        <f>AE606+AI600</f>
        <v>0</v>
      </c>
      <c r="AJ606" s="962">
        <f>AG606+AJ600</f>
        <v>0</v>
      </c>
    </row>
    <row r="607" spans="33:36" x14ac:dyDescent="0.25">
      <c r="AG607" s="962">
        <f>'T4'!O127</f>
        <v>0</v>
      </c>
      <c r="AI607" s="962">
        <f t="shared" ref="AI607:AI612" si="360">AE607+AI606</f>
        <v>0</v>
      </c>
      <c r="AJ607" s="962">
        <f t="shared" ref="AJ607:AJ612" si="361">AG607+AJ606</f>
        <v>0</v>
      </c>
    </row>
    <row r="608" spans="33:36" x14ac:dyDescent="0.25">
      <c r="AG608" s="962">
        <f>'T4'!O128</f>
        <v>0</v>
      </c>
      <c r="AI608" s="962">
        <f t="shared" si="360"/>
        <v>0</v>
      </c>
      <c r="AJ608" s="962">
        <f t="shared" si="361"/>
        <v>0</v>
      </c>
    </row>
    <row r="609" spans="33:36" x14ac:dyDescent="0.25">
      <c r="AG609" s="962">
        <f>'T4'!O129</f>
        <v>0</v>
      </c>
      <c r="AI609" s="962">
        <f t="shared" si="360"/>
        <v>0</v>
      </c>
      <c r="AJ609" s="962">
        <f t="shared" si="361"/>
        <v>0</v>
      </c>
    </row>
    <row r="610" spans="33:36" x14ac:dyDescent="0.25">
      <c r="AG610" s="962">
        <f>'T4'!O130</f>
        <v>0</v>
      </c>
      <c r="AI610" s="962">
        <f t="shared" si="360"/>
        <v>0</v>
      </c>
      <c r="AJ610" s="962">
        <f t="shared" si="361"/>
        <v>0</v>
      </c>
    </row>
    <row r="611" spans="33:36" x14ac:dyDescent="0.25">
      <c r="AG611" s="962">
        <f>'T4'!O131</f>
        <v>0</v>
      </c>
      <c r="AI611" s="962">
        <f t="shared" si="360"/>
        <v>0</v>
      </c>
      <c r="AJ611" s="962">
        <f t="shared" si="361"/>
        <v>0</v>
      </c>
    </row>
    <row r="612" spans="33:36" x14ac:dyDescent="0.25">
      <c r="AG612" s="962">
        <f>'T4'!O132</f>
        <v>0</v>
      </c>
      <c r="AI612" s="962">
        <f t="shared" si="360"/>
        <v>0</v>
      </c>
      <c r="AJ612" s="962">
        <f t="shared" si="361"/>
        <v>0</v>
      </c>
    </row>
    <row r="618" spans="33:36" x14ac:dyDescent="0.25">
      <c r="AG618" s="962">
        <f>'T4'!O138</f>
        <v>0</v>
      </c>
      <c r="AI618" s="962">
        <f>AE618+AI612</f>
        <v>0</v>
      </c>
      <c r="AJ618" s="962">
        <f>AG618+AJ612</f>
        <v>0</v>
      </c>
    </row>
    <row r="619" spans="33:36" x14ac:dyDescent="0.25">
      <c r="AG619" s="962">
        <f>'T4'!O139</f>
        <v>0</v>
      </c>
      <c r="AI619" s="962">
        <f t="shared" ref="AI619:AI624" si="362">AE619+AI618</f>
        <v>0</v>
      </c>
      <c r="AJ619" s="962">
        <f t="shared" ref="AJ619:AJ624" si="363">AG619+AJ618</f>
        <v>0</v>
      </c>
    </row>
    <row r="620" spans="33:36" x14ac:dyDescent="0.25">
      <c r="AG620" s="962">
        <f>'T4'!O140</f>
        <v>0</v>
      </c>
      <c r="AI620" s="962">
        <f t="shared" si="362"/>
        <v>0</v>
      </c>
      <c r="AJ620" s="962">
        <f t="shared" si="363"/>
        <v>0</v>
      </c>
    </row>
    <row r="621" spans="33:36" x14ac:dyDescent="0.25">
      <c r="AG621" s="962">
        <f>'T4'!O141</f>
        <v>0</v>
      </c>
      <c r="AI621" s="962">
        <f t="shared" si="362"/>
        <v>0</v>
      </c>
      <c r="AJ621" s="962">
        <f t="shared" si="363"/>
        <v>0</v>
      </c>
    </row>
    <row r="622" spans="33:36" x14ac:dyDescent="0.25">
      <c r="AG622" s="962">
        <f>'T4'!O142</f>
        <v>0</v>
      </c>
      <c r="AI622" s="962">
        <f t="shared" si="362"/>
        <v>0</v>
      </c>
      <c r="AJ622" s="962">
        <f t="shared" si="363"/>
        <v>0</v>
      </c>
    </row>
    <row r="623" spans="33:36" x14ac:dyDescent="0.25">
      <c r="AG623" s="962">
        <f>'T4'!O143</f>
        <v>0</v>
      </c>
      <c r="AI623" s="962">
        <f t="shared" si="362"/>
        <v>0</v>
      </c>
      <c r="AJ623" s="962">
        <f t="shared" si="363"/>
        <v>0</v>
      </c>
    </row>
    <row r="624" spans="33:36" x14ac:dyDescent="0.25">
      <c r="AG624" s="962">
        <f>'T4'!O144</f>
        <v>0</v>
      </c>
      <c r="AI624" s="962">
        <f t="shared" si="362"/>
        <v>0</v>
      </c>
      <c r="AJ624" s="962">
        <f t="shared" si="363"/>
        <v>0</v>
      </c>
    </row>
    <row r="630" spans="33:36" x14ac:dyDescent="0.25">
      <c r="AG630" s="962">
        <f>'T4'!O150</f>
        <v>0</v>
      </c>
      <c r="AI630" s="962">
        <f>AE630+AI624</f>
        <v>0</v>
      </c>
      <c r="AJ630" s="962">
        <f>AG630+AJ624</f>
        <v>0</v>
      </c>
    </row>
    <row r="631" spans="33:36" x14ac:dyDescent="0.25">
      <c r="AG631" s="962">
        <f>'T4'!O151</f>
        <v>0</v>
      </c>
      <c r="AI631" s="962">
        <f t="shared" ref="AI631:AI636" si="364">AE631+AI630</f>
        <v>0</v>
      </c>
      <c r="AJ631" s="962">
        <f t="shared" ref="AJ631:AJ636" si="365">AG631+AJ630</f>
        <v>0</v>
      </c>
    </row>
    <row r="632" spans="33:36" x14ac:dyDescent="0.25">
      <c r="AG632" s="962">
        <f>'T4'!O152</f>
        <v>0</v>
      </c>
      <c r="AI632" s="962">
        <f t="shared" si="364"/>
        <v>0</v>
      </c>
      <c r="AJ632" s="962">
        <f t="shared" si="365"/>
        <v>0</v>
      </c>
    </row>
    <row r="633" spans="33:36" x14ac:dyDescent="0.25">
      <c r="AG633" s="962">
        <f>'T4'!O153</f>
        <v>0</v>
      </c>
      <c r="AI633" s="962">
        <f t="shared" si="364"/>
        <v>0</v>
      </c>
      <c r="AJ633" s="962">
        <f t="shared" si="365"/>
        <v>0</v>
      </c>
    </row>
    <row r="634" spans="33:36" x14ac:dyDescent="0.25">
      <c r="AG634" s="962">
        <f>'T4'!O154</f>
        <v>0</v>
      </c>
      <c r="AI634" s="962">
        <f t="shared" si="364"/>
        <v>0</v>
      </c>
      <c r="AJ634" s="962">
        <f t="shared" si="365"/>
        <v>0</v>
      </c>
    </row>
    <row r="635" spans="33:36" x14ac:dyDescent="0.25">
      <c r="AG635" s="962">
        <f>'T4'!O155</f>
        <v>0</v>
      </c>
      <c r="AI635" s="962">
        <f t="shared" si="364"/>
        <v>0</v>
      </c>
      <c r="AJ635" s="962">
        <f t="shared" si="365"/>
        <v>0</v>
      </c>
    </row>
    <row r="636" spans="33:36" x14ac:dyDescent="0.25">
      <c r="AG636" s="962">
        <f>'T4'!O156</f>
        <v>0</v>
      </c>
      <c r="AI636" s="962">
        <f t="shared" si="364"/>
        <v>0</v>
      </c>
      <c r="AJ636" s="962">
        <f t="shared" si="365"/>
        <v>0</v>
      </c>
    </row>
  </sheetData>
  <sheetProtection algorithmName="SHA-512" hashValue="YUHqf6wFDD4As1EC1sm+DjUvQK4C2u50LKCSGt3PoutPUjBqpBnpNfDKwiw96EPJa6jQ6NFUqLdOzDYdeYUpZA==" saltValue="4+ELGjc+vkgDKaDKCL9xLQ==" spinCount="100000" sheet="1" objects="1" scenarios="1" selectLockedCells="1"/>
  <mergeCells count="389">
    <mergeCell ref="B151:M156"/>
    <mergeCell ref="AG4:AG5"/>
    <mergeCell ref="AI4:AI5"/>
    <mergeCell ref="AJ4:AJ5"/>
    <mergeCell ref="AL4:AL5"/>
    <mergeCell ref="S181:Y182"/>
    <mergeCell ref="S179:Y180"/>
    <mergeCell ref="S148:S149"/>
    <mergeCell ref="R160:AA160"/>
    <mergeCell ref="Q162:R164"/>
    <mergeCell ref="Z162:AA164"/>
    <mergeCell ref="S88:S89"/>
    <mergeCell ref="S100:S101"/>
    <mergeCell ref="S112:S113"/>
    <mergeCell ref="S124:S125"/>
    <mergeCell ref="S136:S137"/>
    <mergeCell ref="Z167:AA168"/>
    <mergeCell ref="Z169:AA170"/>
    <mergeCell ref="Z138:AA138"/>
    <mergeCell ref="Z139:AA139"/>
    <mergeCell ref="Z165:AA166"/>
    <mergeCell ref="Z148:AA149"/>
    <mergeCell ref="A172:C173"/>
    <mergeCell ref="F161:G161"/>
    <mergeCell ref="F160:G160"/>
    <mergeCell ref="F159:G159"/>
    <mergeCell ref="F165:G165"/>
    <mergeCell ref="F164:G164"/>
    <mergeCell ref="F163:G163"/>
    <mergeCell ref="F162:G162"/>
    <mergeCell ref="S173:Y174"/>
    <mergeCell ref="S171:Y172"/>
    <mergeCell ref="H163:I163"/>
    <mergeCell ref="J163:K163"/>
    <mergeCell ref="A170:G170"/>
    <mergeCell ref="D172:G173"/>
    <mergeCell ref="S28:S29"/>
    <mergeCell ref="S40:S41"/>
    <mergeCell ref="S52:S53"/>
    <mergeCell ref="P167:P168"/>
    <mergeCell ref="Q167:R168"/>
    <mergeCell ref="P169:P170"/>
    <mergeCell ref="Q169:R170"/>
    <mergeCell ref="S169:Y170"/>
    <mergeCell ref="S167:Y168"/>
    <mergeCell ref="P165:P166"/>
    <mergeCell ref="Q165:R166"/>
    <mergeCell ref="S165:Y166"/>
    <mergeCell ref="S162:Y164"/>
    <mergeCell ref="U52:Y52"/>
    <mergeCell ref="T52:T53"/>
    <mergeCell ref="P28:P29"/>
    <mergeCell ref="Q28:Q29"/>
    <mergeCell ref="T136:T137"/>
    <mergeCell ref="U136:Y136"/>
    <mergeCell ref="P124:P125"/>
    <mergeCell ref="T112:T113"/>
    <mergeCell ref="R88:R89"/>
    <mergeCell ref="U148:Y148"/>
    <mergeCell ref="P112:P113"/>
    <mergeCell ref="Z179:AA180"/>
    <mergeCell ref="P181:P182"/>
    <mergeCell ref="Q181:R182"/>
    <mergeCell ref="Z181:AA182"/>
    <mergeCell ref="S187:Y188"/>
    <mergeCell ref="S185:Y186"/>
    <mergeCell ref="S183:Y184"/>
    <mergeCell ref="Z119:AA119"/>
    <mergeCell ref="T124:T125"/>
    <mergeCell ref="Z153:AA153"/>
    <mergeCell ref="Z156:AA156"/>
    <mergeCell ref="Z150:AA150"/>
    <mergeCell ref="Z151:AA151"/>
    <mergeCell ref="Z127:AA127"/>
    <mergeCell ref="Z140:AA140"/>
    <mergeCell ref="Z141:AA141"/>
    <mergeCell ref="Z144:AA144"/>
    <mergeCell ref="Z143:AA143"/>
    <mergeCell ref="Z142:AA142"/>
    <mergeCell ref="P189:P190"/>
    <mergeCell ref="Q189:R190"/>
    <mergeCell ref="Z189:AA190"/>
    <mergeCell ref="S189:Y190"/>
    <mergeCell ref="P183:P184"/>
    <mergeCell ref="Q183:R184"/>
    <mergeCell ref="Z183:AA184"/>
    <mergeCell ref="P185:P186"/>
    <mergeCell ref="Q185:R186"/>
    <mergeCell ref="Z185:AA186"/>
    <mergeCell ref="P187:P188"/>
    <mergeCell ref="Q187:R188"/>
    <mergeCell ref="Z187:AA188"/>
    <mergeCell ref="L136:M136"/>
    <mergeCell ref="N136:N137"/>
    <mergeCell ref="Z95:AA95"/>
    <mergeCell ref="Z96:AA96"/>
    <mergeCell ref="P136:P137"/>
    <mergeCell ref="Q136:Q137"/>
    <mergeCell ref="R136:R137"/>
    <mergeCell ref="Z94:AA94"/>
    <mergeCell ref="Z92:AA92"/>
    <mergeCell ref="Z93:AA93"/>
    <mergeCell ref="Z130:AA130"/>
    <mergeCell ref="Z131:AA131"/>
    <mergeCell ref="Z128:AA128"/>
    <mergeCell ref="Z136:AA137"/>
    <mergeCell ref="Z100:AA101"/>
    <mergeCell ref="Z102:AA102"/>
    <mergeCell ref="Z129:AA129"/>
    <mergeCell ref="Z115:AA115"/>
    <mergeCell ref="Z116:AA116"/>
    <mergeCell ref="Z112:AA113"/>
    <mergeCell ref="Z118:AA118"/>
    <mergeCell ref="Q124:Q125"/>
    <mergeCell ref="Z126:AA126"/>
    <mergeCell ref="U100:Y100"/>
    <mergeCell ref="B88:C88"/>
    <mergeCell ref="D88:E88"/>
    <mergeCell ref="F88:G88"/>
    <mergeCell ref="H88:I88"/>
    <mergeCell ref="U88:Y88"/>
    <mergeCell ref="T88:T89"/>
    <mergeCell ref="Q88:Q89"/>
    <mergeCell ref="F147:G147"/>
    <mergeCell ref="I147:J147"/>
    <mergeCell ref="B136:C136"/>
    <mergeCell ref="D136:E136"/>
    <mergeCell ref="F136:G136"/>
    <mergeCell ref="H136:I136"/>
    <mergeCell ref="F99:G99"/>
    <mergeCell ref="I99:J99"/>
    <mergeCell ref="I111:J111"/>
    <mergeCell ref="J124:K124"/>
    <mergeCell ref="D124:E124"/>
    <mergeCell ref="F124:G124"/>
    <mergeCell ref="J136:K136"/>
    <mergeCell ref="F112:G112"/>
    <mergeCell ref="B112:C112"/>
    <mergeCell ref="D112:E112"/>
    <mergeCell ref="F111:G111"/>
    <mergeCell ref="A1:AA1"/>
    <mergeCell ref="P88:P89"/>
    <mergeCell ref="F87:G87"/>
    <mergeCell ref="L88:M88"/>
    <mergeCell ref="J88:K88"/>
    <mergeCell ref="I87:J87"/>
    <mergeCell ref="N88:N89"/>
    <mergeCell ref="O88:O89"/>
    <mergeCell ref="O76:O77"/>
    <mergeCell ref="B76:C76"/>
    <mergeCell ref="F76:G76"/>
    <mergeCell ref="H76:I76"/>
    <mergeCell ref="Z78:AA78"/>
    <mergeCell ref="P76:P77"/>
    <mergeCell ref="J76:K76"/>
    <mergeCell ref="Z76:AA77"/>
    <mergeCell ref="U76:Y76"/>
    <mergeCell ref="S76:S77"/>
    <mergeCell ref="Q76:Q77"/>
    <mergeCell ref="R76:R77"/>
    <mergeCell ref="B64:C64"/>
    <mergeCell ref="D64:E64"/>
    <mergeCell ref="F64:G64"/>
    <mergeCell ref="N76:N77"/>
    <mergeCell ref="F75:G75"/>
    <mergeCell ref="I75:J75"/>
    <mergeCell ref="J64:K64"/>
    <mergeCell ref="L76:M76"/>
    <mergeCell ref="D76:E76"/>
    <mergeCell ref="T76:T77"/>
    <mergeCell ref="Z69:AA69"/>
    <mergeCell ref="Z70:AA70"/>
    <mergeCell ref="Z71:AA71"/>
    <mergeCell ref="Z72:AA72"/>
    <mergeCell ref="F63:G63"/>
    <mergeCell ref="I63:J63"/>
    <mergeCell ref="F51:G51"/>
    <mergeCell ref="I51:J51"/>
    <mergeCell ref="J52:K52"/>
    <mergeCell ref="Z58:AA58"/>
    <mergeCell ref="Z59:AA59"/>
    <mergeCell ref="Z60:AA60"/>
    <mergeCell ref="Z66:AA66"/>
    <mergeCell ref="T64:T65"/>
    <mergeCell ref="U64:Y64"/>
    <mergeCell ref="L64:M64"/>
    <mergeCell ref="N64:N65"/>
    <mergeCell ref="O64:O65"/>
    <mergeCell ref="P64:P65"/>
    <mergeCell ref="Q64:Q65"/>
    <mergeCell ref="R64:R65"/>
    <mergeCell ref="S64:S65"/>
    <mergeCell ref="H64:I64"/>
    <mergeCell ref="Z55:AA55"/>
    <mergeCell ref="Z52:AA53"/>
    <mergeCell ref="Z64:AA65"/>
    <mergeCell ref="Z56:AA56"/>
    <mergeCell ref="Z57:AA57"/>
    <mergeCell ref="N52:N53"/>
    <mergeCell ref="O52:O53"/>
    <mergeCell ref="P52:P53"/>
    <mergeCell ref="R52:R53"/>
    <mergeCell ref="T40:T41"/>
    <mergeCell ref="R40:R41"/>
    <mergeCell ref="B52:C52"/>
    <mergeCell ref="D52:E52"/>
    <mergeCell ref="F52:G52"/>
    <mergeCell ref="H52:I52"/>
    <mergeCell ref="N40:N41"/>
    <mergeCell ref="O40:O41"/>
    <mergeCell ref="P40:P41"/>
    <mergeCell ref="Q40:Q41"/>
    <mergeCell ref="Q52:Q53"/>
    <mergeCell ref="L52:M52"/>
    <mergeCell ref="J28:K28"/>
    <mergeCell ref="N28:N29"/>
    <mergeCell ref="O28:O29"/>
    <mergeCell ref="B40:C40"/>
    <mergeCell ref="D40:E40"/>
    <mergeCell ref="F40:G40"/>
    <mergeCell ref="H40:I40"/>
    <mergeCell ref="B28:C28"/>
    <mergeCell ref="D28:E28"/>
    <mergeCell ref="F28:G28"/>
    <mergeCell ref="H28:I28"/>
    <mergeCell ref="F39:G39"/>
    <mergeCell ref="I39:J39"/>
    <mergeCell ref="J40:K40"/>
    <mergeCell ref="L40:M40"/>
    <mergeCell ref="L28:M28"/>
    <mergeCell ref="Z16:AA17"/>
    <mergeCell ref="Z12:AA12"/>
    <mergeCell ref="I3:J3"/>
    <mergeCell ref="T28:T29"/>
    <mergeCell ref="U28:Y28"/>
    <mergeCell ref="R28:R29"/>
    <mergeCell ref="Z45:AA45"/>
    <mergeCell ref="Z48:AA48"/>
    <mergeCell ref="Z46:AA46"/>
    <mergeCell ref="Z47:AA47"/>
    <mergeCell ref="Z22:AA22"/>
    <mergeCell ref="Z23:AA23"/>
    <mergeCell ref="Z36:AA36"/>
    <mergeCell ref="Z43:AA43"/>
    <mergeCell ref="Z40:AA41"/>
    <mergeCell ref="U40:Y40"/>
    <mergeCell ref="Z42:AA42"/>
    <mergeCell ref="Z44:AA44"/>
    <mergeCell ref="Z18:AA18"/>
    <mergeCell ref="Z32:AA32"/>
    <mergeCell ref="Z34:AA34"/>
    <mergeCell ref="Z35:AA35"/>
    <mergeCell ref="Z28:AA29"/>
    <mergeCell ref="Z33:AA33"/>
    <mergeCell ref="F3:G3"/>
    <mergeCell ref="N4:N5"/>
    <mergeCell ref="F16:G16"/>
    <mergeCell ref="H16:I16"/>
    <mergeCell ref="U16:Y16"/>
    <mergeCell ref="T16:T17"/>
    <mergeCell ref="O16:O17"/>
    <mergeCell ref="Q16:Q17"/>
    <mergeCell ref="R16:R17"/>
    <mergeCell ref="P16:P17"/>
    <mergeCell ref="J16:K16"/>
    <mergeCell ref="U4:Y4"/>
    <mergeCell ref="N16:N17"/>
    <mergeCell ref="T4:T5"/>
    <mergeCell ref="L16:M16"/>
    <mergeCell ref="S4:S5"/>
    <mergeCell ref="S16:S17"/>
    <mergeCell ref="D4:E4"/>
    <mergeCell ref="R4:R5"/>
    <mergeCell ref="Z11:AA11"/>
    <mergeCell ref="O4:O5"/>
    <mergeCell ref="P4:P5"/>
    <mergeCell ref="Q4:Q5"/>
    <mergeCell ref="Z10:AA10"/>
    <mergeCell ref="L4:M4"/>
    <mergeCell ref="Z8:AA8"/>
    <mergeCell ref="F4:G4"/>
    <mergeCell ref="H4:I4"/>
    <mergeCell ref="J4:K4"/>
    <mergeCell ref="Z9:AA9"/>
    <mergeCell ref="Z6:AA6"/>
    <mergeCell ref="Z7:AA7"/>
    <mergeCell ref="Z4:AA5"/>
    <mergeCell ref="B4:C4"/>
    <mergeCell ref="I15:J15"/>
    <mergeCell ref="F15:G15"/>
    <mergeCell ref="D16:E16"/>
    <mergeCell ref="B148:C148"/>
    <mergeCell ref="T148:T149"/>
    <mergeCell ref="D148:E148"/>
    <mergeCell ref="F148:G148"/>
    <mergeCell ref="R148:R149"/>
    <mergeCell ref="J148:K148"/>
    <mergeCell ref="B16:C16"/>
    <mergeCell ref="F27:G27"/>
    <mergeCell ref="I27:J27"/>
    <mergeCell ref="N148:N149"/>
    <mergeCell ref="O148:O149"/>
    <mergeCell ref="H148:I148"/>
    <mergeCell ref="O136:O137"/>
    <mergeCell ref="F123:G123"/>
    <mergeCell ref="B124:C124"/>
    <mergeCell ref="O124:O125"/>
    <mergeCell ref="O112:O113"/>
    <mergeCell ref="B100:C100"/>
    <mergeCell ref="D100:E100"/>
    <mergeCell ref="F100:G100"/>
    <mergeCell ref="A192:AA193"/>
    <mergeCell ref="P148:P149"/>
    <mergeCell ref="Q148:Q149"/>
    <mergeCell ref="Z152:AA152"/>
    <mergeCell ref="Z155:AA155"/>
    <mergeCell ref="Z154:AA154"/>
    <mergeCell ref="F166:G166"/>
    <mergeCell ref="L148:M148"/>
    <mergeCell ref="P175:P176"/>
    <mergeCell ref="Q175:R176"/>
    <mergeCell ref="Z175:AA176"/>
    <mergeCell ref="P177:P178"/>
    <mergeCell ref="Q177:R178"/>
    <mergeCell ref="Z177:AA178"/>
    <mergeCell ref="S175:Y176"/>
    <mergeCell ref="S177:Y178"/>
    <mergeCell ref="P171:P172"/>
    <mergeCell ref="Q171:R172"/>
    <mergeCell ref="Z171:AA172"/>
    <mergeCell ref="P173:P174"/>
    <mergeCell ref="Q173:R174"/>
    <mergeCell ref="Z173:AA174"/>
    <mergeCell ref="P179:P180"/>
    <mergeCell ref="Q179:R180"/>
    <mergeCell ref="Z20:AA20"/>
    <mergeCell ref="Z21:AA21"/>
    <mergeCell ref="Z107:AA107"/>
    <mergeCell ref="Z105:AA105"/>
    <mergeCell ref="Z103:AA103"/>
    <mergeCell ref="Z104:AA104"/>
    <mergeCell ref="Z54:AA54"/>
    <mergeCell ref="Z67:AA67"/>
    <mergeCell ref="Z68:AA68"/>
    <mergeCell ref="Z79:AA79"/>
    <mergeCell ref="Z80:AA80"/>
    <mergeCell ref="Z81:AA81"/>
    <mergeCell ref="Z82:AA82"/>
    <mergeCell ref="Z88:AA89"/>
    <mergeCell ref="Z83:AA83"/>
    <mergeCell ref="Z84:AA84"/>
    <mergeCell ref="Z91:AA91"/>
    <mergeCell ref="Z90:AA90"/>
    <mergeCell ref="Z2:AA2"/>
    <mergeCell ref="F135:G135"/>
    <mergeCell ref="I135:J135"/>
    <mergeCell ref="R100:R101"/>
    <mergeCell ref="Q112:Q113"/>
    <mergeCell ref="P100:P101"/>
    <mergeCell ref="L100:M100"/>
    <mergeCell ref="H100:I100"/>
    <mergeCell ref="L124:M124"/>
    <mergeCell ref="L112:M112"/>
    <mergeCell ref="N100:N101"/>
    <mergeCell ref="N124:N125"/>
    <mergeCell ref="N112:N113"/>
    <mergeCell ref="H112:I112"/>
    <mergeCell ref="J112:K112"/>
    <mergeCell ref="H124:I124"/>
    <mergeCell ref="I123:J123"/>
    <mergeCell ref="J100:K100"/>
    <mergeCell ref="Z31:AA31"/>
    <mergeCell ref="Z24:AA24"/>
    <mergeCell ref="Z30:AA30"/>
    <mergeCell ref="Z19:AA19"/>
    <mergeCell ref="Z132:AA132"/>
    <mergeCell ref="O100:O101"/>
    <mergeCell ref="T100:T101"/>
    <mergeCell ref="Q100:Q101"/>
    <mergeCell ref="R124:R125"/>
    <mergeCell ref="U112:Y112"/>
    <mergeCell ref="U124:Y124"/>
    <mergeCell ref="Z124:AA125"/>
    <mergeCell ref="Z106:AA106"/>
    <mergeCell ref="Z117:AA117"/>
    <mergeCell ref="Z120:AA120"/>
    <mergeCell ref="Z114:AA114"/>
    <mergeCell ref="Z108:AA108"/>
    <mergeCell ref="R112:R113"/>
  </mergeCells>
  <phoneticPr fontId="34" type="noConversion"/>
  <conditionalFormatting sqref="A7 A19 A31 A43 A55 A67 A79 A91 A103 A115 A127 A139 A151">
    <cfRule type="expression" dxfId="347" priority="9608" stopIfTrue="1">
      <formula>COUNTIF(tab_vacances,F3+1)&gt;=1</formula>
    </cfRule>
  </conditionalFormatting>
  <conditionalFormatting sqref="A6 A18 A30 A42 A54 A78 A90 A102 A114 A126 A138 A150">
    <cfRule type="expression" dxfId="346" priority="9609" stopIfTrue="1">
      <formula>COUNTIF(tab_vacances,F3)&gt;=1</formula>
    </cfRule>
  </conditionalFormatting>
  <conditionalFormatting sqref="A8 A20 A32 A44 A56 A68 A80 A92 A104 A116 A128 A140 A152">
    <cfRule type="expression" dxfId="345" priority="9610" stopIfTrue="1">
      <formula>COUNTIF(tab_vacances,F3+2)&gt;=1</formula>
    </cfRule>
  </conditionalFormatting>
  <conditionalFormatting sqref="A9 A21 A33 A45 A57 A69 A81 A93 A105 A117 A129 A141 A153">
    <cfRule type="expression" dxfId="344" priority="9611" stopIfTrue="1">
      <formula>COUNTIF(tab_vacances,F3+3)&gt;=1</formula>
    </cfRule>
  </conditionalFormatting>
  <conditionalFormatting sqref="A10 A22 A34 A46 A58 A70 A82 A94 A106 A118 A130 A142 A154">
    <cfRule type="expression" dxfId="343" priority="9612" stopIfTrue="1">
      <formula>COUNTIF(tab_vacances,F3+4)&gt;=1</formula>
    </cfRule>
  </conditionalFormatting>
  <conditionalFormatting sqref="U192:Y193 X157:X158 U25:Y25 U37:Y37 U49:Y49 U61:Y61 U73:Y73 U85:Y85 U97:Y98 U109:Y109 U133:Y133 U145:Y145 U13:Y13 U121:Y121 U157:W159 Y157:Y159">
    <cfRule type="expression" dxfId="342" priority="9603" stopIfTrue="1">
      <formula>NOT(ISERROR(SEARCH("PB",U13)))</formula>
    </cfRule>
  </conditionalFormatting>
  <conditionalFormatting sqref="O62:O63 O98 O158">
    <cfRule type="cellIs" dxfId="341" priority="9596" operator="greaterThan">
      <formula>48/24</formula>
    </cfRule>
  </conditionalFormatting>
  <conditionalFormatting sqref="AA14:AA15 AA26:AA27 AA38:AA39 AA50:AA51 AA62:AA63 AA74:AA75 AA86:AA87 AA3 AA98 AA110:AA111 AA122:AA123 AA134:AA135 AA146:AA147 AA158">
    <cfRule type="cellIs" dxfId="340" priority="9511" operator="greaterThan">
      <formula>44/24</formula>
    </cfRule>
  </conditionalFormatting>
  <conditionalFormatting sqref="Z6:AA156">
    <cfRule type="expression" dxfId="339" priority="2616" stopIfTrue="1">
      <formula>OR(C6="aa",C6="m",C6="css")</formula>
    </cfRule>
  </conditionalFormatting>
  <conditionalFormatting sqref="B6:B151">
    <cfRule type="expression" dxfId="338" priority="1427" stopIfTrue="1">
      <formula>OR(B6="cp",B6="jc",B6="css")</formula>
    </cfRule>
  </conditionalFormatting>
  <conditionalFormatting sqref="O13">
    <cfRule type="cellIs" dxfId="337" priority="1169" stopIfTrue="1" operator="greaterThan">
      <formula>48/24</formula>
    </cfRule>
  </conditionalFormatting>
  <conditionalFormatting sqref="O25">
    <cfRule type="cellIs" dxfId="336" priority="1165" stopIfTrue="1" operator="greaterThan">
      <formula>48/24</formula>
    </cfRule>
  </conditionalFormatting>
  <conditionalFormatting sqref="O37">
    <cfRule type="cellIs" dxfId="335" priority="1161" stopIfTrue="1" operator="greaterThan">
      <formula>48/24</formula>
    </cfRule>
  </conditionalFormatting>
  <conditionalFormatting sqref="O49">
    <cfRule type="cellIs" dxfId="334" priority="1157" stopIfTrue="1" operator="greaterThan">
      <formula>48/24</formula>
    </cfRule>
  </conditionalFormatting>
  <conditionalFormatting sqref="O61">
    <cfRule type="cellIs" dxfId="333" priority="1153" stopIfTrue="1" operator="greaterThan">
      <formula>48/24</formula>
    </cfRule>
  </conditionalFormatting>
  <conditionalFormatting sqref="O73">
    <cfRule type="cellIs" dxfId="332" priority="1149" stopIfTrue="1" operator="greaterThan">
      <formula>48/24</formula>
    </cfRule>
  </conditionalFormatting>
  <conditionalFormatting sqref="O85">
    <cfRule type="cellIs" dxfId="331" priority="1145" stopIfTrue="1" operator="greaterThan">
      <formula>48/24</formula>
    </cfRule>
  </conditionalFormatting>
  <conditionalFormatting sqref="O97">
    <cfRule type="cellIs" dxfId="330" priority="1141" stopIfTrue="1" operator="greaterThan">
      <formula>48/24</formula>
    </cfRule>
  </conditionalFormatting>
  <conditionalFormatting sqref="O109">
    <cfRule type="cellIs" dxfId="329" priority="1137" stopIfTrue="1" operator="greaterThan">
      <formula>48/24</formula>
    </cfRule>
  </conditionalFormatting>
  <conditionalFormatting sqref="O121">
    <cfRule type="cellIs" dxfId="328" priority="1133" stopIfTrue="1" operator="greaterThan">
      <formula>48/24</formula>
    </cfRule>
  </conditionalFormatting>
  <conditionalFormatting sqref="O133">
    <cfRule type="cellIs" dxfId="327" priority="1129" stopIfTrue="1" operator="greaterThan">
      <formula>48/24</formula>
    </cfRule>
  </conditionalFormatting>
  <conditionalFormatting sqref="O145">
    <cfRule type="cellIs" dxfId="326" priority="1125" stopIfTrue="1" operator="greaterThan">
      <formula>48/24</formula>
    </cfRule>
  </conditionalFormatting>
  <conditionalFormatting sqref="O157">
    <cfRule type="cellIs" dxfId="325" priority="1121" stopIfTrue="1" operator="greaterThan">
      <formula>48/24</formula>
    </cfRule>
  </conditionalFormatting>
  <conditionalFormatting sqref="N25">
    <cfRule type="cellIs" dxfId="324" priority="1113" stopIfTrue="1" operator="greaterThan">
      <formula>48/24</formula>
    </cfRule>
  </conditionalFormatting>
  <conditionalFormatting sqref="N13">
    <cfRule type="cellIs" dxfId="323" priority="1109" stopIfTrue="1" operator="greaterThan">
      <formula>48/24</formula>
    </cfRule>
  </conditionalFormatting>
  <conditionalFormatting sqref="N37">
    <cfRule type="cellIs" dxfId="322" priority="1105" stopIfTrue="1" operator="greaterThan">
      <formula>48/24</formula>
    </cfRule>
  </conditionalFormatting>
  <conditionalFormatting sqref="N49">
    <cfRule type="cellIs" dxfId="321" priority="1101" stopIfTrue="1" operator="greaterThan">
      <formula>48/24</formula>
    </cfRule>
  </conditionalFormatting>
  <conditionalFormatting sqref="N61">
    <cfRule type="cellIs" dxfId="320" priority="1097" stopIfTrue="1" operator="greaterThan">
      <formula>48/24</formula>
    </cfRule>
  </conditionalFormatting>
  <conditionalFormatting sqref="N73">
    <cfRule type="cellIs" dxfId="319" priority="1093" stopIfTrue="1" operator="greaterThan">
      <formula>48/24</formula>
    </cfRule>
  </conditionalFormatting>
  <conditionalFormatting sqref="N85">
    <cfRule type="cellIs" dxfId="318" priority="1089" stopIfTrue="1" operator="greaterThan">
      <formula>48/24</formula>
    </cfRule>
  </conditionalFormatting>
  <conditionalFormatting sqref="N97">
    <cfRule type="cellIs" dxfId="317" priority="1085" stopIfTrue="1" operator="greaterThan">
      <formula>48/24</formula>
    </cfRule>
  </conditionalFormatting>
  <conditionalFormatting sqref="N109">
    <cfRule type="cellIs" dxfId="316" priority="1081" stopIfTrue="1" operator="greaterThan">
      <formula>48/24</formula>
    </cfRule>
  </conditionalFormatting>
  <conditionalFormatting sqref="N121">
    <cfRule type="cellIs" dxfId="315" priority="1077" stopIfTrue="1" operator="greaterThan">
      <formula>48/24</formula>
    </cfRule>
  </conditionalFormatting>
  <conditionalFormatting sqref="N133">
    <cfRule type="cellIs" dxfId="314" priority="1073" stopIfTrue="1" operator="greaterThan">
      <formula>48/24</formula>
    </cfRule>
  </conditionalFormatting>
  <conditionalFormatting sqref="N145">
    <cfRule type="cellIs" dxfId="313" priority="1069" stopIfTrue="1" operator="greaterThan">
      <formula>48/24</formula>
    </cfRule>
  </conditionalFormatting>
  <conditionalFormatting sqref="N157">
    <cfRule type="cellIs" dxfId="312" priority="1065" stopIfTrue="1" operator="greaterThan">
      <formula>48/24</formula>
    </cfRule>
  </conditionalFormatting>
  <conditionalFormatting sqref="A66">
    <cfRule type="expression" dxfId="311" priority="1061" stopIfTrue="1">
      <formula>COUNTIF(tab_vacances,F63)&gt;=1</formula>
    </cfRule>
  </conditionalFormatting>
  <conditionalFormatting sqref="B19:M19 B31:M31 B43:M43 B55:M55 B67:M67 B79:M79 B91:M91 B103:M103 B115:M115 B127:M127 B139:M139 B151 B7:M7">
    <cfRule type="expression" dxfId="310" priority="1017" stopIfTrue="1">
      <formula>COUNTIF(tab_ferie,$F3+1)&gt;=1</formula>
    </cfRule>
  </conditionalFormatting>
  <conditionalFormatting sqref="B20:M20 B32:M32 B44:M44 B56:M56 B68:M68 B80:M80 B92:M92 B104:M104 B116:M116 B128:M128 B140:M140 B8:M8">
    <cfRule type="expression" dxfId="309" priority="1018" stopIfTrue="1">
      <formula>COUNTIF(tab_ferie,$F3+2)&gt;=1</formula>
    </cfRule>
  </conditionalFormatting>
  <conditionalFormatting sqref="B21:M21 B33:M33 B45:M45 B57:M57 B69:M69 B81:M81 B93:M93 B105:M105 B117:M117 B129:M129 B141:M141 B9:M9">
    <cfRule type="expression" dxfId="308" priority="1019" stopIfTrue="1">
      <formula>COUNTIF(tab_ferie,$F3+3)&gt;=1</formula>
    </cfRule>
  </conditionalFormatting>
  <conditionalFormatting sqref="B22:M22 B34:M34 B46:M46 B58:M58 B70:M70 B82:M82 B94:M94 B106:M106 B118:M118 B130:M130 B142:M142 B10:M10">
    <cfRule type="expression" dxfId="307" priority="1020" stopIfTrue="1">
      <formula>COUNTIF(tab_ferie,$F3+4)&gt;=1</formula>
    </cfRule>
  </conditionalFormatting>
  <conditionalFormatting sqref="B23:M23 B35:M35 B47:M47 B59:M59 B71:M71 B83:M83 B95:M95 B107:M107 B119:M119 B131:M131 B143:M143 B11:M11">
    <cfRule type="expression" dxfId="306" priority="1021" stopIfTrue="1">
      <formula>COUNTIF(tab_ferie,$F3+5)&gt;=1</formula>
    </cfRule>
  </conditionalFormatting>
  <conditionalFormatting sqref="B24:M24 B36:M36 B48:M48 B59:M60 B72:M72 B84:M84 B96:M96 B108:M108 B120:M120 B132:M132 B144:M144 B12:M12">
    <cfRule type="expression" dxfId="305" priority="1022" stopIfTrue="1">
      <formula>COUNTIF(tab_ferie,$F3+6)&gt;=1</formula>
    </cfRule>
  </conditionalFormatting>
  <conditionalFormatting sqref="B18:M18 B30:M30 B42:M42 B54:M54 B66:M66 B78:M78 B90:M90 B102:M102 B114:M114 B126:M126 B138:M138 B150:M150 B6:M6">
    <cfRule type="expression" dxfId="304" priority="3" stopIfTrue="1">
      <formula>COUNTIF(tab_ferie,$F3)&gt;=1</formula>
    </cfRule>
  </conditionalFormatting>
  <conditionalFormatting sqref="R9 R12">
    <cfRule type="cellIs" dxfId="303" priority="483" operator="greaterThan">
      <formula>12/24</formula>
    </cfRule>
  </conditionalFormatting>
  <conditionalFormatting sqref="O11:O12">
    <cfRule type="cellIs" dxfId="302" priority="484" operator="greaterThan">
      <formula>10/24</formula>
    </cfRule>
  </conditionalFormatting>
  <conditionalFormatting sqref="S9 S11:S12">
    <cfRule type="cellIs" dxfId="301" priority="482" stopIfTrue="1" operator="equal">
      <formula>"n"</formula>
    </cfRule>
  </conditionalFormatting>
  <conditionalFormatting sqref="U9 W9 W11:W12 U11:U12">
    <cfRule type="containsText" dxfId="300" priority="481" operator="containsText" text="PB">
      <formula>NOT(ISERROR(SEARCH("PB",U9)))</formula>
    </cfRule>
  </conditionalFormatting>
  <conditionalFormatting sqref="V9 V11:V12">
    <cfRule type="containsText" dxfId="299" priority="480" operator="containsText" text="PB">
      <formula>NOT(ISERROR(SEARCH("PB",V9)))</formula>
    </cfRule>
  </conditionalFormatting>
  <conditionalFormatting sqref="N9">
    <cfRule type="cellIs" dxfId="298" priority="475" stopIfTrue="1" operator="greaterThan">
      <formula>10/24</formula>
    </cfRule>
  </conditionalFormatting>
  <conditionalFormatting sqref="N11">
    <cfRule type="cellIs" dxfId="297" priority="474" stopIfTrue="1" operator="greaterThan">
      <formula>10/24</formula>
    </cfRule>
  </conditionalFormatting>
  <conditionalFormatting sqref="N12">
    <cfRule type="cellIs" dxfId="296" priority="473" operator="greaterThan">
      <formula>10/24</formula>
    </cfRule>
  </conditionalFormatting>
  <conditionalFormatting sqref="O9">
    <cfRule type="cellIs" dxfId="295" priority="472" operator="greaterThan">
      <formula>10/24</formula>
    </cfRule>
  </conditionalFormatting>
  <conditionalFormatting sqref="R6:R8">
    <cfRule type="cellIs" dxfId="294" priority="471" operator="greaterThan">
      <formula>12/24</formula>
    </cfRule>
  </conditionalFormatting>
  <conditionalFormatting sqref="S6:S8">
    <cfRule type="cellIs" dxfId="293" priority="470" stopIfTrue="1" operator="equal">
      <formula>"n"</formula>
    </cfRule>
  </conditionalFormatting>
  <conditionalFormatting sqref="U6:U8 W6:W8">
    <cfRule type="containsText" dxfId="292" priority="469" operator="containsText" text="PB">
      <formula>NOT(ISERROR(SEARCH("PB",U6)))</formula>
    </cfRule>
  </conditionalFormatting>
  <conditionalFormatting sqref="V6:V8">
    <cfRule type="containsText" dxfId="291" priority="468" operator="containsText" text="PB">
      <formula>NOT(ISERROR(SEARCH("PB",V6)))</formula>
    </cfRule>
  </conditionalFormatting>
  <conditionalFormatting sqref="N6:N8">
    <cfRule type="cellIs" dxfId="290" priority="463" stopIfTrue="1" operator="greaterThan">
      <formula>10/24</formula>
    </cfRule>
  </conditionalFormatting>
  <conditionalFormatting sqref="O6:O8">
    <cfRule type="cellIs" dxfId="289" priority="462" operator="greaterThan">
      <formula>10/24</formula>
    </cfRule>
  </conditionalFormatting>
  <conditionalFormatting sqref="R10">
    <cfRule type="cellIs" dxfId="288" priority="461" operator="greaterThan">
      <formula>12/24</formula>
    </cfRule>
  </conditionalFormatting>
  <conditionalFormatting sqref="S10">
    <cfRule type="cellIs" dxfId="287" priority="460" stopIfTrue="1" operator="equal">
      <formula>"n"</formula>
    </cfRule>
  </conditionalFormatting>
  <conditionalFormatting sqref="U10 W10">
    <cfRule type="containsText" dxfId="286" priority="459" operator="containsText" text="PB">
      <formula>NOT(ISERROR(SEARCH("PB",U10)))</formula>
    </cfRule>
  </conditionalFormatting>
  <conditionalFormatting sqref="V10">
    <cfRule type="containsText" dxfId="285" priority="458" operator="containsText" text="PB">
      <formula>NOT(ISERROR(SEARCH("PB",V10)))</formula>
    </cfRule>
  </conditionalFormatting>
  <conditionalFormatting sqref="N10">
    <cfRule type="cellIs" dxfId="284" priority="453" stopIfTrue="1" operator="greaterThan">
      <formula>10/24</formula>
    </cfRule>
  </conditionalFormatting>
  <conditionalFormatting sqref="O10">
    <cfRule type="cellIs" dxfId="283" priority="452" operator="greaterThan">
      <formula>10/24</formula>
    </cfRule>
  </conditionalFormatting>
  <conditionalFormatting sqref="R11">
    <cfRule type="cellIs" dxfId="282" priority="451" operator="greaterThan">
      <formula>12/24</formula>
    </cfRule>
  </conditionalFormatting>
  <conditionalFormatting sqref="R21 R24">
    <cfRule type="cellIs" dxfId="281" priority="446" operator="greaterThan">
      <formula>12/24</formula>
    </cfRule>
  </conditionalFormatting>
  <conditionalFormatting sqref="O23:O24">
    <cfRule type="cellIs" dxfId="280" priority="447" operator="greaterThan">
      <formula>10/24</formula>
    </cfRule>
  </conditionalFormatting>
  <conditionalFormatting sqref="S21 S23:S24">
    <cfRule type="cellIs" dxfId="279" priority="445" stopIfTrue="1" operator="equal">
      <formula>"n"</formula>
    </cfRule>
  </conditionalFormatting>
  <conditionalFormatting sqref="U21 W21 W23:W24 U23:U24">
    <cfRule type="containsText" dxfId="278" priority="444" operator="containsText" text="PB">
      <formula>NOT(ISERROR(SEARCH("PB",U21)))</formula>
    </cfRule>
  </conditionalFormatting>
  <conditionalFormatting sqref="V21 V23:V24">
    <cfRule type="containsText" dxfId="277" priority="443" operator="containsText" text="PB">
      <formula>NOT(ISERROR(SEARCH("PB",V21)))</formula>
    </cfRule>
  </conditionalFormatting>
  <conditionalFormatting sqref="N21">
    <cfRule type="cellIs" dxfId="276" priority="438" stopIfTrue="1" operator="greaterThan">
      <formula>10/24</formula>
    </cfRule>
  </conditionalFormatting>
  <conditionalFormatting sqref="N23">
    <cfRule type="cellIs" dxfId="275" priority="437" stopIfTrue="1" operator="greaterThan">
      <formula>10/24</formula>
    </cfRule>
  </conditionalFormatting>
  <conditionalFormatting sqref="N24">
    <cfRule type="cellIs" dxfId="274" priority="436" operator="greaterThan">
      <formula>10/24</formula>
    </cfRule>
  </conditionalFormatting>
  <conditionalFormatting sqref="O21">
    <cfRule type="cellIs" dxfId="273" priority="435" operator="greaterThan">
      <formula>10/24</formula>
    </cfRule>
  </conditionalFormatting>
  <conditionalFormatting sqref="R18:R20">
    <cfRule type="cellIs" dxfId="272" priority="434" operator="greaterThan">
      <formula>12/24</formula>
    </cfRule>
  </conditionalFormatting>
  <conditionalFormatting sqref="S18:S20">
    <cfRule type="cellIs" dxfId="271" priority="433" stopIfTrue="1" operator="equal">
      <formula>"n"</formula>
    </cfRule>
  </conditionalFormatting>
  <conditionalFormatting sqref="U18:U20 W18:W20">
    <cfRule type="containsText" dxfId="270" priority="432" operator="containsText" text="PB">
      <formula>NOT(ISERROR(SEARCH("PB",U18)))</formula>
    </cfRule>
  </conditionalFormatting>
  <conditionalFormatting sqref="V18:V20">
    <cfRule type="containsText" dxfId="269" priority="431" operator="containsText" text="PB">
      <formula>NOT(ISERROR(SEARCH("PB",V18)))</formula>
    </cfRule>
  </conditionalFormatting>
  <conditionalFormatting sqref="N18:N20">
    <cfRule type="cellIs" dxfId="268" priority="426" stopIfTrue="1" operator="greaterThan">
      <formula>10/24</formula>
    </cfRule>
  </conditionalFormatting>
  <conditionalFormatting sqref="O18:O20">
    <cfRule type="cellIs" dxfId="267" priority="425" operator="greaterThan">
      <formula>10/24</formula>
    </cfRule>
  </conditionalFormatting>
  <conditionalFormatting sqref="R22">
    <cfRule type="cellIs" dxfId="266" priority="424" operator="greaterThan">
      <formula>12/24</formula>
    </cfRule>
  </conditionalFormatting>
  <conditionalFormatting sqref="S22">
    <cfRule type="cellIs" dxfId="265" priority="423" stopIfTrue="1" operator="equal">
      <formula>"n"</formula>
    </cfRule>
  </conditionalFormatting>
  <conditionalFormatting sqref="U22 W22">
    <cfRule type="containsText" dxfId="264" priority="422" operator="containsText" text="PB">
      <formula>NOT(ISERROR(SEARCH("PB",U22)))</formula>
    </cfRule>
  </conditionalFormatting>
  <conditionalFormatting sqref="V22">
    <cfRule type="containsText" dxfId="263" priority="421" operator="containsText" text="PB">
      <formula>NOT(ISERROR(SEARCH("PB",V22)))</formula>
    </cfRule>
  </conditionalFormatting>
  <conditionalFormatting sqref="N22">
    <cfRule type="cellIs" dxfId="262" priority="416" stopIfTrue="1" operator="greaterThan">
      <formula>10/24</formula>
    </cfRule>
  </conditionalFormatting>
  <conditionalFormatting sqref="O22">
    <cfRule type="cellIs" dxfId="261" priority="415" operator="greaterThan">
      <formula>10/24</formula>
    </cfRule>
  </conditionalFormatting>
  <conditionalFormatting sqref="R23">
    <cfRule type="cellIs" dxfId="260" priority="414" operator="greaterThan">
      <formula>12/24</formula>
    </cfRule>
  </conditionalFormatting>
  <conditionalFormatting sqref="R33 R36">
    <cfRule type="cellIs" dxfId="259" priority="409" operator="greaterThan">
      <formula>12/24</formula>
    </cfRule>
  </conditionalFormatting>
  <conditionalFormatting sqref="O35:O36">
    <cfRule type="cellIs" dxfId="258" priority="410" operator="greaterThan">
      <formula>10/24</formula>
    </cfRule>
  </conditionalFormatting>
  <conditionalFormatting sqref="S33 S35:S36">
    <cfRule type="cellIs" dxfId="257" priority="408" stopIfTrue="1" operator="equal">
      <formula>"n"</formula>
    </cfRule>
  </conditionalFormatting>
  <conditionalFormatting sqref="U33 W33 W35:W36 U35:U36">
    <cfRule type="containsText" dxfId="256" priority="407" operator="containsText" text="PB">
      <formula>NOT(ISERROR(SEARCH("PB",U33)))</formula>
    </cfRule>
  </conditionalFormatting>
  <conditionalFormatting sqref="V33 V35:V36">
    <cfRule type="containsText" dxfId="255" priority="406" operator="containsText" text="PB">
      <formula>NOT(ISERROR(SEARCH("PB",V33)))</formula>
    </cfRule>
  </conditionalFormatting>
  <conditionalFormatting sqref="N33">
    <cfRule type="cellIs" dxfId="254" priority="401" stopIfTrue="1" operator="greaterThan">
      <formula>10/24</formula>
    </cfRule>
  </conditionalFormatting>
  <conditionalFormatting sqref="N35">
    <cfRule type="cellIs" dxfId="253" priority="400" stopIfTrue="1" operator="greaterThan">
      <formula>10/24</formula>
    </cfRule>
  </conditionalFormatting>
  <conditionalFormatting sqref="N36">
    <cfRule type="cellIs" dxfId="252" priority="399" operator="greaterThan">
      <formula>10/24</formula>
    </cfRule>
  </conditionalFormatting>
  <conditionalFormatting sqref="O33">
    <cfRule type="cellIs" dxfId="251" priority="398" operator="greaterThan">
      <formula>10/24</formula>
    </cfRule>
  </conditionalFormatting>
  <conditionalFormatting sqref="R30:R32">
    <cfRule type="cellIs" dxfId="250" priority="397" operator="greaterThan">
      <formula>12/24</formula>
    </cfRule>
  </conditionalFormatting>
  <conditionalFormatting sqref="S30:S32">
    <cfRule type="cellIs" dxfId="249" priority="396" stopIfTrue="1" operator="equal">
      <formula>"n"</formula>
    </cfRule>
  </conditionalFormatting>
  <conditionalFormatting sqref="U30:U32 W30:W32">
    <cfRule type="containsText" dxfId="248" priority="395" operator="containsText" text="PB">
      <formula>NOT(ISERROR(SEARCH("PB",U30)))</formula>
    </cfRule>
  </conditionalFormatting>
  <conditionalFormatting sqref="V30:V32">
    <cfRule type="containsText" dxfId="247" priority="394" operator="containsText" text="PB">
      <formula>NOT(ISERROR(SEARCH("PB",V30)))</formula>
    </cfRule>
  </conditionalFormatting>
  <conditionalFormatting sqref="N30:N32">
    <cfRule type="cellIs" dxfId="246" priority="389" stopIfTrue="1" operator="greaterThan">
      <formula>10/24</formula>
    </cfRule>
  </conditionalFormatting>
  <conditionalFormatting sqref="O30:O32">
    <cfRule type="cellIs" dxfId="245" priority="388" operator="greaterThan">
      <formula>10/24</formula>
    </cfRule>
  </conditionalFormatting>
  <conditionalFormatting sqref="R34">
    <cfRule type="cellIs" dxfId="244" priority="387" operator="greaterThan">
      <formula>12/24</formula>
    </cfRule>
  </conditionalFormatting>
  <conditionalFormatting sqref="S34">
    <cfRule type="cellIs" dxfId="243" priority="386" stopIfTrue="1" operator="equal">
      <formula>"n"</formula>
    </cfRule>
  </conditionalFormatting>
  <conditionalFormatting sqref="U34 W34">
    <cfRule type="containsText" dxfId="242" priority="385" operator="containsText" text="PB">
      <formula>NOT(ISERROR(SEARCH("PB",U34)))</formula>
    </cfRule>
  </conditionalFormatting>
  <conditionalFormatting sqref="V34">
    <cfRule type="containsText" dxfId="241" priority="384" operator="containsText" text="PB">
      <formula>NOT(ISERROR(SEARCH("PB",V34)))</formula>
    </cfRule>
  </conditionalFormatting>
  <conditionalFormatting sqref="N34">
    <cfRule type="cellIs" dxfId="240" priority="379" stopIfTrue="1" operator="greaterThan">
      <formula>10/24</formula>
    </cfRule>
  </conditionalFormatting>
  <conditionalFormatting sqref="O34">
    <cfRule type="cellIs" dxfId="239" priority="378" operator="greaterThan">
      <formula>10/24</formula>
    </cfRule>
  </conditionalFormatting>
  <conditionalFormatting sqref="R35">
    <cfRule type="cellIs" dxfId="238" priority="377" operator="greaterThan">
      <formula>12/24</formula>
    </cfRule>
  </conditionalFormatting>
  <conditionalFormatting sqref="R45 R48">
    <cfRule type="cellIs" dxfId="237" priority="372" operator="greaterThan">
      <formula>12/24</formula>
    </cfRule>
  </conditionalFormatting>
  <conditionalFormatting sqref="O47:O48">
    <cfRule type="cellIs" dxfId="236" priority="373" operator="greaterThan">
      <formula>10/24</formula>
    </cfRule>
  </conditionalFormatting>
  <conditionalFormatting sqref="S45 S47:S48">
    <cfRule type="cellIs" dxfId="235" priority="371" stopIfTrue="1" operator="equal">
      <formula>"n"</formula>
    </cfRule>
  </conditionalFormatting>
  <conditionalFormatting sqref="U45 W45 W47:W48 U47:U48">
    <cfRule type="containsText" dxfId="234" priority="370" operator="containsText" text="PB">
      <formula>NOT(ISERROR(SEARCH("PB",U45)))</formula>
    </cfRule>
  </conditionalFormatting>
  <conditionalFormatting sqref="V45 V47:V48">
    <cfRule type="containsText" dxfId="233" priority="369" operator="containsText" text="PB">
      <formula>NOT(ISERROR(SEARCH("PB",V45)))</formula>
    </cfRule>
  </conditionalFormatting>
  <conditionalFormatting sqref="N45">
    <cfRule type="cellIs" dxfId="232" priority="364" stopIfTrue="1" operator="greaterThan">
      <formula>10/24</formula>
    </cfRule>
  </conditionalFormatting>
  <conditionalFormatting sqref="N47">
    <cfRule type="cellIs" dxfId="231" priority="363" stopIfTrue="1" operator="greaterThan">
      <formula>10/24</formula>
    </cfRule>
  </conditionalFormatting>
  <conditionalFormatting sqref="N48">
    <cfRule type="cellIs" dxfId="230" priority="362" operator="greaterThan">
      <formula>10/24</formula>
    </cfRule>
  </conditionalFormatting>
  <conditionalFormatting sqref="O45">
    <cfRule type="cellIs" dxfId="229" priority="361" operator="greaterThan">
      <formula>10/24</formula>
    </cfRule>
  </conditionalFormatting>
  <conditionalFormatting sqref="R42:R44">
    <cfRule type="cellIs" dxfId="228" priority="360" operator="greaterThan">
      <formula>12/24</formula>
    </cfRule>
  </conditionalFormatting>
  <conditionalFormatting sqref="S42:S44">
    <cfRule type="cellIs" dxfId="227" priority="359" stopIfTrue="1" operator="equal">
      <formula>"n"</formula>
    </cfRule>
  </conditionalFormatting>
  <conditionalFormatting sqref="U42:U44 W42:W44">
    <cfRule type="containsText" dxfId="226" priority="358" operator="containsText" text="PB">
      <formula>NOT(ISERROR(SEARCH("PB",U42)))</formula>
    </cfRule>
  </conditionalFormatting>
  <conditionalFormatting sqref="V42:V44">
    <cfRule type="containsText" dxfId="225" priority="357" operator="containsText" text="PB">
      <formula>NOT(ISERROR(SEARCH("PB",V42)))</formula>
    </cfRule>
  </conditionalFormatting>
  <conditionalFormatting sqref="N42:N44">
    <cfRule type="cellIs" dxfId="224" priority="352" stopIfTrue="1" operator="greaterThan">
      <formula>10/24</formula>
    </cfRule>
  </conditionalFormatting>
  <conditionalFormatting sqref="O42:O44">
    <cfRule type="cellIs" dxfId="223" priority="351" operator="greaterThan">
      <formula>10/24</formula>
    </cfRule>
  </conditionalFormatting>
  <conditionalFormatting sqref="R46">
    <cfRule type="cellIs" dxfId="222" priority="350" operator="greaterThan">
      <formula>12/24</formula>
    </cfRule>
  </conditionalFormatting>
  <conditionalFormatting sqref="S46">
    <cfRule type="cellIs" dxfId="221" priority="349" stopIfTrue="1" operator="equal">
      <formula>"n"</formula>
    </cfRule>
  </conditionalFormatting>
  <conditionalFormatting sqref="U46 W46">
    <cfRule type="containsText" dxfId="220" priority="348" operator="containsText" text="PB">
      <formula>NOT(ISERROR(SEARCH("PB",U46)))</formula>
    </cfRule>
  </conditionalFormatting>
  <conditionalFormatting sqref="V46">
    <cfRule type="containsText" dxfId="219" priority="347" operator="containsText" text="PB">
      <formula>NOT(ISERROR(SEARCH("PB",V46)))</formula>
    </cfRule>
  </conditionalFormatting>
  <conditionalFormatting sqref="N46">
    <cfRule type="cellIs" dxfId="218" priority="342" stopIfTrue="1" operator="greaterThan">
      <formula>10/24</formula>
    </cfRule>
  </conditionalFormatting>
  <conditionalFormatting sqref="O46">
    <cfRule type="cellIs" dxfId="217" priority="341" operator="greaterThan">
      <formula>10/24</formula>
    </cfRule>
  </conditionalFormatting>
  <conditionalFormatting sqref="R47">
    <cfRule type="cellIs" dxfId="216" priority="340" operator="greaterThan">
      <formula>12/24</formula>
    </cfRule>
  </conditionalFormatting>
  <conditionalFormatting sqref="R57 R60">
    <cfRule type="cellIs" dxfId="215" priority="335" operator="greaterThan">
      <formula>12/24</formula>
    </cfRule>
  </conditionalFormatting>
  <conditionalFormatting sqref="O59:O60">
    <cfRule type="cellIs" dxfId="214" priority="336" operator="greaterThan">
      <formula>10/24</formula>
    </cfRule>
  </conditionalFormatting>
  <conditionalFormatting sqref="S57 S59:S60">
    <cfRule type="cellIs" dxfId="213" priority="334" stopIfTrue="1" operator="equal">
      <formula>"n"</formula>
    </cfRule>
  </conditionalFormatting>
  <conditionalFormatting sqref="U57 W57 W59:W60 U59:U60">
    <cfRule type="containsText" dxfId="212" priority="333" operator="containsText" text="PB">
      <formula>NOT(ISERROR(SEARCH("PB",U57)))</formula>
    </cfRule>
  </conditionalFormatting>
  <conditionalFormatting sqref="V57 V59:V60">
    <cfRule type="containsText" dxfId="211" priority="332" operator="containsText" text="PB">
      <formula>NOT(ISERROR(SEARCH("PB",V57)))</formula>
    </cfRule>
  </conditionalFormatting>
  <conditionalFormatting sqref="N57">
    <cfRule type="cellIs" dxfId="210" priority="327" stopIfTrue="1" operator="greaterThan">
      <formula>10/24</formula>
    </cfRule>
  </conditionalFormatting>
  <conditionalFormatting sqref="N59">
    <cfRule type="cellIs" dxfId="209" priority="326" stopIfTrue="1" operator="greaterThan">
      <formula>10/24</formula>
    </cfRule>
  </conditionalFormatting>
  <conditionalFormatting sqref="N60">
    <cfRule type="cellIs" dxfId="208" priority="325" operator="greaterThan">
      <formula>10/24</formula>
    </cfRule>
  </conditionalFormatting>
  <conditionalFormatting sqref="O57">
    <cfRule type="cellIs" dxfId="207" priority="324" operator="greaterThan">
      <formula>10/24</formula>
    </cfRule>
  </conditionalFormatting>
  <conditionalFormatting sqref="R54:R56">
    <cfRule type="cellIs" dxfId="206" priority="323" operator="greaterThan">
      <formula>12/24</formula>
    </cfRule>
  </conditionalFormatting>
  <conditionalFormatting sqref="S54:S56">
    <cfRule type="cellIs" dxfId="205" priority="322" stopIfTrue="1" operator="equal">
      <formula>"n"</formula>
    </cfRule>
  </conditionalFormatting>
  <conditionalFormatting sqref="U54:U56 W54:W56">
    <cfRule type="containsText" dxfId="204" priority="321" operator="containsText" text="PB">
      <formula>NOT(ISERROR(SEARCH("PB",U54)))</formula>
    </cfRule>
  </conditionalFormatting>
  <conditionalFormatting sqref="V54:V56">
    <cfRule type="containsText" dxfId="203" priority="320" operator="containsText" text="PB">
      <formula>NOT(ISERROR(SEARCH("PB",V54)))</formula>
    </cfRule>
  </conditionalFormatting>
  <conditionalFormatting sqref="N54:N56">
    <cfRule type="cellIs" dxfId="202" priority="315" stopIfTrue="1" operator="greaterThan">
      <formula>10/24</formula>
    </cfRule>
  </conditionalFormatting>
  <conditionalFormatting sqref="O54:O56">
    <cfRule type="cellIs" dxfId="201" priority="314" operator="greaterThan">
      <formula>10/24</formula>
    </cfRule>
  </conditionalFormatting>
  <conditionalFormatting sqref="R58">
    <cfRule type="cellIs" dxfId="200" priority="313" operator="greaterThan">
      <formula>12/24</formula>
    </cfRule>
  </conditionalFormatting>
  <conditionalFormatting sqref="S58">
    <cfRule type="cellIs" dxfId="199" priority="312" stopIfTrue="1" operator="equal">
      <formula>"n"</formula>
    </cfRule>
  </conditionalFormatting>
  <conditionalFormatting sqref="U58 W58">
    <cfRule type="containsText" dxfId="198" priority="311" operator="containsText" text="PB">
      <formula>NOT(ISERROR(SEARCH("PB",U58)))</formula>
    </cfRule>
  </conditionalFormatting>
  <conditionalFormatting sqref="V58">
    <cfRule type="containsText" dxfId="197" priority="310" operator="containsText" text="PB">
      <formula>NOT(ISERROR(SEARCH("PB",V58)))</formula>
    </cfRule>
  </conditionalFormatting>
  <conditionalFormatting sqref="N58">
    <cfRule type="cellIs" dxfId="196" priority="305" stopIfTrue="1" operator="greaterThan">
      <formula>10/24</formula>
    </cfRule>
  </conditionalFormatting>
  <conditionalFormatting sqref="O58">
    <cfRule type="cellIs" dxfId="195" priority="304" operator="greaterThan">
      <formula>10/24</formula>
    </cfRule>
  </conditionalFormatting>
  <conditionalFormatting sqref="R59">
    <cfRule type="cellIs" dxfId="194" priority="303" operator="greaterThan">
      <formula>12/24</formula>
    </cfRule>
  </conditionalFormatting>
  <conditionalFormatting sqref="R69 R72">
    <cfRule type="cellIs" dxfId="193" priority="298" operator="greaterThan">
      <formula>12/24</formula>
    </cfRule>
  </conditionalFormatting>
  <conditionalFormatting sqref="O71:O72">
    <cfRule type="cellIs" dxfId="192" priority="299" operator="greaterThan">
      <formula>10/24</formula>
    </cfRule>
  </conditionalFormatting>
  <conditionalFormatting sqref="S69 S71:S72">
    <cfRule type="cellIs" dxfId="191" priority="297" stopIfTrue="1" operator="equal">
      <formula>"n"</formula>
    </cfRule>
  </conditionalFormatting>
  <conditionalFormatting sqref="U69 W69 W71:W72 U71:U72">
    <cfRule type="containsText" dxfId="190" priority="296" operator="containsText" text="PB">
      <formula>NOT(ISERROR(SEARCH("PB",U69)))</formula>
    </cfRule>
  </conditionalFormatting>
  <conditionalFormatting sqref="V69 V71:V72">
    <cfRule type="containsText" dxfId="189" priority="295" operator="containsText" text="PB">
      <formula>NOT(ISERROR(SEARCH("PB",V69)))</formula>
    </cfRule>
  </conditionalFormatting>
  <conditionalFormatting sqref="N69">
    <cfRule type="cellIs" dxfId="188" priority="290" stopIfTrue="1" operator="greaterThan">
      <formula>10/24</formula>
    </cfRule>
  </conditionalFormatting>
  <conditionalFormatting sqref="N71">
    <cfRule type="cellIs" dxfId="187" priority="289" stopIfTrue="1" operator="greaterThan">
      <formula>10/24</formula>
    </cfRule>
  </conditionalFormatting>
  <conditionalFormatting sqref="N72">
    <cfRule type="cellIs" dxfId="186" priority="288" operator="greaterThan">
      <formula>10/24</formula>
    </cfRule>
  </conditionalFormatting>
  <conditionalFormatting sqref="O69">
    <cfRule type="cellIs" dxfId="185" priority="287" operator="greaterThan">
      <formula>10/24</formula>
    </cfRule>
  </conditionalFormatting>
  <conditionalFormatting sqref="R66:R68">
    <cfRule type="cellIs" dxfId="184" priority="286" operator="greaterThan">
      <formula>12/24</formula>
    </cfRule>
  </conditionalFormatting>
  <conditionalFormatting sqref="S66:S68">
    <cfRule type="cellIs" dxfId="183" priority="285" stopIfTrue="1" operator="equal">
      <formula>"n"</formula>
    </cfRule>
  </conditionalFormatting>
  <conditionalFormatting sqref="U66:U68 W66:W68">
    <cfRule type="containsText" dxfId="182" priority="284" operator="containsText" text="PB">
      <formula>NOT(ISERROR(SEARCH("PB",U66)))</formula>
    </cfRule>
  </conditionalFormatting>
  <conditionalFormatting sqref="V66:V68">
    <cfRule type="containsText" dxfId="181" priority="283" operator="containsText" text="PB">
      <formula>NOT(ISERROR(SEARCH("PB",V66)))</formula>
    </cfRule>
  </conditionalFormatting>
  <conditionalFormatting sqref="N66:N68">
    <cfRule type="cellIs" dxfId="180" priority="278" stopIfTrue="1" operator="greaterThan">
      <formula>10/24</formula>
    </cfRule>
  </conditionalFormatting>
  <conditionalFormatting sqref="O66:O68">
    <cfRule type="cellIs" dxfId="179" priority="277" operator="greaterThan">
      <formula>10/24</formula>
    </cfRule>
  </conditionalFormatting>
  <conditionalFormatting sqref="R70">
    <cfRule type="cellIs" dxfId="178" priority="276" operator="greaterThan">
      <formula>12/24</formula>
    </cfRule>
  </conditionalFormatting>
  <conditionalFormatting sqref="S70">
    <cfRule type="cellIs" dxfId="177" priority="275" stopIfTrue="1" operator="equal">
      <formula>"n"</formula>
    </cfRule>
  </conditionalFormatting>
  <conditionalFormatting sqref="U70 W70">
    <cfRule type="containsText" dxfId="176" priority="274" operator="containsText" text="PB">
      <formula>NOT(ISERROR(SEARCH("PB",U70)))</formula>
    </cfRule>
  </conditionalFormatting>
  <conditionalFormatting sqref="V70">
    <cfRule type="containsText" dxfId="175" priority="273" operator="containsText" text="PB">
      <formula>NOT(ISERROR(SEARCH("PB",V70)))</formula>
    </cfRule>
  </conditionalFormatting>
  <conditionalFormatting sqref="N70">
    <cfRule type="cellIs" dxfId="174" priority="268" stopIfTrue="1" operator="greaterThan">
      <formula>10/24</formula>
    </cfRule>
  </conditionalFormatting>
  <conditionalFormatting sqref="O70">
    <cfRule type="cellIs" dxfId="173" priority="267" operator="greaterThan">
      <formula>10/24</formula>
    </cfRule>
  </conditionalFormatting>
  <conditionalFormatting sqref="R71">
    <cfRule type="cellIs" dxfId="172" priority="266" operator="greaterThan">
      <formula>12/24</formula>
    </cfRule>
  </conditionalFormatting>
  <conditionalFormatting sqref="R81 R84">
    <cfRule type="cellIs" dxfId="171" priority="261" operator="greaterThan">
      <formula>12/24</formula>
    </cfRule>
  </conditionalFormatting>
  <conditionalFormatting sqref="O83:O84">
    <cfRule type="cellIs" dxfId="170" priority="262" operator="greaterThan">
      <formula>10/24</formula>
    </cfRule>
  </conditionalFormatting>
  <conditionalFormatting sqref="S81 S83:S84">
    <cfRule type="cellIs" dxfId="169" priority="260" stopIfTrue="1" operator="equal">
      <formula>"n"</formula>
    </cfRule>
  </conditionalFormatting>
  <conditionalFormatting sqref="U81 W81 W83:W84 U83:U84">
    <cfRule type="containsText" dxfId="168" priority="259" operator="containsText" text="PB">
      <formula>NOT(ISERROR(SEARCH("PB",U81)))</formula>
    </cfRule>
  </conditionalFormatting>
  <conditionalFormatting sqref="V81 V83:V84">
    <cfRule type="containsText" dxfId="167" priority="258" operator="containsText" text="PB">
      <formula>NOT(ISERROR(SEARCH("PB",V81)))</formula>
    </cfRule>
  </conditionalFormatting>
  <conditionalFormatting sqref="N81">
    <cfRule type="cellIs" dxfId="166" priority="253" stopIfTrue="1" operator="greaterThan">
      <formula>10/24</formula>
    </cfRule>
  </conditionalFormatting>
  <conditionalFormatting sqref="N83">
    <cfRule type="cellIs" dxfId="165" priority="252" stopIfTrue="1" operator="greaterThan">
      <formula>10/24</formula>
    </cfRule>
  </conditionalFormatting>
  <conditionalFormatting sqref="N84">
    <cfRule type="cellIs" dxfId="164" priority="251" operator="greaterThan">
      <formula>10/24</formula>
    </cfRule>
  </conditionalFormatting>
  <conditionalFormatting sqref="O81">
    <cfRule type="cellIs" dxfId="163" priority="250" operator="greaterThan">
      <formula>10/24</formula>
    </cfRule>
  </conditionalFormatting>
  <conditionalFormatting sqref="R78:R80">
    <cfRule type="cellIs" dxfId="162" priority="249" operator="greaterThan">
      <formula>12/24</formula>
    </cfRule>
  </conditionalFormatting>
  <conditionalFormatting sqref="S78:S80">
    <cfRule type="cellIs" dxfId="161" priority="248" stopIfTrue="1" operator="equal">
      <formula>"n"</formula>
    </cfRule>
  </conditionalFormatting>
  <conditionalFormatting sqref="U78:U80 W78:W80">
    <cfRule type="containsText" dxfId="160" priority="247" operator="containsText" text="PB">
      <formula>NOT(ISERROR(SEARCH("PB",U78)))</formula>
    </cfRule>
  </conditionalFormatting>
  <conditionalFormatting sqref="V78:V80">
    <cfRule type="containsText" dxfId="159" priority="246" operator="containsText" text="PB">
      <formula>NOT(ISERROR(SEARCH("PB",V78)))</formula>
    </cfRule>
  </conditionalFormatting>
  <conditionalFormatting sqref="N78:N80">
    <cfRule type="cellIs" dxfId="158" priority="241" stopIfTrue="1" operator="greaterThan">
      <formula>10/24</formula>
    </cfRule>
  </conditionalFormatting>
  <conditionalFormatting sqref="O78:O80">
    <cfRule type="cellIs" dxfId="157" priority="240" operator="greaterThan">
      <formula>10/24</formula>
    </cfRule>
  </conditionalFormatting>
  <conditionalFormatting sqref="R82">
    <cfRule type="cellIs" dxfId="156" priority="239" operator="greaterThan">
      <formula>12/24</formula>
    </cfRule>
  </conditionalFormatting>
  <conditionalFormatting sqref="S82">
    <cfRule type="cellIs" dxfId="155" priority="238" stopIfTrue="1" operator="equal">
      <formula>"n"</formula>
    </cfRule>
  </conditionalFormatting>
  <conditionalFormatting sqref="U82 W82">
    <cfRule type="containsText" dxfId="154" priority="237" operator="containsText" text="PB">
      <formula>NOT(ISERROR(SEARCH("PB",U82)))</formula>
    </cfRule>
  </conditionalFormatting>
  <conditionalFormatting sqref="V82">
    <cfRule type="containsText" dxfId="153" priority="236" operator="containsText" text="PB">
      <formula>NOT(ISERROR(SEARCH("PB",V82)))</formula>
    </cfRule>
  </conditionalFormatting>
  <conditionalFormatting sqref="N82">
    <cfRule type="cellIs" dxfId="152" priority="231" stopIfTrue="1" operator="greaterThan">
      <formula>10/24</formula>
    </cfRule>
  </conditionalFormatting>
  <conditionalFormatting sqref="O82">
    <cfRule type="cellIs" dxfId="151" priority="230" operator="greaterThan">
      <formula>10/24</formula>
    </cfRule>
  </conditionalFormatting>
  <conditionalFormatting sqref="R83">
    <cfRule type="cellIs" dxfId="150" priority="229" operator="greaterThan">
      <formula>12/24</formula>
    </cfRule>
  </conditionalFormatting>
  <conditionalFormatting sqref="R93 R96">
    <cfRule type="cellIs" dxfId="149" priority="224" operator="greaterThan">
      <formula>12/24</formula>
    </cfRule>
  </conditionalFormatting>
  <conditionalFormatting sqref="O95:O96">
    <cfRule type="cellIs" dxfId="148" priority="225" operator="greaterThan">
      <formula>10/24</formula>
    </cfRule>
  </conditionalFormatting>
  <conditionalFormatting sqref="S93 S95:S96">
    <cfRule type="cellIs" dxfId="147" priority="223" stopIfTrue="1" operator="equal">
      <formula>"n"</formula>
    </cfRule>
  </conditionalFormatting>
  <conditionalFormatting sqref="U93 W93 W95:W96 U95:U96">
    <cfRule type="containsText" dxfId="146" priority="222" operator="containsText" text="PB">
      <formula>NOT(ISERROR(SEARCH("PB",U93)))</formula>
    </cfRule>
  </conditionalFormatting>
  <conditionalFormatting sqref="V93 V95:V96">
    <cfRule type="containsText" dxfId="145" priority="221" operator="containsText" text="PB">
      <formula>NOT(ISERROR(SEARCH("PB",V93)))</formula>
    </cfRule>
  </conditionalFormatting>
  <conditionalFormatting sqref="N93">
    <cfRule type="cellIs" dxfId="144" priority="216" stopIfTrue="1" operator="greaterThan">
      <formula>10/24</formula>
    </cfRule>
  </conditionalFormatting>
  <conditionalFormatting sqref="N95">
    <cfRule type="cellIs" dxfId="143" priority="215" stopIfTrue="1" operator="greaterThan">
      <formula>10/24</formula>
    </cfRule>
  </conditionalFormatting>
  <conditionalFormatting sqref="N96">
    <cfRule type="cellIs" dxfId="142" priority="214" operator="greaterThan">
      <formula>10/24</formula>
    </cfRule>
  </conditionalFormatting>
  <conditionalFormatting sqref="O93">
    <cfRule type="cellIs" dxfId="141" priority="213" operator="greaterThan">
      <formula>10/24</formula>
    </cfRule>
  </conditionalFormatting>
  <conditionalFormatting sqref="R90:R92">
    <cfRule type="cellIs" dxfId="140" priority="212" operator="greaterThan">
      <formula>12/24</formula>
    </cfRule>
  </conditionalFormatting>
  <conditionalFormatting sqref="S90:S92">
    <cfRule type="cellIs" dxfId="139" priority="211" stopIfTrue="1" operator="equal">
      <formula>"n"</formula>
    </cfRule>
  </conditionalFormatting>
  <conditionalFormatting sqref="U90:U92 W90:W92">
    <cfRule type="containsText" dxfId="138" priority="210" operator="containsText" text="PB">
      <formula>NOT(ISERROR(SEARCH("PB",U90)))</formula>
    </cfRule>
  </conditionalFormatting>
  <conditionalFormatting sqref="V90:V92">
    <cfRule type="containsText" dxfId="137" priority="209" operator="containsText" text="PB">
      <formula>NOT(ISERROR(SEARCH("PB",V90)))</formula>
    </cfRule>
  </conditionalFormatting>
  <conditionalFormatting sqref="N90:N92">
    <cfRule type="cellIs" dxfId="136" priority="204" stopIfTrue="1" operator="greaterThan">
      <formula>10/24</formula>
    </cfRule>
  </conditionalFormatting>
  <conditionalFormatting sqref="O90:O92">
    <cfRule type="cellIs" dxfId="135" priority="203" operator="greaterThan">
      <formula>10/24</formula>
    </cfRule>
  </conditionalFormatting>
  <conditionalFormatting sqref="R94">
    <cfRule type="cellIs" dxfId="134" priority="202" operator="greaterThan">
      <formula>12/24</formula>
    </cfRule>
  </conditionalFormatting>
  <conditionalFormatting sqref="S94">
    <cfRule type="cellIs" dxfId="133" priority="201" stopIfTrue="1" operator="equal">
      <formula>"n"</formula>
    </cfRule>
  </conditionalFormatting>
  <conditionalFormatting sqref="U94 W94">
    <cfRule type="containsText" dxfId="132" priority="200" operator="containsText" text="PB">
      <formula>NOT(ISERROR(SEARCH("PB",U94)))</formula>
    </cfRule>
  </conditionalFormatting>
  <conditionalFormatting sqref="V94">
    <cfRule type="containsText" dxfId="131" priority="199" operator="containsText" text="PB">
      <formula>NOT(ISERROR(SEARCH("PB",V94)))</formula>
    </cfRule>
  </conditionalFormatting>
  <conditionalFormatting sqref="N94">
    <cfRule type="cellIs" dxfId="130" priority="194" stopIfTrue="1" operator="greaterThan">
      <formula>10/24</formula>
    </cfRule>
  </conditionalFormatting>
  <conditionalFormatting sqref="O94">
    <cfRule type="cellIs" dxfId="129" priority="193" operator="greaterThan">
      <formula>10/24</formula>
    </cfRule>
  </conditionalFormatting>
  <conditionalFormatting sqref="R95">
    <cfRule type="cellIs" dxfId="128" priority="192" operator="greaterThan">
      <formula>12/24</formula>
    </cfRule>
  </conditionalFormatting>
  <conditionalFormatting sqref="R105 R108">
    <cfRule type="cellIs" dxfId="127" priority="187" operator="greaterThan">
      <formula>12/24</formula>
    </cfRule>
  </conditionalFormatting>
  <conditionalFormatting sqref="O107:O108">
    <cfRule type="cellIs" dxfId="126" priority="188" operator="greaterThan">
      <formula>10/24</formula>
    </cfRule>
  </conditionalFormatting>
  <conditionalFormatting sqref="S105 S107:S108">
    <cfRule type="cellIs" dxfId="125" priority="186" stopIfTrue="1" operator="equal">
      <formula>"n"</formula>
    </cfRule>
  </conditionalFormatting>
  <conditionalFormatting sqref="U105 W105 W107:W108 U107:U108">
    <cfRule type="containsText" dxfId="124" priority="185" operator="containsText" text="PB">
      <formula>NOT(ISERROR(SEARCH("PB",U105)))</formula>
    </cfRule>
  </conditionalFormatting>
  <conditionalFormatting sqref="V105 V107:V108">
    <cfRule type="containsText" dxfId="123" priority="184" operator="containsText" text="PB">
      <formula>NOT(ISERROR(SEARCH("PB",V105)))</formula>
    </cfRule>
  </conditionalFormatting>
  <conditionalFormatting sqref="N105">
    <cfRule type="cellIs" dxfId="122" priority="179" stopIfTrue="1" operator="greaterThan">
      <formula>10/24</formula>
    </cfRule>
  </conditionalFormatting>
  <conditionalFormatting sqref="N107">
    <cfRule type="cellIs" dxfId="121" priority="178" stopIfTrue="1" operator="greaterThan">
      <formula>10/24</formula>
    </cfRule>
  </conditionalFormatting>
  <conditionalFormatting sqref="N108">
    <cfRule type="cellIs" dxfId="120" priority="177" operator="greaterThan">
      <formula>10/24</formula>
    </cfRule>
  </conditionalFormatting>
  <conditionalFormatting sqref="O105">
    <cfRule type="cellIs" dxfId="119" priority="176" operator="greaterThan">
      <formula>10/24</formula>
    </cfRule>
  </conditionalFormatting>
  <conditionalFormatting sqref="R102:R104">
    <cfRule type="cellIs" dxfId="118" priority="175" operator="greaterThan">
      <formula>12/24</formula>
    </cfRule>
  </conditionalFormatting>
  <conditionalFormatting sqref="S102:S104">
    <cfRule type="cellIs" dxfId="117" priority="174" stopIfTrue="1" operator="equal">
      <formula>"n"</formula>
    </cfRule>
  </conditionalFormatting>
  <conditionalFormatting sqref="U102:U104 W102:W104">
    <cfRule type="containsText" dxfId="116" priority="173" operator="containsText" text="PB">
      <formula>NOT(ISERROR(SEARCH("PB",U102)))</formula>
    </cfRule>
  </conditionalFormatting>
  <conditionalFormatting sqref="V102:V104">
    <cfRule type="containsText" dxfId="115" priority="172" operator="containsText" text="PB">
      <formula>NOT(ISERROR(SEARCH("PB",V102)))</formula>
    </cfRule>
  </conditionalFormatting>
  <conditionalFormatting sqref="N102:N104">
    <cfRule type="cellIs" dxfId="114" priority="167" stopIfTrue="1" operator="greaterThan">
      <formula>10/24</formula>
    </cfRule>
  </conditionalFormatting>
  <conditionalFormatting sqref="O102:O104">
    <cfRule type="cellIs" dxfId="113" priority="166" operator="greaterThan">
      <formula>10/24</formula>
    </cfRule>
  </conditionalFormatting>
  <conditionalFormatting sqref="R106">
    <cfRule type="cellIs" dxfId="112" priority="165" operator="greaterThan">
      <formula>12/24</formula>
    </cfRule>
  </conditionalFormatting>
  <conditionalFormatting sqref="S106">
    <cfRule type="cellIs" dxfId="111" priority="164" stopIfTrue="1" operator="equal">
      <formula>"n"</formula>
    </cfRule>
  </conditionalFormatting>
  <conditionalFormatting sqref="U106 W106">
    <cfRule type="containsText" dxfId="110" priority="163" operator="containsText" text="PB">
      <formula>NOT(ISERROR(SEARCH("PB",U106)))</formula>
    </cfRule>
  </conditionalFormatting>
  <conditionalFormatting sqref="V106">
    <cfRule type="containsText" dxfId="109" priority="162" operator="containsText" text="PB">
      <formula>NOT(ISERROR(SEARCH("PB",V106)))</formula>
    </cfRule>
  </conditionalFormatting>
  <conditionalFormatting sqref="N106">
    <cfRule type="cellIs" dxfId="108" priority="157" stopIfTrue="1" operator="greaterThan">
      <formula>10/24</formula>
    </cfRule>
  </conditionalFormatting>
  <conditionalFormatting sqref="O106">
    <cfRule type="cellIs" dxfId="107" priority="156" operator="greaterThan">
      <formula>10/24</formula>
    </cfRule>
  </conditionalFormatting>
  <conditionalFormatting sqref="R107">
    <cfRule type="cellIs" dxfId="106" priority="155" operator="greaterThan">
      <formula>12/24</formula>
    </cfRule>
  </conditionalFormatting>
  <conditionalFormatting sqref="R117 R120">
    <cfRule type="cellIs" dxfId="105" priority="150" operator="greaterThan">
      <formula>12/24</formula>
    </cfRule>
  </conditionalFormatting>
  <conditionalFormatting sqref="O119:O120">
    <cfRule type="cellIs" dxfId="104" priority="151" operator="greaterThan">
      <formula>10/24</formula>
    </cfRule>
  </conditionalFormatting>
  <conditionalFormatting sqref="S117 S119:S120">
    <cfRule type="cellIs" dxfId="103" priority="149" stopIfTrue="1" operator="equal">
      <formula>"n"</formula>
    </cfRule>
  </conditionalFormatting>
  <conditionalFormatting sqref="U117 W117 W119:W120 U119:U120">
    <cfRule type="containsText" dxfId="102" priority="148" operator="containsText" text="PB">
      <formula>NOT(ISERROR(SEARCH("PB",U117)))</formula>
    </cfRule>
  </conditionalFormatting>
  <conditionalFormatting sqref="V117 V119:V120">
    <cfRule type="containsText" dxfId="101" priority="147" operator="containsText" text="PB">
      <formula>NOT(ISERROR(SEARCH("PB",V117)))</formula>
    </cfRule>
  </conditionalFormatting>
  <conditionalFormatting sqref="N117">
    <cfRule type="cellIs" dxfId="100" priority="142" stopIfTrue="1" operator="greaterThan">
      <formula>10/24</formula>
    </cfRule>
  </conditionalFormatting>
  <conditionalFormatting sqref="N119">
    <cfRule type="cellIs" dxfId="99" priority="141" stopIfTrue="1" operator="greaterThan">
      <formula>10/24</formula>
    </cfRule>
  </conditionalFormatting>
  <conditionalFormatting sqref="N120">
    <cfRule type="cellIs" dxfId="98" priority="140" operator="greaterThan">
      <formula>10/24</formula>
    </cfRule>
  </conditionalFormatting>
  <conditionalFormatting sqref="O117">
    <cfRule type="cellIs" dxfId="97" priority="139" operator="greaterThan">
      <formula>10/24</formula>
    </cfRule>
  </conditionalFormatting>
  <conditionalFormatting sqref="R114:R116">
    <cfRule type="cellIs" dxfId="96" priority="138" operator="greaterThan">
      <formula>12/24</formula>
    </cfRule>
  </conditionalFormatting>
  <conditionalFormatting sqref="S114:S116">
    <cfRule type="cellIs" dxfId="95" priority="137" stopIfTrue="1" operator="equal">
      <formula>"n"</formula>
    </cfRule>
  </conditionalFormatting>
  <conditionalFormatting sqref="U114:U116 W114:W116">
    <cfRule type="containsText" dxfId="94" priority="136" operator="containsText" text="PB">
      <formula>NOT(ISERROR(SEARCH("PB",U114)))</formula>
    </cfRule>
  </conditionalFormatting>
  <conditionalFormatting sqref="V114:V116">
    <cfRule type="containsText" dxfId="93" priority="135" operator="containsText" text="PB">
      <formula>NOT(ISERROR(SEARCH("PB",V114)))</formula>
    </cfRule>
  </conditionalFormatting>
  <conditionalFormatting sqref="N114:N116">
    <cfRule type="cellIs" dxfId="92" priority="130" stopIfTrue="1" operator="greaterThan">
      <formula>10/24</formula>
    </cfRule>
  </conditionalFormatting>
  <conditionalFormatting sqref="O114:O116">
    <cfRule type="cellIs" dxfId="91" priority="129" operator="greaterThan">
      <formula>10/24</formula>
    </cfRule>
  </conditionalFormatting>
  <conditionalFormatting sqref="R118">
    <cfRule type="cellIs" dxfId="90" priority="128" operator="greaterThan">
      <formula>12/24</formula>
    </cfRule>
  </conditionalFormatting>
  <conditionalFormatting sqref="S118">
    <cfRule type="cellIs" dxfId="89" priority="127" stopIfTrue="1" operator="equal">
      <formula>"n"</formula>
    </cfRule>
  </conditionalFormatting>
  <conditionalFormatting sqref="U118 W118">
    <cfRule type="containsText" dxfId="88" priority="126" operator="containsText" text="PB">
      <formula>NOT(ISERROR(SEARCH("PB",U118)))</formula>
    </cfRule>
  </conditionalFormatting>
  <conditionalFormatting sqref="V118">
    <cfRule type="containsText" dxfId="87" priority="125" operator="containsText" text="PB">
      <formula>NOT(ISERROR(SEARCH("PB",V118)))</formula>
    </cfRule>
  </conditionalFormatting>
  <conditionalFormatting sqref="N118">
    <cfRule type="cellIs" dxfId="86" priority="120" stopIfTrue="1" operator="greaterThan">
      <formula>10/24</formula>
    </cfRule>
  </conditionalFormatting>
  <conditionalFormatting sqref="O118">
    <cfRule type="cellIs" dxfId="85" priority="119" operator="greaterThan">
      <formula>10/24</formula>
    </cfRule>
  </conditionalFormatting>
  <conditionalFormatting sqref="R119">
    <cfRule type="cellIs" dxfId="84" priority="118" operator="greaterThan">
      <formula>12/24</formula>
    </cfRule>
  </conditionalFormatting>
  <conditionalFormatting sqref="R129 R132">
    <cfRule type="cellIs" dxfId="83" priority="113" operator="greaterThan">
      <formula>12/24</formula>
    </cfRule>
  </conditionalFormatting>
  <conditionalFormatting sqref="O131:O132">
    <cfRule type="cellIs" dxfId="82" priority="114" operator="greaterThan">
      <formula>10/24</formula>
    </cfRule>
  </conditionalFormatting>
  <conditionalFormatting sqref="S129 S131:S132">
    <cfRule type="cellIs" dxfId="81" priority="112" stopIfTrue="1" operator="equal">
      <formula>"n"</formula>
    </cfRule>
  </conditionalFormatting>
  <conditionalFormatting sqref="U129 W129 W131:W132 U131:U132">
    <cfRule type="containsText" dxfId="80" priority="111" operator="containsText" text="PB">
      <formula>NOT(ISERROR(SEARCH("PB",U129)))</formula>
    </cfRule>
  </conditionalFormatting>
  <conditionalFormatting sqref="V129 V131:V132">
    <cfRule type="containsText" dxfId="79" priority="110" operator="containsText" text="PB">
      <formula>NOT(ISERROR(SEARCH("PB",V129)))</formula>
    </cfRule>
  </conditionalFormatting>
  <conditionalFormatting sqref="N129">
    <cfRule type="cellIs" dxfId="78" priority="105" stopIfTrue="1" operator="greaterThan">
      <formula>10/24</formula>
    </cfRule>
  </conditionalFormatting>
  <conditionalFormatting sqref="N131">
    <cfRule type="cellIs" dxfId="77" priority="104" stopIfTrue="1" operator="greaterThan">
      <formula>10/24</formula>
    </cfRule>
  </conditionalFormatting>
  <conditionalFormatting sqref="N132">
    <cfRule type="cellIs" dxfId="76" priority="103" operator="greaterThan">
      <formula>10/24</formula>
    </cfRule>
  </conditionalFormatting>
  <conditionalFormatting sqref="O129">
    <cfRule type="cellIs" dxfId="75" priority="102" operator="greaterThan">
      <formula>10/24</formula>
    </cfRule>
  </conditionalFormatting>
  <conditionalFormatting sqref="R126:R128">
    <cfRule type="cellIs" dxfId="74" priority="101" operator="greaterThan">
      <formula>12/24</formula>
    </cfRule>
  </conditionalFormatting>
  <conditionalFormatting sqref="S126:S128">
    <cfRule type="cellIs" dxfId="73" priority="100" stopIfTrue="1" operator="equal">
      <formula>"n"</formula>
    </cfRule>
  </conditionalFormatting>
  <conditionalFormatting sqref="U126:U128 W126:W128">
    <cfRule type="containsText" dxfId="72" priority="99" operator="containsText" text="PB">
      <formula>NOT(ISERROR(SEARCH("PB",U126)))</formula>
    </cfRule>
  </conditionalFormatting>
  <conditionalFormatting sqref="V126:V128">
    <cfRule type="containsText" dxfId="71" priority="98" operator="containsText" text="PB">
      <formula>NOT(ISERROR(SEARCH("PB",V126)))</formula>
    </cfRule>
  </conditionalFormatting>
  <conditionalFormatting sqref="N126:N128">
    <cfRule type="cellIs" dxfId="70" priority="93" stopIfTrue="1" operator="greaterThan">
      <formula>10/24</formula>
    </cfRule>
  </conditionalFormatting>
  <conditionalFormatting sqref="O126:O128">
    <cfRule type="cellIs" dxfId="69" priority="92" operator="greaterThan">
      <formula>10/24</formula>
    </cfRule>
  </conditionalFormatting>
  <conditionalFormatting sqref="R130">
    <cfRule type="cellIs" dxfId="68" priority="91" operator="greaterThan">
      <formula>12/24</formula>
    </cfRule>
  </conditionalFormatting>
  <conditionalFormatting sqref="S130">
    <cfRule type="cellIs" dxfId="67" priority="90" stopIfTrue="1" operator="equal">
      <formula>"n"</formula>
    </cfRule>
  </conditionalFormatting>
  <conditionalFormatting sqref="U130 W130">
    <cfRule type="containsText" dxfId="66" priority="89" operator="containsText" text="PB">
      <formula>NOT(ISERROR(SEARCH("PB",U130)))</formula>
    </cfRule>
  </conditionalFormatting>
  <conditionalFormatting sqref="V130">
    <cfRule type="containsText" dxfId="65" priority="88" operator="containsText" text="PB">
      <formula>NOT(ISERROR(SEARCH("PB",V130)))</formula>
    </cfRule>
  </conditionalFormatting>
  <conditionalFormatting sqref="N130">
    <cfRule type="cellIs" dxfId="64" priority="83" stopIfTrue="1" operator="greaterThan">
      <formula>10/24</formula>
    </cfRule>
  </conditionalFormatting>
  <conditionalFormatting sqref="O130">
    <cfRule type="cellIs" dxfId="63" priority="82" operator="greaterThan">
      <formula>10/24</formula>
    </cfRule>
  </conditionalFormatting>
  <conditionalFormatting sqref="R131">
    <cfRule type="cellIs" dxfId="62" priority="81" operator="greaterThan">
      <formula>12/24</formula>
    </cfRule>
  </conditionalFormatting>
  <conditionalFormatting sqref="R141 R144">
    <cfRule type="cellIs" dxfId="61" priority="76" operator="greaterThan">
      <formula>12/24</formula>
    </cfRule>
  </conditionalFormatting>
  <conditionalFormatting sqref="O143:O144">
    <cfRule type="cellIs" dxfId="60" priority="77" operator="greaterThan">
      <formula>10/24</formula>
    </cfRule>
  </conditionalFormatting>
  <conditionalFormatting sqref="S141 S143:S144">
    <cfRule type="cellIs" dxfId="59" priority="75" stopIfTrue="1" operator="equal">
      <formula>"n"</formula>
    </cfRule>
  </conditionalFormatting>
  <conditionalFormatting sqref="U141 W141 W143:W144 U143:U144">
    <cfRule type="containsText" dxfId="58" priority="74" operator="containsText" text="PB">
      <formula>NOT(ISERROR(SEARCH("PB",U141)))</formula>
    </cfRule>
  </conditionalFormatting>
  <conditionalFormatting sqref="V141 V143:V144">
    <cfRule type="containsText" dxfId="57" priority="73" operator="containsText" text="PB">
      <formula>NOT(ISERROR(SEARCH("PB",V141)))</formula>
    </cfRule>
  </conditionalFormatting>
  <conditionalFormatting sqref="N141">
    <cfRule type="cellIs" dxfId="56" priority="68" stopIfTrue="1" operator="greaterThan">
      <formula>10/24</formula>
    </cfRule>
  </conditionalFormatting>
  <conditionalFormatting sqref="N143">
    <cfRule type="cellIs" dxfId="55" priority="67" stopIfTrue="1" operator="greaterThan">
      <formula>10/24</formula>
    </cfRule>
  </conditionalFormatting>
  <conditionalFormatting sqref="N144">
    <cfRule type="cellIs" dxfId="54" priority="66" operator="greaterThan">
      <formula>10/24</formula>
    </cfRule>
  </conditionalFormatting>
  <conditionalFormatting sqref="O141">
    <cfRule type="cellIs" dxfId="53" priority="65" operator="greaterThan">
      <formula>10/24</formula>
    </cfRule>
  </conditionalFormatting>
  <conditionalFormatting sqref="R138:R140">
    <cfRule type="cellIs" dxfId="52" priority="64" operator="greaterThan">
      <formula>12/24</formula>
    </cfRule>
  </conditionalFormatting>
  <conditionalFormatting sqref="S138:S140">
    <cfRule type="cellIs" dxfId="51" priority="63" stopIfTrue="1" operator="equal">
      <formula>"n"</formula>
    </cfRule>
  </conditionalFormatting>
  <conditionalFormatting sqref="U138:U140 W138:W140">
    <cfRule type="containsText" dxfId="50" priority="62" operator="containsText" text="PB">
      <formula>NOT(ISERROR(SEARCH("PB",U138)))</formula>
    </cfRule>
  </conditionalFormatting>
  <conditionalFormatting sqref="V138:V140">
    <cfRule type="containsText" dxfId="49" priority="61" operator="containsText" text="PB">
      <formula>NOT(ISERROR(SEARCH("PB",V138)))</formula>
    </cfRule>
  </conditionalFormatting>
  <conditionalFormatting sqref="N138:N140">
    <cfRule type="cellIs" dxfId="48" priority="56" stopIfTrue="1" operator="greaterThan">
      <formula>10/24</formula>
    </cfRule>
  </conditionalFormatting>
  <conditionalFormatting sqref="O138:O140">
    <cfRule type="cellIs" dxfId="47" priority="55" operator="greaterThan">
      <formula>10/24</formula>
    </cfRule>
  </conditionalFormatting>
  <conditionalFormatting sqref="R142">
    <cfRule type="cellIs" dxfId="46" priority="54" operator="greaterThan">
      <formula>12/24</formula>
    </cfRule>
  </conditionalFormatting>
  <conditionalFormatting sqref="S142">
    <cfRule type="cellIs" dxfId="45" priority="53" stopIfTrue="1" operator="equal">
      <formula>"n"</formula>
    </cfRule>
  </conditionalFormatting>
  <conditionalFormatting sqref="U142 W142">
    <cfRule type="containsText" dxfId="44" priority="52" operator="containsText" text="PB">
      <formula>NOT(ISERROR(SEARCH("PB",U142)))</formula>
    </cfRule>
  </conditionalFormatting>
  <conditionalFormatting sqref="V142">
    <cfRule type="containsText" dxfId="43" priority="51" operator="containsText" text="PB">
      <formula>NOT(ISERROR(SEARCH("PB",V142)))</formula>
    </cfRule>
  </conditionalFormatting>
  <conditionalFormatting sqref="N142">
    <cfRule type="cellIs" dxfId="42" priority="46" stopIfTrue="1" operator="greaterThan">
      <formula>10/24</formula>
    </cfRule>
  </conditionalFormatting>
  <conditionalFormatting sqref="O142">
    <cfRule type="cellIs" dxfId="41" priority="45" operator="greaterThan">
      <formula>10/24</formula>
    </cfRule>
  </conditionalFormatting>
  <conditionalFormatting sqref="R143">
    <cfRule type="cellIs" dxfId="40" priority="44" operator="greaterThan">
      <formula>12/24</formula>
    </cfRule>
  </conditionalFormatting>
  <conditionalFormatting sqref="R153 R156">
    <cfRule type="cellIs" dxfId="39" priority="39" operator="greaterThan">
      <formula>12/24</formula>
    </cfRule>
  </conditionalFormatting>
  <conditionalFormatting sqref="O155:O156">
    <cfRule type="cellIs" dxfId="38" priority="40" operator="greaterThan">
      <formula>10/24</formula>
    </cfRule>
  </conditionalFormatting>
  <conditionalFormatting sqref="S153 S155:S156">
    <cfRule type="cellIs" dxfId="37" priority="38" stopIfTrue="1" operator="equal">
      <formula>"n"</formula>
    </cfRule>
  </conditionalFormatting>
  <conditionalFormatting sqref="U153 W153 W155:W156 U155:U156">
    <cfRule type="containsText" dxfId="36" priority="37" operator="containsText" text="PB">
      <formula>NOT(ISERROR(SEARCH("PB",U153)))</formula>
    </cfRule>
  </conditionalFormatting>
  <conditionalFormatting sqref="V153 V155:V156">
    <cfRule type="containsText" dxfId="35" priority="36" operator="containsText" text="PB">
      <formula>NOT(ISERROR(SEARCH("PB",V153)))</formula>
    </cfRule>
  </conditionalFormatting>
  <conditionalFormatting sqref="Y6:Y156">
    <cfRule type="containsText" dxfId="34" priority="35" operator="containsText" text="PB">
      <formula>NOT(ISERROR(SEARCH("PB",Y6)))</formula>
    </cfRule>
  </conditionalFormatting>
  <conditionalFormatting sqref="N153">
    <cfRule type="cellIs" dxfId="33" priority="31" stopIfTrue="1" operator="greaterThan">
      <formula>10/24</formula>
    </cfRule>
  </conditionalFormatting>
  <conditionalFormatting sqref="N155">
    <cfRule type="cellIs" dxfId="32" priority="30" stopIfTrue="1" operator="greaterThan">
      <formula>10/24</formula>
    </cfRule>
  </conditionalFormatting>
  <conditionalFormatting sqref="N156">
    <cfRule type="cellIs" dxfId="31" priority="29" operator="greaterThan">
      <formula>10/24</formula>
    </cfRule>
  </conditionalFormatting>
  <conditionalFormatting sqref="O153">
    <cfRule type="cellIs" dxfId="30" priority="28" operator="greaterThan">
      <formula>10/24</formula>
    </cfRule>
  </conditionalFormatting>
  <conditionalFormatting sqref="R150:R152">
    <cfRule type="cellIs" dxfId="29" priority="27" operator="greaterThan">
      <formula>12/24</formula>
    </cfRule>
  </conditionalFormatting>
  <conditionalFormatting sqref="S150:S152">
    <cfRule type="cellIs" dxfId="28" priority="26" stopIfTrue="1" operator="equal">
      <formula>"n"</formula>
    </cfRule>
  </conditionalFormatting>
  <conditionalFormatting sqref="U150:U152 W150:W152">
    <cfRule type="containsText" dxfId="27" priority="25" operator="containsText" text="PB">
      <formula>NOT(ISERROR(SEARCH("PB",U150)))</formula>
    </cfRule>
  </conditionalFormatting>
  <conditionalFormatting sqref="V150:V152">
    <cfRule type="containsText" dxfId="26" priority="24" operator="containsText" text="PB">
      <formula>NOT(ISERROR(SEARCH("PB",V150)))</formula>
    </cfRule>
  </conditionalFormatting>
  <conditionalFormatting sqref="N150:N152">
    <cfRule type="cellIs" dxfId="25" priority="19" stopIfTrue="1" operator="greaterThan">
      <formula>10/24</formula>
    </cfRule>
  </conditionalFormatting>
  <conditionalFormatting sqref="O150:O152">
    <cfRule type="cellIs" dxfId="24" priority="18" operator="greaterThan">
      <formula>10/24</formula>
    </cfRule>
  </conditionalFormatting>
  <conditionalFormatting sqref="R154">
    <cfRule type="cellIs" dxfId="23" priority="17" operator="greaterThan">
      <formula>12/24</formula>
    </cfRule>
  </conditionalFormatting>
  <conditionalFormatting sqref="S154">
    <cfRule type="cellIs" dxfId="22" priority="16" stopIfTrue="1" operator="equal">
      <formula>"n"</formula>
    </cfRule>
  </conditionalFormatting>
  <conditionalFormatting sqref="U154 W154">
    <cfRule type="containsText" dxfId="21" priority="15" operator="containsText" text="PB">
      <formula>NOT(ISERROR(SEARCH("PB",U154)))</formula>
    </cfRule>
  </conditionalFormatting>
  <conditionalFormatting sqref="V154">
    <cfRule type="containsText" dxfId="20" priority="14" operator="containsText" text="PB">
      <formula>NOT(ISERROR(SEARCH("PB",V154)))</formula>
    </cfRule>
  </conditionalFormatting>
  <conditionalFormatting sqref="X6:X12 X18:X24 X30:X36 X42:X48 X54:X60 X66:X72 X78:X84 X90:X96 X102:X108 X114:X120 X126:X132 X138:X144 X150:X156">
    <cfRule type="expression" dxfId="19" priority="2">
      <formula>IF(OR(E6-C6&gt;6/24,I6-G6&gt;6/24,M6-K6&gt;6/24),TRUE,FALSE)</formula>
    </cfRule>
    <cfRule type="expression" dxfId="18" priority="11" stopIfTrue="1">
      <formula>IF(OR(E6-C6&gt;6/24,I6-G6&gt;6/24,M6-K6&gt;6/24),TRUE,FALSE)</formula>
    </cfRule>
  </conditionalFormatting>
  <conditionalFormatting sqref="N154">
    <cfRule type="cellIs" dxfId="17" priority="9" stopIfTrue="1" operator="greaterThan">
      <formula>10/24</formula>
    </cfRule>
  </conditionalFormatting>
  <conditionalFormatting sqref="O154">
    <cfRule type="cellIs" dxfId="16" priority="8" operator="greaterThan">
      <formula>10/24</formula>
    </cfRule>
  </conditionalFormatting>
  <conditionalFormatting sqref="R155">
    <cfRule type="cellIs" dxfId="15" priority="7" operator="greaterThan">
      <formula>12/24</formula>
    </cfRule>
  </conditionalFormatting>
  <conditionalFormatting sqref="C6:C150">
    <cfRule type="expression" dxfId="14" priority="1023" stopIfTrue="1">
      <formula>OR($C6="aa",$C6="m")</formula>
    </cfRule>
  </conditionalFormatting>
  <conditionalFormatting sqref="C6:C150 C157:C168">
    <cfRule type="expression" dxfId="13" priority="1430">
      <formula>OR(C6="cp",C6="jc",C6="css")</formula>
    </cfRule>
  </conditionalFormatting>
  <conditionalFormatting sqref="B4:M150 B151">
    <cfRule type="cellIs" dxfId="12" priority="1" operator="equal">
      <formula>FALSE</formula>
    </cfRule>
  </conditionalFormatting>
  <conditionalFormatting sqref="P160:AA190">
    <cfRule type="expression" dxfId="11" priority="9811" stopIfTrue="1">
      <formula>IF($A$170&lt;&gt;"",TRUE,FALSE)</formula>
    </cfRule>
  </conditionalFormatting>
  <printOptions horizontalCentered="1"/>
  <pageMargins left="0" right="0" top="0.39370078740157483" bottom="0" header="0.31496062992125984" footer="0.31496062992125984"/>
  <pageSetup paperSize="9" scale="49" fitToHeight="2" orientation="portrait" r:id="rId1"/>
  <rowBreaks count="1" manualBreakCount="1">
    <brk id="98" max="25" man="1"/>
  </rowBreak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0">
    <pageSetUpPr fitToPage="1"/>
  </sheetPr>
  <dimension ref="A1:J18"/>
  <sheetViews>
    <sheetView showGridLines="0" zoomScaleNormal="100" workbookViewId="0">
      <selection sqref="A1:J1"/>
    </sheetView>
  </sheetViews>
  <sheetFormatPr baseColWidth="10" defaultRowHeight="15" x14ac:dyDescent="0.25"/>
  <cols>
    <col min="1" max="1" width="11.42578125" style="388"/>
    <col min="2" max="2" width="11.42578125" style="388" customWidth="1"/>
    <col min="3" max="3" width="29.140625" style="388" customWidth="1"/>
    <col min="4" max="4" width="14.7109375" style="388" customWidth="1"/>
    <col min="5" max="5" width="4.7109375" style="388" customWidth="1"/>
    <col min="6" max="6" width="8.7109375" style="388" customWidth="1"/>
    <col min="7" max="7" width="6.85546875" style="388" customWidth="1"/>
    <col min="8" max="8" width="25.42578125" style="388" customWidth="1"/>
    <col min="9" max="9" width="17.42578125" style="388" customWidth="1"/>
    <col min="10" max="16384" width="11.42578125" style="388"/>
  </cols>
  <sheetData>
    <row r="1" spans="1:10" ht="15.75" x14ac:dyDescent="0.25">
      <c r="A1" s="839" t="s">
        <v>206</v>
      </c>
      <c r="B1" s="839"/>
      <c r="C1" s="839"/>
      <c r="D1" s="839"/>
      <c r="E1" s="839"/>
      <c r="F1" s="839"/>
      <c r="G1" s="839"/>
      <c r="H1" s="839"/>
      <c r="I1" s="839"/>
      <c r="J1" s="839"/>
    </row>
    <row r="4" spans="1:10" ht="18.75" x14ac:dyDescent="0.25">
      <c r="B4" s="385" t="s">
        <v>107</v>
      </c>
      <c r="C4" s="843" t="str">
        <f>IF(Paramétrage!C5="","",Paramétrage!C5)</f>
        <v/>
      </c>
      <c r="D4" s="843"/>
      <c r="G4" s="400" t="s">
        <v>109</v>
      </c>
      <c r="H4" s="843" t="str">
        <f>IF(Paramétrage!K5="","",Paramétrage!K5)</f>
        <v/>
      </c>
      <c r="I4" s="843"/>
    </row>
    <row r="5" spans="1:10" ht="18.75" x14ac:dyDescent="0.25">
      <c r="B5" s="389"/>
      <c r="C5" s="389"/>
      <c r="D5" s="386"/>
      <c r="E5" s="386"/>
      <c r="F5" s="386"/>
      <c r="G5" s="389"/>
      <c r="H5" s="389"/>
      <c r="I5" s="389"/>
    </row>
    <row r="6" spans="1:10" ht="18.75" x14ac:dyDescent="0.25">
      <c r="B6" s="389"/>
      <c r="C6" s="387" t="str">
        <f>"Etat des heures effectuées du "</f>
        <v xml:space="preserve">Etat des heures effectuées du </v>
      </c>
      <c r="D6" s="844">
        <f>Paramétrage!AF5</f>
        <v>42613</v>
      </c>
      <c r="E6" s="844"/>
      <c r="F6" s="844"/>
      <c r="G6" s="391" t="s">
        <v>10</v>
      </c>
      <c r="H6" s="390">
        <f>D13</f>
        <v>42276</v>
      </c>
      <c r="I6" s="389"/>
    </row>
    <row r="8" spans="1:10" ht="18.75" customHeight="1" x14ac:dyDescent="0.25">
      <c r="F8" s="386" t="s">
        <v>351</v>
      </c>
      <c r="G8" s="845">
        <f>annualisation!N2</f>
        <v>0</v>
      </c>
      <c r="H8" s="845"/>
    </row>
    <row r="9" spans="1:10" ht="18.75" customHeight="1" x14ac:dyDescent="0.25">
      <c r="F9" s="386"/>
      <c r="G9" s="394"/>
      <c r="H9" s="394"/>
    </row>
    <row r="10" spans="1:10" ht="18.75" customHeight="1" x14ac:dyDescent="0.25">
      <c r="C10" s="386"/>
      <c r="D10" s="395"/>
    </row>
    <row r="11" spans="1:10" ht="18.75" customHeight="1" x14ac:dyDescent="0.25">
      <c r="C11" s="386" t="s">
        <v>178</v>
      </c>
      <c r="D11" s="394">
        <f>annualisation!D80</f>
        <v>0</v>
      </c>
      <c r="H11" s="386" t="s">
        <v>342</v>
      </c>
      <c r="I11" s="394" t="str">
        <f>IF(H6&lt;D6,"ERREUR DE DATE",IF(H6="","",VLOOKUP(H6,tab_total,8)))</f>
        <v>ERREUR DE DATE</v>
      </c>
    </row>
    <row r="12" spans="1:10" ht="18.75" customHeight="1" x14ac:dyDescent="0.25"/>
    <row r="13" spans="1:10" ht="18.75" customHeight="1" x14ac:dyDescent="0.25">
      <c r="B13" s="846" t="s">
        <v>360</v>
      </c>
      <c r="C13" s="847"/>
      <c r="D13" s="411">
        <f>annualisation!B87</f>
        <v>42276</v>
      </c>
      <c r="E13" s="412" t="str">
        <f>"+   nb d'heures prévisionnelles "&amp;CHAR(10)&amp;"du "&amp;TEXT(annualisation!B87+1,"jj/mm/aa")&amp;" au "&amp;TEXT(Paramétrage!AF6,"jj/mm/aaaa")</f>
        <v>+   nb d'heures prévisionnelles 
du 01/10/19 au 31/08/2021</v>
      </c>
      <c r="F13" s="412"/>
      <c r="G13" s="412"/>
      <c r="H13" s="412"/>
      <c r="I13" s="413"/>
    </row>
    <row r="14" spans="1:10" ht="18.75" customHeight="1" x14ac:dyDescent="0.25">
      <c r="A14" s="396"/>
      <c r="B14" s="848" t="str">
        <f>annualisation!F87</f>
        <v>Date saisie erronée</v>
      </c>
      <c r="C14" s="849"/>
      <c r="D14" s="849"/>
      <c r="E14" s="849"/>
      <c r="F14" s="849"/>
      <c r="G14" s="849"/>
      <c r="H14" s="849"/>
      <c r="I14" s="850"/>
    </row>
    <row r="15" spans="1:10" ht="12" customHeight="1" x14ac:dyDescent="0.25">
      <c r="B15" s="397"/>
      <c r="C15" s="398"/>
      <c r="D15" s="398"/>
      <c r="E15" s="398"/>
      <c r="F15" s="398"/>
      <c r="G15" s="398"/>
      <c r="H15" s="398"/>
      <c r="I15" s="399"/>
    </row>
    <row r="16" spans="1:10" ht="15" customHeight="1" x14ac:dyDescent="0.25">
      <c r="B16" s="840" t="e">
        <f>IF(Paramétrage!I15&lt;annualisation!F87,"Votre temps de travail prévisionnel sera diminué de "&amp;ROUND(24*ABS(Paramétrage!I15-annualisation!F87),2)&amp;" heure(s)",IF(E83=Paramétrage!I15,"Temps de travail parfaitement ajusté","Votre temps de travail prévisionnel sera augmenté de "&amp;ROUND(24*ABS(Paramétrage!I15-annualisation!F87),2)&amp;" heure(s)"))</f>
        <v>#VALUE!</v>
      </c>
      <c r="C16" s="841"/>
      <c r="D16" s="841"/>
      <c r="E16" s="841"/>
      <c r="F16" s="841"/>
      <c r="G16" s="841"/>
      <c r="H16" s="841"/>
      <c r="I16" s="842"/>
    </row>
    <row r="17" ht="15" customHeight="1" x14ac:dyDescent="0.25"/>
    <row r="18" ht="15" customHeight="1" x14ac:dyDescent="0.25"/>
  </sheetData>
  <sheetProtection algorithmName="SHA-512" hashValue="WtSGJsyBZaqmFKPkT4MKvqCFMaDdCbuZt0JNakYBpQKcHGmis6If0Fwz3IfKLeo5LSro5Ir4rpY8/3clnvPEtQ==" saltValue="ot1baPrHhidJnvybnOZzdw==" spinCount="100000" sheet="1" selectLockedCells="1"/>
  <mergeCells count="8">
    <mergeCell ref="A1:J1"/>
    <mergeCell ref="B16:I16"/>
    <mergeCell ref="C4:D4"/>
    <mergeCell ref="D6:F6"/>
    <mergeCell ref="G8:H8"/>
    <mergeCell ref="H4:I4"/>
    <mergeCell ref="B13:C13"/>
    <mergeCell ref="B14:I14"/>
  </mergeCells>
  <conditionalFormatting sqref="G8:G9 I11 D11 B16 D13 B14">
    <cfRule type="expression" dxfId="10" priority="9814" stopIfTrue="1">
      <formula>IF($H$6&lt;$D$6,TRUE,FALSE)</formula>
    </cfRule>
  </conditionalFormatting>
  <pageMargins left="0.7" right="0.7" top="0.75" bottom="0.75" header="0.3" footer="0.3"/>
  <pageSetup paperSize="9" scale="61"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1"/>
  <dimension ref="A1:C25"/>
  <sheetViews>
    <sheetView workbookViewId="0"/>
  </sheetViews>
  <sheetFormatPr baseColWidth="10" defaultRowHeight="15" x14ac:dyDescent="0.25"/>
  <cols>
    <col min="3" max="3" width="131.5703125" customWidth="1"/>
  </cols>
  <sheetData>
    <row r="1" spans="1:3" ht="20.100000000000001" customHeight="1" thickBot="1" x14ac:dyDescent="0.3">
      <c r="A1" s="294" t="s">
        <v>299</v>
      </c>
      <c r="B1" s="341" t="s">
        <v>155</v>
      </c>
      <c r="C1" s="295" t="s">
        <v>302</v>
      </c>
    </row>
    <row r="2" spans="1:3" ht="75" x14ac:dyDescent="0.25">
      <c r="A2" s="364" t="s">
        <v>341</v>
      </c>
      <c r="B2" s="365">
        <v>42143</v>
      </c>
      <c r="C2" s="366" t="s">
        <v>345</v>
      </c>
    </row>
    <row r="3" spans="1:3" ht="20.100000000000001" customHeight="1" x14ac:dyDescent="0.25">
      <c r="A3" s="331" t="s">
        <v>336</v>
      </c>
      <c r="B3" s="354">
        <v>41815</v>
      </c>
      <c r="C3" s="333" t="s">
        <v>337</v>
      </c>
    </row>
    <row r="4" spans="1:3" ht="37.5" customHeight="1" x14ac:dyDescent="0.25">
      <c r="A4" s="331" t="s">
        <v>331</v>
      </c>
      <c r="B4" s="354">
        <v>41746</v>
      </c>
      <c r="C4" s="333" t="s">
        <v>332</v>
      </c>
    </row>
    <row r="5" spans="1:3" ht="30" x14ac:dyDescent="0.25">
      <c r="A5" s="331" t="s">
        <v>300</v>
      </c>
      <c r="B5" s="332">
        <v>41664</v>
      </c>
      <c r="C5" s="333" t="s">
        <v>316</v>
      </c>
    </row>
    <row r="6" spans="1:3" x14ac:dyDescent="0.25">
      <c r="A6" s="334" t="s">
        <v>323</v>
      </c>
      <c r="B6" s="335">
        <v>41839</v>
      </c>
      <c r="C6" s="336" t="s">
        <v>324</v>
      </c>
    </row>
    <row r="7" spans="1:3" ht="20.100000000000001" customHeight="1" x14ac:dyDescent="0.25">
      <c r="A7" s="334" t="s">
        <v>321</v>
      </c>
      <c r="B7" s="335">
        <v>41829</v>
      </c>
      <c r="C7" s="336" t="s">
        <v>322</v>
      </c>
    </row>
    <row r="8" spans="1:3" ht="60" x14ac:dyDescent="0.25">
      <c r="A8" s="334" t="s">
        <v>319</v>
      </c>
      <c r="B8" s="335">
        <v>41815</v>
      </c>
      <c r="C8" s="336" t="s">
        <v>320</v>
      </c>
    </row>
    <row r="9" spans="1:3" ht="60" x14ac:dyDescent="0.25">
      <c r="A9" s="334" t="s">
        <v>327</v>
      </c>
      <c r="B9" s="335">
        <v>41797</v>
      </c>
      <c r="C9" s="336" t="s">
        <v>325</v>
      </c>
    </row>
    <row r="10" spans="1:3" ht="30" x14ac:dyDescent="0.25">
      <c r="A10" s="334" t="s">
        <v>306</v>
      </c>
      <c r="B10" s="335">
        <v>41363</v>
      </c>
      <c r="C10" s="337" t="s">
        <v>307</v>
      </c>
    </row>
    <row r="11" spans="1:3" ht="20.100000000000001" customHeight="1" x14ac:dyDescent="0.25">
      <c r="A11" s="334" t="s">
        <v>305</v>
      </c>
      <c r="B11" s="335">
        <v>41333</v>
      </c>
      <c r="C11" s="336" t="s">
        <v>304</v>
      </c>
    </row>
    <row r="12" spans="1:3" ht="60" x14ac:dyDescent="0.25">
      <c r="A12" s="334" t="s">
        <v>303</v>
      </c>
      <c r="B12" s="335">
        <v>41258</v>
      </c>
      <c r="C12" s="336" t="s">
        <v>326</v>
      </c>
    </row>
    <row r="13" spans="1:3" ht="20.100000000000001" customHeight="1" x14ac:dyDescent="0.25">
      <c r="A13" s="334" t="s">
        <v>247</v>
      </c>
      <c r="B13" s="335">
        <v>41121</v>
      </c>
      <c r="C13" s="336" t="s">
        <v>249</v>
      </c>
    </row>
    <row r="14" spans="1:3" ht="20.100000000000001" customHeight="1" x14ac:dyDescent="0.25">
      <c r="A14" s="334" t="s">
        <v>244</v>
      </c>
      <c r="B14" s="335">
        <v>41096</v>
      </c>
      <c r="C14" s="336" t="s">
        <v>248</v>
      </c>
    </row>
    <row r="15" spans="1:3" ht="20.100000000000001" customHeight="1" thickBot="1" x14ac:dyDescent="0.3">
      <c r="A15" s="338" t="s">
        <v>244</v>
      </c>
      <c r="B15" s="339">
        <v>41076</v>
      </c>
      <c r="C15" s="340" t="s">
        <v>245</v>
      </c>
    </row>
    <row r="16" spans="1:3" x14ac:dyDescent="0.25">
      <c r="A16" s="163"/>
      <c r="B16" s="163"/>
      <c r="C16" s="163"/>
    </row>
    <row r="17" spans="1:3" x14ac:dyDescent="0.25">
      <c r="A17" s="163"/>
      <c r="B17" s="163"/>
      <c r="C17" s="163"/>
    </row>
    <row r="18" spans="1:3" x14ac:dyDescent="0.25">
      <c r="A18" s="163"/>
      <c r="B18" s="163"/>
      <c r="C18" s="163"/>
    </row>
    <row r="19" spans="1:3" x14ac:dyDescent="0.25">
      <c r="A19" s="163"/>
      <c r="B19" s="163"/>
      <c r="C19" s="163"/>
    </row>
    <row r="20" spans="1:3" x14ac:dyDescent="0.25">
      <c r="A20" s="163"/>
      <c r="B20" s="163"/>
      <c r="C20" s="163"/>
    </row>
    <row r="21" spans="1:3" x14ac:dyDescent="0.25">
      <c r="A21" s="163"/>
      <c r="B21" s="163"/>
      <c r="C21" s="163"/>
    </row>
    <row r="22" spans="1:3" x14ac:dyDescent="0.25">
      <c r="A22" s="163"/>
      <c r="B22" s="163"/>
      <c r="C22" s="163"/>
    </row>
    <row r="23" spans="1:3" x14ac:dyDescent="0.25">
      <c r="A23" s="163"/>
      <c r="B23" s="163"/>
      <c r="C23" s="163"/>
    </row>
    <row r="24" spans="1:3" x14ac:dyDescent="0.25">
      <c r="A24" s="163"/>
      <c r="B24" s="163"/>
      <c r="C24" s="163"/>
    </row>
    <row r="25" spans="1:3" x14ac:dyDescent="0.25">
      <c r="A25" s="163"/>
      <c r="B25" s="163"/>
      <c r="C25" s="163"/>
    </row>
  </sheetData>
  <sheetProtection password="CE45" sheet="1" objects="1" scenarios="1"/>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2">
    <pageSetUpPr fitToPage="1"/>
  </sheetPr>
  <dimension ref="A1:AP158"/>
  <sheetViews>
    <sheetView showGridLines="0" workbookViewId="0">
      <selection activeCell="C35" sqref="C35"/>
    </sheetView>
  </sheetViews>
  <sheetFormatPr baseColWidth="10" defaultRowHeight="15" x14ac:dyDescent="0.25"/>
  <cols>
    <col min="1" max="1" width="2.7109375" customWidth="1"/>
    <col min="2" max="2" width="6.7109375" customWidth="1"/>
    <col min="3" max="3" width="3.7109375" customWidth="1"/>
    <col min="4" max="4" width="2.7109375" customWidth="1"/>
    <col min="5" max="5" width="6.7109375" style="104" customWidth="1"/>
    <col min="6" max="6" width="3.7109375" customWidth="1"/>
    <col min="7" max="7" width="2.7109375" customWidth="1"/>
    <col min="8" max="8" width="7.42578125" customWidth="1"/>
    <col min="9" max="9" width="3.7109375" style="104" customWidth="1"/>
    <col min="10" max="10" width="2.7109375" style="104" customWidth="1"/>
    <col min="11" max="11" width="6.7109375" customWidth="1"/>
    <col min="12" max="12" width="3.7109375" customWidth="1"/>
    <col min="13" max="13" width="2.7109375" customWidth="1"/>
    <col min="14" max="14" width="6.7109375" style="104" customWidth="1"/>
    <col min="15" max="15" width="3.7109375" customWidth="1"/>
    <col min="16" max="16" width="2.7109375" customWidth="1"/>
    <col min="17" max="17" width="6.7109375" customWidth="1"/>
    <col min="18" max="18" width="3.7109375" style="104" customWidth="1"/>
    <col min="19" max="19" width="2.7109375" style="104" customWidth="1"/>
    <col min="20" max="20" width="6.7109375" customWidth="1"/>
    <col min="21" max="21" width="3.7109375" customWidth="1"/>
    <col min="22" max="22" width="2.7109375" customWidth="1"/>
    <col min="23" max="23" width="7.28515625" style="104" customWidth="1"/>
    <col min="24" max="24" width="4.7109375" customWidth="1"/>
    <col min="25" max="25" width="2.7109375" customWidth="1"/>
    <col min="26" max="26" width="8" customWidth="1"/>
    <col min="27" max="27" width="3.7109375" style="104" customWidth="1"/>
    <col min="28" max="28" width="2.7109375" style="104" customWidth="1"/>
    <col min="29" max="29" width="6.7109375" customWidth="1"/>
    <col min="30" max="30" width="3.7109375" customWidth="1"/>
    <col min="31" max="31" width="2.7109375" customWidth="1"/>
    <col min="32" max="32" width="6.7109375" style="104" customWidth="1"/>
    <col min="33" max="33" width="3.7109375" customWidth="1"/>
    <col min="34" max="34" width="2.7109375" customWidth="1"/>
    <col min="35" max="35" width="6.7109375" customWidth="1"/>
    <col min="36" max="37" width="3.7109375" style="104" hidden="1" customWidth="1"/>
    <col min="38" max="38" width="11.5703125" hidden="1" customWidth="1"/>
    <col min="39" max="39" width="16.140625" hidden="1" customWidth="1"/>
    <col min="40" max="41" width="11.5703125" hidden="1" customWidth="1"/>
    <col min="42" max="42" width="11.42578125" hidden="1" customWidth="1"/>
    <col min="43" max="43" width="0" hidden="1" customWidth="1"/>
  </cols>
  <sheetData>
    <row r="1" spans="1:41" ht="15.75" x14ac:dyDescent="0.25">
      <c r="A1" s="909" t="s">
        <v>173</v>
      </c>
      <c r="B1" s="910"/>
      <c r="C1" s="910"/>
      <c r="D1" s="910"/>
      <c r="E1" s="910"/>
      <c r="F1" s="910"/>
      <c r="G1" s="910"/>
      <c r="H1" s="910"/>
      <c r="I1" s="910"/>
      <c r="J1" s="910"/>
      <c r="K1" s="910"/>
      <c r="L1" s="910"/>
      <c r="M1" s="910"/>
      <c r="N1" s="910"/>
      <c r="O1" s="910"/>
      <c r="P1" s="910"/>
      <c r="Q1" s="910"/>
      <c r="R1" s="910"/>
      <c r="S1" s="910"/>
      <c r="T1" s="910"/>
      <c r="U1" s="910"/>
      <c r="V1" s="910"/>
      <c r="W1" s="910"/>
      <c r="X1" s="910"/>
      <c r="Y1" s="910"/>
      <c r="Z1" s="910"/>
      <c r="AA1" s="910"/>
      <c r="AB1" s="910"/>
      <c r="AC1" s="910"/>
      <c r="AD1" s="910"/>
      <c r="AE1" s="910"/>
      <c r="AF1" s="910"/>
      <c r="AG1" s="910"/>
      <c r="AH1" s="910"/>
      <c r="AI1" s="910"/>
      <c r="AJ1" s="911"/>
      <c r="AK1" s="71"/>
    </row>
    <row r="2" spans="1:41" ht="15.75" x14ac:dyDescent="0.25">
      <c r="A2" s="71"/>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c r="AF2" s="71"/>
      <c r="AG2" s="71"/>
      <c r="AH2" s="71"/>
      <c r="AI2" s="71"/>
      <c r="AJ2" s="71"/>
      <c r="AK2" s="71"/>
    </row>
    <row r="3" spans="1:41" ht="8.25" customHeight="1" x14ac:dyDescent="0.25">
      <c r="A3" s="71"/>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c r="AH3" s="71"/>
      <c r="AI3" s="71"/>
      <c r="AJ3" s="71"/>
      <c r="AK3" s="71"/>
    </row>
    <row r="4" spans="1:41" ht="15.75" x14ac:dyDescent="0.25">
      <c r="A4" s="72"/>
      <c r="B4" s="71"/>
      <c r="C4" s="72"/>
      <c r="F4" s="73" t="s">
        <v>138</v>
      </c>
      <c r="G4" s="912" t="str">
        <f>Paramétrage!C5&amp;" "&amp;Paramétrage!K5</f>
        <v xml:space="preserve"> </v>
      </c>
      <c r="H4" s="913"/>
      <c r="I4" s="913"/>
      <c r="J4" s="913"/>
      <c r="K4" s="913"/>
      <c r="L4" s="913"/>
      <c r="M4" s="913"/>
      <c r="N4" s="914"/>
      <c r="O4" s="71"/>
      <c r="Q4" s="74"/>
      <c r="R4" s="73" t="s">
        <v>83</v>
      </c>
      <c r="S4" s="903" t="str">
        <f>IF(Paramétrage!S5="","",Paramétrage!S5)</f>
        <v/>
      </c>
      <c r="T4" s="904"/>
      <c r="U4" s="904"/>
      <c r="V4" s="904"/>
      <c r="W4" s="905"/>
      <c r="X4" s="74"/>
      <c r="Y4" s="71"/>
      <c r="Z4" s="71"/>
      <c r="AA4" s="71"/>
      <c r="AB4" s="71"/>
      <c r="AC4" s="73" t="s">
        <v>76</v>
      </c>
      <c r="AD4" s="903">
        <f>IF(Paramétrage!BC5="","",Paramétrage!BC5)</f>
        <v>2020</v>
      </c>
      <c r="AE4" s="904"/>
      <c r="AF4" s="905"/>
      <c r="AG4" s="71" t="s">
        <v>77</v>
      </c>
      <c r="AH4" s="915">
        <f>AD4+1</f>
        <v>2021</v>
      </c>
      <c r="AI4" s="915"/>
      <c r="AJ4" s="915"/>
      <c r="AK4" s="71"/>
      <c r="AL4" s="901" t="s">
        <v>84</v>
      </c>
      <c r="AM4" s="901" t="s">
        <v>85</v>
      </c>
      <c r="AN4" s="901"/>
      <c r="AO4" s="901"/>
    </row>
    <row r="5" spans="1:41" ht="4.5" customHeight="1" x14ac:dyDescent="0.25">
      <c r="A5" s="72"/>
      <c r="B5" s="71"/>
      <c r="C5" s="72"/>
      <c r="F5" s="73"/>
      <c r="G5" s="71"/>
      <c r="H5" s="71"/>
      <c r="I5" s="71"/>
      <c r="J5" s="71"/>
      <c r="K5" s="71"/>
      <c r="L5" s="71"/>
      <c r="M5" s="71"/>
      <c r="N5" s="71"/>
      <c r="O5" s="71"/>
      <c r="Q5" s="74"/>
      <c r="R5" s="73"/>
      <c r="S5" s="71"/>
      <c r="T5" s="71"/>
      <c r="U5" s="71"/>
      <c r="V5" s="71"/>
      <c r="W5" s="71"/>
      <c r="X5" s="74"/>
      <c r="Y5" s="71"/>
      <c r="Z5" s="71"/>
      <c r="AA5" s="71"/>
      <c r="AB5" s="71"/>
      <c r="AC5" s="73"/>
      <c r="AD5" s="71"/>
      <c r="AE5" s="71"/>
      <c r="AF5" s="71"/>
      <c r="AG5" s="71"/>
      <c r="AH5" s="71"/>
      <c r="AI5" s="77"/>
      <c r="AJ5" s="77"/>
      <c r="AK5" s="71"/>
      <c r="AL5" s="901"/>
      <c r="AM5" s="901"/>
      <c r="AN5" s="901"/>
      <c r="AO5" s="901"/>
    </row>
    <row r="6" spans="1:41" ht="15" customHeight="1" x14ac:dyDescent="0.25">
      <c r="A6" s="71"/>
      <c r="O6" s="71"/>
      <c r="Q6" s="74"/>
      <c r="R6" s="73" t="s">
        <v>88</v>
      </c>
      <c r="S6" s="903" t="str">
        <f>IF(Paramétrage!S7="","",Paramétrage!S7)</f>
        <v/>
      </c>
      <c r="T6" s="904"/>
      <c r="U6" s="904"/>
      <c r="V6" s="904"/>
      <c r="W6" s="905"/>
      <c r="X6" s="74"/>
      <c r="Y6" s="71"/>
      <c r="AJ6" s="71"/>
      <c r="AK6" s="71"/>
      <c r="AL6" s="902"/>
      <c r="AM6" s="902"/>
      <c r="AN6" s="902"/>
      <c r="AO6" s="902"/>
    </row>
    <row r="7" spans="1:41" ht="15" customHeight="1" x14ac:dyDescent="0.25">
      <c r="A7" s="71"/>
      <c r="B7" s="71"/>
      <c r="C7" s="72"/>
      <c r="F7" s="73" t="s">
        <v>86</v>
      </c>
      <c r="G7" s="906" t="str">
        <f>ROUND(Paramétrage!G7*24,2)&amp;" hres"</f>
        <v>0 hres</v>
      </c>
      <c r="H7" s="907"/>
      <c r="I7" s="908"/>
      <c r="J7" s="71"/>
      <c r="O7" s="71"/>
      <c r="P7" s="73"/>
      <c r="Q7" s="71"/>
      <c r="R7" s="71"/>
      <c r="S7" s="71"/>
      <c r="T7" s="71"/>
      <c r="U7" s="71"/>
      <c r="V7" s="71"/>
      <c r="W7" s="71"/>
      <c r="X7" s="71"/>
      <c r="Z7" s="30"/>
      <c r="AA7" s="105"/>
      <c r="AB7" s="105"/>
      <c r="AC7" s="30"/>
      <c r="AD7" s="30"/>
      <c r="AE7" s="30"/>
      <c r="AF7" s="105"/>
      <c r="AG7" s="30"/>
      <c r="AJ7" s="80"/>
      <c r="AK7" s="71"/>
      <c r="AL7" s="107">
        <v>7</v>
      </c>
      <c r="AM7" s="106">
        <f>IF(C14="","",C14)</f>
        <v>42674</v>
      </c>
      <c r="AN7" s="107">
        <f t="shared" ref="AN7:AN21" si="0">IF(AM7="","",IF(WEEKDAY(AM7)=1,1,0))</f>
        <v>1</v>
      </c>
      <c r="AO7" s="107">
        <f>IF(AM7="","",IF(WEEKDAY(AM7)=7,1,0))</f>
        <v>0</v>
      </c>
    </row>
    <row r="8" spans="1:41" ht="15" customHeight="1" x14ac:dyDescent="0.25">
      <c r="A8" s="71"/>
      <c r="B8" s="72"/>
      <c r="C8" s="73"/>
      <c r="D8" s="71"/>
      <c r="E8" s="71"/>
      <c r="F8" s="71"/>
      <c r="G8" s="71"/>
      <c r="H8" s="79"/>
      <c r="I8" s="71"/>
      <c r="J8" s="71"/>
      <c r="K8" s="71"/>
      <c r="L8" s="71"/>
      <c r="M8" s="104"/>
      <c r="Z8" s="538" t="s">
        <v>95</v>
      </c>
      <c r="AA8" s="539"/>
      <c r="AB8" s="539"/>
      <c r="AC8" s="539"/>
      <c r="AD8" s="539"/>
      <c r="AE8" s="886">
        <f>Paramétrage!BG12</f>
        <v>12</v>
      </c>
      <c r="AF8" s="886"/>
      <c r="AG8" s="49"/>
      <c r="AK8" s="82"/>
      <c r="AL8" s="107">
        <v>1</v>
      </c>
      <c r="AM8" s="106">
        <f>IF(C15="","",C15)</f>
        <v>42729</v>
      </c>
      <c r="AN8" s="107">
        <f t="shared" si="0"/>
        <v>0</v>
      </c>
      <c r="AO8" s="107">
        <f t="shared" ref="AO8:AO21" si="1">IF(AM8="","",IF(WEEKDAY(AM8)=7,1,0))</f>
        <v>1</v>
      </c>
    </row>
    <row r="9" spans="1:41" ht="15" customHeight="1" x14ac:dyDescent="0.25">
      <c r="A9" s="71"/>
      <c r="B9" s="72"/>
      <c r="C9" s="73"/>
      <c r="D9" s="71"/>
      <c r="E9" s="71"/>
      <c r="F9" s="73" t="s">
        <v>87</v>
      </c>
      <c r="G9" s="894" t="str">
        <f>Paramétrage!M7</f>
        <v>0 h</v>
      </c>
      <c r="H9" s="895"/>
      <c r="I9" s="896"/>
      <c r="J9" s="71"/>
      <c r="K9" s="71"/>
      <c r="L9" s="71"/>
      <c r="M9" s="104"/>
      <c r="R9"/>
      <c r="Z9" s="538" t="s">
        <v>97</v>
      </c>
      <c r="AA9" s="539"/>
      <c r="AB9" s="539"/>
      <c r="AC9" s="539"/>
      <c r="AD9" s="539"/>
      <c r="AE9" s="887">
        <f>Paramétrage!BG13</f>
        <v>9</v>
      </c>
      <c r="AF9" s="887"/>
      <c r="AG9" s="49"/>
      <c r="AK9" s="108"/>
      <c r="AM9" s="106">
        <f>IF(C16="","",C16)</f>
        <v>42829</v>
      </c>
      <c r="AN9" s="107">
        <f t="shared" si="0"/>
        <v>0</v>
      </c>
      <c r="AO9" s="107">
        <f t="shared" si="1"/>
        <v>0</v>
      </c>
    </row>
    <row r="10" spans="1:41" ht="15" customHeight="1" x14ac:dyDescent="0.25">
      <c r="A10" s="71"/>
      <c r="B10" s="72"/>
      <c r="C10" s="73"/>
      <c r="D10" s="71"/>
      <c r="E10" s="71"/>
      <c r="F10" s="71"/>
      <c r="G10" s="71"/>
      <c r="H10" s="79"/>
      <c r="I10" s="71"/>
      <c r="J10" s="71"/>
      <c r="K10" s="71"/>
      <c r="L10" s="71"/>
      <c r="R10"/>
      <c r="Z10" s="538" t="s">
        <v>99</v>
      </c>
      <c r="AA10" s="539"/>
      <c r="AB10" s="539"/>
      <c r="AC10" s="539"/>
      <c r="AD10" s="539"/>
      <c r="AE10" s="887">
        <f>Paramétrage!BG16</f>
        <v>8</v>
      </c>
      <c r="AF10" s="887"/>
      <c r="AG10" s="49"/>
      <c r="AK10" s="109"/>
      <c r="AM10" s="106">
        <f>IF(C17="","",C17)</f>
        <v>42867</v>
      </c>
      <c r="AN10" s="107">
        <f t="shared" si="0"/>
        <v>0</v>
      </c>
      <c r="AO10" s="107">
        <f t="shared" si="1"/>
        <v>0</v>
      </c>
    </row>
    <row r="11" spans="1:41" ht="15" customHeight="1" x14ac:dyDescent="0.25">
      <c r="A11" s="71"/>
      <c r="B11" s="72"/>
      <c r="C11" s="73"/>
      <c r="D11" s="71"/>
      <c r="E11" s="71"/>
      <c r="F11" s="110" t="s">
        <v>151</v>
      </c>
      <c r="G11" s="889" t="str">
        <f>ROUND(Paramétrage!I15*24,2)&amp;" hres"</f>
        <v>0 hres</v>
      </c>
      <c r="H11" s="890"/>
      <c r="I11" s="891"/>
      <c r="J11" s="71"/>
      <c r="K11" s="71"/>
      <c r="L11" s="71"/>
      <c r="P11" s="83"/>
      <c r="Q11" s="83"/>
      <c r="R11" s="83"/>
      <c r="S11" s="83"/>
      <c r="T11" s="83"/>
      <c r="U11" s="83"/>
      <c r="V11" s="83"/>
      <c r="W11" s="83"/>
      <c r="Z11" s="892" t="s">
        <v>101</v>
      </c>
      <c r="AA11" s="893"/>
      <c r="AB11" s="893"/>
      <c r="AC11" s="893"/>
      <c r="AD11" s="893"/>
      <c r="AE11" s="888">
        <f>Paramétrage!AD12</f>
        <v>0</v>
      </c>
      <c r="AF11" s="888"/>
      <c r="AG11" s="111"/>
      <c r="AH11" s="84"/>
      <c r="AI11" s="84"/>
      <c r="AJ11" s="84"/>
      <c r="AK11" s="109"/>
      <c r="AM11" s="106" t="str">
        <f>IF(C18="","",C18)</f>
        <v/>
      </c>
      <c r="AN11" s="107"/>
      <c r="AO11" s="107"/>
    </row>
    <row r="12" spans="1:41" ht="12.6" customHeight="1" thickBot="1" x14ac:dyDescent="0.3">
      <c r="A12" s="71"/>
      <c r="B12" s="72"/>
      <c r="C12" s="73"/>
      <c r="D12" s="71"/>
      <c r="E12" s="71"/>
      <c r="F12" s="71"/>
      <c r="G12" s="71"/>
      <c r="H12" s="79"/>
      <c r="AI12" s="104"/>
      <c r="AK12" s="109"/>
      <c r="AM12" s="106">
        <f>IF(F14="","",F14)</f>
        <v>42684</v>
      </c>
      <c r="AN12" s="107">
        <f t="shared" si="0"/>
        <v>0</v>
      </c>
      <c r="AO12" s="107">
        <f t="shared" si="1"/>
        <v>0</v>
      </c>
    </row>
    <row r="13" spans="1:41" ht="12.6" customHeight="1" thickTop="1" thickBot="1" x14ac:dyDescent="0.3">
      <c r="A13" s="83"/>
      <c r="B13" s="83"/>
      <c r="C13" s="83"/>
      <c r="D13" s="83"/>
      <c r="E13" s="83"/>
      <c r="F13" s="83"/>
      <c r="G13" s="83"/>
      <c r="H13" s="83"/>
      <c r="I13" s="83"/>
      <c r="J13" s="83"/>
      <c r="K13" s="83"/>
      <c r="P13" s="569" t="s">
        <v>103</v>
      </c>
      <c r="Q13" s="570"/>
      <c r="R13" s="571"/>
      <c r="S13" s="478" t="s">
        <v>104</v>
      </c>
      <c r="T13" s="479"/>
      <c r="U13" s="480"/>
      <c r="V13" s="630" t="s">
        <v>105</v>
      </c>
      <c r="W13" s="630"/>
      <c r="X13" s="630"/>
      <c r="Y13" s="630"/>
      <c r="Z13" s="630"/>
      <c r="AA13" s="630"/>
      <c r="AB13" s="630"/>
      <c r="AC13" s="630"/>
      <c r="AD13" s="630"/>
      <c r="AE13" s="630"/>
      <c r="AF13" s="630"/>
      <c r="AG13" s="630"/>
      <c r="AH13" s="630"/>
      <c r="AI13" s="631"/>
      <c r="AK13" s="109"/>
      <c r="AM13" s="106">
        <f>IF(F15="","",F15)</f>
        <v>42735</v>
      </c>
      <c r="AN13" s="107">
        <f t="shared" si="0"/>
        <v>0</v>
      </c>
      <c r="AO13" s="107">
        <f t="shared" si="1"/>
        <v>0</v>
      </c>
    </row>
    <row r="14" spans="1:41" ht="12.6" customHeight="1" thickTop="1" x14ac:dyDescent="0.25">
      <c r="A14" s="655" t="str">
        <f>Paramétrage!A19</f>
        <v>12 jours fériés dont 7 jours hors WE</v>
      </c>
      <c r="B14" s="656"/>
      <c r="C14" s="869">
        <f>IF(Paramétrage!C19="","",Paramétrage!C19)</f>
        <v>42674</v>
      </c>
      <c r="D14" s="870"/>
      <c r="E14" s="870"/>
      <c r="F14" s="870">
        <f>IF(Paramétrage!F19="","",Paramétrage!F19)</f>
        <v>42684</v>
      </c>
      <c r="G14" s="870"/>
      <c r="H14" s="870"/>
      <c r="I14" s="870">
        <f>IF(Paramétrage!I19="","",Paramétrage!I19)</f>
        <v>42728</v>
      </c>
      <c r="J14" s="870"/>
      <c r="K14" s="871"/>
      <c r="P14" s="572"/>
      <c r="Q14" s="573"/>
      <c r="R14" s="574"/>
      <c r="S14" s="897" t="s">
        <v>91</v>
      </c>
      <c r="T14" s="898"/>
      <c r="U14" s="899"/>
      <c r="V14" s="900" t="s">
        <v>9</v>
      </c>
      <c r="W14" s="900"/>
      <c r="X14" s="862">
        <f>Paramétrage!X19</f>
        <v>42659</v>
      </c>
      <c r="Y14" s="862"/>
      <c r="Z14" s="862"/>
      <c r="AA14" s="862"/>
      <c r="AB14" s="862"/>
      <c r="AC14" s="112" t="s">
        <v>10</v>
      </c>
      <c r="AD14" s="863">
        <f>Paramétrage!AD19</f>
        <v>42674</v>
      </c>
      <c r="AE14" s="864"/>
      <c r="AF14" s="864"/>
      <c r="AG14" s="864"/>
      <c r="AH14" s="864"/>
      <c r="AI14" s="865"/>
      <c r="AK14" s="109"/>
      <c r="AM14" s="106">
        <f>IF(F16="","",F16)</f>
        <v>42855</v>
      </c>
      <c r="AN14" s="107">
        <f t="shared" si="0"/>
        <v>0</v>
      </c>
      <c r="AO14" s="107">
        <f t="shared" si="1"/>
        <v>1</v>
      </c>
    </row>
    <row r="15" spans="1:41" ht="12.6" customHeight="1" x14ac:dyDescent="0.25">
      <c r="A15" s="657"/>
      <c r="B15" s="658"/>
      <c r="C15" s="872">
        <f>IF(Paramétrage!C20="","",Paramétrage!C20)</f>
        <v>42729</v>
      </c>
      <c r="D15" s="873"/>
      <c r="E15" s="873"/>
      <c r="F15" s="873">
        <f>IF(Paramétrage!F20="","",Paramétrage!F20)</f>
        <v>42735</v>
      </c>
      <c r="G15" s="873"/>
      <c r="H15" s="873"/>
      <c r="I15" s="873">
        <f>IF(Paramétrage!I20="","",Paramétrage!I20)</f>
        <v>42826</v>
      </c>
      <c r="J15" s="873"/>
      <c r="K15" s="874"/>
      <c r="P15" s="572"/>
      <c r="Q15" s="573"/>
      <c r="R15" s="574"/>
      <c r="S15" s="875" t="s">
        <v>92</v>
      </c>
      <c r="T15" s="876"/>
      <c r="U15" s="877"/>
      <c r="V15" s="885" t="s">
        <v>9</v>
      </c>
      <c r="W15" s="885"/>
      <c r="X15" s="862">
        <f>Paramétrage!X20</f>
        <v>42722</v>
      </c>
      <c r="Y15" s="862"/>
      <c r="Z15" s="862"/>
      <c r="AA15" s="862"/>
      <c r="AB15" s="862"/>
      <c r="AC15" s="113" t="s">
        <v>10</v>
      </c>
      <c r="AD15" s="863">
        <f>Paramétrage!AD20</f>
        <v>42737</v>
      </c>
      <c r="AE15" s="864"/>
      <c r="AF15" s="864"/>
      <c r="AG15" s="864"/>
      <c r="AH15" s="864"/>
      <c r="AI15" s="865"/>
      <c r="AK15" s="109"/>
      <c r="AM15" s="106">
        <f>IF(F17="","",F17)</f>
        <v>42929</v>
      </c>
      <c r="AN15" s="107">
        <f t="shared" si="0"/>
        <v>0</v>
      </c>
      <c r="AO15" s="107">
        <f t="shared" si="1"/>
        <v>0</v>
      </c>
    </row>
    <row r="16" spans="1:41" ht="12.6" customHeight="1" x14ac:dyDescent="0.25">
      <c r="A16" s="657"/>
      <c r="B16" s="658"/>
      <c r="C16" s="872">
        <f>IF(Paramétrage!C21="","",Paramétrage!C21)</f>
        <v>42829</v>
      </c>
      <c r="D16" s="873"/>
      <c r="E16" s="873"/>
      <c r="F16" s="873">
        <f>IF(Paramétrage!F21="","",Paramétrage!F21)</f>
        <v>42855</v>
      </c>
      <c r="G16" s="873"/>
      <c r="H16" s="873"/>
      <c r="I16" s="873">
        <f>IF(Paramétrage!I21="","",Paramétrage!I21)</f>
        <v>42862</v>
      </c>
      <c r="J16" s="873"/>
      <c r="K16" s="874"/>
      <c r="P16" s="572"/>
      <c r="Q16" s="573"/>
      <c r="R16" s="574"/>
      <c r="S16" s="875" t="s">
        <v>106</v>
      </c>
      <c r="T16" s="876"/>
      <c r="U16" s="877"/>
      <c r="V16" s="885" t="s">
        <v>9</v>
      </c>
      <c r="W16" s="885"/>
      <c r="X16" s="862">
        <f>Paramétrage!X21</f>
        <v>42785</v>
      </c>
      <c r="Y16" s="862"/>
      <c r="Z16" s="862"/>
      <c r="AA16" s="862"/>
      <c r="AB16" s="862"/>
      <c r="AC16" s="113" t="s">
        <v>10</v>
      </c>
      <c r="AD16" s="863">
        <f>Paramétrage!AD21</f>
        <v>42800</v>
      </c>
      <c r="AE16" s="864"/>
      <c r="AF16" s="864"/>
      <c r="AG16" s="864"/>
      <c r="AH16" s="864"/>
      <c r="AI16" s="865"/>
      <c r="AK16" s="109"/>
      <c r="AM16" s="106" t="str">
        <f>IF(F18="","",F18)</f>
        <v/>
      </c>
      <c r="AN16" s="107" t="str">
        <f t="shared" si="0"/>
        <v/>
      </c>
      <c r="AO16" s="107" t="str">
        <f t="shared" si="1"/>
        <v/>
      </c>
    </row>
    <row r="17" spans="1:41" ht="12.6" customHeight="1" x14ac:dyDescent="0.25">
      <c r="A17" s="657"/>
      <c r="B17" s="658"/>
      <c r="C17" s="872">
        <f>IF(Paramétrage!C22="","",Paramétrage!C22)</f>
        <v>42867</v>
      </c>
      <c r="D17" s="873"/>
      <c r="E17" s="873"/>
      <c r="F17" s="873">
        <f>IF(Paramétrage!F22="","",Paramétrage!F22)</f>
        <v>42929</v>
      </c>
      <c r="G17" s="873"/>
      <c r="H17" s="873"/>
      <c r="I17" s="873">
        <f>IF(Paramétrage!I22="","",Paramétrage!I22)</f>
        <v>42961</v>
      </c>
      <c r="J17" s="873"/>
      <c r="K17" s="874"/>
      <c r="P17" s="572"/>
      <c r="Q17" s="573"/>
      <c r="R17" s="574"/>
      <c r="S17" s="875" t="s">
        <v>89</v>
      </c>
      <c r="T17" s="876"/>
      <c r="U17" s="877"/>
      <c r="V17" s="885" t="s">
        <v>9</v>
      </c>
      <c r="W17" s="885"/>
      <c r="X17" s="862">
        <f>Paramétrage!X22</f>
        <v>42848</v>
      </c>
      <c r="Y17" s="862"/>
      <c r="Z17" s="862"/>
      <c r="AA17" s="862"/>
      <c r="AB17" s="862"/>
      <c r="AC17" s="113" t="s">
        <v>10</v>
      </c>
      <c r="AD17" s="863">
        <f>Paramétrage!AD22</f>
        <v>42863</v>
      </c>
      <c r="AE17" s="864"/>
      <c r="AF17" s="864"/>
      <c r="AG17" s="864"/>
      <c r="AH17" s="864"/>
      <c r="AI17" s="865"/>
      <c r="AK17" s="103"/>
      <c r="AM17" s="106">
        <f>IF(I14="","",I14)</f>
        <v>42728</v>
      </c>
      <c r="AN17" s="107">
        <f t="shared" si="0"/>
        <v>0</v>
      </c>
      <c r="AO17" s="107">
        <f t="shared" si="1"/>
        <v>0</v>
      </c>
    </row>
    <row r="18" spans="1:41" ht="12.6" customHeight="1" thickBot="1" x14ac:dyDescent="0.3">
      <c r="A18" s="659"/>
      <c r="B18" s="660"/>
      <c r="C18" s="878" t="str">
        <f>IF(Paramétrage!C23="","",Paramétrage!C23)</f>
        <v/>
      </c>
      <c r="D18" s="879"/>
      <c r="E18" s="879"/>
      <c r="F18" s="879" t="str">
        <f>IF(Paramétrage!F23="","",Paramétrage!F23)</f>
        <v/>
      </c>
      <c r="G18" s="879"/>
      <c r="H18" s="879"/>
      <c r="I18" s="879" t="str">
        <f>IF(Paramétrage!I23="","",Paramétrage!I23)</f>
        <v/>
      </c>
      <c r="J18" s="879"/>
      <c r="K18" s="880"/>
      <c r="O18" s="114"/>
      <c r="P18" s="575"/>
      <c r="Q18" s="576"/>
      <c r="R18" s="577"/>
      <c r="S18" s="881" t="s">
        <v>90</v>
      </c>
      <c r="T18" s="882"/>
      <c r="U18" s="883"/>
      <c r="V18" s="884" t="s">
        <v>9</v>
      </c>
      <c r="W18" s="884"/>
      <c r="X18" s="862">
        <f>Paramétrage!X23</f>
        <v>42922</v>
      </c>
      <c r="Y18" s="862"/>
      <c r="Z18" s="862"/>
      <c r="AA18" s="862"/>
      <c r="AB18" s="862"/>
      <c r="AC18" s="115" t="s">
        <v>10</v>
      </c>
      <c r="AD18" s="863">
        <f>Paramétrage!AD23</f>
        <v>42977</v>
      </c>
      <c r="AE18" s="864"/>
      <c r="AF18" s="864"/>
      <c r="AG18" s="864"/>
      <c r="AH18" s="864"/>
      <c r="AI18" s="865"/>
      <c r="AJ18" s="116"/>
      <c r="AM18" s="106">
        <f>IF(I15="","",I15)</f>
        <v>42826</v>
      </c>
      <c r="AN18" s="107">
        <f t="shared" si="0"/>
        <v>0</v>
      </c>
      <c r="AO18" s="107">
        <f t="shared" si="1"/>
        <v>0</v>
      </c>
    </row>
    <row r="19" spans="1:41" ht="12.6" customHeight="1" thickTop="1" thickBot="1" x14ac:dyDescent="0.3">
      <c r="A19" s="851">
        <f>IF(AE8="",0,9)</f>
        <v>9</v>
      </c>
      <c r="B19" s="851"/>
      <c r="C19" s="851"/>
      <c r="D19" s="851">
        <f>IF(AE8="",0,A19+1)</f>
        <v>10</v>
      </c>
      <c r="E19" s="851"/>
      <c r="F19" s="851"/>
      <c r="G19" s="851">
        <f>IF(AE8="",0,D19+1)</f>
        <v>11</v>
      </c>
      <c r="H19" s="851"/>
      <c r="I19" s="851"/>
      <c r="J19" s="851">
        <f>IF(AE8="",0,G19+1)</f>
        <v>12</v>
      </c>
      <c r="K19" s="851"/>
      <c r="L19" s="852"/>
      <c r="M19" s="852">
        <f>IF(AE8="",0,1)</f>
        <v>1</v>
      </c>
      <c r="N19" s="852"/>
      <c r="O19" s="852"/>
      <c r="P19" s="851">
        <f>IF(AE8="",0,M19+1)</f>
        <v>2</v>
      </c>
      <c r="Q19" s="851"/>
      <c r="R19" s="851"/>
      <c r="S19" s="851">
        <f>IF(AE8="",0,P19+1)</f>
        <v>3</v>
      </c>
      <c r="T19" s="851"/>
      <c r="U19" s="851"/>
      <c r="V19" s="851">
        <f>IF(AE8="",0,S19+1)</f>
        <v>4</v>
      </c>
      <c r="W19" s="851"/>
      <c r="X19" s="851"/>
      <c r="Y19" s="851">
        <f>IF(AE8="",0,V19+1)</f>
        <v>5</v>
      </c>
      <c r="Z19" s="851"/>
      <c r="AA19" s="851"/>
      <c r="AB19" s="851">
        <f>IF(AE8="",0,Y19+1)</f>
        <v>6</v>
      </c>
      <c r="AC19" s="851"/>
      <c r="AD19" s="851"/>
      <c r="AE19" s="851">
        <f>IF(AE8="",0,AB19+1)</f>
        <v>7</v>
      </c>
      <c r="AF19" s="851"/>
      <c r="AG19" s="851"/>
      <c r="AH19" s="851">
        <f>IF(AE8="",0,AE19+1)</f>
        <v>8</v>
      </c>
      <c r="AI19" s="851"/>
      <c r="AJ19" s="852"/>
      <c r="AM19" s="106">
        <f>IF(I16="","",I16)</f>
        <v>42862</v>
      </c>
      <c r="AN19" s="107">
        <f t="shared" si="0"/>
        <v>0</v>
      </c>
      <c r="AO19" s="107">
        <f t="shared" si="1"/>
        <v>1</v>
      </c>
    </row>
    <row r="20" spans="1:41" ht="12.6" customHeight="1" thickTop="1" thickBot="1" x14ac:dyDescent="0.3">
      <c r="A20" s="866" t="s">
        <v>139</v>
      </c>
      <c r="B20" s="867"/>
      <c r="C20" s="868"/>
      <c r="D20" s="866" t="s">
        <v>140</v>
      </c>
      <c r="E20" s="867"/>
      <c r="F20" s="868"/>
      <c r="G20" s="866" t="s">
        <v>141</v>
      </c>
      <c r="H20" s="867"/>
      <c r="I20" s="868"/>
      <c r="J20" s="866" t="s">
        <v>142</v>
      </c>
      <c r="K20" s="867"/>
      <c r="L20" s="868"/>
      <c r="M20" s="866" t="s">
        <v>143</v>
      </c>
      <c r="N20" s="867"/>
      <c r="O20" s="868"/>
      <c r="P20" s="866" t="s">
        <v>144</v>
      </c>
      <c r="Q20" s="867"/>
      <c r="R20" s="868"/>
      <c r="S20" s="866" t="s">
        <v>145</v>
      </c>
      <c r="T20" s="867"/>
      <c r="U20" s="868"/>
      <c r="V20" s="866" t="s">
        <v>146</v>
      </c>
      <c r="W20" s="867"/>
      <c r="X20" s="868"/>
      <c r="Y20" s="866" t="s">
        <v>147</v>
      </c>
      <c r="Z20" s="867"/>
      <c r="AA20" s="868"/>
      <c r="AB20" s="866" t="s">
        <v>148</v>
      </c>
      <c r="AC20" s="867"/>
      <c r="AD20" s="868"/>
      <c r="AE20" s="866" t="s">
        <v>149</v>
      </c>
      <c r="AF20" s="867"/>
      <c r="AG20" s="868"/>
      <c r="AH20" s="866" t="s">
        <v>150</v>
      </c>
      <c r="AI20" s="867"/>
      <c r="AJ20" s="868"/>
      <c r="AM20" s="106">
        <f>IF(I17="","",I17)</f>
        <v>42961</v>
      </c>
      <c r="AN20" s="107">
        <f t="shared" si="0"/>
        <v>1</v>
      </c>
      <c r="AO20" s="107">
        <f t="shared" si="1"/>
        <v>0</v>
      </c>
    </row>
    <row r="21" spans="1:41" ht="9.9499999999999993" customHeight="1" thickTop="1" x14ac:dyDescent="0.25">
      <c r="A21" s="117">
        <f>DATE(AD4,9,1)</f>
        <v>42613</v>
      </c>
      <c r="B21" s="118">
        <f>DATE(AD4,9,1)</f>
        <v>42613</v>
      </c>
      <c r="C21" s="119" t="e">
        <f t="shared" ref="C21:C50" si="2">VLOOKUP(A21,tab_recap,3)</f>
        <v>#N/A</v>
      </c>
      <c r="D21" s="117">
        <f>A50+1</f>
        <v>42643</v>
      </c>
      <c r="E21" s="118">
        <f>+B50+1</f>
        <v>42643</v>
      </c>
      <c r="F21" s="119">
        <f t="shared" ref="F21:F51" si="3">VLOOKUP(D21,tab_recap,3)</f>
        <v>0</v>
      </c>
      <c r="G21" s="117">
        <f>D51+1</f>
        <v>42674</v>
      </c>
      <c r="H21" s="118">
        <f>+E51+1</f>
        <v>42674</v>
      </c>
      <c r="I21" s="119">
        <f t="shared" ref="I21:I50" si="4">VLOOKUP(G21,tab_recap,3)</f>
        <v>0</v>
      </c>
      <c r="J21" s="117">
        <f>G50+1</f>
        <v>42704</v>
      </c>
      <c r="K21" s="118">
        <f>+H50+1</f>
        <v>42704</v>
      </c>
      <c r="L21" s="119">
        <f t="shared" ref="L21:L51" si="5">VLOOKUP(J21,tab_recap,3)</f>
        <v>0</v>
      </c>
      <c r="M21" s="117">
        <f>J51+1</f>
        <v>42735</v>
      </c>
      <c r="N21" s="118">
        <f>+K51+1</f>
        <v>42735</v>
      </c>
      <c r="O21" s="119">
        <f t="shared" ref="O21:O51" si="6">VLOOKUP(M21,tab_recap,3)</f>
        <v>0</v>
      </c>
      <c r="P21" s="117">
        <f>M51+1</f>
        <v>42766</v>
      </c>
      <c r="Q21" s="118">
        <f>+N51+1</f>
        <v>42766</v>
      </c>
      <c r="R21" s="119">
        <f t="shared" ref="R21:R48" si="7">VLOOKUP(P21,tab_recap,3)</f>
        <v>0</v>
      </c>
      <c r="S21" s="117">
        <f>IF(DATE(AH4,12,31)-DATE(AH4,1,1)+1=366,P49+1,P48+1)</f>
        <v>42794</v>
      </c>
      <c r="T21" s="118">
        <f>IF(Q49="",+Q48+1,+Q49+1)</f>
        <v>42794</v>
      </c>
      <c r="U21" s="119">
        <f t="shared" ref="U21:U51" si="8">VLOOKUP(S21,tab_recap,3)</f>
        <v>0</v>
      </c>
      <c r="V21" s="117">
        <f>S51+1</f>
        <v>42825</v>
      </c>
      <c r="W21" s="118">
        <f>+T51+1</f>
        <v>42825</v>
      </c>
      <c r="X21" s="119">
        <f t="shared" ref="X21:X50" si="9">VLOOKUP(V21,tab_recap,3)</f>
        <v>0</v>
      </c>
      <c r="Y21" s="117">
        <f>V50+1</f>
        <v>42855</v>
      </c>
      <c r="Z21" s="118">
        <f>+W50+1</f>
        <v>42855</v>
      </c>
      <c r="AA21" s="119">
        <f t="shared" ref="AA21:AA51" si="10">VLOOKUP(Y21,tab_recap,3)</f>
        <v>0</v>
      </c>
      <c r="AB21" s="117">
        <f>Y51+1</f>
        <v>42886</v>
      </c>
      <c r="AC21" s="118">
        <f>+Z51+1</f>
        <v>42886</v>
      </c>
      <c r="AD21" s="119">
        <f t="shared" ref="AD21:AD50" si="11">VLOOKUP(AB21,tab_recap,3)</f>
        <v>0</v>
      </c>
      <c r="AE21" s="117">
        <f>AB50+1</f>
        <v>42916</v>
      </c>
      <c r="AF21" s="118">
        <f>+AC50+1</f>
        <v>42916</v>
      </c>
      <c r="AG21" s="119">
        <f t="shared" ref="AG21:AG51" si="12">VLOOKUP(AE21,tab_recap,3)</f>
        <v>0</v>
      </c>
      <c r="AH21" s="117">
        <f>AE51+1</f>
        <v>42947</v>
      </c>
      <c r="AI21" s="118">
        <f>+AF51+1</f>
        <v>42947</v>
      </c>
      <c r="AJ21" s="119">
        <f t="shared" ref="AJ21:AJ51" si="13">VLOOKUP(AH21,tab_recap,3)</f>
        <v>0</v>
      </c>
      <c r="AK21" s="90"/>
      <c r="AM21" s="106" t="str">
        <f>IF(I18="","",I18)</f>
        <v/>
      </c>
      <c r="AN21" s="107" t="str">
        <f t="shared" si="0"/>
        <v/>
      </c>
      <c r="AO21" s="107" t="str">
        <f t="shared" si="1"/>
        <v/>
      </c>
    </row>
    <row r="22" spans="1:41" ht="9.9499999999999993" customHeight="1" x14ac:dyDescent="0.25">
      <c r="A22" s="120">
        <f t="shared" ref="A22:A50" si="14">A21+1</f>
        <v>42614</v>
      </c>
      <c r="B22" s="121">
        <f t="shared" ref="B22:B50" si="15">+B21+1</f>
        <v>42614</v>
      </c>
      <c r="C22" s="119">
        <f t="shared" si="2"/>
        <v>0</v>
      </c>
      <c r="D22" s="120">
        <f t="shared" ref="D22:D51" si="16">D21+1</f>
        <v>42644</v>
      </c>
      <c r="E22" s="121">
        <f t="shared" ref="E22:E51" si="17">+E21+1</f>
        <v>42644</v>
      </c>
      <c r="F22" s="119">
        <f t="shared" si="3"/>
        <v>0</v>
      </c>
      <c r="G22" s="120">
        <f t="shared" ref="G22:G50" si="18">G21+1</f>
        <v>42675</v>
      </c>
      <c r="H22" s="121">
        <f t="shared" ref="H22:H50" si="19">+H21+1</f>
        <v>42675</v>
      </c>
      <c r="I22" s="119">
        <f t="shared" si="4"/>
        <v>0</v>
      </c>
      <c r="J22" s="120">
        <f t="shared" ref="J22:J51" si="20">J21+1</f>
        <v>42705</v>
      </c>
      <c r="K22" s="121">
        <f t="shared" ref="K22:K51" si="21">+K21+1</f>
        <v>42705</v>
      </c>
      <c r="L22" s="119">
        <f t="shared" si="5"/>
        <v>0</v>
      </c>
      <c r="M22" s="120">
        <f t="shared" ref="M22:M51" si="22">M21+1</f>
        <v>42736</v>
      </c>
      <c r="N22" s="121">
        <f t="shared" ref="N22:N51" si="23">+N21+1</f>
        <v>42736</v>
      </c>
      <c r="O22" s="119">
        <f t="shared" si="6"/>
        <v>0</v>
      </c>
      <c r="P22" s="120">
        <f t="shared" ref="P22:P48" si="24">P21+1</f>
        <v>42767</v>
      </c>
      <c r="Q22" s="121">
        <f t="shared" ref="Q22:Q48" si="25">+Q21+1</f>
        <v>42767</v>
      </c>
      <c r="R22" s="119">
        <f t="shared" si="7"/>
        <v>0</v>
      </c>
      <c r="S22" s="120">
        <f t="shared" ref="S22:S51" si="26">S21+1</f>
        <v>42795</v>
      </c>
      <c r="T22" s="121">
        <f t="shared" ref="T22:T51" si="27">+T21+1</f>
        <v>42795</v>
      </c>
      <c r="U22" s="119">
        <f t="shared" si="8"/>
        <v>0</v>
      </c>
      <c r="V22" s="120">
        <f t="shared" ref="V22:V50" si="28">V21+1</f>
        <v>42826</v>
      </c>
      <c r="W22" s="121">
        <f t="shared" ref="W22:W50" si="29">+W21+1</f>
        <v>42826</v>
      </c>
      <c r="X22" s="119">
        <f t="shared" si="9"/>
        <v>0</v>
      </c>
      <c r="Y22" s="120">
        <f t="shared" ref="Y22:Y51" si="30">Y21+1</f>
        <v>42856</v>
      </c>
      <c r="Z22" s="121">
        <f t="shared" ref="Z22:Z51" si="31">+Z21+1</f>
        <v>42856</v>
      </c>
      <c r="AA22" s="119">
        <f t="shared" si="10"/>
        <v>0</v>
      </c>
      <c r="AB22" s="120">
        <f t="shared" ref="AB22:AB50" si="32">AB21+1</f>
        <v>42887</v>
      </c>
      <c r="AC22" s="121">
        <f t="shared" ref="AC22:AC50" si="33">+AC21+1</f>
        <v>42887</v>
      </c>
      <c r="AD22" s="119">
        <f t="shared" si="11"/>
        <v>0</v>
      </c>
      <c r="AE22" s="120">
        <f t="shared" ref="AE22:AE51" si="34">AE21+1</f>
        <v>42917</v>
      </c>
      <c r="AF22" s="121">
        <f t="shared" ref="AF22:AF51" si="35">+AF21+1</f>
        <v>42917</v>
      </c>
      <c r="AG22" s="119">
        <f t="shared" si="12"/>
        <v>0</v>
      </c>
      <c r="AH22" s="120">
        <f t="shared" ref="AH22:AH51" si="36">AH21+1</f>
        <v>42948</v>
      </c>
      <c r="AI22" s="121">
        <f t="shared" ref="AI22:AI51" si="37">+AI21+1</f>
        <v>42948</v>
      </c>
      <c r="AJ22" s="119">
        <f t="shared" si="13"/>
        <v>0</v>
      </c>
      <c r="AK22" s="90"/>
    </row>
    <row r="23" spans="1:41" ht="9.9499999999999993" customHeight="1" x14ac:dyDescent="0.25">
      <c r="A23" s="120">
        <f t="shared" si="14"/>
        <v>42615</v>
      </c>
      <c r="B23" s="121">
        <f t="shared" si="15"/>
        <v>42615</v>
      </c>
      <c r="C23" s="119">
        <f t="shared" si="2"/>
        <v>0</v>
      </c>
      <c r="D23" s="120">
        <f t="shared" si="16"/>
        <v>42645</v>
      </c>
      <c r="E23" s="121">
        <f t="shared" si="17"/>
        <v>42645</v>
      </c>
      <c r="F23" s="119">
        <f t="shared" si="3"/>
        <v>0</v>
      </c>
      <c r="G23" s="120">
        <f t="shared" si="18"/>
        <v>42676</v>
      </c>
      <c r="H23" s="121">
        <f t="shared" si="19"/>
        <v>42676</v>
      </c>
      <c r="I23" s="119">
        <f t="shared" si="4"/>
        <v>0</v>
      </c>
      <c r="J23" s="120">
        <f t="shared" si="20"/>
        <v>42706</v>
      </c>
      <c r="K23" s="121">
        <f t="shared" si="21"/>
        <v>42706</v>
      </c>
      <c r="L23" s="119">
        <f t="shared" si="5"/>
        <v>0</v>
      </c>
      <c r="M23" s="120">
        <f t="shared" si="22"/>
        <v>42737</v>
      </c>
      <c r="N23" s="121">
        <f t="shared" si="23"/>
        <v>42737</v>
      </c>
      <c r="O23" s="119">
        <f t="shared" si="6"/>
        <v>0</v>
      </c>
      <c r="P23" s="120">
        <f t="shared" si="24"/>
        <v>42768</v>
      </c>
      <c r="Q23" s="121">
        <f t="shared" si="25"/>
        <v>42768</v>
      </c>
      <c r="R23" s="119">
        <f t="shared" si="7"/>
        <v>0</v>
      </c>
      <c r="S23" s="120">
        <f t="shared" si="26"/>
        <v>42796</v>
      </c>
      <c r="T23" s="121">
        <f t="shared" si="27"/>
        <v>42796</v>
      </c>
      <c r="U23" s="119">
        <f t="shared" si="8"/>
        <v>0</v>
      </c>
      <c r="V23" s="120">
        <f t="shared" si="28"/>
        <v>42827</v>
      </c>
      <c r="W23" s="121">
        <f t="shared" si="29"/>
        <v>42827</v>
      </c>
      <c r="X23" s="119">
        <f t="shared" si="9"/>
        <v>0</v>
      </c>
      <c r="Y23" s="120">
        <f t="shared" si="30"/>
        <v>42857</v>
      </c>
      <c r="Z23" s="121">
        <f t="shared" si="31"/>
        <v>42857</v>
      </c>
      <c r="AA23" s="119">
        <f t="shared" si="10"/>
        <v>0</v>
      </c>
      <c r="AB23" s="120">
        <f t="shared" si="32"/>
        <v>42888</v>
      </c>
      <c r="AC23" s="121">
        <f t="shared" si="33"/>
        <v>42888</v>
      </c>
      <c r="AD23" s="119">
        <f t="shared" si="11"/>
        <v>0</v>
      </c>
      <c r="AE23" s="120">
        <f t="shared" si="34"/>
        <v>42918</v>
      </c>
      <c r="AF23" s="121">
        <f t="shared" si="35"/>
        <v>42918</v>
      </c>
      <c r="AG23" s="119">
        <f t="shared" si="12"/>
        <v>0</v>
      </c>
      <c r="AH23" s="120">
        <f t="shared" si="36"/>
        <v>42949</v>
      </c>
      <c r="AI23" s="121">
        <f t="shared" si="37"/>
        <v>42949</v>
      </c>
      <c r="AJ23" s="119">
        <f t="shared" si="13"/>
        <v>0</v>
      </c>
      <c r="AK23" s="90"/>
    </row>
    <row r="24" spans="1:41" ht="9.9499999999999993" customHeight="1" x14ac:dyDescent="0.25">
      <c r="A24" s="120">
        <f t="shared" si="14"/>
        <v>42616</v>
      </c>
      <c r="B24" s="121">
        <f t="shared" si="15"/>
        <v>42616</v>
      </c>
      <c r="C24" s="119">
        <f t="shared" si="2"/>
        <v>0</v>
      </c>
      <c r="D24" s="120">
        <f t="shared" si="16"/>
        <v>42646</v>
      </c>
      <c r="E24" s="121">
        <f t="shared" si="17"/>
        <v>42646</v>
      </c>
      <c r="F24" s="119">
        <f t="shared" si="3"/>
        <v>0</v>
      </c>
      <c r="G24" s="120">
        <f t="shared" si="18"/>
        <v>42677</v>
      </c>
      <c r="H24" s="121">
        <f t="shared" si="19"/>
        <v>42677</v>
      </c>
      <c r="I24" s="119">
        <f t="shared" si="4"/>
        <v>0</v>
      </c>
      <c r="J24" s="120">
        <f t="shared" si="20"/>
        <v>42707</v>
      </c>
      <c r="K24" s="121">
        <f t="shared" si="21"/>
        <v>42707</v>
      </c>
      <c r="L24" s="119">
        <f t="shared" si="5"/>
        <v>0</v>
      </c>
      <c r="M24" s="120">
        <f t="shared" si="22"/>
        <v>42738</v>
      </c>
      <c r="N24" s="121">
        <f t="shared" si="23"/>
        <v>42738</v>
      </c>
      <c r="O24" s="119">
        <f t="shared" si="6"/>
        <v>0</v>
      </c>
      <c r="P24" s="120">
        <f t="shared" si="24"/>
        <v>42769</v>
      </c>
      <c r="Q24" s="121">
        <f t="shared" si="25"/>
        <v>42769</v>
      </c>
      <c r="R24" s="119">
        <f t="shared" si="7"/>
        <v>0</v>
      </c>
      <c r="S24" s="120">
        <f t="shared" si="26"/>
        <v>42797</v>
      </c>
      <c r="T24" s="121">
        <f t="shared" si="27"/>
        <v>42797</v>
      </c>
      <c r="U24" s="119">
        <f t="shared" si="8"/>
        <v>0</v>
      </c>
      <c r="V24" s="120">
        <f t="shared" si="28"/>
        <v>42828</v>
      </c>
      <c r="W24" s="121">
        <f t="shared" si="29"/>
        <v>42828</v>
      </c>
      <c r="X24" s="119">
        <f t="shared" si="9"/>
        <v>0</v>
      </c>
      <c r="Y24" s="120">
        <f t="shared" si="30"/>
        <v>42858</v>
      </c>
      <c r="Z24" s="121">
        <f t="shared" si="31"/>
        <v>42858</v>
      </c>
      <c r="AA24" s="119">
        <f t="shared" si="10"/>
        <v>0</v>
      </c>
      <c r="AB24" s="120">
        <f t="shared" si="32"/>
        <v>42889</v>
      </c>
      <c r="AC24" s="121">
        <f t="shared" si="33"/>
        <v>42889</v>
      </c>
      <c r="AD24" s="119">
        <f t="shared" si="11"/>
        <v>0</v>
      </c>
      <c r="AE24" s="120">
        <f t="shared" si="34"/>
        <v>42919</v>
      </c>
      <c r="AF24" s="121">
        <f t="shared" si="35"/>
        <v>42919</v>
      </c>
      <c r="AG24" s="119">
        <f t="shared" si="12"/>
        <v>0</v>
      </c>
      <c r="AH24" s="120">
        <f t="shared" si="36"/>
        <v>42950</v>
      </c>
      <c r="AI24" s="121">
        <f t="shared" si="37"/>
        <v>42950</v>
      </c>
      <c r="AJ24" s="119">
        <f t="shared" si="13"/>
        <v>0</v>
      </c>
      <c r="AK24" s="90"/>
    </row>
    <row r="25" spans="1:41" ht="9.9499999999999993" customHeight="1" x14ac:dyDescent="0.25">
      <c r="A25" s="120">
        <f t="shared" si="14"/>
        <v>42617</v>
      </c>
      <c r="B25" s="121">
        <f t="shared" si="15"/>
        <v>42617</v>
      </c>
      <c r="C25" s="119">
        <f t="shared" si="2"/>
        <v>0</v>
      </c>
      <c r="D25" s="120">
        <f t="shared" si="16"/>
        <v>42647</v>
      </c>
      <c r="E25" s="121">
        <f t="shared" si="17"/>
        <v>42647</v>
      </c>
      <c r="F25" s="119">
        <f t="shared" si="3"/>
        <v>0</v>
      </c>
      <c r="G25" s="120">
        <f t="shared" si="18"/>
        <v>42678</v>
      </c>
      <c r="H25" s="121">
        <f t="shared" si="19"/>
        <v>42678</v>
      </c>
      <c r="I25" s="119">
        <f t="shared" si="4"/>
        <v>0</v>
      </c>
      <c r="J25" s="120">
        <f t="shared" si="20"/>
        <v>42708</v>
      </c>
      <c r="K25" s="121">
        <f t="shared" si="21"/>
        <v>42708</v>
      </c>
      <c r="L25" s="119">
        <f t="shared" si="5"/>
        <v>0</v>
      </c>
      <c r="M25" s="120">
        <f t="shared" si="22"/>
        <v>42739</v>
      </c>
      <c r="N25" s="121">
        <f t="shared" si="23"/>
        <v>42739</v>
      </c>
      <c r="O25" s="119">
        <f t="shared" si="6"/>
        <v>0</v>
      </c>
      <c r="P25" s="120">
        <f t="shared" si="24"/>
        <v>42770</v>
      </c>
      <c r="Q25" s="121">
        <f t="shared" si="25"/>
        <v>42770</v>
      </c>
      <c r="R25" s="119">
        <f t="shared" si="7"/>
        <v>0</v>
      </c>
      <c r="S25" s="120">
        <f t="shared" si="26"/>
        <v>42798</v>
      </c>
      <c r="T25" s="121">
        <f t="shared" si="27"/>
        <v>42798</v>
      </c>
      <c r="U25" s="119">
        <f t="shared" si="8"/>
        <v>0</v>
      </c>
      <c r="V25" s="120">
        <f t="shared" si="28"/>
        <v>42829</v>
      </c>
      <c r="W25" s="121">
        <f t="shared" si="29"/>
        <v>42829</v>
      </c>
      <c r="X25" s="119">
        <f t="shared" si="9"/>
        <v>0</v>
      </c>
      <c r="Y25" s="120">
        <f t="shared" si="30"/>
        <v>42859</v>
      </c>
      <c r="Z25" s="121">
        <f t="shared" si="31"/>
        <v>42859</v>
      </c>
      <c r="AA25" s="119">
        <f t="shared" si="10"/>
        <v>0</v>
      </c>
      <c r="AB25" s="120">
        <f t="shared" si="32"/>
        <v>42890</v>
      </c>
      <c r="AC25" s="121">
        <f t="shared" si="33"/>
        <v>42890</v>
      </c>
      <c r="AD25" s="119">
        <f t="shared" si="11"/>
        <v>0</v>
      </c>
      <c r="AE25" s="120">
        <f t="shared" si="34"/>
        <v>42920</v>
      </c>
      <c r="AF25" s="121">
        <f t="shared" si="35"/>
        <v>42920</v>
      </c>
      <c r="AG25" s="119">
        <f t="shared" si="12"/>
        <v>0</v>
      </c>
      <c r="AH25" s="120">
        <f t="shared" si="36"/>
        <v>42951</v>
      </c>
      <c r="AI25" s="121">
        <f t="shared" si="37"/>
        <v>42951</v>
      </c>
      <c r="AJ25" s="119">
        <f t="shared" si="13"/>
        <v>0</v>
      </c>
      <c r="AK25" s="90"/>
    </row>
    <row r="26" spans="1:41" ht="9.9499999999999993" customHeight="1" x14ac:dyDescent="0.25">
      <c r="A26" s="120">
        <f t="shared" si="14"/>
        <v>42618</v>
      </c>
      <c r="B26" s="121">
        <f t="shared" si="15"/>
        <v>42618</v>
      </c>
      <c r="C26" s="119">
        <f t="shared" si="2"/>
        <v>0</v>
      </c>
      <c r="D26" s="120">
        <f t="shared" si="16"/>
        <v>42648</v>
      </c>
      <c r="E26" s="121">
        <f t="shared" si="17"/>
        <v>42648</v>
      </c>
      <c r="F26" s="119">
        <f t="shared" si="3"/>
        <v>0</v>
      </c>
      <c r="G26" s="120">
        <f t="shared" si="18"/>
        <v>42679</v>
      </c>
      <c r="H26" s="121">
        <f t="shared" si="19"/>
        <v>42679</v>
      </c>
      <c r="I26" s="119">
        <f t="shared" si="4"/>
        <v>0</v>
      </c>
      <c r="J26" s="120">
        <f t="shared" si="20"/>
        <v>42709</v>
      </c>
      <c r="K26" s="121">
        <f t="shared" si="21"/>
        <v>42709</v>
      </c>
      <c r="L26" s="119">
        <f t="shared" si="5"/>
        <v>0</v>
      </c>
      <c r="M26" s="120">
        <f t="shared" si="22"/>
        <v>42740</v>
      </c>
      <c r="N26" s="121">
        <f t="shared" si="23"/>
        <v>42740</v>
      </c>
      <c r="O26" s="119">
        <f t="shared" si="6"/>
        <v>0</v>
      </c>
      <c r="P26" s="120">
        <f t="shared" si="24"/>
        <v>42771</v>
      </c>
      <c r="Q26" s="121">
        <f t="shared" si="25"/>
        <v>42771</v>
      </c>
      <c r="R26" s="119">
        <f t="shared" si="7"/>
        <v>0</v>
      </c>
      <c r="S26" s="120">
        <f t="shared" si="26"/>
        <v>42799</v>
      </c>
      <c r="T26" s="121">
        <f t="shared" si="27"/>
        <v>42799</v>
      </c>
      <c r="U26" s="119">
        <f t="shared" si="8"/>
        <v>0</v>
      </c>
      <c r="V26" s="120">
        <f t="shared" si="28"/>
        <v>42830</v>
      </c>
      <c r="W26" s="121">
        <f t="shared" si="29"/>
        <v>42830</v>
      </c>
      <c r="X26" s="119">
        <f t="shared" si="9"/>
        <v>0</v>
      </c>
      <c r="Y26" s="120">
        <f t="shared" si="30"/>
        <v>42860</v>
      </c>
      <c r="Z26" s="121">
        <f t="shared" si="31"/>
        <v>42860</v>
      </c>
      <c r="AA26" s="119">
        <f t="shared" si="10"/>
        <v>0</v>
      </c>
      <c r="AB26" s="120">
        <f t="shared" si="32"/>
        <v>42891</v>
      </c>
      <c r="AC26" s="121">
        <f t="shared" si="33"/>
        <v>42891</v>
      </c>
      <c r="AD26" s="119">
        <f t="shared" si="11"/>
        <v>0</v>
      </c>
      <c r="AE26" s="120">
        <f t="shared" si="34"/>
        <v>42921</v>
      </c>
      <c r="AF26" s="121">
        <f t="shared" si="35"/>
        <v>42921</v>
      </c>
      <c r="AG26" s="119">
        <f t="shared" si="12"/>
        <v>0</v>
      </c>
      <c r="AH26" s="120">
        <f t="shared" si="36"/>
        <v>42952</v>
      </c>
      <c r="AI26" s="121">
        <f t="shared" si="37"/>
        <v>42952</v>
      </c>
      <c r="AJ26" s="119">
        <f t="shared" si="13"/>
        <v>0</v>
      </c>
      <c r="AK26" s="90"/>
    </row>
    <row r="27" spans="1:41" ht="9.9499999999999993" customHeight="1" x14ac:dyDescent="0.25">
      <c r="A27" s="120">
        <f t="shared" si="14"/>
        <v>42619</v>
      </c>
      <c r="B27" s="121">
        <f t="shared" si="15"/>
        <v>42619</v>
      </c>
      <c r="C27" s="119">
        <f t="shared" si="2"/>
        <v>0</v>
      </c>
      <c r="D27" s="120">
        <f t="shared" si="16"/>
        <v>42649</v>
      </c>
      <c r="E27" s="121">
        <f t="shared" si="17"/>
        <v>42649</v>
      </c>
      <c r="F27" s="119">
        <f t="shared" si="3"/>
        <v>0</v>
      </c>
      <c r="G27" s="120">
        <f t="shared" si="18"/>
        <v>42680</v>
      </c>
      <c r="H27" s="121">
        <f t="shared" si="19"/>
        <v>42680</v>
      </c>
      <c r="I27" s="119">
        <f t="shared" si="4"/>
        <v>0</v>
      </c>
      <c r="J27" s="120">
        <f t="shared" si="20"/>
        <v>42710</v>
      </c>
      <c r="K27" s="121">
        <f t="shared" si="21"/>
        <v>42710</v>
      </c>
      <c r="L27" s="119">
        <f t="shared" si="5"/>
        <v>0</v>
      </c>
      <c r="M27" s="120">
        <f t="shared" si="22"/>
        <v>42741</v>
      </c>
      <c r="N27" s="121">
        <f t="shared" si="23"/>
        <v>42741</v>
      </c>
      <c r="O27" s="119">
        <f t="shared" si="6"/>
        <v>0</v>
      </c>
      <c r="P27" s="120">
        <f t="shared" si="24"/>
        <v>42772</v>
      </c>
      <c r="Q27" s="121">
        <f t="shared" si="25"/>
        <v>42772</v>
      </c>
      <c r="R27" s="119">
        <f t="shared" si="7"/>
        <v>0</v>
      </c>
      <c r="S27" s="120">
        <f t="shared" si="26"/>
        <v>42800</v>
      </c>
      <c r="T27" s="121">
        <f t="shared" si="27"/>
        <v>42800</v>
      </c>
      <c r="U27" s="119">
        <f t="shared" si="8"/>
        <v>0</v>
      </c>
      <c r="V27" s="120">
        <f t="shared" si="28"/>
        <v>42831</v>
      </c>
      <c r="W27" s="121">
        <f t="shared" si="29"/>
        <v>42831</v>
      </c>
      <c r="X27" s="119">
        <f t="shared" si="9"/>
        <v>0</v>
      </c>
      <c r="Y27" s="120">
        <f t="shared" si="30"/>
        <v>42861</v>
      </c>
      <c r="Z27" s="121">
        <f t="shared" si="31"/>
        <v>42861</v>
      </c>
      <c r="AA27" s="119">
        <f t="shared" si="10"/>
        <v>0</v>
      </c>
      <c r="AB27" s="120">
        <f t="shared" si="32"/>
        <v>42892</v>
      </c>
      <c r="AC27" s="121">
        <f t="shared" si="33"/>
        <v>42892</v>
      </c>
      <c r="AD27" s="119">
        <f t="shared" si="11"/>
        <v>0</v>
      </c>
      <c r="AE27" s="120">
        <f t="shared" si="34"/>
        <v>42922</v>
      </c>
      <c r="AF27" s="121">
        <f t="shared" si="35"/>
        <v>42922</v>
      </c>
      <c r="AG27" s="119">
        <f t="shared" si="12"/>
        <v>0</v>
      </c>
      <c r="AH27" s="120">
        <f t="shared" si="36"/>
        <v>42953</v>
      </c>
      <c r="AI27" s="121">
        <f t="shared" si="37"/>
        <v>42953</v>
      </c>
      <c r="AJ27" s="119">
        <f t="shared" si="13"/>
        <v>0</v>
      </c>
      <c r="AK27" s="90"/>
    </row>
    <row r="28" spans="1:41" ht="9.9499999999999993" customHeight="1" x14ac:dyDescent="0.25">
      <c r="A28" s="120">
        <f t="shared" si="14"/>
        <v>42620</v>
      </c>
      <c r="B28" s="121">
        <f t="shared" si="15"/>
        <v>42620</v>
      </c>
      <c r="C28" s="119">
        <f t="shared" si="2"/>
        <v>0</v>
      </c>
      <c r="D28" s="120">
        <f t="shared" si="16"/>
        <v>42650</v>
      </c>
      <c r="E28" s="121">
        <f t="shared" si="17"/>
        <v>42650</v>
      </c>
      <c r="F28" s="119">
        <f t="shared" si="3"/>
        <v>0</v>
      </c>
      <c r="G28" s="120">
        <f t="shared" si="18"/>
        <v>42681</v>
      </c>
      <c r="H28" s="121">
        <f t="shared" si="19"/>
        <v>42681</v>
      </c>
      <c r="I28" s="119">
        <f t="shared" si="4"/>
        <v>0</v>
      </c>
      <c r="J28" s="120">
        <f t="shared" si="20"/>
        <v>42711</v>
      </c>
      <c r="K28" s="121">
        <f t="shared" si="21"/>
        <v>42711</v>
      </c>
      <c r="L28" s="119">
        <f t="shared" si="5"/>
        <v>0</v>
      </c>
      <c r="M28" s="120">
        <f t="shared" si="22"/>
        <v>42742</v>
      </c>
      <c r="N28" s="121">
        <f t="shared" si="23"/>
        <v>42742</v>
      </c>
      <c r="O28" s="119">
        <f t="shared" si="6"/>
        <v>0</v>
      </c>
      <c r="P28" s="120">
        <f t="shared" si="24"/>
        <v>42773</v>
      </c>
      <c r="Q28" s="121">
        <f t="shared" si="25"/>
        <v>42773</v>
      </c>
      <c r="R28" s="119">
        <f t="shared" si="7"/>
        <v>0</v>
      </c>
      <c r="S28" s="120">
        <f t="shared" si="26"/>
        <v>42801</v>
      </c>
      <c r="T28" s="121">
        <f t="shared" si="27"/>
        <v>42801</v>
      </c>
      <c r="U28" s="119">
        <f t="shared" si="8"/>
        <v>0</v>
      </c>
      <c r="V28" s="120">
        <f t="shared" si="28"/>
        <v>42832</v>
      </c>
      <c r="W28" s="121">
        <f t="shared" si="29"/>
        <v>42832</v>
      </c>
      <c r="X28" s="119">
        <f t="shared" si="9"/>
        <v>0</v>
      </c>
      <c r="Y28" s="120">
        <f t="shared" si="30"/>
        <v>42862</v>
      </c>
      <c r="Z28" s="121">
        <f t="shared" si="31"/>
        <v>42862</v>
      </c>
      <c r="AA28" s="119">
        <f t="shared" si="10"/>
        <v>0</v>
      </c>
      <c r="AB28" s="120">
        <f t="shared" si="32"/>
        <v>42893</v>
      </c>
      <c r="AC28" s="121">
        <f t="shared" si="33"/>
        <v>42893</v>
      </c>
      <c r="AD28" s="119">
        <f t="shared" si="11"/>
        <v>0</v>
      </c>
      <c r="AE28" s="120">
        <f t="shared" si="34"/>
        <v>42923</v>
      </c>
      <c r="AF28" s="121">
        <f t="shared" si="35"/>
        <v>42923</v>
      </c>
      <c r="AG28" s="119">
        <f t="shared" si="12"/>
        <v>0</v>
      </c>
      <c r="AH28" s="120">
        <f t="shared" si="36"/>
        <v>42954</v>
      </c>
      <c r="AI28" s="121">
        <f t="shared" si="37"/>
        <v>42954</v>
      </c>
      <c r="AJ28" s="119">
        <f t="shared" si="13"/>
        <v>0</v>
      </c>
      <c r="AK28" s="90"/>
    </row>
    <row r="29" spans="1:41" ht="9.9499999999999993" customHeight="1" x14ac:dyDescent="0.25">
      <c r="A29" s="120">
        <f t="shared" si="14"/>
        <v>42621</v>
      </c>
      <c r="B29" s="121">
        <f t="shared" si="15"/>
        <v>42621</v>
      </c>
      <c r="C29" s="119">
        <f t="shared" si="2"/>
        <v>0</v>
      </c>
      <c r="D29" s="120">
        <f t="shared" si="16"/>
        <v>42651</v>
      </c>
      <c r="E29" s="121">
        <f t="shared" si="17"/>
        <v>42651</v>
      </c>
      <c r="F29" s="119">
        <f t="shared" si="3"/>
        <v>0</v>
      </c>
      <c r="G29" s="120">
        <f t="shared" si="18"/>
        <v>42682</v>
      </c>
      <c r="H29" s="121">
        <f t="shared" si="19"/>
        <v>42682</v>
      </c>
      <c r="I29" s="119">
        <f t="shared" si="4"/>
        <v>0</v>
      </c>
      <c r="J29" s="120">
        <f t="shared" si="20"/>
        <v>42712</v>
      </c>
      <c r="K29" s="121">
        <f t="shared" si="21"/>
        <v>42712</v>
      </c>
      <c r="L29" s="119">
        <f t="shared" si="5"/>
        <v>0</v>
      </c>
      <c r="M29" s="120">
        <f t="shared" si="22"/>
        <v>42743</v>
      </c>
      <c r="N29" s="121">
        <f t="shared" si="23"/>
        <v>42743</v>
      </c>
      <c r="O29" s="119">
        <f t="shared" si="6"/>
        <v>0</v>
      </c>
      <c r="P29" s="120">
        <f t="shared" si="24"/>
        <v>42774</v>
      </c>
      <c r="Q29" s="121">
        <f t="shared" si="25"/>
        <v>42774</v>
      </c>
      <c r="R29" s="119">
        <f t="shared" si="7"/>
        <v>0</v>
      </c>
      <c r="S29" s="120">
        <f t="shared" si="26"/>
        <v>42802</v>
      </c>
      <c r="T29" s="121">
        <f t="shared" si="27"/>
        <v>42802</v>
      </c>
      <c r="U29" s="119">
        <f t="shared" si="8"/>
        <v>0</v>
      </c>
      <c r="V29" s="120">
        <f t="shared" si="28"/>
        <v>42833</v>
      </c>
      <c r="W29" s="121">
        <f t="shared" si="29"/>
        <v>42833</v>
      </c>
      <c r="X29" s="119">
        <f t="shared" si="9"/>
        <v>0</v>
      </c>
      <c r="Y29" s="120">
        <f t="shared" si="30"/>
        <v>42863</v>
      </c>
      <c r="Z29" s="121">
        <f t="shared" si="31"/>
        <v>42863</v>
      </c>
      <c r="AA29" s="119">
        <f t="shared" si="10"/>
        <v>0</v>
      </c>
      <c r="AB29" s="120">
        <f t="shared" si="32"/>
        <v>42894</v>
      </c>
      <c r="AC29" s="121">
        <f t="shared" si="33"/>
        <v>42894</v>
      </c>
      <c r="AD29" s="119">
        <f t="shared" si="11"/>
        <v>0</v>
      </c>
      <c r="AE29" s="120">
        <f t="shared" si="34"/>
        <v>42924</v>
      </c>
      <c r="AF29" s="121">
        <f t="shared" si="35"/>
        <v>42924</v>
      </c>
      <c r="AG29" s="119">
        <f t="shared" si="12"/>
        <v>0</v>
      </c>
      <c r="AH29" s="120">
        <f t="shared" si="36"/>
        <v>42955</v>
      </c>
      <c r="AI29" s="121">
        <f t="shared" si="37"/>
        <v>42955</v>
      </c>
      <c r="AJ29" s="119">
        <f t="shared" si="13"/>
        <v>0</v>
      </c>
      <c r="AK29" s="90"/>
    </row>
    <row r="30" spans="1:41" ht="9.9499999999999993" customHeight="1" x14ac:dyDescent="0.25">
      <c r="A30" s="120">
        <f t="shared" si="14"/>
        <v>42622</v>
      </c>
      <c r="B30" s="121">
        <f t="shared" si="15"/>
        <v>42622</v>
      </c>
      <c r="C30" s="119">
        <f t="shared" si="2"/>
        <v>0</v>
      </c>
      <c r="D30" s="120">
        <f t="shared" si="16"/>
        <v>42652</v>
      </c>
      <c r="E30" s="121">
        <f t="shared" si="17"/>
        <v>42652</v>
      </c>
      <c r="F30" s="119">
        <f t="shared" si="3"/>
        <v>0</v>
      </c>
      <c r="G30" s="120">
        <f t="shared" si="18"/>
        <v>42683</v>
      </c>
      <c r="H30" s="121">
        <f t="shared" si="19"/>
        <v>42683</v>
      </c>
      <c r="I30" s="119">
        <f t="shared" si="4"/>
        <v>0</v>
      </c>
      <c r="J30" s="120">
        <f t="shared" si="20"/>
        <v>42713</v>
      </c>
      <c r="K30" s="121">
        <f t="shared" si="21"/>
        <v>42713</v>
      </c>
      <c r="L30" s="119">
        <f t="shared" si="5"/>
        <v>0</v>
      </c>
      <c r="M30" s="120">
        <f t="shared" si="22"/>
        <v>42744</v>
      </c>
      <c r="N30" s="121">
        <f t="shared" si="23"/>
        <v>42744</v>
      </c>
      <c r="O30" s="119">
        <f t="shared" si="6"/>
        <v>0</v>
      </c>
      <c r="P30" s="120">
        <f t="shared" si="24"/>
        <v>42775</v>
      </c>
      <c r="Q30" s="121">
        <f t="shared" si="25"/>
        <v>42775</v>
      </c>
      <c r="R30" s="119">
        <f t="shared" si="7"/>
        <v>0</v>
      </c>
      <c r="S30" s="120">
        <f t="shared" si="26"/>
        <v>42803</v>
      </c>
      <c r="T30" s="121">
        <f t="shared" si="27"/>
        <v>42803</v>
      </c>
      <c r="U30" s="119">
        <f t="shared" si="8"/>
        <v>0</v>
      </c>
      <c r="V30" s="120">
        <f t="shared" si="28"/>
        <v>42834</v>
      </c>
      <c r="W30" s="121">
        <f t="shared" si="29"/>
        <v>42834</v>
      </c>
      <c r="X30" s="119">
        <f t="shared" si="9"/>
        <v>0</v>
      </c>
      <c r="Y30" s="120">
        <f t="shared" si="30"/>
        <v>42864</v>
      </c>
      <c r="Z30" s="121">
        <f t="shared" si="31"/>
        <v>42864</v>
      </c>
      <c r="AA30" s="119">
        <f t="shared" si="10"/>
        <v>0</v>
      </c>
      <c r="AB30" s="120">
        <f t="shared" si="32"/>
        <v>42895</v>
      </c>
      <c r="AC30" s="121">
        <f t="shared" si="33"/>
        <v>42895</v>
      </c>
      <c r="AD30" s="119">
        <f t="shared" si="11"/>
        <v>0</v>
      </c>
      <c r="AE30" s="120">
        <f t="shared" si="34"/>
        <v>42925</v>
      </c>
      <c r="AF30" s="121">
        <f t="shared" si="35"/>
        <v>42925</v>
      </c>
      <c r="AG30" s="119">
        <f t="shared" si="12"/>
        <v>0</v>
      </c>
      <c r="AH30" s="120">
        <f t="shared" si="36"/>
        <v>42956</v>
      </c>
      <c r="AI30" s="121">
        <f t="shared" si="37"/>
        <v>42956</v>
      </c>
      <c r="AJ30" s="119">
        <f t="shared" si="13"/>
        <v>0</v>
      </c>
      <c r="AK30" s="90"/>
    </row>
    <row r="31" spans="1:41" ht="9.9499999999999993" customHeight="1" x14ac:dyDescent="0.25">
      <c r="A31" s="120">
        <f t="shared" si="14"/>
        <v>42623</v>
      </c>
      <c r="B31" s="121">
        <f t="shared" si="15"/>
        <v>42623</v>
      </c>
      <c r="C31" s="119">
        <f t="shared" si="2"/>
        <v>0</v>
      </c>
      <c r="D31" s="120">
        <f t="shared" si="16"/>
        <v>42653</v>
      </c>
      <c r="E31" s="121">
        <f t="shared" si="17"/>
        <v>42653</v>
      </c>
      <c r="F31" s="119">
        <f t="shared" si="3"/>
        <v>0</v>
      </c>
      <c r="G31" s="120">
        <f t="shared" si="18"/>
        <v>42684</v>
      </c>
      <c r="H31" s="121">
        <f t="shared" si="19"/>
        <v>42684</v>
      </c>
      <c r="I31" s="119">
        <f t="shared" si="4"/>
        <v>0</v>
      </c>
      <c r="J31" s="120">
        <f t="shared" si="20"/>
        <v>42714</v>
      </c>
      <c r="K31" s="121">
        <f t="shared" si="21"/>
        <v>42714</v>
      </c>
      <c r="L31" s="119">
        <f t="shared" si="5"/>
        <v>0</v>
      </c>
      <c r="M31" s="120">
        <f t="shared" si="22"/>
        <v>42745</v>
      </c>
      <c r="N31" s="121">
        <f t="shared" si="23"/>
        <v>42745</v>
      </c>
      <c r="O31" s="119">
        <f t="shared" si="6"/>
        <v>0</v>
      </c>
      <c r="P31" s="120">
        <f t="shared" si="24"/>
        <v>42776</v>
      </c>
      <c r="Q31" s="121">
        <f t="shared" si="25"/>
        <v>42776</v>
      </c>
      <c r="R31" s="119">
        <f t="shared" si="7"/>
        <v>0</v>
      </c>
      <c r="S31" s="120">
        <f t="shared" si="26"/>
        <v>42804</v>
      </c>
      <c r="T31" s="121">
        <f t="shared" si="27"/>
        <v>42804</v>
      </c>
      <c r="U31" s="119">
        <f t="shared" si="8"/>
        <v>0</v>
      </c>
      <c r="V31" s="120">
        <f t="shared" si="28"/>
        <v>42835</v>
      </c>
      <c r="W31" s="121">
        <f t="shared" si="29"/>
        <v>42835</v>
      </c>
      <c r="X31" s="119">
        <f t="shared" si="9"/>
        <v>0</v>
      </c>
      <c r="Y31" s="120">
        <f t="shared" si="30"/>
        <v>42865</v>
      </c>
      <c r="Z31" s="121">
        <f t="shared" si="31"/>
        <v>42865</v>
      </c>
      <c r="AA31" s="119">
        <f t="shared" si="10"/>
        <v>0</v>
      </c>
      <c r="AB31" s="120">
        <f t="shared" si="32"/>
        <v>42896</v>
      </c>
      <c r="AC31" s="121">
        <f t="shared" si="33"/>
        <v>42896</v>
      </c>
      <c r="AD31" s="119">
        <f t="shared" si="11"/>
        <v>0</v>
      </c>
      <c r="AE31" s="120">
        <f t="shared" si="34"/>
        <v>42926</v>
      </c>
      <c r="AF31" s="121">
        <f t="shared" si="35"/>
        <v>42926</v>
      </c>
      <c r="AG31" s="119">
        <f t="shared" si="12"/>
        <v>0</v>
      </c>
      <c r="AH31" s="120">
        <f t="shared" si="36"/>
        <v>42957</v>
      </c>
      <c r="AI31" s="121">
        <f t="shared" si="37"/>
        <v>42957</v>
      </c>
      <c r="AJ31" s="119">
        <f t="shared" si="13"/>
        <v>0</v>
      </c>
      <c r="AK31" s="90"/>
    </row>
    <row r="32" spans="1:41" ht="9.9499999999999993" customHeight="1" x14ac:dyDescent="0.25">
      <c r="A32" s="120">
        <f t="shared" si="14"/>
        <v>42624</v>
      </c>
      <c r="B32" s="121">
        <f t="shared" si="15"/>
        <v>42624</v>
      </c>
      <c r="C32" s="119">
        <f t="shared" si="2"/>
        <v>0</v>
      </c>
      <c r="D32" s="120">
        <f t="shared" si="16"/>
        <v>42654</v>
      </c>
      <c r="E32" s="121">
        <f t="shared" si="17"/>
        <v>42654</v>
      </c>
      <c r="F32" s="119">
        <f t="shared" si="3"/>
        <v>0</v>
      </c>
      <c r="G32" s="120">
        <f t="shared" si="18"/>
        <v>42685</v>
      </c>
      <c r="H32" s="121">
        <f t="shared" si="19"/>
        <v>42685</v>
      </c>
      <c r="I32" s="119">
        <f t="shared" si="4"/>
        <v>0</v>
      </c>
      <c r="J32" s="120">
        <f t="shared" si="20"/>
        <v>42715</v>
      </c>
      <c r="K32" s="121">
        <f t="shared" si="21"/>
        <v>42715</v>
      </c>
      <c r="L32" s="119">
        <f t="shared" si="5"/>
        <v>0</v>
      </c>
      <c r="M32" s="120">
        <f t="shared" si="22"/>
        <v>42746</v>
      </c>
      <c r="N32" s="121">
        <f t="shared" si="23"/>
        <v>42746</v>
      </c>
      <c r="O32" s="119">
        <f t="shared" si="6"/>
        <v>0</v>
      </c>
      <c r="P32" s="120">
        <f t="shared" si="24"/>
        <v>42777</v>
      </c>
      <c r="Q32" s="121">
        <f t="shared" si="25"/>
        <v>42777</v>
      </c>
      <c r="R32" s="119">
        <f t="shared" si="7"/>
        <v>0</v>
      </c>
      <c r="S32" s="120">
        <f t="shared" si="26"/>
        <v>42805</v>
      </c>
      <c r="T32" s="121">
        <f t="shared" si="27"/>
        <v>42805</v>
      </c>
      <c r="U32" s="119">
        <f t="shared" si="8"/>
        <v>0</v>
      </c>
      <c r="V32" s="120">
        <f t="shared" si="28"/>
        <v>42836</v>
      </c>
      <c r="W32" s="121">
        <f t="shared" si="29"/>
        <v>42836</v>
      </c>
      <c r="X32" s="119">
        <f t="shared" si="9"/>
        <v>0</v>
      </c>
      <c r="Y32" s="120">
        <f t="shared" si="30"/>
        <v>42866</v>
      </c>
      <c r="Z32" s="121">
        <f t="shared" si="31"/>
        <v>42866</v>
      </c>
      <c r="AA32" s="119">
        <f t="shared" si="10"/>
        <v>0</v>
      </c>
      <c r="AB32" s="120">
        <f t="shared" si="32"/>
        <v>42897</v>
      </c>
      <c r="AC32" s="121">
        <f t="shared" si="33"/>
        <v>42897</v>
      </c>
      <c r="AD32" s="119">
        <f t="shared" si="11"/>
        <v>0</v>
      </c>
      <c r="AE32" s="120">
        <f t="shared" si="34"/>
        <v>42927</v>
      </c>
      <c r="AF32" s="121">
        <f t="shared" si="35"/>
        <v>42927</v>
      </c>
      <c r="AG32" s="119">
        <f t="shared" si="12"/>
        <v>0</v>
      </c>
      <c r="AH32" s="120">
        <f t="shared" si="36"/>
        <v>42958</v>
      </c>
      <c r="AI32" s="121">
        <f t="shared" si="37"/>
        <v>42958</v>
      </c>
      <c r="AJ32" s="119">
        <f t="shared" si="13"/>
        <v>0</v>
      </c>
      <c r="AK32" s="90"/>
    </row>
    <row r="33" spans="1:37" ht="9.9499999999999993" customHeight="1" x14ac:dyDescent="0.25">
      <c r="A33" s="120">
        <f t="shared" si="14"/>
        <v>42625</v>
      </c>
      <c r="B33" s="121">
        <f t="shared" si="15"/>
        <v>42625</v>
      </c>
      <c r="C33" s="119">
        <f t="shared" si="2"/>
        <v>0</v>
      </c>
      <c r="D33" s="120">
        <f t="shared" si="16"/>
        <v>42655</v>
      </c>
      <c r="E33" s="121">
        <f t="shared" si="17"/>
        <v>42655</v>
      </c>
      <c r="F33" s="119">
        <f t="shared" si="3"/>
        <v>0</v>
      </c>
      <c r="G33" s="120">
        <f t="shared" si="18"/>
        <v>42686</v>
      </c>
      <c r="H33" s="121">
        <f t="shared" si="19"/>
        <v>42686</v>
      </c>
      <c r="I33" s="119">
        <f t="shared" si="4"/>
        <v>0</v>
      </c>
      <c r="J33" s="120">
        <f t="shared" si="20"/>
        <v>42716</v>
      </c>
      <c r="K33" s="121">
        <f t="shared" si="21"/>
        <v>42716</v>
      </c>
      <c r="L33" s="119">
        <f t="shared" si="5"/>
        <v>0</v>
      </c>
      <c r="M33" s="120">
        <f t="shared" si="22"/>
        <v>42747</v>
      </c>
      <c r="N33" s="121">
        <f t="shared" si="23"/>
        <v>42747</v>
      </c>
      <c r="O33" s="119">
        <f t="shared" si="6"/>
        <v>0</v>
      </c>
      <c r="P33" s="120">
        <f t="shared" si="24"/>
        <v>42778</v>
      </c>
      <c r="Q33" s="121">
        <f t="shared" si="25"/>
        <v>42778</v>
      </c>
      <c r="R33" s="119">
        <f t="shared" si="7"/>
        <v>0</v>
      </c>
      <c r="S33" s="120">
        <f t="shared" si="26"/>
        <v>42806</v>
      </c>
      <c r="T33" s="121">
        <f t="shared" si="27"/>
        <v>42806</v>
      </c>
      <c r="U33" s="119">
        <f t="shared" si="8"/>
        <v>0</v>
      </c>
      <c r="V33" s="120">
        <f t="shared" si="28"/>
        <v>42837</v>
      </c>
      <c r="W33" s="121">
        <f t="shared" si="29"/>
        <v>42837</v>
      </c>
      <c r="X33" s="119">
        <f t="shared" si="9"/>
        <v>0</v>
      </c>
      <c r="Y33" s="120">
        <f t="shared" si="30"/>
        <v>42867</v>
      </c>
      <c r="Z33" s="121">
        <f t="shared" si="31"/>
        <v>42867</v>
      </c>
      <c r="AA33" s="119">
        <f t="shared" si="10"/>
        <v>0</v>
      </c>
      <c r="AB33" s="120">
        <f t="shared" si="32"/>
        <v>42898</v>
      </c>
      <c r="AC33" s="121">
        <f t="shared" si="33"/>
        <v>42898</v>
      </c>
      <c r="AD33" s="119">
        <f t="shared" si="11"/>
        <v>0</v>
      </c>
      <c r="AE33" s="120">
        <f t="shared" si="34"/>
        <v>42928</v>
      </c>
      <c r="AF33" s="121">
        <f t="shared" si="35"/>
        <v>42928</v>
      </c>
      <c r="AG33" s="119">
        <f t="shared" si="12"/>
        <v>0</v>
      </c>
      <c r="AH33" s="120">
        <f t="shared" si="36"/>
        <v>42959</v>
      </c>
      <c r="AI33" s="121">
        <f t="shared" si="37"/>
        <v>42959</v>
      </c>
      <c r="AJ33" s="119">
        <f t="shared" si="13"/>
        <v>0</v>
      </c>
      <c r="AK33" s="90"/>
    </row>
    <row r="34" spans="1:37" ht="9.9499999999999993" customHeight="1" x14ac:dyDescent="0.25">
      <c r="A34" s="120">
        <f t="shared" si="14"/>
        <v>42626</v>
      </c>
      <c r="B34" s="121">
        <f t="shared" si="15"/>
        <v>42626</v>
      </c>
      <c r="C34" s="119">
        <f t="shared" si="2"/>
        <v>0</v>
      </c>
      <c r="D34" s="120">
        <f t="shared" si="16"/>
        <v>42656</v>
      </c>
      <c r="E34" s="121">
        <f t="shared" si="17"/>
        <v>42656</v>
      </c>
      <c r="F34" s="119">
        <f t="shared" si="3"/>
        <v>0</v>
      </c>
      <c r="G34" s="120">
        <f t="shared" si="18"/>
        <v>42687</v>
      </c>
      <c r="H34" s="121">
        <f t="shared" si="19"/>
        <v>42687</v>
      </c>
      <c r="I34" s="119">
        <f t="shared" si="4"/>
        <v>0</v>
      </c>
      <c r="J34" s="120">
        <f t="shared" si="20"/>
        <v>42717</v>
      </c>
      <c r="K34" s="121">
        <f t="shared" si="21"/>
        <v>42717</v>
      </c>
      <c r="L34" s="119">
        <f t="shared" si="5"/>
        <v>0</v>
      </c>
      <c r="M34" s="120">
        <f t="shared" si="22"/>
        <v>42748</v>
      </c>
      <c r="N34" s="121">
        <f t="shared" si="23"/>
        <v>42748</v>
      </c>
      <c r="O34" s="119">
        <f t="shared" si="6"/>
        <v>0</v>
      </c>
      <c r="P34" s="120">
        <f t="shared" si="24"/>
        <v>42779</v>
      </c>
      <c r="Q34" s="121">
        <f t="shared" si="25"/>
        <v>42779</v>
      </c>
      <c r="R34" s="119">
        <f t="shared" si="7"/>
        <v>0</v>
      </c>
      <c r="S34" s="120">
        <f t="shared" si="26"/>
        <v>42807</v>
      </c>
      <c r="T34" s="121">
        <f t="shared" si="27"/>
        <v>42807</v>
      </c>
      <c r="U34" s="119">
        <f t="shared" si="8"/>
        <v>0</v>
      </c>
      <c r="V34" s="120">
        <f t="shared" si="28"/>
        <v>42838</v>
      </c>
      <c r="W34" s="121">
        <f t="shared" si="29"/>
        <v>42838</v>
      </c>
      <c r="X34" s="119">
        <f t="shared" si="9"/>
        <v>0</v>
      </c>
      <c r="Y34" s="120">
        <f t="shared" si="30"/>
        <v>42868</v>
      </c>
      <c r="Z34" s="121">
        <f t="shared" si="31"/>
        <v>42868</v>
      </c>
      <c r="AA34" s="119">
        <f t="shared" si="10"/>
        <v>0</v>
      </c>
      <c r="AB34" s="120">
        <f t="shared" si="32"/>
        <v>42899</v>
      </c>
      <c r="AC34" s="121">
        <f t="shared" si="33"/>
        <v>42899</v>
      </c>
      <c r="AD34" s="119">
        <f t="shared" si="11"/>
        <v>0</v>
      </c>
      <c r="AE34" s="120">
        <f t="shared" si="34"/>
        <v>42929</v>
      </c>
      <c r="AF34" s="121">
        <f t="shared" si="35"/>
        <v>42929</v>
      </c>
      <c r="AG34" s="119">
        <f t="shared" si="12"/>
        <v>0</v>
      </c>
      <c r="AH34" s="120">
        <f t="shared" si="36"/>
        <v>42960</v>
      </c>
      <c r="AI34" s="121">
        <f t="shared" si="37"/>
        <v>42960</v>
      </c>
      <c r="AJ34" s="119">
        <f t="shared" si="13"/>
        <v>0</v>
      </c>
      <c r="AK34" s="90"/>
    </row>
    <row r="35" spans="1:37" ht="9.9499999999999993" customHeight="1" x14ac:dyDescent="0.25">
      <c r="A35" s="120">
        <f t="shared" si="14"/>
        <v>42627</v>
      </c>
      <c r="B35" s="121">
        <f t="shared" si="15"/>
        <v>42627</v>
      </c>
      <c r="C35" s="119">
        <f t="shared" si="2"/>
        <v>0</v>
      </c>
      <c r="D35" s="120">
        <f t="shared" si="16"/>
        <v>42657</v>
      </c>
      <c r="E35" s="121">
        <f t="shared" si="17"/>
        <v>42657</v>
      </c>
      <c r="F35" s="119">
        <f t="shared" si="3"/>
        <v>0</v>
      </c>
      <c r="G35" s="120">
        <f t="shared" si="18"/>
        <v>42688</v>
      </c>
      <c r="H35" s="121">
        <f t="shared" si="19"/>
        <v>42688</v>
      </c>
      <c r="I35" s="119">
        <f t="shared" si="4"/>
        <v>0</v>
      </c>
      <c r="J35" s="120">
        <f t="shared" si="20"/>
        <v>42718</v>
      </c>
      <c r="K35" s="121">
        <f t="shared" si="21"/>
        <v>42718</v>
      </c>
      <c r="L35" s="119">
        <f t="shared" si="5"/>
        <v>0</v>
      </c>
      <c r="M35" s="120">
        <f t="shared" si="22"/>
        <v>42749</v>
      </c>
      <c r="N35" s="121">
        <f t="shared" si="23"/>
        <v>42749</v>
      </c>
      <c r="O35" s="119">
        <f t="shared" si="6"/>
        <v>0</v>
      </c>
      <c r="P35" s="120">
        <f t="shared" si="24"/>
        <v>42780</v>
      </c>
      <c r="Q35" s="121">
        <f t="shared" si="25"/>
        <v>42780</v>
      </c>
      <c r="R35" s="119">
        <f t="shared" si="7"/>
        <v>0</v>
      </c>
      <c r="S35" s="120">
        <f t="shared" si="26"/>
        <v>42808</v>
      </c>
      <c r="T35" s="121">
        <f t="shared" si="27"/>
        <v>42808</v>
      </c>
      <c r="U35" s="119">
        <f t="shared" si="8"/>
        <v>0</v>
      </c>
      <c r="V35" s="120">
        <f t="shared" si="28"/>
        <v>42839</v>
      </c>
      <c r="W35" s="121">
        <f t="shared" si="29"/>
        <v>42839</v>
      </c>
      <c r="X35" s="119">
        <f t="shared" si="9"/>
        <v>0</v>
      </c>
      <c r="Y35" s="120">
        <f t="shared" si="30"/>
        <v>42869</v>
      </c>
      <c r="Z35" s="121">
        <f t="shared" si="31"/>
        <v>42869</v>
      </c>
      <c r="AA35" s="119">
        <f t="shared" si="10"/>
        <v>0</v>
      </c>
      <c r="AB35" s="120">
        <f t="shared" si="32"/>
        <v>42900</v>
      </c>
      <c r="AC35" s="121">
        <f t="shared" si="33"/>
        <v>42900</v>
      </c>
      <c r="AD35" s="119">
        <f t="shared" si="11"/>
        <v>0</v>
      </c>
      <c r="AE35" s="120">
        <f t="shared" si="34"/>
        <v>42930</v>
      </c>
      <c r="AF35" s="121">
        <f t="shared" si="35"/>
        <v>42930</v>
      </c>
      <c r="AG35" s="119">
        <f t="shared" si="12"/>
        <v>0</v>
      </c>
      <c r="AH35" s="120">
        <f t="shared" si="36"/>
        <v>42961</v>
      </c>
      <c r="AI35" s="121">
        <f t="shared" si="37"/>
        <v>42961</v>
      </c>
      <c r="AJ35" s="119">
        <f t="shared" si="13"/>
        <v>0</v>
      </c>
      <c r="AK35" s="90"/>
    </row>
    <row r="36" spans="1:37" ht="9.9499999999999993" customHeight="1" x14ac:dyDescent="0.25">
      <c r="A36" s="120">
        <f t="shared" si="14"/>
        <v>42628</v>
      </c>
      <c r="B36" s="121">
        <f t="shared" si="15"/>
        <v>42628</v>
      </c>
      <c r="C36" s="119">
        <f t="shared" si="2"/>
        <v>0</v>
      </c>
      <c r="D36" s="120">
        <f t="shared" si="16"/>
        <v>42658</v>
      </c>
      <c r="E36" s="121">
        <f t="shared" si="17"/>
        <v>42658</v>
      </c>
      <c r="F36" s="119">
        <f t="shared" si="3"/>
        <v>0</v>
      </c>
      <c r="G36" s="120">
        <f t="shared" si="18"/>
        <v>42689</v>
      </c>
      <c r="H36" s="121">
        <f t="shared" si="19"/>
        <v>42689</v>
      </c>
      <c r="I36" s="119">
        <f t="shared" si="4"/>
        <v>0</v>
      </c>
      <c r="J36" s="120">
        <f t="shared" si="20"/>
        <v>42719</v>
      </c>
      <c r="K36" s="121">
        <f t="shared" si="21"/>
        <v>42719</v>
      </c>
      <c r="L36" s="119">
        <f t="shared" si="5"/>
        <v>0</v>
      </c>
      <c r="M36" s="120">
        <f t="shared" si="22"/>
        <v>42750</v>
      </c>
      <c r="N36" s="121">
        <f t="shared" si="23"/>
        <v>42750</v>
      </c>
      <c r="O36" s="119">
        <f t="shared" si="6"/>
        <v>0</v>
      </c>
      <c r="P36" s="120">
        <f t="shared" si="24"/>
        <v>42781</v>
      </c>
      <c r="Q36" s="121">
        <f t="shared" si="25"/>
        <v>42781</v>
      </c>
      <c r="R36" s="119">
        <f t="shared" si="7"/>
        <v>0</v>
      </c>
      <c r="S36" s="120">
        <f t="shared" si="26"/>
        <v>42809</v>
      </c>
      <c r="T36" s="121">
        <f t="shared" si="27"/>
        <v>42809</v>
      </c>
      <c r="U36" s="119">
        <f t="shared" si="8"/>
        <v>0</v>
      </c>
      <c r="V36" s="120">
        <f t="shared" si="28"/>
        <v>42840</v>
      </c>
      <c r="W36" s="121">
        <f t="shared" si="29"/>
        <v>42840</v>
      </c>
      <c r="X36" s="119">
        <f t="shared" si="9"/>
        <v>0</v>
      </c>
      <c r="Y36" s="120">
        <f t="shared" si="30"/>
        <v>42870</v>
      </c>
      <c r="Z36" s="121">
        <f t="shared" si="31"/>
        <v>42870</v>
      </c>
      <c r="AA36" s="119">
        <f t="shared" si="10"/>
        <v>0</v>
      </c>
      <c r="AB36" s="120">
        <f t="shared" si="32"/>
        <v>42901</v>
      </c>
      <c r="AC36" s="121">
        <f t="shared" si="33"/>
        <v>42901</v>
      </c>
      <c r="AD36" s="119">
        <f t="shared" si="11"/>
        <v>0</v>
      </c>
      <c r="AE36" s="120">
        <f t="shared" si="34"/>
        <v>42931</v>
      </c>
      <c r="AF36" s="121">
        <f t="shared" si="35"/>
        <v>42931</v>
      </c>
      <c r="AG36" s="119">
        <f t="shared" si="12"/>
        <v>0</v>
      </c>
      <c r="AH36" s="120">
        <f t="shared" si="36"/>
        <v>42962</v>
      </c>
      <c r="AI36" s="121">
        <f t="shared" si="37"/>
        <v>42962</v>
      </c>
      <c r="AJ36" s="119">
        <f t="shared" si="13"/>
        <v>0</v>
      </c>
      <c r="AK36" s="90"/>
    </row>
    <row r="37" spans="1:37" ht="9.9499999999999993" customHeight="1" x14ac:dyDescent="0.25">
      <c r="A37" s="120">
        <f t="shared" si="14"/>
        <v>42629</v>
      </c>
      <c r="B37" s="121">
        <f t="shared" si="15"/>
        <v>42629</v>
      </c>
      <c r="C37" s="119">
        <f t="shared" si="2"/>
        <v>0</v>
      </c>
      <c r="D37" s="120">
        <f t="shared" si="16"/>
        <v>42659</v>
      </c>
      <c r="E37" s="121">
        <f t="shared" si="17"/>
        <v>42659</v>
      </c>
      <c r="F37" s="119">
        <f t="shared" si="3"/>
        <v>0</v>
      </c>
      <c r="G37" s="120">
        <f t="shared" si="18"/>
        <v>42690</v>
      </c>
      <c r="H37" s="121">
        <f t="shared" si="19"/>
        <v>42690</v>
      </c>
      <c r="I37" s="119">
        <f t="shared" si="4"/>
        <v>0</v>
      </c>
      <c r="J37" s="120">
        <f t="shared" si="20"/>
        <v>42720</v>
      </c>
      <c r="K37" s="121">
        <f t="shared" si="21"/>
        <v>42720</v>
      </c>
      <c r="L37" s="119">
        <f t="shared" si="5"/>
        <v>0</v>
      </c>
      <c r="M37" s="120">
        <f t="shared" si="22"/>
        <v>42751</v>
      </c>
      <c r="N37" s="121">
        <f t="shared" si="23"/>
        <v>42751</v>
      </c>
      <c r="O37" s="119">
        <f t="shared" si="6"/>
        <v>0</v>
      </c>
      <c r="P37" s="120">
        <f t="shared" si="24"/>
        <v>42782</v>
      </c>
      <c r="Q37" s="121">
        <f t="shared" si="25"/>
        <v>42782</v>
      </c>
      <c r="R37" s="119">
        <f t="shared" si="7"/>
        <v>0</v>
      </c>
      <c r="S37" s="120">
        <f t="shared" si="26"/>
        <v>42810</v>
      </c>
      <c r="T37" s="121">
        <f t="shared" si="27"/>
        <v>42810</v>
      </c>
      <c r="U37" s="119">
        <f t="shared" si="8"/>
        <v>0</v>
      </c>
      <c r="V37" s="120">
        <f t="shared" si="28"/>
        <v>42841</v>
      </c>
      <c r="W37" s="121">
        <f t="shared" si="29"/>
        <v>42841</v>
      </c>
      <c r="X37" s="119">
        <f t="shared" si="9"/>
        <v>0</v>
      </c>
      <c r="Y37" s="120">
        <f t="shared" si="30"/>
        <v>42871</v>
      </c>
      <c r="Z37" s="121">
        <f t="shared" si="31"/>
        <v>42871</v>
      </c>
      <c r="AA37" s="119">
        <f t="shared" si="10"/>
        <v>0</v>
      </c>
      <c r="AB37" s="120">
        <f t="shared" si="32"/>
        <v>42902</v>
      </c>
      <c r="AC37" s="121">
        <f t="shared" si="33"/>
        <v>42902</v>
      </c>
      <c r="AD37" s="119">
        <f t="shared" si="11"/>
        <v>0</v>
      </c>
      <c r="AE37" s="120">
        <f t="shared" si="34"/>
        <v>42932</v>
      </c>
      <c r="AF37" s="121">
        <f t="shared" si="35"/>
        <v>42932</v>
      </c>
      <c r="AG37" s="119">
        <f t="shared" si="12"/>
        <v>0</v>
      </c>
      <c r="AH37" s="120">
        <f t="shared" si="36"/>
        <v>42963</v>
      </c>
      <c r="AI37" s="121">
        <f t="shared" si="37"/>
        <v>42963</v>
      </c>
      <c r="AJ37" s="119">
        <f t="shared" si="13"/>
        <v>0</v>
      </c>
      <c r="AK37" s="90"/>
    </row>
    <row r="38" spans="1:37" ht="9.9499999999999993" customHeight="1" x14ac:dyDescent="0.25">
      <c r="A38" s="120">
        <f t="shared" si="14"/>
        <v>42630</v>
      </c>
      <c r="B38" s="121">
        <f t="shared" si="15"/>
        <v>42630</v>
      </c>
      <c r="C38" s="119">
        <f t="shared" si="2"/>
        <v>0</v>
      </c>
      <c r="D38" s="120">
        <f t="shared" si="16"/>
        <v>42660</v>
      </c>
      <c r="E38" s="121">
        <f t="shared" si="17"/>
        <v>42660</v>
      </c>
      <c r="F38" s="119">
        <f t="shared" si="3"/>
        <v>0</v>
      </c>
      <c r="G38" s="120">
        <f t="shared" si="18"/>
        <v>42691</v>
      </c>
      <c r="H38" s="121">
        <f t="shared" si="19"/>
        <v>42691</v>
      </c>
      <c r="I38" s="119">
        <f t="shared" si="4"/>
        <v>0</v>
      </c>
      <c r="J38" s="120">
        <f t="shared" si="20"/>
        <v>42721</v>
      </c>
      <c r="K38" s="121">
        <f t="shared" si="21"/>
        <v>42721</v>
      </c>
      <c r="L38" s="119">
        <f t="shared" si="5"/>
        <v>0</v>
      </c>
      <c r="M38" s="120">
        <f t="shared" si="22"/>
        <v>42752</v>
      </c>
      <c r="N38" s="121">
        <f t="shared" si="23"/>
        <v>42752</v>
      </c>
      <c r="O38" s="119">
        <f t="shared" si="6"/>
        <v>0</v>
      </c>
      <c r="P38" s="120">
        <f t="shared" si="24"/>
        <v>42783</v>
      </c>
      <c r="Q38" s="121">
        <f t="shared" si="25"/>
        <v>42783</v>
      </c>
      <c r="R38" s="119">
        <f t="shared" si="7"/>
        <v>0</v>
      </c>
      <c r="S38" s="120">
        <f t="shared" si="26"/>
        <v>42811</v>
      </c>
      <c r="T38" s="121">
        <f t="shared" si="27"/>
        <v>42811</v>
      </c>
      <c r="U38" s="119">
        <f t="shared" si="8"/>
        <v>0</v>
      </c>
      <c r="V38" s="120">
        <f t="shared" si="28"/>
        <v>42842</v>
      </c>
      <c r="W38" s="121">
        <f t="shared" si="29"/>
        <v>42842</v>
      </c>
      <c r="X38" s="119">
        <f t="shared" si="9"/>
        <v>0</v>
      </c>
      <c r="Y38" s="120">
        <f t="shared" si="30"/>
        <v>42872</v>
      </c>
      <c r="Z38" s="121">
        <f t="shared" si="31"/>
        <v>42872</v>
      </c>
      <c r="AA38" s="119">
        <f t="shared" si="10"/>
        <v>0</v>
      </c>
      <c r="AB38" s="120">
        <f t="shared" si="32"/>
        <v>42903</v>
      </c>
      <c r="AC38" s="121">
        <f t="shared" si="33"/>
        <v>42903</v>
      </c>
      <c r="AD38" s="119">
        <f t="shared" si="11"/>
        <v>0</v>
      </c>
      <c r="AE38" s="120">
        <f t="shared" si="34"/>
        <v>42933</v>
      </c>
      <c r="AF38" s="121">
        <f t="shared" si="35"/>
        <v>42933</v>
      </c>
      <c r="AG38" s="119">
        <f t="shared" si="12"/>
        <v>0</v>
      </c>
      <c r="AH38" s="120">
        <f t="shared" si="36"/>
        <v>42964</v>
      </c>
      <c r="AI38" s="121">
        <f t="shared" si="37"/>
        <v>42964</v>
      </c>
      <c r="AJ38" s="119">
        <f t="shared" si="13"/>
        <v>0</v>
      </c>
      <c r="AK38" s="90"/>
    </row>
    <row r="39" spans="1:37" ht="9.9499999999999993" customHeight="1" x14ac:dyDescent="0.25">
      <c r="A39" s="120">
        <f t="shared" si="14"/>
        <v>42631</v>
      </c>
      <c r="B39" s="121">
        <f t="shared" si="15"/>
        <v>42631</v>
      </c>
      <c r="C39" s="119">
        <f t="shared" si="2"/>
        <v>0</v>
      </c>
      <c r="D39" s="120">
        <f t="shared" si="16"/>
        <v>42661</v>
      </c>
      <c r="E39" s="121">
        <f t="shared" si="17"/>
        <v>42661</v>
      </c>
      <c r="F39" s="119">
        <f t="shared" si="3"/>
        <v>0</v>
      </c>
      <c r="G39" s="120">
        <f t="shared" si="18"/>
        <v>42692</v>
      </c>
      <c r="H39" s="121">
        <f t="shared" si="19"/>
        <v>42692</v>
      </c>
      <c r="I39" s="119">
        <f t="shared" si="4"/>
        <v>0</v>
      </c>
      <c r="J39" s="120">
        <f t="shared" si="20"/>
        <v>42722</v>
      </c>
      <c r="K39" s="121">
        <f t="shared" si="21"/>
        <v>42722</v>
      </c>
      <c r="L39" s="119">
        <f t="shared" si="5"/>
        <v>0</v>
      </c>
      <c r="M39" s="120">
        <f t="shared" si="22"/>
        <v>42753</v>
      </c>
      <c r="N39" s="121">
        <f t="shared" si="23"/>
        <v>42753</v>
      </c>
      <c r="O39" s="119">
        <f t="shared" si="6"/>
        <v>0</v>
      </c>
      <c r="P39" s="120">
        <f t="shared" si="24"/>
        <v>42784</v>
      </c>
      <c r="Q39" s="121">
        <f t="shared" si="25"/>
        <v>42784</v>
      </c>
      <c r="R39" s="119">
        <f t="shared" si="7"/>
        <v>0</v>
      </c>
      <c r="S39" s="120">
        <f t="shared" si="26"/>
        <v>42812</v>
      </c>
      <c r="T39" s="121">
        <f t="shared" si="27"/>
        <v>42812</v>
      </c>
      <c r="U39" s="119">
        <f t="shared" si="8"/>
        <v>0</v>
      </c>
      <c r="V39" s="120">
        <f t="shared" si="28"/>
        <v>42843</v>
      </c>
      <c r="W39" s="121">
        <f t="shared" si="29"/>
        <v>42843</v>
      </c>
      <c r="X39" s="119">
        <f t="shared" si="9"/>
        <v>0</v>
      </c>
      <c r="Y39" s="120">
        <f t="shared" si="30"/>
        <v>42873</v>
      </c>
      <c r="Z39" s="121">
        <f t="shared" si="31"/>
        <v>42873</v>
      </c>
      <c r="AA39" s="119">
        <f t="shared" si="10"/>
        <v>0</v>
      </c>
      <c r="AB39" s="120">
        <f t="shared" si="32"/>
        <v>42904</v>
      </c>
      <c r="AC39" s="121">
        <f t="shared" si="33"/>
        <v>42904</v>
      </c>
      <c r="AD39" s="119">
        <f t="shared" si="11"/>
        <v>0</v>
      </c>
      <c r="AE39" s="120">
        <f t="shared" si="34"/>
        <v>42934</v>
      </c>
      <c r="AF39" s="121">
        <f t="shared" si="35"/>
        <v>42934</v>
      </c>
      <c r="AG39" s="119">
        <f t="shared" si="12"/>
        <v>0</v>
      </c>
      <c r="AH39" s="120">
        <f t="shared" si="36"/>
        <v>42965</v>
      </c>
      <c r="AI39" s="121">
        <f t="shared" si="37"/>
        <v>42965</v>
      </c>
      <c r="AJ39" s="119">
        <f t="shared" si="13"/>
        <v>0</v>
      </c>
      <c r="AK39" s="90"/>
    </row>
    <row r="40" spans="1:37" ht="9.9499999999999993" customHeight="1" x14ac:dyDescent="0.25">
      <c r="A40" s="120">
        <f t="shared" si="14"/>
        <v>42632</v>
      </c>
      <c r="B40" s="121">
        <f t="shared" si="15"/>
        <v>42632</v>
      </c>
      <c r="C40" s="119">
        <f t="shared" si="2"/>
        <v>0</v>
      </c>
      <c r="D40" s="120">
        <f t="shared" si="16"/>
        <v>42662</v>
      </c>
      <c r="E40" s="121">
        <f t="shared" si="17"/>
        <v>42662</v>
      </c>
      <c r="F40" s="119">
        <f t="shared" si="3"/>
        <v>0</v>
      </c>
      <c r="G40" s="120">
        <f t="shared" si="18"/>
        <v>42693</v>
      </c>
      <c r="H40" s="121">
        <f t="shared" si="19"/>
        <v>42693</v>
      </c>
      <c r="I40" s="119">
        <f t="shared" si="4"/>
        <v>0</v>
      </c>
      <c r="J40" s="120">
        <f t="shared" si="20"/>
        <v>42723</v>
      </c>
      <c r="K40" s="121">
        <f t="shared" si="21"/>
        <v>42723</v>
      </c>
      <c r="L40" s="119">
        <f t="shared" si="5"/>
        <v>0</v>
      </c>
      <c r="M40" s="120">
        <f t="shared" si="22"/>
        <v>42754</v>
      </c>
      <c r="N40" s="121">
        <f t="shared" si="23"/>
        <v>42754</v>
      </c>
      <c r="O40" s="119">
        <f t="shared" si="6"/>
        <v>0</v>
      </c>
      <c r="P40" s="120">
        <f t="shared" si="24"/>
        <v>42785</v>
      </c>
      <c r="Q40" s="121">
        <f t="shared" si="25"/>
        <v>42785</v>
      </c>
      <c r="R40" s="119">
        <f t="shared" si="7"/>
        <v>0</v>
      </c>
      <c r="S40" s="120">
        <f t="shared" si="26"/>
        <v>42813</v>
      </c>
      <c r="T40" s="121">
        <f t="shared" si="27"/>
        <v>42813</v>
      </c>
      <c r="U40" s="119">
        <f t="shared" si="8"/>
        <v>0</v>
      </c>
      <c r="V40" s="120">
        <f t="shared" si="28"/>
        <v>42844</v>
      </c>
      <c r="W40" s="121">
        <f t="shared" si="29"/>
        <v>42844</v>
      </c>
      <c r="X40" s="119">
        <f t="shared" si="9"/>
        <v>0</v>
      </c>
      <c r="Y40" s="120">
        <f t="shared" si="30"/>
        <v>42874</v>
      </c>
      <c r="Z40" s="121">
        <f t="shared" si="31"/>
        <v>42874</v>
      </c>
      <c r="AA40" s="119">
        <f t="shared" si="10"/>
        <v>0</v>
      </c>
      <c r="AB40" s="120">
        <f t="shared" si="32"/>
        <v>42905</v>
      </c>
      <c r="AC40" s="121">
        <f t="shared" si="33"/>
        <v>42905</v>
      </c>
      <c r="AD40" s="119">
        <f t="shared" si="11"/>
        <v>0</v>
      </c>
      <c r="AE40" s="120">
        <f t="shared" si="34"/>
        <v>42935</v>
      </c>
      <c r="AF40" s="121">
        <f t="shared" si="35"/>
        <v>42935</v>
      </c>
      <c r="AG40" s="119">
        <f t="shared" si="12"/>
        <v>0</v>
      </c>
      <c r="AH40" s="120">
        <f t="shared" si="36"/>
        <v>42966</v>
      </c>
      <c r="AI40" s="121">
        <f t="shared" si="37"/>
        <v>42966</v>
      </c>
      <c r="AJ40" s="119">
        <f t="shared" si="13"/>
        <v>0</v>
      </c>
      <c r="AK40" s="90"/>
    </row>
    <row r="41" spans="1:37" ht="9.9499999999999993" customHeight="1" x14ac:dyDescent="0.25">
      <c r="A41" s="120">
        <f t="shared" si="14"/>
        <v>42633</v>
      </c>
      <c r="B41" s="121">
        <f t="shared" si="15"/>
        <v>42633</v>
      </c>
      <c r="C41" s="119">
        <f t="shared" si="2"/>
        <v>0</v>
      </c>
      <c r="D41" s="120">
        <f t="shared" si="16"/>
        <v>42663</v>
      </c>
      <c r="E41" s="121">
        <f t="shared" si="17"/>
        <v>42663</v>
      </c>
      <c r="F41" s="119">
        <f t="shared" si="3"/>
        <v>0</v>
      </c>
      <c r="G41" s="120">
        <f t="shared" si="18"/>
        <v>42694</v>
      </c>
      <c r="H41" s="121">
        <f t="shared" si="19"/>
        <v>42694</v>
      </c>
      <c r="I41" s="119">
        <f t="shared" si="4"/>
        <v>0</v>
      </c>
      <c r="J41" s="120">
        <f t="shared" si="20"/>
        <v>42724</v>
      </c>
      <c r="K41" s="121">
        <f t="shared" si="21"/>
        <v>42724</v>
      </c>
      <c r="L41" s="119">
        <f t="shared" si="5"/>
        <v>0</v>
      </c>
      <c r="M41" s="120">
        <f t="shared" si="22"/>
        <v>42755</v>
      </c>
      <c r="N41" s="121">
        <f t="shared" si="23"/>
        <v>42755</v>
      </c>
      <c r="O41" s="119">
        <f t="shared" si="6"/>
        <v>0</v>
      </c>
      <c r="P41" s="120">
        <f t="shared" si="24"/>
        <v>42786</v>
      </c>
      <c r="Q41" s="121">
        <f t="shared" si="25"/>
        <v>42786</v>
      </c>
      <c r="R41" s="119">
        <f t="shared" si="7"/>
        <v>0</v>
      </c>
      <c r="S41" s="120">
        <f t="shared" si="26"/>
        <v>42814</v>
      </c>
      <c r="T41" s="121">
        <f t="shared" si="27"/>
        <v>42814</v>
      </c>
      <c r="U41" s="119">
        <f t="shared" si="8"/>
        <v>0</v>
      </c>
      <c r="V41" s="120">
        <f t="shared" si="28"/>
        <v>42845</v>
      </c>
      <c r="W41" s="121">
        <f t="shared" si="29"/>
        <v>42845</v>
      </c>
      <c r="X41" s="119">
        <f t="shared" si="9"/>
        <v>0</v>
      </c>
      <c r="Y41" s="120">
        <f t="shared" si="30"/>
        <v>42875</v>
      </c>
      <c r="Z41" s="121">
        <f t="shared" si="31"/>
        <v>42875</v>
      </c>
      <c r="AA41" s="119">
        <f t="shared" si="10"/>
        <v>0</v>
      </c>
      <c r="AB41" s="120">
        <f t="shared" si="32"/>
        <v>42906</v>
      </c>
      <c r="AC41" s="121">
        <f t="shared" si="33"/>
        <v>42906</v>
      </c>
      <c r="AD41" s="119">
        <f t="shared" si="11"/>
        <v>0</v>
      </c>
      <c r="AE41" s="120">
        <f t="shared" si="34"/>
        <v>42936</v>
      </c>
      <c r="AF41" s="121">
        <f t="shared" si="35"/>
        <v>42936</v>
      </c>
      <c r="AG41" s="119">
        <f t="shared" si="12"/>
        <v>0</v>
      </c>
      <c r="AH41" s="120">
        <f t="shared" si="36"/>
        <v>42967</v>
      </c>
      <c r="AI41" s="121">
        <f t="shared" si="37"/>
        <v>42967</v>
      </c>
      <c r="AJ41" s="119">
        <f t="shared" si="13"/>
        <v>0</v>
      </c>
      <c r="AK41" s="90"/>
    </row>
    <row r="42" spans="1:37" ht="9.9499999999999993" customHeight="1" x14ac:dyDescent="0.25">
      <c r="A42" s="120">
        <f t="shared" si="14"/>
        <v>42634</v>
      </c>
      <c r="B42" s="121">
        <f t="shared" si="15"/>
        <v>42634</v>
      </c>
      <c r="C42" s="119">
        <f t="shared" si="2"/>
        <v>0</v>
      </c>
      <c r="D42" s="120">
        <f t="shared" si="16"/>
        <v>42664</v>
      </c>
      <c r="E42" s="121">
        <f t="shared" si="17"/>
        <v>42664</v>
      </c>
      <c r="F42" s="119">
        <f t="shared" si="3"/>
        <v>0</v>
      </c>
      <c r="G42" s="120">
        <f t="shared" si="18"/>
        <v>42695</v>
      </c>
      <c r="H42" s="121">
        <f t="shared" si="19"/>
        <v>42695</v>
      </c>
      <c r="I42" s="119">
        <f t="shared" si="4"/>
        <v>0</v>
      </c>
      <c r="J42" s="120">
        <f t="shared" si="20"/>
        <v>42725</v>
      </c>
      <c r="K42" s="121">
        <f t="shared" si="21"/>
        <v>42725</v>
      </c>
      <c r="L42" s="119">
        <f t="shared" si="5"/>
        <v>0</v>
      </c>
      <c r="M42" s="120">
        <f t="shared" si="22"/>
        <v>42756</v>
      </c>
      <c r="N42" s="121">
        <f t="shared" si="23"/>
        <v>42756</v>
      </c>
      <c r="O42" s="119">
        <f t="shared" si="6"/>
        <v>0</v>
      </c>
      <c r="P42" s="120">
        <f t="shared" si="24"/>
        <v>42787</v>
      </c>
      <c r="Q42" s="121">
        <f t="shared" si="25"/>
        <v>42787</v>
      </c>
      <c r="R42" s="119">
        <f t="shared" si="7"/>
        <v>0</v>
      </c>
      <c r="S42" s="120">
        <f t="shared" si="26"/>
        <v>42815</v>
      </c>
      <c r="T42" s="121">
        <f t="shared" si="27"/>
        <v>42815</v>
      </c>
      <c r="U42" s="119">
        <f t="shared" si="8"/>
        <v>0</v>
      </c>
      <c r="V42" s="120">
        <f t="shared" si="28"/>
        <v>42846</v>
      </c>
      <c r="W42" s="121">
        <f t="shared" si="29"/>
        <v>42846</v>
      </c>
      <c r="X42" s="119">
        <f t="shared" si="9"/>
        <v>0</v>
      </c>
      <c r="Y42" s="120">
        <f t="shared" si="30"/>
        <v>42876</v>
      </c>
      <c r="Z42" s="121">
        <f t="shared" si="31"/>
        <v>42876</v>
      </c>
      <c r="AA42" s="119">
        <f t="shared" si="10"/>
        <v>0</v>
      </c>
      <c r="AB42" s="120">
        <f t="shared" si="32"/>
        <v>42907</v>
      </c>
      <c r="AC42" s="121">
        <f t="shared" si="33"/>
        <v>42907</v>
      </c>
      <c r="AD42" s="119">
        <f t="shared" si="11"/>
        <v>0</v>
      </c>
      <c r="AE42" s="120">
        <f t="shared" si="34"/>
        <v>42937</v>
      </c>
      <c r="AF42" s="121">
        <f t="shared" si="35"/>
        <v>42937</v>
      </c>
      <c r="AG42" s="119">
        <f t="shared" si="12"/>
        <v>0</v>
      </c>
      <c r="AH42" s="120">
        <f t="shared" si="36"/>
        <v>42968</v>
      </c>
      <c r="AI42" s="121">
        <f t="shared" si="37"/>
        <v>42968</v>
      </c>
      <c r="AJ42" s="119">
        <f t="shared" si="13"/>
        <v>0</v>
      </c>
      <c r="AK42" s="90"/>
    </row>
    <row r="43" spans="1:37" ht="9.9499999999999993" customHeight="1" x14ac:dyDescent="0.25">
      <c r="A43" s="120">
        <f t="shared" si="14"/>
        <v>42635</v>
      </c>
      <c r="B43" s="121">
        <f t="shared" si="15"/>
        <v>42635</v>
      </c>
      <c r="C43" s="119">
        <f t="shared" si="2"/>
        <v>0</v>
      </c>
      <c r="D43" s="120">
        <f t="shared" si="16"/>
        <v>42665</v>
      </c>
      <c r="E43" s="121">
        <f t="shared" si="17"/>
        <v>42665</v>
      </c>
      <c r="F43" s="119">
        <f t="shared" si="3"/>
        <v>0</v>
      </c>
      <c r="G43" s="120">
        <f t="shared" si="18"/>
        <v>42696</v>
      </c>
      <c r="H43" s="121">
        <f t="shared" si="19"/>
        <v>42696</v>
      </c>
      <c r="I43" s="119">
        <f t="shared" si="4"/>
        <v>0</v>
      </c>
      <c r="J43" s="120">
        <f t="shared" si="20"/>
        <v>42726</v>
      </c>
      <c r="K43" s="121">
        <f t="shared" si="21"/>
        <v>42726</v>
      </c>
      <c r="L43" s="119">
        <f t="shared" si="5"/>
        <v>0</v>
      </c>
      <c r="M43" s="120">
        <f t="shared" si="22"/>
        <v>42757</v>
      </c>
      <c r="N43" s="121">
        <f t="shared" si="23"/>
        <v>42757</v>
      </c>
      <c r="O43" s="119">
        <f t="shared" si="6"/>
        <v>0</v>
      </c>
      <c r="P43" s="120">
        <f t="shared" si="24"/>
        <v>42788</v>
      </c>
      <c r="Q43" s="121">
        <f t="shared" si="25"/>
        <v>42788</v>
      </c>
      <c r="R43" s="119">
        <f t="shared" si="7"/>
        <v>0</v>
      </c>
      <c r="S43" s="120">
        <f t="shared" si="26"/>
        <v>42816</v>
      </c>
      <c r="T43" s="121">
        <f t="shared" si="27"/>
        <v>42816</v>
      </c>
      <c r="U43" s="119">
        <f t="shared" si="8"/>
        <v>0</v>
      </c>
      <c r="V43" s="120">
        <f t="shared" si="28"/>
        <v>42847</v>
      </c>
      <c r="W43" s="121">
        <f t="shared" si="29"/>
        <v>42847</v>
      </c>
      <c r="X43" s="119">
        <f t="shared" si="9"/>
        <v>0</v>
      </c>
      <c r="Y43" s="120">
        <f t="shared" si="30"/>
        <v>42877</v>
      </c>
      <c r="Z43" s="121">
        <f t="shared" si="31"/>
        <v>42877</v>
      </c>
      <c r="AA43" s="119">
        <f t="shared" si="10"/>
        <v>0</v>
      </c>
      <c r="AB43" s="120">
        <f t="shared" si="32"/>
        <v>42908</v>
      </c>
      <c r="AC43" s="121">
        <f t="shared" si="33"/>
        <v>42908</v>
      </c>
      <c r="AD43" s="119">
        <f t="shared" si="11"/>
        <v>0</v>
      </c>
      <c r="AE43" s="120">
        <f t="shared" si="34"/>
        <v>42938</v>
      </c>
      <c r="AF43" s="121">
        <f t="shared" si="35"/>
        <v>42938</v>
      </c>
      <c r="AG43" s="119">
        <f t="shared" si="12"/>
        <v>0</v>
      </c>
      <c r="AH43" s="120">
        <f t="shared" si="36"/>
        <v>42969</v>
      </c>
      <c r="AI43" s="121">
        <f t="shared" si="37"/>
        <v>42969</v>
      </c>
      <c r="AJ43" s="119">
        <f t="shared" si="13"/>
        <v>0</v>
      </c>
      <c r="AK43" s="90"/>
    </row>
    <row r="44" spans="1:37" ht="9.9499999999999993" customHeight="1" x14ac:dyDescent="0.25">
      <c r="A44" s="120">
        <f t="shared" si="14"/>
        <v>42636</v>
      </c>
      <c r="B44" s="121">
        <f t="shared" si="15"/>
        <v>42636</v>
      </c>
      <c r="C44" s="119">
        <f t="shared" si="2"/>
        <v>0</v>
      </c>
      <c r="D44" s="120">
        <f t="shared" si="16"/>
        <v>42666</v>
      </c>
      <c r="E44" s="121">
        <f t="shared" si="17"/>
        <v>42666</v>
      </c>
      <c r="F44" s="119">
        <f t="shared" si="3"/>
        <v>0</v>
      </c>
      <c r="G44" s="120">
        <f t="shared" si="18"/>
        <v>42697</v>
      </c>
      <c r="H44" s="121">
        <f t="shared" si="19"/>
        <v>42697</v>
      </c>
      <c r="I44" s="119">
        <f t="shared" si="4"/>
        <v>0</v>
      </c>
      <c r="J44" s="120">
        <f t="shared" si="20"/>
        <v>42727</v>
      </c>
      <c r="K44" s="121">
        <f t="shared" si="21"/>
        <v>42727</v>
      </c>
      <c r="L44" s="119">
        <f t="shared" si="5"/>
        <v>0</v>
      </c>
      <c r="M44" s="120">
        <f t="shared" si="22"/>
        <v>42758</v>
      </c>
      <c r="N44" s="121">
        <f t="shared" si="23"/>
        <v>42758</v>
      </c>
      <c r="O44" s="119">
        <f t="shared" si="6"/>
        <v>0</v>
      </c>
      <c r="P44" s="120">
        <f t="shared" si="24"/>
        <v>42789</v>
      </c>
      <c r="Q44" s="121">
        <f t="shared" si="25"/>
        <v>42789</v>
      </c>
      <c r="R44" s="119">
        <f t="shared" si="7"/>
        <v>0</v>
      </c>
      <c r="S44" s="120">
        <f t="shared" si="26"/>
        <v>42817</v>
      </c>
      <c r="T44" s="121">
        <f t="shared" si="27"/>
        <v>42817</v>
      </c>
      <c r="U44" s="119">
        <f t="shared" si="8"/>
        <v>0</v>
      </c>
      <c r="V44" s="120">
        <f t="shared" si="28"/>
        <v>42848</v>
      </c>
      <c r="W44" s="121">
        <f t="shared" si="29"/>
        <v>42848</v>
      </c>
      <c r="X44" s="119">
        <f t="shared" si="9"/>
        <v>0</v>
      </c>
      <c r="Y44" s="120">
        <f t="shared" si="30"/>
        <v>42878</v>
      </c>
      <c r="Z44" s="121">
        <f t="shared" si="31"/>
        <v>42878</v>
      </c>
      <c r="AA44" s="119">
        <f t="shared" si="10"/>
        <v>0</v>
      </c>
      <c r="AB44" s="120">
        <f t="shared" si="32"/>
        <v>42909</v>
      </c>
      <c r="AC44" s="121">
        <f t="shared" si="33"/>
        <v>42909</v>
      </c>
      <c r="AD44" s="119">
        <f t="shared" si="11"/>
        <v>0</v>
      </c>
      <c r="AE44" s="120">
        <f t="shared" si="34"/>
        <v>42939</v>
      </c>
      <c r="AF44" s="121">
        <f t="shared" si="35"/>
        <v>42939</v>
      </c>
      <c r="AG44" s="119">
        <f t="shared" si="12"/>
        <v>0</v>
      </c>
      <c r="AH44" s="120">
        <f t="shared" si="36"/>
        <v>42970</v>
      </c>
      <c r="AI44" s="121">
        <f t="shared" si="37"/>
        <v>42970</v>
      </c>
      <c r="AJ44" s="119">
        <f t="shared" si="13"/>
        <v>0</v>
      </c>
      <c r="AK44" s="90"/>
    </row>
    <row r="45" spans="1:37" ht="9.9499999999999993" customHeight="1" x14ac:dyDescent="0.25">
      <c r="A45" s="120">
        <f t="shared" si="14"/>
        <v>42637</v>
      </c>
      <c r="B45" s="121">
        <f t="shared" si="15"/>
        <v>42637</v>
      </c>
      <c r="C45" s="119">
        <f t="shared" si="2"/>
        <v>0</v>
      </c>
      <c r="D45" s="120">
        <f t="shared" si="16"/>
        <v>42667</v>
      </c>
      <c r="E45" s="121">
        <f t="shared" si="17"/>
        <v>42667</v>
      </c>
      <c r="F45" s="119">
        <f t="shared" si="3"/>
        <v>0</v>
      </c>
      <c r="G45" s="120">
        <f t="shared" si="18"/>
        <v>42698</v>
      </c>
      <c r="H45" s="121">
        <f t="shared" si="19"/>
        <v>42698</v>
      </c>
      <c r="I45" s="119">
        <f t="shared" si="4"/>
        <v>0</v>
      </c>
      <c r="J45" s="120">
        <f t="shared" si="20"/>
        <v>42728</v>
      </c>
      <c r="K45" s="121">
        <f t="shared" si="21"/>
        <v>42728</v>
      </c>
      <c r="L45" s="119">
        <f t="shared" si="5"/>
        <v>0</v>
      </c>
      <c r="M45" s="120">
        <f t="shared" si="22"/>
        <v>42759</v>
      </c>
      <c r="N45" s="121">
        <f t="shared" si="23"/>
        <v>42759</v>
      </c>
      <c r="O45" s="119">
        <f t="shared" si="6"/>
        <v>0</v>
      </c>
      <c r="P45" s="120">
        <f t="shared" si="24"/>
        <v>42790</v>
      </c>
      <c r="Q45" s="121">
        <f t="shared" si="25"/>
        <v>42790</v>
      </c>
      <c r="R45" s="119">
        <f t="shared" si="7"/>
        <v>0</v>
      </c>
      <c r="S45" s="120">
        <f t="shared" si="26"/>
        <v>42818</v>
      </c>
      <c r="T45" s="121">
        <f t="shared" si="27"/>
        <v>42818</v>
      </c>
      <c r="U45" s="119">
        <f t="shared" si="8"/>
        <v>0</v>
      </c>
      <c r="V45" s="120">
        <f t="shared" si="28"/>
        <v>42849</v>
      </c>
      <c r="W45" s="121">
        <f t="shared" si="29"/>
        <v>42849</v>
      </c>
      <c r="X45" s="119">
        <f t="shared" si="9"/>
        <v>0</v>
      </c>
      <c r="Y45" s="120">
        <f t="shared" si="30"/>
        <v>42879</v>
      </c>
      <c r="Z45" s="121">
        <f t="shared" si="31"/>
        <v>42879</v>
      </c>
      <c r="AA45" s="119">
        <f t="shared" si="10"/>
        <v>0</v>
      </c>
      <c r="AB45" s="120">
        <f t="shared" si="32"/>
        <v>42910</v>
      </c>
      <c r="AC45" s="121">
        <f t="shared" si="33"/>
        <v>42910</v>
      </c>
      <c r="AD45" s="119">
        <f t="shared" si="11"/>
        <v>0</v>
      </c>
      <c r="AE45" s="120">
        <f t="shared" si="34"/>
        <v>42940</v>
      </c>
      <c r="AF45" s="121">
        <f t="shared" si="35"/>
        <v>42940</v>
      </c>
      <c r="AG45" s="119">
        <f t="shared" si="12"/>
        <v>0</v>
      </c>
      <c r="AH45" s="120">
        <f t="shared" si="36"/>
        <v>42971</v>
      </c>
      <c r="AI45" s="121">
        <f t="shared" si="37"/>
        <v>42971</v>
      </c>
      <c r="AJ45" s="119">
        <f t="shared" si="13"/>
        <v>0</v>
      </c>
      <c r="AK45" s="90"/>
    </row>
    <row r="46" spans="1:37" ht="9.9499999999999993" customHeight="1" x14ac:dyDescent="0.25">
      <c r="A46" s="120">
        <f t="shared" si="14"/>
        <v>42638</v>
      </c>
      <c r="B46" s="121">
        <f t="shared" si="15"/>
        <v>42638</v>
      </c>
      <c r="C46" s="119">
        <f t="shared" si="2"/>
        <v>0</v>
      </c>
      <c r="D46" s="120">
        <f t="shared" si="16"/>
        <v>42668</v>
      </c>
      <c r="E46" s="121">
        <f t="shared" si="17"/>
        <v>42668</v>
      </c>
      <c r="F46" s="119">
        <f t="shared" si="3"/>
        <v>0</v>
      </c>
      <c r="G46" s="120">
        <f t="shared" si="18"/>
        <v>42699</v>
      </c>
      <c r="H46" s="121">
        <f t="shared" si="19"/>
        <v>42699</v>
      </c>
      <c r="I46" s="119">
        <f t="shared" si="4"/>
        <v>0</v>
      </c>
      <c r="J46" s="120">
        <f t="shared" si="20"/>
        <v>42729</v>
      </c>
      <c r="K46" s="121">
        <f t="shared" si="21"/>
        <v>42729</v>
      </c>
      <c r="L46" s="119">
        <f t="shared" si="5"/>
        <v>0</v>
      </c>
      <c r="M46" s="120">
        <f t="shared" si="22"/>
        <v>42760</v>
      </c>
      <c r="N46" s="121">
        <f t="shared" si="23"/>
        <v>42760</v>
      </c>
      <c r="O46" s="119">
        <f t="shared" si="6"/>
        <v>0</v>
      </c>
      <c r="P46" s="120">
        <f t="shared" si="24"/>
        <v>42791</v>
      </c>
      <c r="Q46" s="121">
        <f t="shared" si="25"/>
        <v>42791</v>
      </c>
      <c r="R46" s="119">
        <f t="shared" si="7"/>
        <v>0</v>
      </c>
      <c r="S46" s="120">
        <f t="shared" si="26"/>
        <v>42819</v>
      </c>
      <c r="T46" s="121">
        <f t="shared" si="27"/>
        <v>42819</v>
      </c>
      <c r="U46" s="119">
        <f t="shared" si="8"/>
        <v>0</v>
      </c>
      <c r="V46" s="120">
        <f t="shared" si="28"/>
        <v>42850</v>
      </c>
      <c r="W46" s="121">
        <f t="shared" si="29"/>
        <v>42850</v>
      </c>
      <c r="X46" s="119">
        <f t="shared" si="9"/>
        <v>0</v>
      </c>
      <c r="Y46" s="120">
        <f t="shared" si="30"/>
        <v>42880</v>
      </c>
      <c r="Z46" s="121">
        <f t="shared" si="31"/>
        <v>42880</v>
      </c>
      <c r="AA46" s="119">
        <f t="shared" si="10"/>
        <v>0</v>
      </c>
      <c r="AB46" s="120">
        <f t="shared" si="32"/>
        <v>42911</v>
      </c>
      <c r="AC46" s="121">
        <f t="shared" si="33"/>
        <v>42911</v>
      </c>
      <c r="AD46" s="119">
        <f t="shared" si="11"/>
        <v>0</v>
      </c>
      <c r="AE46" s="120">
        <f t="shared" si="34"/>
        <v>42941</v>
      </c>
      <c r="AF46" s="121">
        <f t="shared" si="35"/>
        <v>42941</v>
      </c>
      <c r="AG46" s="119">
        <f t="shared" si="12"/>
        <v>0</v>
      </c>
      <c r="AH46" s="120">
        <f t="shared" si="36"/>
        <v>42972</v>
      </c>
      <c r="AI46" s="121">
        <f t="shared" si="37"/>
        <v>42972</v>
      </c>
      <c r="AJ46" s="119">
        <f t="shared" si="13"/>
        <v>0</v>
      </c>
      <c r="AK46" s="90"/>
    </row>
    <row r="47" spans="1:37" ht="9.9499999999999993" customHeight="1" x14ac:dyDescent="0.25">
      <c r="A47" s="120">
        <f t="shared" si="14"/>
        <v>42639</v>
      </c>
      <c r="B47" s="121">
        <f t="shared" si="15"/>
        <v>42639</v>
      </c>
      <c r="C47" s="119">
        <f t="shared" si="2"/>
        <v>0</v>
      </c>
      <c r="D47" s="120">
        <f t="shared" si="16"/>
        <v>42669</v>
      </c>
      <c r="E47" s="121">
        <f t="shared" si="17"/>
        <v>42669</v>
      </c>
      <c r="F47" s="119">
        <f t="shared" si="3"/>
        <v>0</v>
      </c>
      <c r="G47" s="120">
        <f t="shared" si="18"/>
        <v>42700</v>
      </c>
      <c r="H47" s="121">
        <f t="shared" si="19"/>
        <v>42700</v>
      </c>
      <c r="I47" s="119">
        <f t="shared" si="4"/>
        <v>0</v>
      </c>
      <c r="J47" s="120">
        <f t="shared" si="20"/>
        <v>42730</v>
      </c>
      <c r="K47" s="121">
        <f t="shared" si="21"/>
        <v>42730</v>
      </c>
      <c r="L47" s="119">
        <f t="shared" si="5"/>
        <v>0</v>
      </c>
      <c r="M47" s="120">
        <f t="shared" si="22"/>
        <v>42761</v>
      </c>
      <c r="N47" s="121">
        <f t="shared" si="23"/>
        <v>42761</v>
      </c>
      <c r="O47" s="119">
        <f t="shared" si="6"/>
        <v>0</v>
      </c>
      <c r="P47" s="120">
        <f t="shared" si="24"/>
        <v>42792</v>
      </c>
      <c r="Q47" s="121">
        <f t="shared" si="25"/>
        <v>42792</v>
      </c>
      <c r="R47" s="119">
        <f t="shared" si="7"/>
        <v>0</v>
      </c>
      <c r="S47" s="120">
        <f t="shared" si="26"/>
        <v>42820</v>
      </c>
      <c r="T47" s="121">
        <f t="shared" si="27"/>
        <v>42820</v>
      </c>
      <c r="U47" s="119">
        <f t="shared" si="8"/>
        <v>0</v>
      </c>
      <c r="V47" s="120">
        <f t="shared" si="28"/>
        <v>42851</v>
      </c>
      <c r="W47" s="121">
        <f t="shared" si="29"/>
        <v>42851</v>
      </c>
      <c r="X47" s="119">
        <f t="shared" si="9"/>
        <v>0</v>
      </c>
      <c r="Y47" s="120">
        <f t="shared" si="30"/>
        <v>42881</v>
      </c>
      <c r="Z47" s="121">
        <f t="shared" si="31"/>
        <v>42881</v>
      </c>
      <c r="AA47" s="119">
        <f t="shared" si="10"/>
        <v>0</v>
      </c>
      <c r="AB47" s="120">
        <f t="shared" si="32"/>
        <v>42912</v>
      </c>
      <c r="AC47" s="121">
        <f t="shared" si="33"/>
        <v>42912</v>
      </c>
      <c r="AD47" s="119">
        <f t="shared" si="11"/>
        <v>0</v>
      </c>
      <c r="AE47" s="120">
        <f t="shared" si="34"/>
        <v>42942</v>
      </c>
      <c r="AF47" s="121">
        <f t="shared" si="35"/>
        <v>42942</v>
      </c>
      <c r="AG47" s="119">
        <f t="shared" si="12"/>
        <v>0</v>
      </c>
      <c r="AH47" s="120">
        <f t="shared" si="36"/>
        <v>42973</v>
      </c>
      <c r="AI47" s="121">
        <f t="shared" si="37"/>
        <v>42973</v>
      </c>
      <c r="AJ47" s="119">
        <f t="shared" si="13"/>
        <v>0</v>
      </c>
      <c r="AK47" s="90"/>
    </row>
    <row r="48" spans="1:37" ht="9.9499999999999993" customHeight="1" x14ac:dyDescent="0.25">
      <c r="A48" s="120">
        <f t="shared" si="14"/>
        <v>42640</v>
      </c>
      <c r="B48" s="121">
        <f t="shared" si="15"/>
        <v>42640</v>
      </c>
      <c r="C48" s="119">
        <f t="shared" si="2"/>
        <v>0</v>
      </c>
      <c r="D48" s="120">
        <f t="shared" si="16"/>
        <v>42670</v>
      </c>
      <c r="E48" s="121">
        <f t="shared" si="17"/>
        <v>42670</v>
      </c>
      <c r="F48" s="119">
        <f t="shared" si="3"/>
        <v>0</v>
      </c>
      <c r="G48" s="120">
        <f t="shared" si="18"/>
        <v>42701</v>
      </c>
      <c r="H48" s="121">
        <f t="shared" si="19"/>
        <v>42701</v>
      </c>
      <c r="I48" s="119">
        <f t="shared" si="4"/>
        <v>0</v>
      </c>
      <c r="J48" s="120">
        <f t="shared" si="20"/>
        <v>42731</v>
      </c>
      <c r="K48" s="121">
        <f t="shared" si="21"/>
        <v>42731</v>
      </c>
      <c r="L48" s="119">
        <f t="shared" si="5"/>
        <v>0</v>
      </c>
      <c r="M48" s="120">
        <f t="shared" si="22"/>
        <v>42762</v>
      </c>
      <c r="N48" s="121">
        <f t="shared" si="23"/>
        <v>42762</v>
      </c>
      <c r="O48" s="119">
        <f t="shared" si="6"/>
        <v>0</v>
      </c>
      <c r="P48" s="120">
        <f t="shared" si="24"/>
        <v>42793</v>
      </c>
      <c r="Q48" s="121">
        <f t="shared" si="25"/>
        <v>42793</v>
      </c>
      <c r="R48" s="119">
        <f t="shared" si="7"/>
        <v>0</v>
      </c>
      <c r="S48" s="120">
        <f t="shared" si="26"/>
        <v>42821</v>
      </c>
      <c r="T48" s="121">
        <f t="shared" si="27"/>
        <v>42821</v>
      </c>
      <c r="U48" s="119">
        <f t="shared" si="8"/>
        <v>0</v>
      </c>
      <c r="V48" s="120">
        <f t="shared" si="28"/>
        <v>42852</v>
      </c>
      <c r="W48" s="121">
        <f t="shared" si="29"/>
        <v>42852</v>
      </c>
      <c r="X48" s="119">
        <f t="shared" si="9"/>
        <v>0</v>
      </c>
      <c r="Y48" s="120">
        <f t="shared" si="30"/>
        <v>42882</v>
      </c>
      <c r="Z48" s="121">
        <f t="shared" si="31"/>
        <v>42882</v>
      </c>
      <c r="AA48" s="119">
        <f t="shared" si="10"/>
        <v>0</v>
      </c>
      <c r="AB48" s="120">
        <f t="shared" si="32"/>
        <v>42913</v>
      </c>
      <c r="AC48" s="121">
        <f t="shared" si="33"/>
        <v>42913</v>
      </c>
      <c r="AD48" s="119">
        <f t="shared" si="11"/>
        <v>0</v>
      </c>
      <c r="AE48" s="120">
        <f t="shared" si="34"/>
        <v>42943</v>
      </c>
      <c r="AF48" s="121">
        <f t="shared" si="35"/>
        <v>42943</v>
      </c>
      <c r="AG48" s="119">
        <f t="shared" si="12"/>
        <v>0</v>
      </c>
      <c r="AH48" s="120">
        <f t="shared" si="36"/>
        <v>42974</v>
      </c>
      <c r="AI48" s="121">
        <f t="shared" si="37"/>
        <v>42974</v>
      </c>
      <c r="AJ48" s="119">
        <f t="shared" si="13"/>
        <v>0</v>
      </c>
      <c r="AK48" s="90"/>
    </row>
    <row r="49" spans="1:37" ht="9.9499999999999993" customHeight="1" x14ac:dyDescent="0.25">
      <c r="A49" s="120">
        <f t="shared" si="14"/>
        <v>42641</v>
      </c>
      <c r="B49" s="121">
        <f t="shared" si="15"/>
        <v>42641</v>
      </c>
      <c r="C49" s="119">
        <f t="shared" si="2"/>
        <v>0</v>
      </c>
      <c r="D49" s="120">
        <f t="shared" si="16"/>
        <v>42671</v>
      </c>
      <c r="E49" s="121">
        <f t="shared" si="17"/>
        <v>42671</v>
      </c>
      <c r="F49" s="119">
        <f t="shared" si="3"/>
        <v>0</v>
      </c>
      <c r="G49" s="120">
        <f t="shared" si="18"/>
        <v>42702</v>
      </c>
      <c r="H49" s="121">
        <f t="shared" si="19"/>
        <v>42702</v>
      </c>
      <c r="I49" s="119">
        <f t="shared" si="4"/>
        <v>0</v>
      </c>
      <c r="J49" s="120">
        <f t="shared" si="20"/>
        <v>42732</v>
      </c>
      <c r="K49" s="121">
        <f t="shared" si="21"/>
        <v>42732</v>
      </c>
      <c r="L49" s="119">
        <f t="shared" si="5"/>
        <v>0</v>
      </c>
      <c r="M49" s="120">
        <f t="shared" si="22"/>
        <v>42763</v>
      </c>
      <c r="N49" s="121">
        <f t="shared" si="23"/>
        <v>42763</v>
      </c>
      <c r="O49" s="119">
        <f t="shared" si="6"/>
        <v>0</v>
      </c>
      <c r="P49" s="120" t="str">
        <f>IF(DATE(AH4,12,31)-DATE(AH4,1,1)+1=366,P48+1,"")</f>
        <v/>
      </c>
      <c r="Q49" s="121" t="str">
        <f>IF(DATE(AH4,12,31)-DATE(AH4,1,1)+1=366,Q48+1,"")</f>
        <v/>
      </c>
      <c r="R49" s="119" t="str">
        <f>IF(DATE(AH4,12,31)-DATE(AH4,1,1)+1=366,VLOOKUP(P49,tab_recap,3),"")</f>
        <v/>
      </c>
      <c r="S49" s="120">
        <f t="shared" si="26"/>
        <v>42822</v>
      </c>
      <c r="T49" s="121">
        <f t="shared" si="27"/>
        <v>42822</v>
      </c>
      <c r="U49" s="119">
        <f t="shared" si="8"/>
        <v>0</v>
      </c>
      <c r="V49" s="120">
        <f t="shared" si="28"/>
        <v>42853</v>
      </c>
      <c r="W49" s="121">
        <f t="shared" si="29"/>
        <v>42853</v>
      </c>
      <c r="X49" s="119">
        <f t="shared" si="9"/>
        <v>0</v>
      </c>
      <c r="Y49" s="120">
        <f t="shared" si="30"/>
        <v>42883</v>
      </c>
      <c r="Z49" s="121">
        <f t="shared" si="31"/>
        <v>42883</v>
      </c>
      <c r="AA49" s="119">
        <f t="shared" si="10"/>
        <v>0</v>
      </c>
      <c r="AB49" s="120">
        <f t="shared" si="32"/>
        <v>42914</v>
      </c>
      <c r="AC49" s="121">
        <f t="shared" si="33"/>
        <v>42914</v>
      </c>
      <c r="AD49" s="119">
        <f t="shared" si="11"/>
        <v>0</v>
      </c>
      <c r="AE49" s="120">
        <f t="shared" si="34"/>
        <v>42944</v>
      </c>
      <c r="AF49" s="121">
        <f t="shared" si="35"/>
        <v>42944</v>
      </c>
      <c r="AG49" s="119">
        <f t="shared" si="12"/>
        <v>0</v>
      </c>
      <c r="AH49" s="120">
        <f t="shared" si="36"/>
        <v>42975</v>
      </c>
      <c r="AI49" s="121">
        <f t="shared" si="37"/>
        <v>42975</v>
      </c>
      <c r="AJ49" s="119">
        <f t="shared" si="13"/>
        <v>0</v>
      </c>
      <c r="AK49" s="90"/>
    </row>
    <row r="50" spans="1:37" ht="9.9499999999999993" customHeight="1" x14ac:dyDescent="0.25">
      <c r="A50" s="120">
        <f t="shared" si="14"/>
        <v>42642</v>
      </c>
      <c r="B50" s="121">
        <f t="shared" si="15"/>
        <v>42642</v>
      </c>
      <c r="C50" s="119">
        <f t="shared" si="2"/>
        <v>0</v>
      </c>
      <c r="D50" s="120">
        <f t="shared" si="16"/>
        <v>42672</v>
      </c>
      <c r="E50" s="121">
        <f t="shared" si="17"/>
        <v>42672</v>
      </c>
      <c r="F50" s="119">
        <f t="shared" si="3"/>
        <v>0</v>
      </c>
      <c r="G50" s="120">
        <f t="shared" si="18"/>
        <v>42703</v>
      </c>
      <c r="H50" s="121">
        <f t="shared" si="19"/>
        <v>42703</v>
      </c>
      <c r="I50" s="119">
        <f t="shared" si="4"/>
        <v>0</v>
      </c>
      <c r="J50" s="120">
        <f t="shared" si="20"/>
        <v>42733</v>
      </c>
      <c r="K50" s="121">
        <f t="shared" si="21"/>
        <v>42733</v>
      </c>
      <c r="L50" s="119">
        <f t="shared" si="5"/>
        <v>0</v>
      </c>
      <c r="M50" s="120">
        <f t="shared" si="22"/>
        <v>42764</v>
      </c>
      <c r="N50" s="121">
        <f t="shared" si="23"/>
        <v>42764</v>
      </c>
      <c r="O50" s="119">
        <f t="shared" si="6"/>
        <v>0</v>
      </c>
      <c r="P50" s="120"/>
      <c r="Q50" s="121"/>
      <c r="R50" s="119"/>
      <c r="S50" s="120">
        <f t="shared" si="26"/>
        <v>42823</v>
      </c>
      <c r="T50" s="121">
        <f t="shared" si="27"/>
        <v>42823</v>
      </c>
      <c r="U50" s="119">
        <f t="shared" si="8"/>
        <v>0</v>
      </c>
      <c r="V50" s="120">
        <f t="shared" si="28"/>
        <v>42854</v>
      </c>
      <c r="W50" s="121">
        <f t="shared" si="29"/>
        <v>42854</v>
      </c>
      <c r="X50" s="119">
        <f t="shared" si="9"/>
        <v>0</v>
      </c>
      <c r="Y50" s="120">
        <f t="shared" si="30"/>
        <v>42884</v>
      </c>
      <c r="Z50" s="121">
        <f t="shared" si="31"/>
        <v>42884</v>
      </c>
      <c r="AA50" s="119">
        <f t="shared" si="10"/>
        <v>0</v>
      </c>
      <c r="AB50" s="120">
        <f t="shared" si="32"/>
        <v>42915</v>
      </c>
      <c r="AC50" s="121">
        <f t="shared" si="33"/>
        <v>42915</v>
      </c>
      <c r="AD50" s="119">
        <f t="shared" si="11"/>
        <v>0</v>
      </c>
      <c r="AE50" s="120">
        <f t="shared" si="34"/>
        <v>42945</v>
      </c>
      <c r="AF50" s="121">
        <f t="shared" si="35"/>
        <v>42945</v>
      </c>
      <c r="AG50" s="119">
        <f t="shared" si="12"/>
        <v>0</v>
      </c>
      <c r="AH50" s="120">
        <f t="shared" si="36"/>
        <v>42976</v>
      </c>
      <c r="AI50" s="121">
        <f t="shared" si="37"/>
        <v>42976</v>
      </c>
      <c r="AJ50" s="119">
        <f t="shared" si="13"/>
        <v>0</v>
      </c>
      <c r="AK50" s="90"/>
    </row>
    <row r="51" spans="1:37" ht="9.9499999999999993" customHeight="1" thickBot="1" x14ac:dyDescent="0.3">
      <c r="A51" s="122"/>
      <c r="B51" s="123"/>
      <c r="C51" s="124"/>
      <c r="D51" s="126">
        <f t="shared" si="16"/>
        <v>42673</v>
      </c>
      <c r="E51" s="125">
        <f t="shared" si="17"/>
        <v>42673</v>
      </c>
      <c r="F51" s="119">
        <f t="shared" si="3"/>
        <v>0</v>
      </c>
      <c r="G51" s="122"/>
      <c r="H51" s="125"/>
      <c r="I51" s="124"/>
      <c r="J51" s="122">
        <f t="shared" si="20"/>
        <v>42734</v>
      </c>
      <c r="K51" s="125">
        <f t="shared" si="21"/>
        <v>42734</v>
      </c>
      <c r="L51" s="119">
        <f t="shared" si="5"/>
        <v>0</v>
      </c>
      <c r="M51" s="122">
        <f t="shared" si="22"/>
        <v>42765</v>
      </c>
      <c r="N51" s="125">
        <f t="shared" si="23"/>
        <v>42765</v>
      </c>
      <c r="O51" s="119">
        <f t="shared" si="6"/>
        <v>0</v>
      </c>
      <c r="P51" s="122"/>
      <c r="Q51" s="125"/>
      <c r="R51" s="124"/>
      <c r="S51" s="122">
        <f t="shared" si="26"/>
        <v>42824</v>
      </c>
      <c r="T51" s="125">
        <f t="shared" si="27"/>
        <v>42824</v>
      </c>
      <c r="U51" s="119">
        <f t="shared" si="8"/>
        <v>0</v>
      </c>
      <c r="V51" s="122"/>
      <c r="W51" s="125"/>
      <c r="X51" s="124"/>
      <c r="Y51" s="122">
        <f t="shared" si="30"/>
        <v>42885</v>
      </c>
      <c r="Z51" s="125">
        <f t="shared" si="31"/>
        <v>42885</v>
      </c>
      <c r="AA51" s="119">
        <f t="shared" si="10"/>
        <v>0</v>
      </c>
      <c r="AB51" s="122"/>
      <c r="AC51" s="125"/>
      <c r="AD51" s="124"/>
      <c r="AE51" s="122">
        <f t="shared" si="34"/>
        <v>42946</v>
      </c>
      <c r="AF51" s="125">
        <f t="shared" si="35"/>
        <v>42946</v>
      </c>
      <c r="AG51" s="119">
        <f t="shared" si="12"/>
        <v>0</v>
      </c>
      <c r="AH51" s="122">
        <f t="shared" si="36"/>
        <v>42977</v>
      </c>
      <c r="AI51" s="125">
        <f t="shared" si="37"/>
        <v>42977</v>
      </c>
      <c r="AJ51" s="119">
        <f t="shared" si="13"/>
        <v>0</v>
      </c>
      <c r="AK51" s="90"/>
    </row>
    <row r="52" spans="1:37" s="92" customFormat="1" ht="15" customHeight="1" thickTop="1" thickBot="1" x14ac:dyDescent="0.25">
      <c r="A52" s="857" t="e">
        <f>SUM(C21:C51)</f>
        <v>#N/A</v>
      </c>
      <c r="B52" s="858"/>
      <c r="C52" s="859"/>
      <c r="D52" s="857">
        <f>SUM(F21:F51)</f>
        <v>0</v>
      </c>
      <c r="E52" s="858"/>
      <c r="F52" s="859"/>
      <c r="G52" s="857">
        <f>SUM(I21:I51)</f>
        <v>0</v>
      </c>
      <c r="H52" s="858"/>
      <c r="I52" s="859"/>
      <c r="J52" s="857">
        <f>SUM(L21:L51)</f>
        <v>0</v>
      </c>
      <c r="K52" s="858"/>
      <c r="L52" s="859"/>
      <c r="M52" s="857">
        <f>SUM(O21:O51)</f>
        <v>0</v>
      </c>
      <c r="N52" s="858"/>
      <c r="O52" s="859"/>
      <c r="P52" s="857">
        <f>SUM(R21:R51)</f>
        <v>0</v>
      </c>
      <c r="Q52" s="858"/>
      <c r="R52" s="859"/>
      <c r="S52" s="857">
        <f>SUM(U21:U51)</f>
        <v>0</v>
      </c>
      <c r="T52" s="858"/>
      <c r="U52" s="859"/>
      <c r="V52" s="857">
        <f>SUM(X21:X51)</f>
        <v>0</v>
      </c>
      <c r="W52" s="858"/>
      <c r="X52" s="859"/>
      <c r="Y52" s="857">
        <f>SUM(AA21:AA51)</f>
        <v>0</v>
      </c>
      <c r="Z52" s="858"/>
      <c r="AA52" s="859"/>
      <c r="AB52" s="857">
        <f>SUM(AD21:AD51)</f>
        <v>0</v>
      </c>
      <c r="AC52" s="858"/>
      <c r="AD52" s="859"/>
      <c r="AE52" s="857">
        <f>SUM(AG21:AG51)</f>
        <v>0</v>
      </c>
      <c r="AF52" s="858"/>
      <c r="AG52" s="859"/>
      <c r="AH52" s="857">
        <f>SUM(AJ21:AJ51)</f>
        <v>0</v>
      </c>
      <c r="AI52" s="858"/>
      <c r="AJ52" s="859"/>
      <c r="AK52" s="91"/>
    </row>
    <row r="53" spans="1:37" s="92" customFormat="1" ht="15" customHeight="1" thickTop="1" thickBot="1" x14ac:dyDescent="0.25">
      <c r="A53" s="91"/>
      <c r="B53" s="91"/>
      <c r="C53" s="91"/>
      <c r="D53" s="91"/>
      <c r="E53" s="91"/>
      <c r="F53" s="91"/>
      <c r="G53" s="91"/>
      <c r="H53" s="91"/>
      <c r="I53" s="128"/>
      <c r="J53" s="128"/>
      <c r="K53" s="128"/>
      <c r="L53" s="128"/>
      <c r="M53" s="128"/>
      <c r="N53" s="128"/>
      <c r="O53" s="128"/>
      <c r="P53" s="128"/>
      <c r="Q53" s="128"/>
      <c r="R53" s="91"/>
      <c r="S53" s="91"/>
      <c r="T53" s="91"/>
      <c r="U53" s="91"/>
      <c r="V53" s="91"/>
      <c r="W53" s="128"/>
      <c r="X53" s="128"/>
      <c r="Y53" s="128"/>
      <c r="Z53" s="128"/>
      <c r="AA53" s="128"/>
      <c r="AB53" s="128"/>
      <c r="AC53" s="128"/>
      <c r="AD53" s="91"/>
      <c r="AE53" s="91"/>
      <c r="AF53" s="91"/>
      <c r="AG53" s="91"/>
      <c r="AH53" s="91"/>
      <c r="AI53" s="91"/>
      <c r="AJ53" s="91"/>
      <c r="AK53" s="91"/>
    </row>
    <row r="54" spans="1:37" ht="15" customHeight="1" thickTop="1" thickBot="1" x14ac:dyDescent="0.3">
      <c r="C54" s="853" t="s">
        <v>177</v>
      </c>
      <c r="D54" s="854"/>
      <c r="E54" s="854"/>
      <c r="F54" s="854"/>
      <c r="G54" s="854"/>
      <c r="H54" s="854"/>
      <c r="I54" s="854"/>
      <c r="J54" s="855">
        <f>Paramétrage!I15</f>
        <v>0</v>
      </c>
      <c r="K54" s="856"/>
    </row>
    <row r="55" spans="1:37" ht="15" customHeight="1" thickTop="1" thickBot="1" x14ac:dyDescent="0.3">
      <c r="E55"/>
      <c r="G55" s="104"/>
      <c r="I55"/>
      <c r="J55"/>
      <c r="K55" s="104"/>
      <c r="O55" s="853" t="s">
        <v>179</v>
      </c>
      <c r="P55" s="860"/>
      <c r="Q55" s="860"/>
      <c r="R55" s="860"/>
      <c r="S55" s="860"/>
      <c r="T55" s="860"/>
      <c r="U55" s="860"/>
      <c r="V55" s="855">
        <f>annualisation!D78</f>
        <v>0</v>
      </c>
      <c r="W55" s="856"/>
      <c r="AA55" s="861" t="str">
        <f>IF(J54&gt;G11,"Total des heures à récupérer : ","Total des heures restant à faire :")</f>
        <v>Total des heures restant à faire :</v>
      </c>
      <c r="AB55" s="855"/>
      <c r="AC55" s="855"/>
      <c r="AD55" s="855"/>
      <c r="AE55" s="855"/>
      <c r="AF55" s="855"/>
      <c r="AG55" s="856"/>
      <c r="AH55" s="855">
        <f>J54-V55</f>
        <v>0</v>
      </c>
      <c r="AI55" s="856"/>
    </row>
    <row r="56" spans="1:37" ht="15" customHeight="1" thickTop="1" thickBot="1" x14ac:dyDescent="0.3">
      <c r="C56" s="853" t="s">
        <v>178</v>
      </c>
      <c r="D56" s="854"/>
      <c r="E56" s="854"/>
      <c r="F56" s="854"/>
      <c r="G56" s="854"/>
      <c r="H56" s="854"/>
      <c r="I56" s="854"/>
      <c r="J56" s="855" t="e">
        <f>SUM(A52:AJ52)</f>
        <v>#N/A</v>
      </c>
      <c r="K56" s="856"/>
    </row>
    <row r="57" spans="1:37" ht="15.75" thickTop="1" x14ac:dyDescent="0.25">
      <c r="J57"/>
      <c r="AA57"/>
      <c r="AB57"/>
    </row>
    <row r="58" spans="1:37" x14ac:dyDescent="0.25">
      <c r="J58"/>
      <c r="AA58"/>
      <c r="AB58"/>
    </row>
    <row r="59" spans="1:37" x14ac:dyDescent="0.25">
      <c r="J59"/>
      <c r="W59"/>
      <c r="AA59"/>
      <c r="AB59"/>
    </row>
    <row r="60" spans="1:37" ht="15" customHeight="1" x14ac:dyDescent="0.25">
      <c r="J60"/>
      <c r="N60"/>
      <c r="R60"/>
      <c r="S60"/>
      <c r="W60"/>
      <c r="AA60"/>
      <c r="AB60"/>
    </row>
    <row r="61" spans="1:37" x14ac:dyDescent="0.25">
      <c r="J61"/>
      <c r="N61"/>
      <c r="R61"/>
      <c r="S61"/>
      <c r="W61"/>
      <c r="AA61"/>
      <c r="AB61"/>
    </row>
    <row r="62" spans="1:37" ht="15" customHeight="1" x14ac:dyDescent="0.25">
      <c r="J62"/>
      <c r="N62"/>
      <c r="R62"/>
      <c r="S62"/>
      <c r="W62"/>
      <c r="AA62"/>
      <c r="AB62"/>
    </row>
    <row r="63" spans="1:37" x14ac:dyDescent="0.25">
      <c r="J63"/>
      <c r="N63"/>
      <c r="R63"/>
      <c r="S63"/>
      <c r="W63"/>
      <c r="AA63"/>
      <c r="AB63"/>
    </row>
    <row r="64" spans="1:37" x14ac:dyDescent="0.25">
      <c r="J64"/>
      <c r="N64"/>
      <c r="R64"/>
      <c r="S64"/>
      <c r="W64"/>
      <c r="AA64"/>
      <c r="AB64"/>
    </row>
    <row r="72" ht="15" customHeight="1" x14ac:dyDescent="0.25"/>
    <row r="74" ht="15" customHeight="1" x14ac:dyDescent="0.25"/>
    <row r="84" ht="15" customHeight="1" x14ac:dyDescent="0.25"/>
    <row r="86" ht="15" customHeight="1" x14ac:dyDescent="0.25"/>
    <row r="96" ht="15" customHeight="1" x14ac:dyDescent="0.25"/>
    <row r="98" ht="15" customHeight="1" x14ac:dyDescent="0.25"/>
    <row r="108" ht="15" customHeight="1" x14ac:dyDescent="0.25"/>
    <row r="110" ht="15" customHeight="1" x14ac:dyDescent="0.25"/>
    <row r="120" ht="15" customHeight="1" x14ac:dyDescent="0.25"/>
    <row r="122" ht="15" customHeight="1" x14ac:dyDescent="0.25"/>
    <row r="132" ht="15" customHeight="1" x14ac:dyDescent="0.25"/>
    <row r="134" ht="15" customHeight="1" x14ac:dyDescent="0.25"/>
    <row r="144" ht="15" customHeight="1" x14ac:dyDescent="0.25"/>
    <row r="146" ht="15" customHeight="1" x14ac:dyDescent="0.25"/>
    <row r="158" ht="15" customHeight="1" x14ac:dyDescent="0.25"/>
  </sheetData>
  <sheetProtection password="A5E6" sheet="1" objects="1" scenarios="1"/>
  <mergeCells count="102">
    <mergeCell ref="AL4:AL6"/>
    <mergeCell ref="AM4:AO6"/>
    <mergeCell ref="S6:W6"/>
    <mergeCell ref="G7:I7"/>
    <mergeCell ref="A1:AJ1"/>
    <mergeCell ref="G4:N4"/>
    <mergeCell ref="S4:W4"/>
    <mergeCell ref="AD4:AF4"/>
    <mergeCell ref="AH4:AJ4"/>
    <mergeCell ref="X18:AB18"/>
    <mergeCell ref="AD18:AI18"/>
    <mergeCell ref="Z8:AD8"/>
    <mergeCell ref="AE8:AF8"/>
    <mergeCell ref="Z10:AD10"/>
    <mergeCell ref="AE10:AF10"/>
    <mergeCell ref="Z9:AD9"/>
    <mergeCell ref="AE9:AF9"/>
    <mergeCell ref="I15:K15"/>
    <mergeCell ref="AE11:AF11"/>
    <mergeCell ref="G11:I11"/>
    <mergeCell ref="Z11:AD11"/>
    <mergeCell ref="G9:I9"/>
    <mergeCell ref="V13:AI13"/>
    <mergeCell ref="S14:U14"/>
    <mergeCell ref="V14:W14"/>
    <mergeCell ref="X14:AB14"/>
    <mergeCell ref="AD14:AI14"/>
    <mergeCell ref="S15:U15"/>
    <mergeCell ref="V15:W15"/>
    <mergeCell ref="X15:AB15"/>
    <mergeCell ref="AD15:AI15"/>
    <mergeCell ref="X16:AB16"/>
    <mergeCell ref="AD16:AI16"/>
    <mergeCell ref="S16:U16"/>
    <mergeCell ref="C18:E18"/>
    <mergeCell ref="F18:H18"/>
    <mergeCell ref="I18:K18"/>
    <mergeCell ref="S18:U18"/>
    <mergeCell ref="V18:W18"/>
    <mergeCell ref="V16:W16"/>
    <mergeCell ref="C17:E17"/>
    <mergeCell ref="F17:H17"/>
    <mergeCell ref="I17:K17"/>
    <mergeCell ref="S17:U17"/>
    <mergeCell ref="V17:W17"/>
    <mergeCell ref="A14:B18"/>
    <mergeCell ref="C14:E14"/>
    <mergeCell ref="F14:H14"/>
    <mergeCell ref="I14:K14"/>
    <mergeCell ref="C15:E15"/>
    <mergeCell ref="F15:H15"/>
    <mergeCell ref="C16:E16"/>
    <mergeCell ref="F16:H16"/>
    <mergeCell ref="I16:K16"/>
    <mergeCell ref="X17:AB17"/>
    <mergeCell ref="AD17:AI17"/>
    <mergeCell ref="P13:R18"/>
    <mergeCell ref="S13:U13"/>
    <mergeCell ref="AH20:AJ20"/>
    <mergeCell ref="A52:C52"/>
    <mergeCell ref="D52:F52"/>
    <mergeCell ref="G52:I52"/>
    <mergeCell ref="J52:L52"/>
    <mergeCell ref="S20:U20"/>
    <mergeCell ref="V20:X20"/>
    <mergeCell ref="Y20:AA20"/>
    <mergeCell ref="V19:X19"/>
    <mergeCell ref="Y19:AA19"/>
    <mergeCell ref="AB19:AD19"/>
    <mergeCell ref="S19:U19"/>
    <mergeCell ref="A20:C20"/>
    <mergeCell ref="D20:F20"/>
    <mergeCell ref="G20:I20"/>
    <mergeCell ref="J20:L20"/>
    <mergeCell ref="M20:O20"/>
    <mergeCell ref="P20:R20"/>
    <mergeCell ref="AB20:AD20"/>
    <mergeCell ref="AE20:AG20"/>
    <mergeCell ref="AE19:AG19"/>
    <mergeCell ref="AH19:AJ19"/>
    <mergeCell ref="C56:I56"/>
    <mergeCell ref="J56:K56"/>
    <mergeCell ref="AH52:AJ52"/>
    <mergeCell ref="O55:U55"/>
    <mergeCell ref="J54:K54"/>
    <mergeCell ref="AH55:AI55"/>
    <mergeCell ref="V52:X52"/>
    <mergeCell ref="Y52:AA52"/>
    <mergeCell ref="AB52:AD52"/>
    <mergeCell ref="S52:U52"/>
    <mergeCell ref="AE52:AG52"/>
    <mergeCell ref="M52:O52"/>
    <mergeCell ref="P52:R52"/>
    <mergeCell ref="AA55:AG55"/>
    <mergeCell ref="C54:I54"/>
    <mergeCell ref="V55:W55"/>
    <mergeCell ref="A19:C19"/>
    <mergeCell ref="D19:F19"/>
    <mergeCell ref="G19:I19"/>
    <mergeCell ref="J19:L19"/>
    <mergeCell ref="M19:O19"/>
    <mergeCell ref="P19:R19"/>
  </mergeCells>
  <phoneticPr fontId="34" type="noConversion"/>
  <conditionalFormatting sqref="AK21:AK51">
    <cfRule type="expression" dxfId="9" priority="1" stopIfTrue="1">
      <formula>COUNTIF(#REF!,AJ21)&gt;0</formula>
    </cfRule>
  </conditionalFormatting>
  <conditionalFormatting sqref="C21:C50 I21:I50 R21:R50 X21:X50 AD21:AD50 AJ21:AJ51 AG21:AG51 AA21:AA51 U21:U51 O21:O51 L21:L51 F21:F51">
    <cfRule type="expression" dxfId="8" priority="2" stopIfTrue="1">
      <formula>COUNTIF($C$14:$K$18,B21)&gt;=1</formula>
    </cfRule>
    <cfRule type="expression" dxfId="7" priority="3" stopIfTrue="1">
      <formula>OR(WEEKDAY(B21)=$AL$7,WEEKDAY(B21)=$AL$8)</formula>
    </cfRule>
    <cfRule type="expression" dxfId="6" priority="4" stopIfTrue="1">
      <formula>COUNTIF(tab_vacances,B21)&gt;=1</formula>
    </cfRule>
  </conditionalFormatting>
  <conditionalFormatting sqref="AD51 C51 X51 I51 R51">
    <cfRule type="expression" dxfId="5" priority="5" stopIfTrue="1">
      <formula>COUNTIF($AL$7:$AL$7,WEEKDAY(C51))&gt;=1</formula>
    </cfRule>
    <cfRule type="expression" dxfId="4" priority="6" stopIfTrue="1">
      <formula>COUNTIF($C$14:$K$18,C51)&gt;=1</formula>
    </cfRule>
    <cfRule type="expression" dxfId="3" priority="7" stopIfTrue="1">
      <formula>COUNTIF(#REF!,C51)&gt;=1</formula>
    </cfRule>
  </conditionalFormatting>
  <conditionalFormatting sqref="A21:B51 D21:E51 G21:H51 J21:K51 M21:N51 P21:Q51 S21:T51 V21:W51 Y21:Z51 AB21:AC51 AE21:AF51 AH21:AI51">
    <cfRule type="expression" dxfId="2" priority="8" stopIfTrue="1">
      <formula>COUNTIF($C$14:$K$18,A21)&gt;=1</formula>
    </cfRule>
    <cfRule type="expression" dxfId="1" priority="9" stopIfTrue="1">
      <formula>OR(WEEKDAY(A21)=$AL$7,WEEKDAY(A21)=$AL$8)</formula>
    </cfRule>
    <cfRule type="expression" dxfId="0" priority="10" stopIfTrue="1">
      <formula>COUNTIF(tab_vacances,A21)&gt;=1</formula>
    </cfRule>
  </conditionalFormatting>
  <printOptions horizontalCentered="1"/>
  <pageMargins left="0.19685039370078741" right="0.23622047244094491" top="0.39370078740157483" bottom="0.31496062992125984" header="0.23622047244094491" footer="0.19685039370078741"/>
  <pageSetup paperSize="9" scale="86" orientation="landscape" horizontalDpi="4294967293" vertic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20</vt:i4>
      </vt:variant>
    </vt:vector>
  </HeadingPairs>
  <TitlesOfParts>
    <vt:vector size="32" baseType="lpstr">
      <vt:lpstr>Procédure</vt:lpstr>
      <vt:lpstr>Paramétrage</vt:lpstr>
      <vt:lpstr>période1</vt:lpstr>
      <vt:lpstr>période2</vt:lpstr>
      <vt:lpstr>annualisation</vt:lpstr>
      <vt:lpstr>T1</vt:lpstr>
      <vt:lpstr>T2</vt:lpstr>
      <vt:lpstr>T3</vt:lpstr>
      <vt:lpstr>T4</vt:lpstr>
      <vt:lpstr>Récap mensuel fiche paie</vt:lpstr>
      <vt:lpstr>Versions</vt:lpstr>
      <vt:lpstr>Récap annuel</vt:lpstr>
      <vt:lpstr>'T1'!Impression_des_titres</vt:lpstr>
      <vt:lpstr>'T2'!Impression_des_titres</vt:lpstr>
      <vt:lpstr>'T3'!Impression_des_titres</vt:lpstr>
      <vt:lpstr>'T4'!Impression_des_titres</vt:lpstr>
      <vt:lpstr>Paramétrage!tab_calc</vt:lpstr>
      <vt:lpstr>tab_calc2</vt:lpstr>
      <vt:lpstr>tab_ferie</vt:lpstr>
      <vt:lpstr>tab_ferie2</vt:lpstr>
      <vt:lpstr>tab_nb</vt:lpstr>
      <vt:lpstr>tab_pbasse</vt:lpstr>
      <vt:lpstr>tab_phaute</vt:lpstr>
      <vt:lpstr>tab_recap</vt:lpstr>
      <vt:lpstr>tab_recappaie</vt:lpstr>
      <vt:lpstr>tab_total</vt:lpstr>
      <vt:lpstr>tab_vacances</vt:lpstr>
      <vt:lpstr>annualisation!Zone_d_impression</vt:lpstr>
      <vt:lpstr>Paramétrage!Zone_d_impression</vt:lpstr>
      <vt:lpstr>'Récap annuel'!Zone_d_impression</vt:lpstr>
      <vt:lpstr>'Récap mensuel fiche paie'!Zone_d_impression</vt:lpstr>
      <vt:lpstr>'T4'!Zone_d_impression</vt:lpstr>
    </vt:vector>
  </TitlesOfParts>
  <Manager/>
  <Company>SPL Enfance et Animation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Suivi des plannings annualisés</dc:title>
  <dc:creator>Florent Ott</dc:creator>
  <dc:description>Version 1.3</dc:description>
  <cp:lastModifiedBy>Pascal RICHARD</cp:lastModifiedBy>
  <cp:lastPrinted>2019-06-03T13:59:03Z</cp:lastPrinted>
  <dcterms:created xsi:type="dcterms:W3CDTF">2014-06-30T07:29:05Z</dcterms:created>
  <dcterms:modified xsi:type="dcterms:W3CDTF">2020-06-03T07:07:19Z</dcterms:modified>
</cp:coreProperties>
</file>