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1515" yWindow="330" windowWidth="11235" windowHeight="7950" tabRatio="903" activeTab="14"/>
  </bookViews>
  <sheets>
    <sheet name="BD_Client" sheetId="106" r:id="rId1"/>
    <sheet name="Bd_Villes" sheetId="30" r:id="rId2"/>
    <sheet name="Matrice" sheetId="11" r:id="rId3"/>
    <sheet name="Bd_Devis" sheetId="110" r:id="rId4"/>
    <sheet name="Bd_LigneDevis" sheetId="107" r:id="rId5"/>
    <sheet name="Devis" sheetId="9" r:id="rId6"/>
    <sheet name="Bon_Commande" sheetId="34" r:id="rId7"/>
    <sheet name="C.Horaire" sheetId="13" r:id="rId8"/>
    <sheet name="Apro.Chantier" sheetId="14" r:id="rId9"/>
    <sheet name="Temps.U" sheetId="16" r:id="rId10"/>
    <sheet name="Sous-Enss" sheetId="17" r:id="rId11"/>
    <sheet name="Etude-Prix" sheetId="18" r:id="rId12"/>
    <sheet name="Instalation_Chantier " sheetId="109" r:id="rId13"/>
    <sheet name="DEVIS_Estimatif" sheetId="41" r:id="rId14"/>
    <sheet name="Explication" sheetId="108" r:id="rId15"/>
  </sheets>
  <functionGroups builtInGroupCount="17"/>
  <externalReferences>
    <externalReference r:id="rId16"/>
    <externalReference r:id="rId17"/>
  </externalReferences>
  <definedNames>
    <definedName name="_xlnm._FilterDatabase" localSheetId="13" hidden="1">DEVIS_Estimatif!$A$10:$P$198</definedName>
    <definedName name="Adresse_Client">Devis!$E$6</definedName>
    <definedName name="AGL">Matrice!$I$5</definedName>
    <definedName name="AGM" localSheetId="12">[1]Matrice!$H$5</definedName>
    <definedName name="AGM">Matrice!$H$5</definedName>
    <definedName name="ALEA" localSheetId="12">[1]Matrice!$F$5</definedName>
    <definedName name="ALEA">Matrice!$F$5</definedName>
    <definedName name="Alerte">Bd_Villes!$M$2:$M$5</definedName>
    <definedName name="Base_Clients" localSheetId="12">#REF!</definedName>
    <definedName name="Base_Clients">#REF!</definedName>
    <definedName name="BENEF" localSheetId="12">[1]Matrice!$J$5</definedName>
    <definedName name="BENEF">Matrice!$J$5</definedName>
    <definedName name="Bville">Bd_Villes!$B$2:$B$40</definedName>
    <definedName name="c_h_p">#REF!</definedName>
    <definedName name="Chercher" localSheetId="12">'[1]REHAUSSE MUR'!$B$4:$B$4</definedName>
    <definedName name="Chercher">#REF!</definedName>
    <definedName name="CODEPO">Bd_Villes!$A$2:$B$40</definedName>
    <definedName name="CP_Ville_Client">Devis!$E$7</definedName>
    <definedName name="DataBase0" localSheetId="6" hidden="1">#REF!</definedName>
    <definedName name="DataBase0" localSheetId="12" hidden="1">#REF!</definedName>
    <definedName name="DataBase0" hidden="1">#REF!</definedName>
    <definedName name="DataBase1" localSheetId="6" hidden="1">#REF!</definedName>
    <definedName name="DataBase1" localSheetId="12" hidden="1">#REF!</definedName>
    <definedName name="DataBase1" hidden="1">#REF!</definedName>
    <definedName name="DataBase2" localSheetId="6" hidden="1">#REF!</definedName>
    <definedName name="DataBase2" localSheetId="12" hidden="1">#REF!</definedName>
    <definedName name="DataBase2" hidden="1">#REF!</definedName>
    <definedName name="DataBase3" localSheetId="6" hidden="1">#REF!</definedName>
    <definedName name="DataBase3" localSheetId="12" hidden="1">#REF!</definedName>
    <definedName name="DataBase3" hidden="1">#REF!</definedName>
    <definedName name="DateFin1" localSheetId="6" hidden="1">#REF!</definedName>
    <definedName name="DateFin1" localSheetId="12" hidden="1">#REF!</definedName>
    <definedName name="DateFin1" hidden="1">#REF!</definedName>
    <definedName name="Débourse" localSheetId="6" hidden="1">Bon_Commande!#REF!</definedName>
    <definedName name="Débourse" localSheetId="5" hidden="1">Devis!$M$50</definedName>
    <definedName name="Devis">DEVIS_Estimatif!$B$13:$O$121</definedName>
    <definedName name="Ech_Fac" localSheetId="1">Bd_Villes!$K$8</definedName>
    <definedName name="ECHEAN" localSheetId="1">Bd_Villes!$J$2:$K$6</definedName>
    <definedName name="Echéancier">Bd_Villes!$J$2:$J$6</definedName>
    <definedName name="Etape">Bd_Villes!$C$1:$C$10</definedName>
    <definedName name="FDF" localSheetId="12">[1]Matrice!$G$5</definedName>
    <definedName name="FDF">Matrice!$G$5</definedName>
    <definedName name="Fournisseurs">Bd_Villes!$D$2:$E$7</definedName>
    <definedName name="HOLCIM">#REF!</definedName>
    <definedName name="incre">Bd_Villes!$I$2</definedName>
    <definedName name="incref">Bd_Villes!$N$2</definedName>
    <definedName name="JourFerie1" localSheetId="6" hidden="1">#REF!</definedName>
    <definedName name="JourFerie1" localSheetId="12" hidden="1">#REF!</definedName>
    <definedName name="JourFerie1" hidden="1">#REF!</definedName>
    <definedName name="Matrice">Bd_Villes!$F$2:$G$14</definedName>
    <definedName name="MEG">Matrice!$I$5</definedName>
    <definedName name="MOA">Matrice!$E$5</definedName>
    <definedName name="MOGAMAT">#REF!</definedName>
    <definedName name="Nbr_Ech" localSheetId="1">Bd_Villes!$J$8</definedName>
    <definedName name="Nom_Client">Devis!$E$5</definedName>
    <definedName name="Numero_Client">Devis!$E$3</definedName>
    <definedName name="Ouvrage">Devis!$C$12</definedName>
    <definedName name="P_Vente" localSheetId="12">[1]DEVIS_Estimatif!$O$127</definedName>
    <definedName name="P_Vente">DEVIS_Estimatif!$O$127</definedName>
    <definedName name="pourcentage">Bd_Villes!$K$2:$K$6</definedName>
    <definedName name="PREFABETON">#REF!</definedName>
    <definedName name="Prix_RV">Devis!$M$50</definedName>
    <definedName name="Prix_VHT" localSheetId="12">[1]Devis!$P$46</definedName>
    <definedName name="Prix_VHT">Devis!$P$50</definedName>
    <definedName name="PrixVHT" localSheetId="12">[1]DEVIS_Estimatif!$O$122</definedName>
    <definedName name="PrixVHT">DEVIS_Estimatif!$O$122</definedName>
    <definedName name="PVente" localSheetId="12">[1]Devis!$P$51</definedName>
    <definedName name="PVente">Devis!$P$55</definedName>
    <definedName name="remise">Devis!$O$54</definedName>
    <definedName name="SEIGNERIE">#REF!</definedName>
    <definedName name="Total" localSheetId="6" hidden="1">Bon_Commande!#REF!</definedName>
    <definedName name="Total" localSheetId="5" hidden="1">Devis!$P$50</definedName>
    <definedName name="TotalFacturé">Bd_Villes!$O$2:$P$6</definedName>
    <definedName name="TotalFO">Devis!$H$50</definedName>
    <definedName name="TotalMO">Devis!$L$50</definedName>
    <definedName name="ValeurMarges" localSheetId="6" hidden="1">#REF!</definedName>
    <definedName name="ValeurMarges" localSheetId="12" hidden="1">#REF!</definedName>
    <definedName name="ValeurMarges" hidden="1">#REF!</definedName>
    <definedName name="_xlnm.Print_Area" localSheetId="6">Bon_Commande!$A$1:$I$61</definedName>
    <definedName name="_xlnm.Print_Area" localSheetId="13">DEVIS_Estimatif!$A$1:$O$197</definedName>
  </definedNames>
  <calcPr calcId="145621"/>
</workbook>
</file>

<file path=xl/calcChain.xml><?xml version="1.0" encoding="utf-8"?>
<calcChain xmlns="http://schemas.openxmlformats.org/spreadsheetml/2006/main">
  <c r="N193" i="41" l="1"/>
  <c r="B193" i="41"/>
  <c r="B192" i="41"/>
  <c r="B191" i="41"/>
  <c r="B189" i="41"/>
  <c r="B188" i="41"/>
  <c r="T187" i="41"/>
  <c r="R187" i="41"/>
  <c r="O187" i="41"/>
  <c r="P186" i="41"/>
  <c r="P185" i="41"/>
  <c r="O184" i="41"/>
  <c r="T182" i="41"/>
  <c r="R182" i="41"/>
  <c r="O182" i="41"/>
  <c r="T180" i="41"/>
  <c r="R180" i="41"/>
  <c r="P180" i="41"/>
  <c r="O180" i="41"/>
  <c r="P179" i="41"/>
  <c r="O179" i="41"/>
  <c r="N179" i="41"/>
  <c r="P178" i="41"/>
  <c r="O178" i="41"/>
  <c r="T177" i="41"/>
  <c r="R177" i="41"/>
  <c r="P177" i="41"/>
  <c r="O177" i="41"/>
  <c r="P176" i="41"/>
  <c r="O176" i="41"/>
  <c r="P175" i="41"/>
  <c r="O175" i="41"/>
  <c r="P174" i="41"/>
  <c r="O174" i="41"/>
  <c r="P173" i="41"/>
  <c r="T171" i="41"/>
  <c r="R171" i="41"/>
  <c r="O171" i="41"/>
  <c r="N171" i="41"/>
  <c r="T169" i="41"/>
  <c r="R169" i="41"/>
  <c r="O169" i="41"/>
  <c r="N169" i="41"/>
  <c r="T167" i="41"/>
  <c r="R167" i="41"/>
  <c r="O167" i="41"/>
  <c r="P165" i="41"/>
  <c r="O165" i="41"/>
  <c r="T164" i="41"/>
  <c r="S164" i="41"/>
  <c r="R164" i="41"/>
  <c r="P164" i="41"/>
  <c r="O164" i="41"/>
  <c r="P163" i="41"/>
  <c r="O163" i="41"/>
  <c r="P162" i="41"/>
  <c r="O162" i="41"/>
  <c r="P161" i="41"/>
  <c r="O161" i="41"/>
  <c r="P160" i="41"/>
  <c r="O160" i="41"/>
  <c r="P159" i="41"/>
  <c r="O159" i="41"/>
  <c r="P158" i="41"/>
  <c r="O158" i="41"/>
  <c r="P157" i="41"/>
  <c r="O157" i="41"/>
  <c r="O148" i="41"/>
  <c r="O147" i="41"/>
  <c r="O138" i="41"/>
  <c r="O137" i="41"/>
  <c r="O136" i="41"/>
  <c r="O135" i="41"/>
  <c r="O134" i="41"/>
  <c r="O127" i="41"/>
  <c r="M127" i="41"/>
  <c r="B127" i="41"/>
  <c r="O126" i="41"/>
  <c r="O125" i="41"/>
  <c r="O124" i="41"/>
  <c r="N124" i="41"/>
  <c r="M124" i="41"/>
  <c r="O123" i="41"/>
  <c r="M123" i="41"/>
  <c r="O122" i="41"/>
  <c r="N122" i="41"/>
  <c r="B122" i="41"/>
  <c r="P120" i="41"/>
  <c r="O120" i="41"/>
  <c r="N120" i="41"/>
  <c r="P119" i="41"/>
  <c r="O119" i="41"/>
  <c r="N119" i="41"/>
  <c r="M119" i="41"/>
  <c r="P118" i="41"/>
  <c r="O118" i="41"/>
  <c r="N118" i="41"/>
  <c r="M118" i="41"/>
  <c r="P117" i="41"/>
  <c r="P116" i="41"/>
  <c r="P115" i="41"/>
  <c r="O115" i="41"/>
  <c r="N115" i="41"/>
  <c r="P114" i="41"/>
  <c r="O114" i="41"/>
  <c r="N114" i="41"/>
  <c r="P113" i="41"/>
  <c r="O113" i="41"/>
  <c r="N113" i="41"/>
  <c r="Q112" i="41"/>
  <c r="P112" i="41"/>
  <c r="O112" i="41"/>
  <c r="N112" i="41"/>
  <c r="P111" i="41"/>
  <c r="O111" i="41"/>
  <c r="N111" i="41"/>
  <c r="P110" i="41"/>
  <c r="O110" i="41"/>
  <c r="N110" i="41"/>
  <c r="P109" i="41"/>
  <c r="O109" i="41"/>
  <c r="N109" i="41"/>
  <c r="P108" i="41"/>
  <c r="O108" i="41"/>
  <c r="N108" i="41"/>
  <c r="P107" i="41"/>
  <c r="O107" i="41"/>
  <c r="N107" i="41"/>
  <c r="P106" i="41"/>
  <c r="O106" i="41"/>
  <c r="N106" i="41"/>
  <c r="P105" i="41"/>
  <c r="O105" i="41"/>
  <c r="N105" i="41"/>
  <c r="P104" i="41"/>
  <c r="O104" i="41"/>
  <c r="N104" i="41"/>
  <c r="P103" i="41"/>
  <c r="O103" i="41"/>
  <c r="N103" i="41"/>
  <c r="P102" i="41"/>
  <c r="O102" i="41"/>
  <c r="N102" i="41"/>
  <c r="P101" i="41"/>
  <c r="O101" i="41"/>
  <c r="N101" i="41"/>
  <c r="P100" i="41"/>
  <c r="O100" i="41"/>
  <c r="N100" i="41"/>
  <c r="P99" i="41"/>
  <c r="O99" i="41"/>
  <c r="P98" i="41"/>
  <c r="P97" i="41"/>
  <c r="P96" i="41"/>
  <c r="O96" i="41"/>
  <c r="P95" i="41"/>
  <c r="P94" i="41"/>
  <c r="P93" i="41"/>
  <c r="O93" i="41"/>
  <c r="N93" i="41"/>
  <c r="M93" i="41"/>
  <c r="P92" i="41"/>
  <c r="P91" i="41"/>
  <c r="P90" i="41"/>
  <c r="O90" i="41"/>
  <c r="N90" i="41"/>
  <c r="M90" i="41"/>
  <c r="P89" i="41"/>
  <c r="P88" i="41"/>
  <c r="Q87" i="41"/>
  <c r="P87" i="41"/>
  <c r="P86" i="41"/>
  <c r="O86" i="41"/>
  <c r="N86" i="41"/>
  <c r="P85" i="41"/>
  <c r="O85" i="41"/>
  <c r="N85" i="41"/>
  <c r="P84" i="41"/>
  <c r="O84" i="41"/>
  <c r="N84" i="41"/>
  <c r="P83" i="41"/>
  <c r="O83" i="41"/>
  <c r="N83" i="41"/>
  <c r="P82" i="41"/>
  <c r="O82" i="41"/>
  <c r="N82" i="41"/>
  <c r="P81" i="41"/>
  <c r="O81" i="41"/>
  <c r="N81" i="41"/>
  <c r="P80" i="41"/>
  <c r="O80" i="41"/>
  <c r="N80" i="41"/>
  <c r="P79" i="41"/>
  <c r="O79" i="41"/>
  <c r="N79" i="41"/>
  <c r="P78" i="41"/>
  <c r="O78" i="41"/>
  <c r="N78" i="41"/>
  <c r="P77" i="41"/>
  <c r="O77" i="41"/>
  <c r="N77" i="41"/>
  <c r="P76" i="41"/>
  <c r="P75" i="41"/>
  <c r="P74" i="41"/>
  <c r="O74" i="41"/>
  <c r="N74" i="41"/>
  <c r="P73" i="41"/>
  <c r="O73" i="41"/>
  <c r="N73" i="41"/>
  <c r="M73" i="41"/>
  <c r="P72" i="41"/>
  <c r="O72" i="41"/>
  <c r="N72" i="41"/>
  <c r="M72" i="41"/>
  <c r="P71" i="41"/>
  <c r="O71" i="41"/>
  <c r="N71" i="41"/>
  <c r="M71" i="41"/>
  <c r="P70" i="41"/>
  <c r="O70" i="41"/>
  <c r="N70" i="41"/>
  <c r="M70" i="41"/>
  <c r="P69" i="41"/>
  <c r="O69" i="41"/>
  <c r="N69" i="41"/>
  <c r="M69" i="41"/>
  <c r="P68" i="41"/>
  <c r="O68" i="41"/>
  <c r="N68" i="41"/>
  <c r="M68" i="41"/>
  <c r="P67" i="41"/>
  <c r="O67" i="41"/>
  <c r="N67" i="41"/>
  <c r="M67" i="41"/>
  <c r="P66" i="41"/>
  <c r="O66" i="41"/>
  <c r="N66" i="41"/>
  <c r="P65" i="41"/>
  <c r="P64" i="41"/>
  <c r="P63" i="41"/>
  <c r="O63" i="41"/>
  <c r="N63" i="41"/>
  <c r="M63" i="41"/>
  <c r="P62" i="41"/>
  <c r="O62" i="41"/>
  <c r="N62" i="41"/>
  <c r="M62" i="41"/>
  <c r="P61" i="41"/>
  <c r="O61" i="41"/>
  <c r="N61" i="41"/>
  <c r="M61" i="41"/>
  <c r="P60" i="41"/>
  <c r="O60" i="41"/>
  <c r="N60" i="41"/>
  <c r="M60" i="41"/>
  <c r="P59" i="41"/>
  <c r="P58" i="41"/>
  <c r="P57" i="41"/>
  <c r="O57" i="41"/>
  <c r="N57" i="41"/>
  <c r="M57" i="41"/>
  <c r="P56" i="41"/>
  <c r="O56" i="41"/>
  <c r="N56" i="41"/>
  <c r="M56" i="41"/>
  <c r="P55" i="41"/>
  <c r="P54" i="41"/>
  <c r="P53" i="41"/>
  <c r="O53" i="41"/>
  <c r="N53" i="41"/>
  <c r="M53" i="41"/>
  <c r="P52" i="41"/>
  <c r="O52" i="41"/>
  <c r="N52" i="41"/>
  <c r="M52" i="41"/>
  <c r="P51" i="41"/>
  <c r="P50" i="41"/>
  <c r="P49" i="41"/>
  <c r="O49" i="41"/>
  <c r="N49" i="41"/>
  <c r="P48" i="41"/>
  <c r="O48" i="41"/>
  <c r="N48" i="41"/>
  <c r="M48" i="41"/>
  <c r="P47" i="41"/>
  <c r="O47" i="41"/>
  <c r="N47" i="41"/>
  <c r="M47" i="41"/>
  <c r="P46" i="41"/>
  <c r="O46" i="41"/>
  <c r="N46" i="41"/>
  <c r="M46" i="41"/>
  <c r="P45" i="41"/>
  <c r="P44" i="41"/>
  <c r="P43" i="41"/>
  <c r="O43" i="41"/>
  <c r="N43" i="41"/>
  <c r="P42" i="41"/>
  <c r="O42" i="41"/>
  <c r="N42" i="41"/>
  <c r="M42" i="41"/>
  <c r="P41" i="41"/>
  <c r="O41" i="41"/>
  <c r="N41" i="41"/>
  <c r="M41" i="41"/>
  <c r="P40" i="41"/>
  <c r="O40" i="41"/>
  <c r="N40" i="41"/>
  <c r="M40" i="41"/>
  <c r="P39" i="41"/>
  <c r="P38" i="41"/>
  <c r="P37" i="41"/>
  <c r="O37" i="41"/>
  <c r="N37" i="41"/>
  <c r="M37" i="41"/>
  <c r="P36" i="41"/>
  <c r="P35" i="41"/>
  <c r="P34" i="41"/>
  <c r="O34" i="41"/>
  <c r="N34" i="41"/>
  <c r="P33" i="41"/>
  <c r="O33" i="41"/>
  <c r="N33" i="41"/>
  <c r="M33" i="41"/>
  <c r="P32" i="41"/>
  <c r="O32" i="41"/>
  <c r="N32" i="41"/>
  <c r="M32" i="41"/>
  <c r="P31" i="41"/>
  <c r="O31" i="41"/>
  <c r="N31" i="41"/>
  <c r="M31" i="41"/>
  <c r="P30" i="41"/>
  <c r="O30" i="41"/>
  <c r="N30" i="41"/>
  <c r="M30" i="41"/>
  <c r="P29" i="41"/>
  <c r="P28" i="41"/>
  <c r="P27" i="41"/>
  <c r="O27" i="41"/>
  <c r="M27" i="41"/>
  <c r="B27" i="41"/>
  <c r="P26" i="41"/>
  <c r="O26" i="41"/>
  <c r="N26" i="41"/>
  <c r="M26" i="41"/>
  <c r="A26" i="41"/>
  <c r="P25" i="41"/>
  <c r="O25" i="41"/>
  <c r="N25" i="41"/>
  <c r="M25" i="41"/>
  <c r="P24" i="41"/>
  <c r="O24" i="41"/>
  <c r="N24" i="41"/>
  <c r="M24" i="41"/>
  <c r="P23" i="41"/>
  <c r="O23" i="41"/>
  <c r="N23" i="41"/>
  <c r="M23" i="41"/>
  <c r="P22" i="41"/>
  <c r="O22" i="41"/>
  <c r="N22" i="41"/>
  <c r="M22" i="41"/>
  <c r="P21" i="41"/>
  <c r="O21" i="41"/>
  <c r="N21" i="41"/>
  <c r="M21" i="41"/>
  <c r="P20" i="41"/>
  <c r="O20" i="41"/>
  <c r="N20" i="41"/>
  <c r="M20" i="41"/>
  <c r="P19" i="41"/>
  <c r="O19" i="41"/>
  <c r="N19" i="41"/>
  <c r="M19" i="41"/>
  <c r="P18" i="41"/>
  <c r="P17" i="41"/>
  <c r="P16" i="41"/>
  <c r="O16" i="41"/>
  <c r="N16" i="41"/>
  <c r="P15" i="41"/>
  <c r="O15" i="41"/>
  <c r="N15" i="41"/>
  <c r="P14" i="41"/>
  <c r="R3" i="41"/>
  <c r="Q3" i="41"/>
  <c r="P3" i="41"/>
  <c r="R2" i="41"/>
  <c r="O1" i="41"/>
  <c r="N1" i="41"/>
  <c r="B1" i="41"/>
  <c r="H128" i="109"/>
  <c r="G128" i="109"/>
  <c r="E128" i="109"/>
  <c r="H127" i="109"/>
  <c r="G127" i="109"/>
  <c r="F127" i="109"/>
  <c r="E127" i="109"/>
  <c r="D127" i="109"/>
  <c r="B127" i="109"/>
  <c r="A127" i="109"/>
  <c r="H126" i="109"/>
  <c r="G126" i="109"/>
  <c r="E126" i="109"/>
  <c r="B126" i="109"/>
  <c r="A126" i="109"/>
  <c r="H120" i="109"/>
  <c r="G120" i="109"/>
  <c r="E120" i="109"/>
  <c r="H119" i="109"/>
  <c r="G119" i="109"/>
  <c r="F119" i="109"/>
  <c r="E119" i="109"/>
  <c r="D119" i="109"/>
  <c r="B119" i="109"/>
  <c r="H118" i="109"/>
  <c r="G118" i="109"/>
  <c r="F118" i="109"/>
  <c r="E118" i="109"/>
  <c r="D118" i="109"/>
  <c r="B118" i="109"/>
  <c r="H117" i="109"/>
  <c r="G117" i="109"/>
  <c r="F117" i="109"/>
  <c r="E117" i="109"/>
  <c r="D117" i="109"/>
  <c r="B117" i="109"/>
  <c r="H116" i="109"/>
  <c r="G116" i="109"/>
  <c r="F116" i="109"/>
  <c r="E116" i="109"/>
  <c r="D116" i="109"/>
  <c r="B116" i="109"/>
  <c r="H115" i="109"/>
  <c r="G115" i="109"/>
  <c r="F115" i="109"/>
  <c r="E115" i="109"/>
  <c r="D115" i="109"/>
  <c r="B115" i="109"/>
  <c r="H114" i="109"/>
  <c r="G114" i="109"/>
  <c r="F114" i="109"/>
  <c r="E114" i="109"/>
  <c r="D114" i="109"/>
  <c r="B114" i="109"/>
  <c r="H113" i="109"/>
  <c r="G113" i="109"/>
  <c r="F113" i="109"/>
  <c r="E113" i="109"/>
  <c r="D113" i="109"/>
  <c r="B113" i="109"/>
  <c r="H112" i="109"/>
  <c r="G112" i="109"/>
  <c r="F112" i="109"/>
  <c r="E112" i="109"/>
  <c r="D112" i="109"/>
  <c r="B112" i="109"/>
  <c r="H111" i="109"/>
  <c r="G111" i="109"/>
  <c r="F111" i="109"/>
  <c r="E111" i="109"/>
  <c r="D111" i="109"/>
  <c r="B111" i="109"/>
  <c r="H110" i="109"/>
  <c r="G110" i="109"/>
  <c r="F110" i="109"/>
  <c r="E110" i="109"/>
  <c r="D110" i="109"/>
  <c r="B110" i="109"/>
  <c r="H109" i="109"/>
  <c r="G109" i="109"/>
  <c r="F109" i="109"/>
  <c r="E109" i="109"/>
  <c r="D109" i="109"/>
  <c r="B109" i="109"/>
  <c r="H108" i="109"/>
  <c r="G108" i="109"/>
  <c r="F108" i="109"/>
  <c r="E108" i="109"/>
  <c r="D108" i="109"/>
  <c r="B108" i="109"/>
  <c r="H107" i="109"/>
  <c r="G107" i="109"/>
  <c r="F107" i="109"/>
  <c r="E107" i="109"/>
  <c r="D107" i="109"/>
  <c r="B107" i="109"/>
  <c r="H106" i="109"/>
  <c r="G106" i="109"/>
  <c r="F106" i="109"/>
  <c r="E106" i="109"/>
  <c r="D106" i="109"/>
  <c r="B106" i="109"/>
  <c r="H99" i="109"/>
  <c r="G99" i="109"/>
  <c r="F99" i="109"/>
  <c r="E99" i="109"/>
  <c r="D99" i="109"/>
  <c r="B99" i="109"/>
  <c r="A99" i="109"/>
  <c r="H94" i="109"/>
  <c r="G94" i="109"/>
  <c r="F94" i="109"/>
  <c r="E94" i="109"/>
  <c r="D94" i="109"/>
  <c r="B94" i="109"/>
  <c r="A94" i="109"/>
  <c r="H93" i="109"/>
  <c r="G93" i="109"/>
  <c r="F93" i="109"/>
  <c r="E93" i="109"/>
  <c r="D93" i="109"/>
  <c r="B93" i="109"/>
  <c r="A93" i="109"/>
  <c r="H92" i="109"/>
  <c r="G92" i="109"/>
  <c r="F92" i="109"/>
  <c r="E92" i="109"/>
  <c r="D92" i="109"/>
  <c r="B92" i="109"/>
  <c r="A92" i="109"/>
  <c r="H91" i="109"/>
  <c r="G91" i="109"/>
  <c r="F91" i="109"/>
  <c r="E91" i="109"/>
  <c r="D91" i="109"/>
  <c r="B91" i="109"/>
  <c r="A91" i="109"/>
  <c r="H90" i="109"/>
  <c r="G90" i="109"/>
  <c r="F90" i="109"/>
  <c r="E90" i="109"/>
  <c r="D90" i="109"/>
  <c r="B90" i="109"/>
  <c r="A90" i="109"/>
  <c r="H83" i="109"/>
  <c r="G83" i="109"/>
  <c r="F83" i="109"/>
  <c r="E83" i="109"/>
  <c r="B83" i="109"/>
  <c r="A83" i="109"/>
  <c r="H82" i="109"/>
  <c r="G82" i="109"/>
  <c r="F82" i="109"/>
  <c r="E82" i="109"/>
  <c r="B82" i="109"/>
  <c r="A82" i="109"/>
  <c r="H81" i="109"/>
  <c r="G81" i="109"/>
  <c r="F81" i="109"/>
  <c r="E81" i="109"/>
  <c r="D81" i="109"/>
  <c r="B81" i="109"/>
  <c r="A81" i="109"/>
  <c r="H80" i="109"/>
  <c r="G80" i="109"/>
  <c r="F80" i="109"/>
  <c r="E80" i="109"/>
  <c r="D80" i="109"/>
  <c r="B80" i="109"/>
  <c r="A80" i="109"/>
  <c r="H74" i="109"/>
  <c r="G74" i="109"/>
  <c r="F74" i="109"/>
  <c r="E74" i="109"/>
  <c r="D74" i="109"/>
  <c r="B74" i="109"/>
  <c r="A74" i="109"/>
  <c r="H73" i="109"/>
  <c r="G73" i="109"/>
  <c r="F73" i="109"/>
  <c r="E73" i="109"/>
  <c r="D73" i="109"/>
  <c r="B73" i="109"/>
  <c r="A73" i="109"/>
  <c r="H66" i="109"/>
  <c r="G66" i="109"/>
  <c r="F66" i="109"/>
  <c r="E66" i="109"/>
  <c r="D66" i="109"/>
  <c r="B66" i="109"/>
  <c r="A66" i="109"/>
  <c r="H65" i="109"/>
  <c r="G65" i="109"/>
  <c r="F65" i="109"/>
  <c r="E65" i="109"/>
  <c r="D65" i="109"/>
  <c r="B65" i="109"/>
  <c r="A65" i="109"/>
  <c r="H58" i="109"/>
  <c r="G58" i="109"/>
  <c r="F58" i="109"/>
  <c r="E58" i="109"/>
  <c r="D58" i="109"/>
  <c r="B58" i="109"/>
  <c r="A58" i="109"/>
  <c r="H57" i="109"/>
  <c r="G57" i="109"/>
  <c r="F57" i="109"/>
  <c r="E57" i="109"/>
  <c r="D57" i="109"/>
  <c r="B57" i="109"/>
  <c r="A57" i="109"/>
  <c r="H56" i="109"/>
  <c r="G56" i="109"/>
  <c r="F56" i="109"/>
  <c r="E56" i="109"/>
  <c r="D56" i="109"/>
  <c r="B56" i="109"/>
  <c r="A56" i="109"/>
  <c r="H55" i="109"/>
  <c r="G55" i="109"/>
  <c r="F55" i="109"/>
  <c r="E55" i="109"/>
  <c r="D55" i="109"/>
  <c r="B55" i="109"/>
  <c r="A55" i="109"/>
  <c r="H54" i="109"/>
  <c r="G54" i="109"/>
  <c r="F54" i="109"/>
  <c r="E54" i="109"/>
  <c r="D54" i="109"/>
  <c r="B54" i="109"/>
  <c r="A54" i="109"/>
  <c r="H53" i="109"/>
  <c r="G53" i="109"/>
  <c r="F53" i="109"/>
  <c r="E53" i="109"/>
  <c r="D53" i="109"/>
  <c r="B53" i="109"/>
  <c r="A53" i="109"/>
  <c r="H52" i="109"/>
  <c r="G52" i="109"/>
  <c r="F52" i="109"/>
  <c r="E52" i="109"/>
  <c r="D52" i="109"/>
  <c r="B52" i="109"/>
  <c r="A52" i="109"/>
  <c r="H51" i="109"/>
  <c r="G51" i="109"/>
  <c r="F51" i="109"/>
  <c r="E51" i="109"/>
  <c r="D51" i="109"/>
  <c r="B51" i="109"/>
  <c r="A51" i="109"/>
  <c r="H50" i="109"/>
  <c r="G50" i="109"/>
  <c r="F50" i="109"/>
  <c r="E50" i="109"/>
  <c r="D50" i="109"/>
  <c r="B50" i="109"/>
  <c r="A50" i="109"/>
  <c r="H49" i="109"/>
  <c r="G49" i="109"/>
  <c r="F49" i="109"/>
  <c r="E49" i="109"/>
  <c r="D49" i="109"/>
  <c r="B49" i="109"/>
  <c r="A49" i="109"/>
  <c r="H48" i="109"/>
  <c r="G48" i="109"/>
  <c r="F48" i="109"/>
  <c r="E48" i="109"/>
  <c r="D48" i="109"/>
  <c r="B48" i="109"/>
  <c r="A48" i="109"/>
  <c r="H40" i="109"/>
  <c r="G40" i="109"/>
  <c r="F40" i="109"/>
  <c r="E40" i="109"/>
  <c r="D40" i="109"/>
  <c r="B40" i="109"/>
  <c r="A40" i="109"/>
  <c r="H39" i="109"/>
  <c r="G39" i="109"/>
  <c r="F39" i="109"/>
  <c r="E39" i="109"/>
  <c r="D39" i="109"/>
  <c r="B39" i="109"/>
  <c r="A39" i="109"/>
  <c r="H38" i="109"/>
  <c r="G38" i="109"/>
  <c r="F38" i="109"/>
  <c r="E38" i="109"/>
  <c r="D38" i="109"/>
  <c r="B38" i="109"/>
  <c r="A38" i="109"/>
  <c r="H37" i="109"/>
  <c r="G37" i="109"/>
  <c r="F37" i="109"/>
  <c r="E37" i="109"/>
  <c r="D37" i="109"/>
  <c r="B37" i="109"/>
  <c r="A37" i="109"/>
  <c r="H36" i="109"/>
  <c r="G36" i="109"/>
  <c r="F36" i="109"/>
  <c r="E36" i="109"/>
  <c r="D36" i="109"/>
  <c r="B36" i="109"/>
  <c r="A36" i="109"/>
  <c r="H35" i="109"/>
  <c r="G35" i="109"/>
  <c r="F35" i="109"/>
  <c r="E35" i="109"/>
  <c r="D35" i="109"/>
  <c r="B35" i="109"/>
  <c r="A35" i="109"/>
  <c r="H34" i="109"/>
  <c r="G34" i="109"/>
  <c r="F34" i="109"/>
  <c r="E34" i="109"/>
  <c r="D34" i="109"/>
  <c r="B34" i="109"/>
  <c r="A34" i="109"/>
  <c r="H33" i="109"/>
  <c r="G33" i="109"/>
  <c r="F33" i="109"/>
  <c r="E33" i="109"/>
  <c r="D33" i="109"/>
  <c r="B33" i="109"/>
  <c r="A33" i="109"/>
  <c r="H26" i="109"/>
  <c r="G26" i="109"/>
  <c r="F26" i="109"/>
  <c r="E26" i="109"/>
  <c r="D26" i="109"/>
  <c r="B26" i="109"/>
  <c r="A26" i="109"/>
  <c r="H25" i="109"/>
  <c r="G25" i="109"/>
  <c r="F25" i="109"/>
  <c r="E25" i="109"/>
  <c r="D25" i="109"/>
  <c r="B25" i="109"/>
  <c r="A25" i="109"/>
  <c r="H24" i="109"/>
  <c r="G24" i="109"/>
  <c r="F24" i="109"/>
  <c r="E24" i="109"/>
  <c r="D24" i="109"/>
  <c r="B24" i="109"/>
  <c r="A24" i="109"/>
  <c r="H23" i="109"/>
  <c r="G23" i="109"/>
  <c r="F23" i="109"/>
  <c r="E23" i="109"/>
  <c r="D23" i="109"/>
  <c r="B23" i="109"/>
  <c r="A23" i="109"/>
  <c r="H16" i="109"/>
  <c r="G16" i="109"/>
  <c r="F16" i="109"/>
  <c r="E16" i="109"/>
  <c r="D16" i="109"/>
  <c r="B16" i="109"/>
  <c r="A16" i="109"/>
  <c r="H15" i="109"/>
  <c r="G15" i="109"/>
  <c r="F15" i="109"/>
  <c r="E15" i="109"/>
  <c r="D15" i="109"/>
  <c r="B15" i="109"/>
  <c r="A15" i="109"/>
  <c r="H14" i="109"/>
  <c r="G14" i="109"/>
  <c r="F14" i="109"/>
  <c r="E14" i="109"/>
  <c r="D14" i="109"/>
  <c r="B14" i="109"/>
  <c r="A14" i="109"/>
  <c r="H13" i="109"/>
  <c r="G13" i="109"/>
  <c r="F13" i="109"/>
  <c r="E13" i="109"/>
  <c r="D13" i="109"/>
  <c r="B13" i="109"/>
  <c r="A13" i="109"/>
  <c r="H12" i="109"/>
  <c r="G12" i="109"/>
  <c r="F12" i="109"/>
  <c r="E12" i="109"/>
  <c r="D12" i="109"/>
  <c r="B12" i="109"/>
  <c r="A12" i="109"/>
  <c r="H11" i="109"/>
  <c r="G11" i="109"/>
  <c r="F11" i="109"/>
  <c r="E11" i="109"/>
  <c r="D11" i="109"/>
  <c r="B11" i="109"/>
  <c r="A11" i="109"/>
  <c r="H10" i="109"/>
  <c r="G10" i="109"/>
  <c r="F10" i="109"/>
  <c r="E10" i="109"/>
  <c r="D10" i="109"/>
  <c r="B10" i="109"/>
  <c r="A10" i="109"/>
  <c r="H4" i="109"/>
  <c r="G4" i="109"/>
  <c r="F4" i="109"/>
  <c r="E4" i="109"/>
  <c r="D4" i="109"/>
  <c r="B4" i="109"/>
  <c r="A4" i="109"/>
  <c r="H3" i="109"/>
  <c r="G3" i="109"/>
  <c r="F3" i="109"/>
  <c r="E3" i="109"/>
  <c r="D3" i="109"/>
  <c r="B3" i="109"/>
  <c r="A3" i="109"/>
  <c r="F682" i="18"/>
  <c r="E682" i="18"/>
  <c r="F681" i="18"/>
  <c r="E681" i="18"/>
  <c r="F680" i="18"/>
  <c r="E680" i="18"/>
  <c r="F679" i="18"/>
  <c r="E679" i="18"/>
  <c r="F677" i="18"/>
  <c r="F672" i="18"/>
  <c r="E672" i="18"/>
  <c r="F671" i="18"/>
  <c r="E671" i="18"/>
  <c r="F670" i="18"/>
  <c r="E670" i="18"/>
  <c r="F668" i="18"/>
  <c r="F664" i="18"/>
  <c r="E664" i="18"/>
  <c r="F663" i="18"/>
  <c r="E663" i="18"/>
  <c r="F662" i="18"/>
  <c r="E662" i="18"/>
  <c r="F660" i="18"/>
  <c r="F655" i="18"/>
  <c r="E655" i="18"/>
  <c r="F654" i="18"/>
  <c r="E654" i="18"/>
  <c r="F653" i="18"/>
  <c r="E653" i="18"/>
  <c r="F652" i="18"/>
  <c r="E652" i="18"/>
  <c r="F650" i="18"/>
  <c r="F645" i="18"/>
  <c r="E645" i="18"/>
  <c r="F644" i="18"/>
  <c r="E644" i="18"/>
  <c r="F643" i="18"/>
  <c r="E643" i="18"/>
  <c r="F642" i="18"/>
  <c r="E642" i="18"/>
  <c r="F641" i="18"/>
  <c r="E641" i="18"/>
  <c r="F639" i="18"/>
  <c r="F634" i="18"/>
  <c r="E634" i="18"/>
  <c r="F633" i="18"/>
  <c r="E633" i="18"/>
  <c r="F632" i="18"/>
  <c r="E632" i="18"/>
  <c r="F631" i="18"/>
  <c r="E631" i="18"/>
  <c r="F630" i="18"/>
  <c r="E630" i="18"/>
  <c r="F628" i="18"/>
  <c r="F623" i="18"/>
  <c r="E623" i="18"/>
  <c r="F622" i="18"/>
  <c r="E622" i="18"/>
  <c r="F621" i="18"/>
  <c r="E621" i="18"/>
  <c r="F620" i="18"/>
  <c r="E620" i="18"/>
  <c r="F618" i="18"/>
  <c r="F613" i="18"/>
  <c r="E613" i="18"/>
  <c r="F612" i="18"/>
  <c r="E612" i="18"/>
  <c r="F611" i="18"/>
  <c r="E611" i="18"/>
  <c r="F610" i="18"/>
  <c r="E610" i="18"/>
  <c r="F608" i="18"/>
  <c r="F603" i="18"/>
  <c r="E603" i="18"/>
  <c r="F602" i="18"/>
  <c r="E602" i="18"/>
  <c r="F601" i="18"/>
  <c r="E601" i="18"/>
  <c r="F600" i="18"/>
  <c r="E600" i="18"/>
  <c r="F599" i="18"/>
  <c r="E599" i="18"/>
  <c r="F598" i="18"/>
  <c r="E598" i="18"/>
  <c r="F596" i="18"/>
  <c r="F591" i="18"/>
  <c r="E591" i="18"/>
  <c r="F590" i="18"/>
  <c r="E590" i="18"/>
  <c r="F589" i="18"/>
  <c r="E589" i="18"/>
  <c r="F588" i="18"/>
  <c r="E588" i="18"/>
  <c r="F587" i="18"/>
  <c r="E587" i="18"/>
  <c r="F586" i="18"/>
  <c r="E586" i="18"/>
  <c r="F584" i="18"/>
  <c r="F579" i="18"/>
  <c r="E579" i="18"/>
  <c r="F578" i="18"/>
  <c r="E578" i="18"/>
  <c r="F577" i="18"/>
  <c r="E577" i="18"/>
  <c r="F576" i="18"/>
  <c r="E576" i="18"/>
  <c r="F575" i="18"/>
  <c r="E575" i="18"/>
  <c r="F574" i="18"/>
  <c r="E574" i="18"/>
  <c r="F572" i="18"/>
  <c r="F567" i="18"/>
  <c r="E567" i="18"/>
  <c r="F566" i="18"/>
  <c r="E566" i="18"/>
  <c r="F565" i="18"/>
  <c r="E565" i="18"/>
  <c r="F564" i="18"/>
  <c r="E564" i="18"/>
  <c r="F563" i="18"/>
  <c r="E563" i="18"/>
  <c r="F562" i="18"/>
  <c r="E562" i="18"/>
  <c r="F560" i="18"/>
  <c r="F555" i="18"/>
  <c r="E555" i="18"/>
  <c r="F554" i="18"/>
  <c r="E554" i="18"/>
  <c r="F553" i="18"/>
  <c r="E553" i="18"/>
  <c r="F552" i="18"/>
  <c r="E552" i="18"/>
  <c r="F551" i="18"/>
  <c r="E551" i="18"/>
  <c r="F550" i="18"/>
  <c r="E550" i="18"/>
  <c r="F548" i="18"/>
  <c r="F543" i="18"/>
  <c r="E543" i="18"/>
  <c r="F542" i="18"/>
  <c r="E542" i="18"/>
  <c r="F541" i="18"/>
  <c r="E541" i="18"/>
  <c r="F540" i="18"/>
  <c r="E540" i="18"/>
  <c r="F539" i="18"/>
  <c r="E539" i="18"/>
  <c r="F538" i="18"/>
  <c r="E538" i="18"/>
  <c r="F536" i="18"/>
  <c r="F531" i="18"/>
  <c r="E531" i="18"/>
  <c r="F530" i="18"/>
  <c r="E530" i="18"/>
  <c r="F529" i="18"/>
  <c r="E529" i="18"/>
  <c r="F528" i="18"/>
  <c r="E528" i="18"/>
  <c r="F527" i="18"/>
  <c r="E527" i="18"/>
  <c r="F526" i="18"/>
  <c r="E526" i="18"/>
  <c r="F524" i="18"/>
  <c r="F516" i="18"/>
  <c r="E516" i="18"/>
  <c r="F515" i="18"/>
  <c r="E515" i="18"/>
  <c r="F514" i="18"/>
  <c r="F513" i="18"/>
  <c r="E513" i="18"/>
  <c r="F511" i="18"/>
  <c r="F505" i="18"/>
  <c r="F504" i="18"/>
  <c r="F503" i="18"/>
  <c r="F501" i="18"/>
  <c r="F495" i="18"/>
  <c r="F494" i="18"/>
  <c r="E494" i="18"/>
  <c r="F492" i="18"/>
  <c r="F484" i="18"/>
  <c r="E484" i="18"/>
  <c r="F483" i="18"/>
  <c r="E483" i="18"/>
  <c r="F482" i="18"/>
  <c r="E482" i="18"/>
  <c r="F481" i="18"/>
  <c r="E481" i="18"/>
  <c r="F480" i="18"/>
  <c r="E480" i="18"/>
  <c r="F479" i="18"/>
  <c r="E479" i="18"/>
  <c r="F478" i="18"/>
  <c r="E478" i="18"/>
  <c r="F476" i="18"/>
  <c r="F468" i="18"/>
  <c r="E468" i="18"/>
  <c r="F467" i="18"/>
  <c r="E467" i="18"/>
  <c r="F466" i="18"/>
  <c r="E466" i="18"/>
  <c r="F465" i="18"/>
  <c r="E465" i="18"/>
  <c r="F463" i="18"/>
  <c r="F458" i="18"/>
  <c r="E458" i="18"/>
  <c r="F457" i="18"/>
  <c r="E457" i="18"/>
  <c r="F456" i="18"/>
  <c r="E456" i="18"/>
  <c r="F455" i="18"/>
  <c r="E455" i="18"/>
  <c r="F453" i="18"/>
  <c r="F448" i="18"/>
  <c r="E448" i="18"/>
  <c r="F447" i="18"/>
  <c r="E447" i="18"/>
  <c r="F446" i="18"/>
  <c r="E446" i="18"/>
  <c r="F445" i="18"/>
  <c r="E445" i="18"/>
  <c r="F443" i="18"/>
  <c r="F438" i="18"/>
  <c r="E438" i="18"/>
  <c r="F437" i="18"/>
  <c r="E437" i="18"/>
  <c r="F436" i="18"/>
  <c r="E436" i="18"/>
  <c r="F435" i="18"/>
  <c r="E435" i="18"/>
  <c r="F433" i="18"/>
  <c r="F428" i="18"/>
  <c r="E428" i="18"/>
  <c r="F427" i="18"/>
  <c r="E427" i="18"/>
  <c r="F426" i="18"/>
  <c r="E426" i="18"/>
  <c r="F425" i="18"/>
  <c r="E425" i="18"/>
  <c r="F423" i="18"/>
  <c r="F415" i="18"/>
  <c r="F414" i="18"/>
  <c r="E414" i="18"/>
  <c r="F413" i="18"/>
  <c r="E413" i="18"/>
  <c r="F412" i="18"/>
  <c r="E412" i="18"/>
  <c r="F410" i="18"/>
  <c r="F405" i="18"/>
  <c r="F404" i="18"/>
  <c r="E404" i="18"/>
  <c r="F403" i="18"/>
  <c r="E403" i="18"/>
  <c r="F402" i="18"/>
  <c r="E402" i="18"/>
  <c r="F401" i="18"/>
  <c r="E401" i="18"/>
  <c r="F400" i="18"/>
  <c r="E400" i="18"/>
  <c r="F398" i="18"/>
  <c r="F390" i="18"/>
  <c r="E390" i="18"/>
  <c r="F389" i="18"/>
  <c r="E389" i="18"/>
  <c r="F388" i="18"/>
  <c r="E388" i="18"/>
  <c r="F387" i="18"/>
  <c r="E387" i="18"/>
  <c r="F386" i="18"/>
  <c r="E386" i="18"/>
  <c r="F384" i="18"/>
  <c r="F379" i="18"/>
  <c r="E379" i="18"/>
  <c r="F378" i="18"/>
  <c r="E378" i="18"/>
  <c r="F377" i="18"/>
  <c r="E377" i="18"/>
  <c r="F375" i="18"/>
  <c r="F367" i="18"/>
  <c r="E367" i="18"/>
  <c r="F366" i="18"/>
  <c r="E366" i="18"/>
  <c r="F364" i="18"/>
  <c r="F359" i="18"/>
  <c r="E359" i="18"/>
  <c r="F358" i="18"/>
  <c r="E358" i="18"/>
  <c r="F357" i="18"/>
  <c r="E357" i="18"/>
  <c r="F355" i="18"/>
  <c r="F347" i="18"/>
  <c r="E347" i="18"/>
  <c r="F346" i="18"/>
  <c r="E346" i="18"/>
  <c r="F345" i="18"/>
  <c r="E345" i="18"/>
  <c r="F344" i="18"/>
  <c r="E344" i="18"/>
  <c r="F343" i="18"/>
  <c r="E343" i="18"/>
  <c r="F341" i="18"/>
  <c r="F336" i="18"/>
  <c r="E336" i="18"/>
  <c r="F335" i="18"/>
  <c r="E335" i="18"/>
  <c r="F334" i="18"/>
  <c r="E334" i="18"/>
  <c r="F333" i="18"/>
  <c r="E333" i="18"/>
  <c r="F332" i="18"/>
  <c r="E332" i="18"/>
  <c r="F331" i="18"/>
  <c r="E331" i="18"/>
  <c r="F329" i="18"/>
  <c r="F324" i="18"/>
  <c r="E324" i="18"/>
  <c r="F323" i="18"/>
  <c r="E323" i="18"/>
  <c r="F322" i="18"/>
  <c r="E322" i="18"/>
  <c r="F321" i="18"/>
  <c r="E321" i="18"/>
  <c r="F320" i="18"/>
  <c r="E320" i="18"/>
  <c r="F318" i="18"/>
  <c r="F313" i="18"/>
  <c r="E313" i="18"/>
  <c r="F312" i="18"/>
  <c r="E312" i="18"/>
  <c r="F311" i="18"/>
  <c r="E311" i="18"/>
  <c r="F310" i="18"/>
  <c r="E310" i="18"/>
  <c r="F309" i="18"/>
  <c r="E309" i="18"/>
  <c r="F307" i="18"/>
  <c r="F302" i="18"/>
  <c r="E302" i="18"/>
  <c r="F301" i="18"/>
  <c r="E301" i="18"/>
  <c r="F300" i="18"/>
  <c r="E300" i="18"/>
  <c r="F299" i="18"/>
  <c r="E299" i="18"/>
  <c r="F298" i="18"/>
  <c r="E298" i="18"/>
  <c r="F296" i="18"/>
  <c r="F291" i="18"/>
  <c r="E291" i="18"/>
  <c r="F290" i="18"/>
  <c r="E290" i="18"/>
  <c r="F289" i="18"/>
  <c r="E289" i="18"/>
  <c r="F288" i="18"/>
  <c r="E288" i="18"/>
  <c r="F287" i="18"/>
  <c r="E287" i="18"/>
  <c r="F285" i="18"/>
  <c r="F280" i="18"/>
  <c r="E280" i="18"/>
  <c r="F279" i="18"/>
  <c r="E279" i="18"/>
  <c r="F278" i="18"/>
  <c r="E278" i="18"/>
  <c r="F277" i="18"/>
  <c r="E277" i="18"/>
  <c r="F275" i="18"/>
  <c r="F270" i="18"/>
  <c r="E270" i="18"/>
  <c r="F269" i="18"/>
  <c r="E269" i="18"/>
  <c r="F268" i="18"/>
  <c r="E268" i="18"/>
  <c r="F267" i="18"/>
  <c r="E267" i="18"/>
  <c r="F265" i="18"/>
  <c r="F260" i="18"/>
  <c r="E260" i="18"/>
  <c r="F259" i="18"/>
  <c r="E259" i="18"/>
  <c r="F258" i="18"/>
  <c r="E258" i="18"/>
  <c r="F257" i="18"/>
  <c r="E257" i="18"/>
  <c r="F255" i="18"/>
  <c r="F250" i="18"/>
  <c r="E250" i="18"/>
  <c r="F249" i="18"/>
  <c r="E249" i="18"/>
  <c r="F248" i="18"/>
  <c r="E248" i="18"/>
  <c r="F246" i="18"/>
  <c r="F241" i="18"/>
  <c r="E241" i="18"/>
  <c r="F240" i="18"/>
  <c r="E240" i="18"/>
  <c r="F239" i="18"/>
  <c r="E239" i="18"/>
  <c r="F237" i="18"/>
  <c r="F229" i="18"/>
  <c r="E229" i="18"/>
  <c r="F228" i="18"/>
  <c r="E228" i="18"/>
  <c r="F227" i="18"/>
  <c r="E227" i="18"/>
  <c r="F226" i="18"/>
  <c r="E226" i="18"/>
  <c r="F225" i="18"/>
  <c r="E225" i="18"/>
  <c r="F224" i="18"/>
  <c r="E224" i="18"/>
  <c r="F222" i="18"/>
  <c r="F216" i="18"/>
  <c r="E216" i="18"/>
  <c r="F215" i="18"/>
  <c r="E215" i="18"/>
  <c r="F214" i="18"/>
  <c r="E214" i="18"/>
  <c r="F213" i="18"/>
  <c r="E213" i="18"/>
  <c r="F212" i="18"/>
  <c r="E212" i="18"/>
  <c r="F211" i="18"/>
  <c r="E211" i="18"/>
  <c r="F210" i="18"/>
  <c r="E210" i="18"/>
  <c r="F209" i="18"/>
  <c r="E209" i="18"/>
  <c r="F207" i="18"/>
  <c r="F198" i="18"/>
  <c r="E198" i="18"/>
  <c r="F197" i="18"/>
  <c r="E197" i="18"/>
  <c r="F196" i="18"/>
  <c r="E196" i="18"/>
  <c r="F195" i="18"/>
  <c r="E195" i="18"/>
  <c r="F194" i="18"/>
  <c r="E194" i="18"/>
  <c r="F193" i="18"/>
  <c r="E193" i="18"/>
  <c r="F191" i="18"/>
  <c r="F186" i="18"/>
  <c r="E186" i="18"/>
  <c r="F185" i="18"/>
  <c r="E185" i="18"/>
  <c r="F183" i="18"/>
  <c r="F179" i="18"/>
  <c r="E179" i="18"/>
  <c r="F178" i="18"/>
  <c r="E178" i="18"/>
  <c r="F177" i="18"/>
  <c r="E177" i="18"/>
  <c r="F176" i="18"/>
  <c r="E176" i="18"/>
  <c r="F175" i="18"/>
  <c r="E175" i="18"/>
  <c r="F174" i="18"/>
  <c r="E174" i="18"/>
  <c r="F172" i="18"/>
  <c r="F168" i="18"/>
  <c r="E168" i="18"/>
  <c r="F167" i="18"/>
  <c r="E167" i="18"/>
  <c r="F166" i="18"/>
  <c r="E166" i="18"/>
  <c r="F165" i="18"/>
  <c r="E165" i="18"/>
  <c r="F164" i="18"/>
  <c r="E164" i="18"/>
  <c r="F163" i="18"/>
  <c r="E163" i="18"/>
  <c r="F161" i="18"/>
  <c r="F157" i="18"/>
  <c r="E157" i="18"/>
  <c r="F156" i="18"/>
  <c r="E156" i="18"/>
  <c r="F155" i="18"/>
  <c r="E155" i="18"/>
  <c r="F154" i="18"/>
  <c r="E154" i="18"/>
  <c r="F153" i="18"/>
  <c r="E153" i="18"/>
  <c r="F152" i="18"/>
  <c r="E152" i="18"/>
  <c r="F150" i="18"/>
  <c r="F146" i="18"/>
  <c r="E146" i="18"/>
  <c r="F145" i="18"/>
  <c r="E145" i="18"/>
  <c r="F144" i="18"/>
  <c r="E144" i="18"/>
  <c r="F143" i="18"/>
  <c r="E143" i="18"/>
  <c r="F142" i="18"/>
  <c r="E142" i="18"/>
  <c r="F141" i="18"/>
  <c r="E141" i="18"/>
  <c r="F139" i="18"/>
  <c r="F135" i="18"/>
  <c r="E135" i="18"/>
  <c r="F134" i="18"/>
  <c r="E134" i="18"/>
  <c r="F133" i="18"/>
  <c r="E133" i="18"/>
  <c r="F132" i="18"/>
  <c r="E132" i="18"/>
  <c r="F131" i="18"/>
  <c r="E131" i="18"/>
  <c r="F130" i="18"/>
  <c r="E130" i="18"/>
  <c r="F128" i="18"/>
  <c r="F124" i="18"/>
  <c r="E124" i="18"/>
  <c r="F123" i="18"/>
  <c r="E123" i="18"/>
  <c r="F121" i="18"/>
  <c r="F112" i="18"/>
  <c r="E112" i="18"/>
  <c r="F111" i="18"/>
  <c r="E111" i="18"/>
  <c r="F110" i="18"/>
  <c r="E110" i="18"/>
  <c r="F109" i="18"/>
  <c r="E109" i="18"/>
  <c r="F108" i="18"/>
  <c r="E108" i="18"/>
  <c r="F106" i="18"/>
  <c r="F102" i="18"/>
  <c r="E102" i="18"/>
  <c r="F101" i="18"/>
  <c r="F100" i="18"/>
  <c r="E100" i="18"/>
  <c r="F98" i="18"/>
  <c r="F89" i="18"/>
  <c r="E89" i="18"/>
  <c r="F88" i="18"/>
  <c r="E88" i="18"/>
  <c r="F86" i="18"/>
  <c r="E86" i="18"/>
  <c r="F84" i="18"/>
  <c r="F80" i="18"/>
  <c r="E80" i="18"/>
  <c r="F79" i="18"/>
  <c r="E79" i="18"/>
  <c r="F78" i="18"/>
  <c r="E78" i="18"/>
  <c r="F77" i="18"/>
  <c r="E77" i="18"/>
  <c r="F76" i="18"/>
  <c r="E76" i="18"/>
  <c r="F75" i="18"/>
  <c r="E75" i="18"/>
  <c r="F73" i="18"/>
  <c r="F69" i="18"/>
  <c r="E69" i="18"/>
  <c r="F68" i="18"/>
  <c r="E68" i="18"/>
  <c r="F66" i="18"/>
  <c r="F62" i="18"/>
  <c r="E62" i="18"/>
  <c r="F61" i="18"/>
  <c r="E61" i="18"/>
  <c r="F60" i="18"/>
  <c r="E60" i="18"/>
  <c r="F59" i="18"/>
  <c r="E59" i="18"/>
  <c r="F58" i="18"/>
  <c r="E58" i="18"/>
  <c r="F57" i="18"/>
  <c r="E57" i="18"/>
  <c r="F55" i="18"/>
  <c r="F51" i="18"/>
  <c r="E51" i="18"/>
  <c r="F50" i="18"/>
  <c r="E50" i="18"/>
  <c r="F49" i="18"/>
  <c r="E49" i="18"/>
  <c r="F48" i="18"/>
  <c r="E48" i="18"/>
  <c r="F46" i="18"/>
  <c r="F42" i="18"/>
  <c r="E42" i="18"/>
  <c r="F41" i="18"/>
  <c r="E41" i="18"/>
  <c r="F39" i="18"/>
  <c r="F35" i="18"/>
  <c r="E35" i="18"/>
  <c r="F33" i="18"/>
  <c r="F24" i="18"/>
  <c r="E24" i="18"/>
  <c r="F23" i="18"/>
  <c r="E23" i="18"/>
  <c r="F22" i="18"/>
  <c r="E22" i="18"/>
  <c r="F21" i="18"/>
  <c r="E21" i="18"/>
  <c r="F19" i="18"/>
  <c r="F15" i="18"/>
  <c r="E15" i="18"/>
  <c r="F14" i="18"/>
  <c r="E14" i="18"/>
  <c r="F13" i="18"/>
  <c r="E13" i="18"/>
  <c r="F12" i="18"/>
  <c r="E12" i="18"/>
  <c r="F10" i="18"/>
  <c r="G44" i="17"/>
  <c r="F44" i="17"/>
  <c r="F43" i="17"/>
  <c r="F42" i="17"/>
  <c r="F41" i="17"/>
  <c r="F40" i="17"/>
  <c r="G36" i="17"/>
  <c r="F36" i="17"/>
  <c r="F34" i="17"/>
  <c r="F33" i="17"/>
  <c r="F32" i="17"/>
  <c r="G28" i="17"/>
  <c r="F28" i="17"/>
  <c r="F26" i="17"/>
  <c r="F25" i="17"/>
  <c r="F24" i="17"/>
  <c r="G20" i="17"/>
  <c r="F20" i="17"/>
  <c r="F18" i="17"/>
  <c r="F17" i="17"/>
  <c r="F16" i="17"/>
  <c r="G12" i="17"/>
  <c r="F12" i="17"/>
  <c r="F10" i="17"/>
  <c r="F9" i="17"/>
  <c r="F8" i="17"/>
  <c r="E6" i="16"/>
  <c r="E5" i="16"/>
  <c r="P94" i="14"/>
  <c r="O94" i="14"/>
  <c r="M94" i="14"/>
  <c r="K94" i="14"/>
  <c r="I94" i="14"/>
  <c r="P93" i="14"/>
  <c r="O93" i="14"/>
  <c r="M93" i="14"/>
  <c r="K93" i="14"/>
  <c r="I93" i="14"/>
  <c r="P92" i="14"/>
  <c r="O92" i="14"/>
  <c r="M92" i="14"/>
  <c r="K92" i="14"/>
  <c r="I92" i="14"/>
  <c r="P91" i="14"/>
  <c r="O91" i="14"/>
  <c r="M91" i="14"/>
  <c r="K91" i="14"/>
  <c r="I91" i="14"/>
  <c r="P90" i="14"/>
  <c r="O90" i="14"/>
  <c r="M90" i="14"/>
  <c r="K90" i="14"/>
  <c r="I90" i="14"/>
  <c r="P89" i="14"/>
  <c r="O89" i="14"/>
  <c r="M89" i="14"/>
  <c r="K89" i="14"/>
  <c r="I89" i="14"/>
  <c r="P88" i="14"/>
  <c r="O88" i="14"/>
  <c r="M88" i="14"/>
  <c r="K88" i="14"/>
  <c r="I88" i="14"/>
  <c r="P87" i="14"/>
  <c r="O87" i="14"/>
  <c r="M87" i="14"/>
  <c r="K87" i="14"/>
  <c r="I87" i="14"/>
  <c r="P86" i="14"/>
  <c r="O86" i="14"/>
  <c r="M86" i="14"/>
  <c r="K86" i="14"/>
  <c r="I86" i="14"/>
  <c r="P85" i="14"/>
  <c r="O85" i="14"/>
  <c r="M85" i="14"/>
  <c r="K85" i="14"/>
  <c r="I85" i="14"/>
  <c r="P84" i="14"/>
  <c r="O84" i="14"/>
  <c r="M84" i="14"/>
  <c r="K84" i="14"/>
  <c r="I84" i="14"/>
  <c r="P83" i="14"/>
  <c r="O83" i="14"/>
  <c r="M83" i="14"/>
  <c r="K83" i="14"/>
  <c r="I83" i="14"/>
  <c r="P82" i="14"/>
  <c r="O82" i="14"/>
  <c r="M82" i="14"/>
  <c r="K82" i="14"/>
  <c r="I82" i="14"/>
  <c r="P81" i="14"/>
  <c r="O81" i="14"/>
  <c r="M81" i="14"/>
  <c r="K81" i="14"/>
  <c r="I81" i="14"/>
  <c r="P80" i="14"/>
  <c r="O80" i="14"/>
  <c r="M80" i="14"/>
  <c r="K80" i="14"/>
  <c r="I80" i="14"/>
  <c r="P79" i="14"/>
  <c r="O79" i="14"/>
  <c r="M79" i="14"/>
  <c r="K79" i="14"/>
  <c r="I79" i="14"/>
  <c r="P78" i="14"/>
  <c r="O78" i="14"/>
  <c r="M78" i="14"/>
  <c r="K78" i="14"/>
  <c r="I78" i="14"/>
  <c r="P77" i="14"/>
  <c r="O77" i="14"/>
  <c r="M77" i="14"/>
  <c r="K77" i="14"/>
  <c r="I77" i="14"/>
  <c r="P76" i="14"/>
  <c r="O76" i="14"/>
  <c r="M76" i="14"/>
  <c r="K76" i="14"/>
  <c r="I76" i="14"/>
  <c r="P75" i="14"/>
  <c r="O75" i="14"/>
  <c r="M75" i="14"/>
  <c r="K75" i="14"/>
  <c r="I75" i="14"/>
  <c r="P74" i="14"/>
  <c r="O74" i="14"/>
  <c r="M74" i="14"/>
  <c r="K74" i="14"/>
  <c r="I74" i="14"/>
  <c r="P73" i="14"/>
  <c r="O73" i="14"/>
  <c r="M73" i="14"/>
  <c r="K73" i="14"/>
  <c r="I73" i="14"/>
  <c r="F73" i="14"/>
  <c r="P72" i="14"/>
  <c r="O72" i="14"/>
  <c r="M72" i="14"/>
  <c r="K72" i="14"/>
  <c r="I72" i="14"/>
  <c r="F72" i="14"/>
  <c r="P71" i="14"/>
  <c r="O71" i="14"/>
  <c r="M71" i="14"/>
  <c r="K71" i="14"/>
  <c r="I71" i="14"/>
  <c r="F71" i="14"/>
  <c r="P70" i="14"/>
  <c r="O70" i="14"/>
  <c r="M70" i="14"/>
  <c r="K70" i="14"/>
  <c r="I70" i="14"/>
  <c r="P69" i="14"/>
  <c r="O69" i="14"/>
  <c r="M69" i="14"/>
  <c r="K69" i="14"/>
  <c r="I69" i="14"/>
  <c r="P68" i="14"/>
  <c r="O68" i="14"/>
  <c r="M68" i="14"/>
  <c r="K68" i="14"/>
  <c r="I68" i="14"/>
  <c r="P67" i="14"/>
  <c r="O67" i="14"/>
  <c r="M67" i="14"/>
  <c r="K67" i="14"/>
  <c r="I67" i="14"/>
  <c r="F67" i="14"/>
  <c r="P66" i="14"/>
  <c r="O66" i="14"/>
  <c r="M66" i="14"/>
  <c r="K66" i="14"/>
  <c r="I66" i="14"/>
  <c r="P65" i="14"/>
  <c r="O65" i="14"/>
  <c r="M65" i="14"/>
  <c r="K65" i="14"/>
  <c r="I65" i="14"/>
  <c r="F65" i="14"/>
  <c r="P64" i="14"/>
  <c r="O64" i="14"/>
  <c r="M64" i="14"/>
  <c r="K64" i="14"/>
  <c r="I64" i="14"/>
  <c r="F64" i="14"/>
  <c r="P63" i="14"/>
  <c r="O63" i="14"/>
  <c r="M63" i="14"/>
  <c r="K63" i="14"/>
  <c r="I63" i="14"/>
  <c r="F63" i="14"/>
  <c r="P62" i="14"/>
  <c r="O62" i="14"/>
  <c r="M62" i="14"/>
  <c r="K62" i="14"/>
  <c r="I62" i="14"/>
  <c r="F62" i="14"/>
  <c r="P61" i="14"/>
  <c r="O61" i="14"/>
  <c r="M61" i="14"/>
  <c r="K61" i="14"/>
  <c r="I61" i="14"/>
  <c r="F61" i="14"/>
  <c r="P60" i="14"/>
  <c r="O60" i="14"/>
  <c r="M60" i="14"/>
  <c r="K60" i="14"/>
  <c r="I60" i="14"/>
  <c r="F60" i="14"/>
  <c r="P59" i="14"/>
  <c r="O59" i="14"/>
  <c r="M59" i="14"/>
  <c r="K59" i="14"/>
  <c r="I59" i="14"/>
  <c r="F59" i="14"/>
  <c r="P58" i="14"/>
  <c r="O58" i="14"/>
  <c r="M58" i="14"/>
  <c r="K58" i="14"/>
  <c r="I58" i="14"/>
  <c r="F58" i="14"/>
  <c r="P57" i="14"/>
  <c r="O57" i="14"/>
  <c r="M57" i="14"/>
  <c r="K57" i="14"/>
  <c r="I57" i="14"/>
  <c r="F57" i="14"/>
  <c r="P56" i="14"/>
  <c r="O56" i="14"/>
  <c r="M56" i="14"/>
  <c r="K56" i="14"/>
  <c r="I56" i="14"/>
  <c r="F56" i="14"/>
  <c r="P55" i="14"/>
  <c r="O55" i="14"/>
  <c r="M55" i="14"/>
  <c r="K55" i="14"/>
  <c r="I55" i="14"/>
  <c r="F55" i="14"/>
  <c r="P54" i="14"/>
  <c r="O54" i="14"/>
  <c r="M54" i="14"/>
  <c r="K54" i="14"/>
  <c r="I54" i="14"/>
  <c r="F54" i="14"/>
  <c r="P53" i="14"/>
  <c r="O53" i="14"/>
  <c r="M53" i="14"/>
  <c r="K53" i="14"/>
  <c r="I53" i="14"/>
  <c r="F53" i="14"/>
  <c r="P52" i="14"/>
  <c r="O52" i="14"/>
  <c r="M52" i="14"/>
  <c r="K52" i="14"/>
  <c r="I52" i="14"/>
  <c r="F52" i="14"/>
  <c r="P51" i="14"/>
  <c r="O51" i="14"/>
  <c r="M51" i="14"/>
  <c r="K51" i="14"/>
  <c r="I51" i="14"/>
  <c r="F51" i="14"/>
  <c r="P50" i="14"/>
  <c r="O50" i="14"/>
  <c r="M50" i="14"/>
  <c r="K50" i="14"/>
  <c r="I50" i="14"/>
  <c r="F50" i="14"/>
  <c r="P49" i="14"/>
  <c r="O49" i="14"/>
  <c r="M49" i="14"/>
  <c r="K49" i="14"/>
  <c r="I49" i="14"/>
  <c r="F49" i="14"/>
  <c r="P48" i="14"/>
  <c r="O48" i="14"/>
  <c r="M48" i="14"/>
  <c r="K48" i="14"/>
  <c r="I48" i="14"/>
  <c r="F48" i="14"/>
  <c r="P47" i="14"/>
  <c r="O47" i="14"/>
  <c r="M47" i="14"/>
  <c r="K47" i="14"/>
  <c r="I47" i="14"/>
  <c r="F47" i="14"/>
  <c r="P46" i="14"/>
  <c r="O46" i="14"/>
  <c r="M46" i="14"/>
  <c r="K46" i="14"/>
  <c r="I46" i="14"/>
  <c r="F46" i="14"/>
  <c r="P45" i="14"/>
  <c r="O45" i="14"/>
  <c r="M45" i="14"/>
  <c r="K45" i="14"/>
  <c r="I45" i="14"/>
  <c r="F45" i="14"/>
  <c r="P44" i="14"/>
  <c r="O44" i="14"/>
  <c r="M44" i="14"/>
  <c r="K44" i="14"/>
  <c r="I44" i="14"/>
  <c r="F44" i="14"/>
  <c r="P43" i="14"/>
  <c r="O43" i="14"/>
  <c r="M43" i="14"/>
  <c r="K43" i="14"/>
  <c r="I43" i="14"/>
  <c r="F43" i="14"/>
  <c r="P42" i="14"/>
  <c r="O42" i="14"/>
  <c r="M42" i="14"/>
  <c r="K42" i="14"/>
  <c r="I42" i="14"/>
  <c r="P41" i="14"/>
  <c r="O41" i="14"/>
  <c r="M41" i="14"/>
  <c r="K41" i="14"/>
  <c r="I41" i="14"/>
  <c r="F41" i="14"/>
  <c r="P40" i="14"/>
  <c r="O40" i="14"/>
  <c r="M40" i="14"/>
  <c r="K40" i="14"/>
  <c r="I40" i="14"/>
  <c r="F40" i="14"/>
  <c r="P39" i="14"/>
  <c r="O39" i="14"/>
  <c r="M39" i="14"/>
  <c r="K39" i="14"/>
  <c r="I39" i="14"/>
  <c r="F39" i="14"/>
  <c r="P38" i="14"/>
  <c r="O38" i="14"/>
  <c r="M38" i="14"/>
  <c r="K38" i="14"/>
  <c r="I38" i="14"/>
  <c r="F38" i="14"/>
  <c r="P37" i="14"/>
  <c r="O37" i="14"/>
  <c r="M37" i="14"/>
  <c r="K37" i="14"/>
  <c r="I37" i="14"/>
  <c r="F37" i="14"/>
  <c r="P36" i="14"/>
  <c r="P35" i="14"/>
  <c r="O35" i="14"/>
  <c r="M35" i="14"/>
  <c r="K35" i="14"/>
  <c r="I35" i="14"/>
  <c r="F35" i="14"/>
  <c r="P34" i="14"/>
  <c r="O34" i="14"/>
  <c r="M34" i="14"/>
  <c r="K34" i="14"/>
  <c r="I34" i="14"/>
  <c r="F34" i="14"/>
  <c r="P33" i="14"/>
  <c r="O33" i="14"/>
  <c r="M33" i="14"/>
  <c r="K33" i="14"/>
  <c r="I33" i="14"/>
  <c r="F33" i="14"/>
  <c r="P32" i="14"/>
  <c r="O32" i="14"/>
  <c r="M32" i="14"/>
  <c r="K32" i="14"/>
  <c r="I32" i="14"/>
  <c r="F32" i="14"/>
  <c r="P31" i="14"/>
  <c r="O31" i="14"/>
  <c r="M31" i="14"/>
  <c r="K31" i="14"/>
  <c r="I31" i="14"/>
  <c r="F31" i="14"/>
  <c r="P30" i="14"/>
  <c r="O30" i="14"/>
  <c r="M30" i="14"/>
  <c r="K30" i="14"/>
  <c r="I30" i="14"/>
  <c r="F30" i="14"/>
  <c r="P29" i="14"/>
  <c r="O29" i="14"/>
  <c r="M29" i="14"/>
  <c r="K29" i="14"/>
  <c r="I29" i="14"/>
  <c r="F29" i="14"/>
  <c r="P27" i="14"/>
  <c r="O27" i="14"/>
  <c r="M27" i="14"/>
  <c r="K27" i="14"/>
  <c r="I27" i="14"/>
  <c r="P26" i="14"/>
  <c r="O26" i="14"/>
  <c r="M26" i="14"/>
  <c r="K26" i="14"/>
  <c r="I26" i="14"/>
  <c r="F26" i="14"/>
  <c r="P24" i="14"/>
  <c r="O24" i="14"/>
  <c r="M24" i="14"/>
  <c r="K24" i="14"/>
  <c r="I24" i="14"/>
  <c r="P23" i="14"/>
  <c r="O23" i="14"/>
  <c r="M23" i="14"/>
  <c r="K23" i="14"/>
  <c r="P22" i="14"/>
  <c r="O22" i="14"/>
  <c r="M22" i="14"/>
  <c r="K22" i="14"/>
  <c r="I22" i="14"/>
  <c r="F22" i="14"/>
  <c r="P21" i="14"/>
  <c r="O21" i="14"/>
  <c r="M21" i="14"/>
  <c r="K21" i="14"/>
  <c r="I21" i="14"/>
  <c r="F21" i="14"/>
  <c r="P20" i="14"/>
  <c r="O20" i="14"/>
  <c r="M20" i="14"/>
  <c r="K20" i="14"/>
  <c r="I20" i="14"/>
  <c r="F20" i="14"/>
  <c r="P19" i="14"/>
  <c r="O19" i="14"/>
  <c r="M19" i="14"/>
  <c r="K19" i="14"/>
  <c r="I19" i="14"/>
  <c r="F19" i="14"/>
  <c r="P17" i="14"/>
  <c r="O17" i="14"/>
  <c r="M17" i="14"/>
  <c r="K17" i="14"/>
  <c r="I17" i="14"/>
  <c r="F17" i="14"/>
  <c r="P16" i="14"/>
  <c r="O16" i="14"/>
  <c r="M16" i="14"/>
  <c r="K16" i="14"/>
  <c r="I16" i="14"/>
  <c r="F16" i="14"/>
  <c r="P15" i="14"/>
  <c r="O15" i="14"/>
  <c r="M15" i="14"/>
  <c r="K15" i="14"/>
  <c r="I15" i="14"/>
  <c r="F15" i="14"/>
  <c r="P14" i="14"/>
  <c r="O14" i="14"/>
  <c r="M14" i="14"/>
  <c r="K14" i="14"/>
  <c r="I14" i="14"/>
  <c r="F14" i="14"/>
  <c r="P13" i="14"/>
  <c r="O13" i="14"/>
  <c r="M13" i="14"/>
  <c r="K13" i="14"/>
  <c r="I13" i="14"/>
  <c r="F13" i="14"/>
  <c r="E8" i="14"/>
  <c r="D8" i="14"/>
  <c r="H7" i="14"/>
  <c r="E7" i="14"/>
  <c r="D7" i="14"/>
  <c r="E6" i="14"/>
  <c r="D6" i="14"/>
  <c r="E5" i="14"/>
  <c r="D5" i="14"/>
  <c r="E4" i="14"/>
  <c r="D4" i="14"/>
  <c r="J3" i="14"/>
  <c r="I3" i="14"/>
  <c r="C13" i="13"/>
  <c r="C12" i="13"/>
  <c r="C11" i="13"/>
  <c r="C10" i="13"/>
  <c r="D9" i="13"/>
  <c r="C9" i="13"/>
  <c r="D7" i="13"/>
  <c r="C7" i="13"/>
  <c r="D6" i="13"/>
  <c r="C6" i="13"/>
  <c r="D5" i="13"/>
  <c r="C5" i="13"/>
  <c r="D4" i="13"/>
  <c r="C4" i="13"/>
  <c r="H52" i="34"/>
  <c r="H50" i="34"/>
  <c r="L49" i="34"/>
  <c r="K49" i="34"/>
  <c r="H49" i="34"/>
  <c r="L48" i="34"/>
  <c r="K48" i="34"/>
  <c r="H48" i="34"/>
  <c r="K47" i="34"/>
  <c r="H47" i="34"/>
  <c r="K46" i="34"/>
  <c r="H46" i="34"/>
  <c r="K45" i="34"/>
  <c r="H45" i="34"/>
  <c r="K44" i="34"/>
  <c r="H44" i="34"/>
  <c r="K43" i="34"/>
  <c r="H43" i="34"/>
  <c r="K42" i="34"/>
  <c r="H42" i="34"/>
  <c r="K41" i="34"/>
  <c r="H41" i="34"/>
  <c r="K40" i="34"/>
  <c r="H40" i="34"/>
  <c r="K39" i="34"/>
  <c r="H39" i="34"/>
  <c r="K38" i="34"/>
  <c r="H38" i="34"/>
  <c r="K37" i="34"/>
  <c r="H37" i="34"/>
  <c r="K36" i="34"/>
  <c r="H36" i="34"/>
  <c r="K35" i="34"/>
  <c r="H35" i="34"/>
  <c r="K34" i="34"/>
  <c r="H34" i="34"/>
  <c r="K33" i="34"/>
  <c r="H33" i="34"/>
  <c r="K32" i="34"/>
  <c r="H32" i="34"/>
  <c r="K31" i="34"/>
  <c r="H31" i="34"/>
  <c r="K30" i="34"/>
  <c r="H30" i="34"/>
  <c r="K29" i="34"/>
  <c r="H29" i="34"/>
  <c r="K28" i="34"/>
  <c r="H28" i="34"/>
  <c r="K27" i="34"/>
  <c r="H27" i="34"/>
  <c r="K26" i="34"/>
  <c r="H26" i="34"/>
  <c r="K25" i="34"/>
  <c r="H25" i="34"/>
  <c r="K24" i="34"/>
  <c r="H24" i="34"/>
  <c r="K23" i="34"/>
  <c r="H23" i="34"/>
  <c r="L22" i="34"/>
  <c r="K22" i="34"/>
  <c r="H22" i="34"/>
  <c r="G2" i="34"/>
  <c r="C122" i="9"/>
  <c r="C119" i="9"/>
  <c r="P118" i="9"/>
  <c r="P115" i="9"/>
  <c r="P113" i="9"/>
  <c r="P111" i="9"/>
  <c r="P110" i="9"/>
  <c r="O110" i="9"/>
  <c r="P102" i="9"/>
  <c r="O102" i="9"/>
  <c r="P100" i="9"/>
  <c r="O100" i="9"/>
  <c r="P67" i="9"/>
  <c r="P66" i="9"/>
  <c r="P65" i="9"/>
  <c r="P64" i="9"/>
  <c r="P63" i="9"/>
  <c r="P55" i="9"/>
  <c r="E55" i="9"/>
  <c r="C55" i="9"/>
  <c r="P54" i="9"/>
  <c r="P53" i="9"/>
  <c r="P52" i="9"/>
  <c r="P50" i="9"/>
  <c r="O50" i="9"/>
  <c r="M50" i="9"/>
  <c r="L50" i="9"/>
  <c r="J50" i="9"/>
  <c r="H50" i="9"/>
  <c r="G50" i="9"/>
  <c r="C50" i="9"/>
  <c r="O1" i="9"/>
  <c r="E5" i="11"/>
  <c r="K8" i="30"/>
  <c r="B131" i="41"/>
  <c r="C59" i="9"/>
  <c r="B190" i="41"/>
  <c r="C121" i="9"/>
</calcChain>
</file>

<file path=xl/comments1.xml><?xml version="1.0" encoding="utf-8"?>
<comments xmlns="http://schemas.openxmlformats.org/spreadsheetml/2006/main">
  <authors>
    <author>MESSE</author>
  </authors>
  <commentList>
    <comment ref="D1"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G2" authorId="0">
      <text>
        <r>
          <rPr>
            <sz val="12"/>
            <color indexed="81"/>
            <rFont val="Tahoma"/>
            <family val="2"/>
          </rPr>
          <t xml:space="preserve">Imputez dans cette colonne dans les lignes concernées le coût de la fourniture du matériel
</t>
        </r>
      </text>
    </comment>
    <comment ref="H2" authorId="0">
      <text>
        <r>
          <rPr>
            <b/>
            <u/>
            <sz val="12"/>
            <color indexed="10"/>
            <rFont val="Tahoma"/>
            <family val="2"/>
          </rPr>
          <t>Optionnel</t>
        </r>
        <r>
          <rPr>
            <sz val="12"/>
            <color indexed="81"/>
            <rFont val="Tahoma"/>
            <family val="2"/>
          </rPr>
          <t xml:space="preserve">
Imputez si nécessaire dans cette colonne dans les lignes concernées les remises consenties par les fournisseurs sur la fourniture du matériel de la colonne précédente
</t>
        </r>
      </text>
    </comment>
    <comment ref="I2" authorId="0">
      <text>
        <r>
          <rPr>
            <sz val="12"/>
            <color indexed="81"/>
            <rFont val="Tahoma"/>
            <family val="2"/>
          </rPr>
          <t xml:space="preserve">Dans chacune des cellules de cette colonne ou des colonnes J, L, M, O, P, R contient une fonction de calcul.
Si par hazard au travers d'une  manipulation une ou des fonctions sont écrasées (cellule en rouge), refaite une recopie toujours à partir de la même colonne dans une cellule pourvue d'une fonction de calcul par un copier/coller après avoir au préalable sélectionné la ou les cellules effacées avec le bouton droit de la souris avant d'effectuer la fonction coller.
</t>
        </r>
      </text>
    </comment>
    <comment ref="J2" authorId="0">
      <text>
        <r>
          <rPr>
            <sz val="10"/>
            <color indexed="81"/>
            <rFont val="Tahoma"/>
            <family val="2"/>
          </rPr>
          <t xml:space="preserve">Imputez dans cette colonne dans les lignes concernées les temps de main d'œuvre sur les ouvrages unitaires définis au préalable.
Toutes les évaluations de temps de main d'oeuvre incluent des tâches comme : déchargements, stockages, nettoyages, pauses, etc.
</t>
        </r>
        <r>
          <rPr>
            <b/>
            <sz val="12"/>
            <color indexed="10"/>
            <rFont val="Tahoma"/>
            <family val="2"/>
          </rPr>
          <t>Facteur correction</t>
        </r>
        <r>
          <rPr>
            <sz val="10"/>
            <color indexed="81"/>
            <rFont val="Tahoma"/>
            <family val="2"/>
          </rPr>
          <t xml:space="preserve">  
- Travail dans de grands zone ouvertes, sans cloisons = </t>
        </r>
        <r>
          <rPr>
            <b/>
            <sz val="10"/>
            <color indexed="10"/>
            <rFont val="Tahoma"/>
            <family val="2"/>
          </rPr>
          <t xml:space="preserve">0.85  </t>
        </r>
        <r>
          <rPr>
            <sz val="10"/>
            <color indexed="81"/>
            <rFont val="Tahoma"/>
            <family val="2"/>
          </rPr>
          <t xml:space="preserve">
- Prefabrication dans des conditions idéales = </t>
        </r>
        <r>
          <rPr>
            <b/>
            <sz val="10"/>
            <color indexed="10"/>
            <rFont val="Tahoma"/>
            <family val="2"/>
          </rPr>
          <t>0.90</t>
        </r>
        <r>
          <rPr>
            <sz val="10"/>
            <color indexed="81"/>
            <rFont val="Tahoma"/>
            <family val="2"/>
          </rPr>
          <t xml:space="preserve">  
- Grandes quantités de travail répétitif = </t>
        </r>
        <r>
          <rPr>
            <b/>
            <sz val="10"/>
            <color indexed="10"/>
            <rFont val="Tahoma"/>
            <family val="2"/>
          </rPr>
          <t>0.90</t>
        </r>
        <r>
          <rPr>
            <sz val="10"/>
            <color indexed="81"/>
            <rFont val="Tahoma"/>
            <family val="2"/>
          </rPr>
          <t xml:space="preserve">  
- Travail à plus de 90 m de zone du dépôt =</t>
        </r>
        <r>
          <rPr>
            <b/>
            <sz val="10"/>
            <color indexed="10"/>
            <rFont val="Tahoma"/>
            <family val="2"/>
          </rPr>
          <t xml:space="preserve">1.03 </t>
        </r>
        <r>
          <rPr>
            <sz val="10"/>
            <color indexed="81"/>
            <rFont val="Tahoma"/>
            <family val="2"/>
          </rPr>
          <t xml:space="preserve"> 
- Travail à plus de 120 m de zone du dépôt = </t>
        </r>
        <r>
          <rPr>
            <b/>
            <sz val="10"/>
            <color indexed="10"/>
            <rFont val="Tahoma"/>
            <family val="2"/>
          </rPr>
          <t xml:space="preserve">1.05  </t>
        </r>
        <r>
          <rPr>
            <sz val="10"/>
            <color indexed="81"/>
            <rFont val="Tahoma"/>
            <family val="2"/>
          </rPr>
          <t xml:space="preserve">
- Travail à plus de 150 m de zone du dépôt = </t>
        </r>
        <r>
          <rPr>
            <b/>
            <sz val="10"/>
            <color indexed="10"/>
            <rFont val="Tahoma"/>
            <family val="2"/>
          </rPr>
          <t xml:space="preserve">1.07  </t>
        </r>
        <r>
          <rPr>
            <sz val="10"/>
            <color indexed="81"/>
            <rFont val="Tahoma"/>
            <family val="2"/>
          </rPr>
          <t xml:space="preserve">
- Travail entre le 3ème et le 5ème étage = </t>
        </r>
        <r>
          <rPr>
            <b/>
            <sz val="10"/>
            <color indexed="10"/>
            <rFont val="Tahoma"/>
            <family val="2"/>
          </rPr>
          <t>1.05</t>
        </r>
        <r>
          <rPr>
            <sz val="10"/>
            <color indexed="81"/>
            <rFont val="Tahoma"/>
            <family val="2"/>
          </rPr>
          <t xml:space="preserve">  
- Travail entre le 6ème et le 9ème étage = </t>
        </r>
        <r>
          <rPr>
            <b/>
            <sz val="10"/>
            <color indexed="10"/>
            <rFont val="Tahoma"/>
            <family val="2"/>
          </rPr>
          <t xml:space="preserve">1.10  </t>
        </r>
        <r>
          <rPr>
            <sz val="10"/>
            <color indexed="81"/>
            <rFont val="Tahoma"/>
            <family val="2"/>
          </rPr>
          <t xml:space="preserve">
- Travail entre le 10ème et le 13ème étage =</t>
        </r>
        <r>
          <rPr>
            <b/>
            <sz val="10"/>
            <color indexed="10"/>
            <rFont val="Tahoma"/>
            <family val="2"/>
          </rPr>
          <t xml:space="preserve">1.15  </t>
        </r>
        <r>
          <rPr>
            <sz val="10"/>
            <color indexed="81"/>
            <rFont val="Tahoma"/>
            <family val="2"/>
          </rPr>
          <t xml:space="preserve">
- Travail entre le 14ème et le 7ème étage =</t>
        </r>
        <r>
          <rPr>
            <b/>
            <sz val="10"/>
            <color indexed="10"/>
            <rFont val="Tahoma"/>
            <family val="2"/>
          </rPr>
          <t xml:space="preserve">1.20  </t>
        </r>
        <r>
          <rPr>
            <sz val="10"/>
            <color indexed="81"/>
            <rFont val="Tahoma"/>
            <family val="2"/>
          </rPr>
          <t xml:space="preserve">
- Travail entre le 18ème et le 20ème étage =</t>
        </r>
        <r>
          <rPr>
            <b/>
            <sz val="10"/>
            <color indexed="10"/>
            <rFont val="Tahoma"/>
            <family val="2"/>
          </rPr>
          <t>1.25</t>
        </r>
        <r>
          <rPr>
            <sz val="10"/>
            <color indexed="81"/>
            <rFont val="Tahoma"/>
            <family val="2"/>
          </rPr>
          <t xml:space="preserve">  
- Travail au dessus de 21étages =</t>
        </r>
        <r>
          <rPr>
            <b/>
            <sz val="10"/>
            <color indexed="10"/>
            <rFont val="Tahoma"/>
            <family val="2"/>
          </rPr>
          <t>1.35</t>
        </r>
        <r>
          <rPr>
            <sz val="10"/>
            <color indexed="81"/>
            <rFont val="Tahoma"/>
            <family val="2"/>
          </rPr>
          <t xml:space="preserve">  
- Travail dans les cuisines commerciales =</t>
        </r>
        <r>
          <rPr>
            <b/>
            <sz val="10"/>
            <color indexed="10"/>
            <rFont val="Tahoma"/>
            <family val="2"/>
          </rPr>
          <t xml:space="preserve">1.10  </t>
        </r>
        <r>
          <rPr>
            <sz val="10"/>
            <color indexed="81"/>
            <rFont val="Tahoma"/>
            <family val="2"/>
          </rPr>
          <t xml:space="preserve">
- Travail au-dessus d'un plancher incliné =</t>
        </r>
        <r>
          <rPr>
            <b/>
            <sz val="10"/>
            <color indexed="10"/>
            <rFont val="Tahoma"/>
            <family val="2"/>
          </rPr>
          <t xml:space="preserve">1.25 </t>
        </r>
        <r>
          <rPr>
            <sz val="10"/>
            <color indexed="81"/>
            <rFont val="Tahoma"/>
            <family val="2"/>
          </rPr>
          <t xml:space="preserve"> 
- Travail dans l'espace grenier =</t>
        </r>
        <r>
          <rPr>
            <b/>
            <sz val="10"/>
            <color indexed="10"/>
            <rFont val="Tahoma"/>
            <family val="2"/>
          </rPr>
          <t>1.50</t>
        </r>
        <r>
          <rPr>
            <sz val="10"/>
            <color indexed="81"/>
            <rFont val="Tahoma"/>
            <family val="2"/>
          </rPr>
          <t xml:space="preserve"> 
- Travail dans espace rampant (vide sanitaire) = </t>
        </r>
        <r>
          <rPr>
            <b/>
            <sz val="10"/>
            <color indexed="10"/>
            <rFont val="Tahoma"/>
            <family val="2"/>
          </rPr>
          <t xml:space="preserve">1.20 </t>
        </r>
        <r>
          <rPr>
            <sz val="10"/>
            <color indexed="81"/>
            <rFont val="Tahoma"/>
            <family val="2"/>
          </rPr>
          <t xml:space="preserve"> 
- Travail dans une pièce encombrée =</t>
        </r>
        <r>
          <rPr>
            <b/>
            <sz val="10"/>
            <color indexed="10"/>
            <rFont val="Tahoma"/>
            <family val="2"/>
          </rPr>
          <t xml:space="preserve">1.20 </t>
        </r>
        <r>
          <rPr>
            <sz val="10"/>
            <color indexed="81"/>
            <rFont val="Tahoma"/>
            <family val="2"/>
          </rPr>
          <t xml:space="preserve"> 
- Travail à + de 4.50m du niveau du sol  =</t>
        </r>
        <r>
          <rPr>
            <b/>
            <sz val="10"/>
            <color indexed="10"/>
            <rFont val="Tahoma"/>
            <family val="2"/>
          </rPr>
          <t xml:space="preserve">1.10  </t>
        </r>
        <r>
          <rPr>
            <sz val="10"/>
            <color indexed="81"/>
            <rFont val="Tahoma"/>
            <family val="2"/>
          </rPr>
          <t xml:space="preserve">
- Travail à + de 6.00m du niveau du sol =</t>
        </r>
        <r>
          <rPr>
            <b/>
            <sz val="10"/>
            <color indexed="10"/>
            <rFont val="Tahoma"/>
            <family val="2"/>
          </rPr>
          <t>1.20</t>
        </r>
        <r>
          <rPr>
            <sz val="10"/>
            <color indexed="81"/>
            <rFont val="Tahoma"/>
            <family val="2"/>
          </rPr>
          <t xml:space="preserve">  
- Travail à + de 7.50m du niveau du sol =</t>
        </r>
        <r>
          <rPr>
            <b/>
            <sz val="10"/>
            <color indexed="10"/>
            <rFont val="Tahoma"/>
            <family val="2"/>
          </rPr>
          <t>1.30</t>
        </r>
        <r>
          <rPr>
            <sz val="10"/>
            <color indexed="81"/>
            <rFont val="Tahoma"/>
            <family val="2"/>
          </rPr>
          <t xml:space="preserve">  
- Travail à + de 9.00m du niveau du sol =</t>
        </r>
        <r>
          <rPr>
            <b/>
            <sz val="10"/>
            <color indexed="10"/>
            <rFont val="Tahoma"/>
            <family val="2"/>
          </rPr>
          <t>1.40</t>
        </r>
        <r>
          <rPr>
            <sz val="10"/>
            <color indexed="81"/>
            <rFont val="Tahoma"/>
            <family val="2"/>
          </rPr>
          <t xml:space="preserve">  
- Travail à 10.50m à 12.00m du niveau du sol =  </t>
        </r>
        <r>
          <rPr>
            <b/>
            <sz val="10"/>
            <color indexed="10"/>
            <rFont val="Tahoma"/>
            <family val="2"/>
          </rPr>
          <t xml:space="preserve">1.50 </t>
        </r>
        <r>
          <rPr>
            <sz val="10"/>
            <color indexed="81"/>
            <rFont val="Tahoma"/>
            <family val="2"/>
          </rPr>
          <t xml:space="preserve">
</t>
        </r>
      </text>
    </comment>
    <comment ref="P2"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comments2.xml><?xml version="1.0" encoding="utf-8"?>
<comments xmlns="http://schemas.openxmlformats.org/spreadsheetml/2006/main">
  <authors>
    <author>MESSE</author>
  </authors>
  <commentList>
    <comment ref="C11"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F12" authorId="0">
      <text>
        <r>
          <rPr>
            <sz val="12"/>
            <color indexed="81"/>
            <rFont val="Tahoma"/>
            <family val="2"/>
          </rPr>
          <t xml:space="preserve">Imputez dans cette colonne dans les lignes concernées le coût de la fourniture du matériel
</t>
        </r>
      </text>
    </comment>
    <comment ref="G12" authorId="0">
      <text>
        <r>
          <rPr>
            <b/>
            <u/>
            <sz val="12"/>
            <color indexed="10"/>
            <rFont val="Tahoma"/>
            <family val="2"/>
          </rPr>
          <t>Optionnel</t>
        </r>
        <r>
          <rPr>
            <sz val="12"/>
            <color indexed="81"/>
            <rFont val="Tahoma"/>
            <family val="2"/>
          </rPr>
          <t xml:space="preserve">
Imputez si nécessaire dans cette colonne dans les lignes concernées les remises consenties par les fournisseurs sur la fourniture du matériel de la colonne précédente
</t>
        </r>
      </text>
    </comment>
    <comment ref="H12" authorId="0">
      <text>
        <r>
          <rPr>
            <sz val="12"/>
            <color indexed="81"/>
            <rFont val="Tahoma"/>
            <family val="2"/>
          </rPr>
          <t xml:space="preserve">Dans chacune des cellules de cette colonne ou des colonnes J, L, M, O, P, R contient une fonction de calcul.
Si par hazard au travers d'une  manipulation une ou des fonctions sont écrasées (cellule en rouge), refaite une recopie toujours à partir de la même colonne dans une cellule pourvue d'une fonction de calcul par un copier/coller après avoir au préalable sélectionné la ou les cellules effacées avec le bouton droit de la souris avant d'effectuer la fonction coller.
</t>
        </r>
      </text>
    </comment>
    <comment ref="I12" authorId="0">
      <text>
        <r>
          <rPr>
            <sz val="10"/>
            <color indexed="81"/>
            <rFont val="Tahoma"/>
            <family val="2"/>
          </rPr>
          <t xml:space="preserve">Imputez dans cette colonne dans les lignes concernées les temps de main d'œuvre sur les ouvrages unitaires définis au préalable.
Toutes les évaluations de temps de main d'oeuvre incluent des tâches comme : déchargements, stockages, nettoyages, pauses, etc.
</t>
        </r>
        <r>
          <rPr>
            <b/>
            <sz val="12"/>
            <color indexed="10"/>
            <rFont val="Tahoma"/>
            <family val="2"/>
          </rPr>
          <t>Facteur correction</t>
        </r>
        <r>
          <rPr>
            <sz val="10"/>
            <color indexed="81"/>
            <rFont val="Tahoma"/>
            <family val="2"/>
          </rPr>
          <t xml:space="preserve">  
- Travail dans de grands zone ouvertes, sans cloisons = </t>
        </r>
        <r>
          <rPr>
            <b/>
            <sz val="10"/>
            <color indexed="10"/>
            <rFont val="Tahoma"/>
            <family val="2"/>
          </rPr>
          <t xml:space="preserve">0.85  </t>
        </r>
        <r>
          <rPr>
            <sz val="10"/>
            <color indexed="81"/>
            <rFont val="Tahoma"/>
            <family val="2"/>
          </rPr>
          <t xml:space="preserve">
- Prefabrication dans des conditions idéales = </t>
        </r>
        <r>
          <rPr>
            <b/>
            <sz val="10"/>
            <color indexed="10"/>
            <rFont val="Tahoma"/>
            <family val="2"/>
          </rPr>
          <t>0.90</t>
        </r>
        <r>
          <rPr>
            <sz val="10"/>
            <color indexed="81"/>
            <rFont val="Tahoma"/>
            <family val="2"/>
          </rPr>
          <t xml:space="preserve">  
- Grandes quantités de travail répétitif = </t>
        </r>
        <r>
          <rPr>
            <b/>
            <sz val="10"/>
            <color indexed="10"/>
            <rFont val="Tahoma"/>
            <family val="2"/>
          </rPr>
          <t>0.90</t>
        </r>
        <r>
          <rPr>
            <sz val="10"/>
            <color indexed="81"/>
            <rFont val="Tahoma"/>
            <family val="2"/>
          </rPr>
          <t xml:space="preserve">  
- Travail à plus de 90 m de zone du dépôt =</t>
        </r>
        <r>
          <rPr>
            <b/>
            <sz val="10"/>
            <color indexed="10"/>
            <rFont val="Tahoma"/>
            <family val="2"/>
          </rPr>
          <t xml:space="preserve">1.03 </t>
        </r>
        <r>
          <rPr>
            <sz val="10"/>
            <color indexed="81"/>
            <rFont val="Tahoma"/>
            <family val="2"/>
          </rPr>
          <t xml:space="preserve"> 
- Travail à plus de 120 m de zone du dépôt = </t>
        </r>
        <r>
          <rPr>
            <b/>
            <sz val="10"/>
            <color indexed="10"/>
            <rFont val="Tahoma"/>
            <family val="2"/>
          </rPr>
          <t xml:space="preserve">1.05  </t>
        </r>
        <r>
          <rPr>
            <sz val="10"/>
            <color indexed="81"/>
            <rFont val="Tahoma"/>
            <family val="2"/>
          </rPr>
          <t xml:space="preserve">
- Travail à plus de 150 m de zone du dépôt = </t>
        </r>
        <r>
          <rPr>
            <b/>
            <sz val="10"/>
            <color indexed="10"/>
            <rFont val="Tahoma"/>
            <family val="2"/>
          </rPr>
          <t xml:space="preserve">1.07  </t>
        </r>
        <r>
          <rPr>
            <sz val="10"/>
            <color indexed="81"/>
            <rFont val="Tahoma"/>
            <family val="2"/>
          </rPr>
          <t xml:space="preserve">
- Travail entre le 3ème et le 5ème étage = </t>
        </r>
        <r>
          <rPr>
            <b/>
            <sz val="10"/>
            <color indexed="10"/>
            <rFont val="Tahoma"/>
            <family val="2"/>
          </rPr>
          <t>1.05</t>
        </r>
        <r>
          <rPr>
            <sz val="10"/>
            <color indexed="81"/>
            <rFont val="Tahoma"/>
            <family val="2"/>
          </rPr>
          <t xml:space="preserve">  
- Travail entre le 6ème et le 9ème étage = </t>
        </r>
        <r>
          <rPr>
            <b/>
            <sz val="10"/>
            <color indexed="10"/>
            <rFont val="Tahoma"/>
            <family val="2"/>
          </rPr>
          <t xml:space="preserve">1.10  </t>
        </r>
        <r>
          <rPr>
            <sz val="10"/>
            <color indexed="81"/>
            <rFont val="Tahoma"/>
            <family val="2"/>
          </rPr>
          <t xml:space="preserve">
- Travail entre le 10ème et le 13ème étage =</t>
        </r>
        <r>
          <rPr>
            <b/>
            <sz val="10"/>
            <color indexed="10"/>
            <rFont val="Tahoma"/>
            <family val="2"/>
          </rPr>
          <t xml:space="preserve">1.15  </t>
        </r>
        <r>
          <rPr>
            <sz val="10"/>
            <color indexed="81"/>
            <rFont val="Tahoma"/>
            <family val="2"/>
          </rPr>
          <t xml:space="preserve">
- Travail entre le 14ème et le 7ème étage =</t>
        </r>
        <r>
          <rPr>
            <b/>
            <sz val="10"/>
            <color indexed="10"/>
            <rFont val="Tahoma"/>
            <family val="2"/>
          </rPr>
          <t xml:space="preserve">1.20  </t>
        </r>
        <r>
          <rPr>
            <sz val="10"/>
            <color indexed="81"/>
            <rFont val="Tahoma"/>
            <family val="2"/>
          </rPr>
          <t xml:space="preserve">
- Travail entre le 18ème et le 20ème étage =</t>
        </r>
        <r>
          <rPr>
            <b/>
            <sz val="10"/>
            <color indexed="10"/>
            <rFont val="Tahoma"/>
            <family val="2"/>
          </rPr>
          <t>1.25</t>
        </r>
        <r>
          <rPr>
            <sz val="10"/>
            <color indexed="81"/>
            <rFont val="Tahoma"/>
            <family val="2"/>
          </rPr>
          <t xml:space="preserve">  
- Travail au dessus de 21étages =</t>
        </r>
        <r>
          <rPr>
            <b/>
            <sz val="10"/>
            <color indexed="10"/>
            <rFont val="Tahoma"/>
            <family val="2"/>
          </rPr>
          <t>1.35</t>
        </r>
        <r>
          <rPr>
            <sz val="10"/>
            <color indexed="81"/>
            <rFont val="Tahoma"/>
            <family val="2"/>
          </rPr>
          <t xml:space="preserve">  
- Travail dans les cuisines commerciales =</t>
        </r>
        <r>
          <rPr>
            <b/>
            <sz val="10"/>
            <color indexed="10"/>
            <rFont val="Tahoma"/>
            <family val="2"/>
          </rPr>
          <t xml:space="preserve">1.10  </t>
        </r>
        <r>
          <rPr>
            <sz val="10"/>
            <color indexed="81"/>
            <rFont val="Tahoma"/>
            <family val="2"/>
          </rPr>
          <t xml:space="preserve">
- Travail au-dessus d'un plancher incliné =</t>
        </r>
        <r>
          <rPr>
            <b/>
            <sz val="10"/>
            <color indexed="10"/>
            <rFont val="Tahoma"/>
            <family val="2"/>
          </rPr>
          <t xml:space="preserve">1.25 </t>
        </r>
        <r>
          <rPr>
            <sz val="10"/>
            <color indexed="81"/>
            <rFont val="Tahoma"/>
            <family val="2"/>
          </rPr>
          <t xml:space="preserve"> 
- Travail dans l'espace grenier =</t>
        </r>
        <r>
          <rPr>
            <b/>
            <sz val="10"/>
            <color indexed="10"/>
            <rFont val="Tahoma"/>
            <family val="2"/>
          </rPr>
          <t>1.50</t>
        </r>
        <r>
          <rPr>
            <sz val="10"/>
            <color indexed="81"/>
            <rFont val="Tahoma"/>
            <family val="2"/>
          </rPr>
          <t xml:space="preserve"> 
- Travail dans espace rampant (vide sanitaire) = </t>
        </r>
        <r>
          <rPr>
            <b/>
            <sz val="10"/>
            <color indexed="10"/>
            <rFont val="Tahoma"/>
            <family val="2"/>
          </rPr>
          <t xml:space="preserve">1.20 </t>
        </r>
        <r>
          <rPr>
            <sz val="10"/>
            <color indexed="81"/>
            <rFont val="Tahoma"/>
            <family val="2"/>
          </rPr>
          <t xml:space="preserve"> 
- Travail dans une pièce encombrée =</t>
        </r>
        <r>
          <rPr>
            <b/>
            <sz val="10"/>
            <color indexed="10"/>
            <rFont val="Tahoma"/>
            <family val="2"/>
          </rPr>
          <t xml:space="preserve">1.20 </t>
        </r>
        <r>
          <rPr>
            <sz val="10"/>
            <color indexed="81"/>
            <rFont val="Tahoma"/>
            <family val="2"/>
          </rPr>
          <t xml:space="preserve"> 
- Travail à + de 4.50m du niveau du sol  =</t>
        </r>
        <r>
          <rPr>
            <b/>
            <sz val="10"/>
            <color indexed="10"/>
            <rFont val="Tahoma"/>
            <family val="2"/>
          </rPr>
          <t xml:space="preserve">1.10  </t>
        </r>
        <r>
          <rPr>
            <sz val="10"/>
            <color indexed="81"/>
            <rFont val="Tahoma"/>
            <family val="2"/>
          </rPr>
          <t xml:space="preserve">
- Travail à + de 6.00m du niveau du sol =</t>
        </r>
        <r>
          <rPr>
            <b/>
            <sz val="10"/>
            <color indexed="10"/>
            <rFont val="Tahoma"/>
            <family val="2"/>
          </rPr>
          <t>1.20</t>
        </r>
        <r>
          <rPr>
            <sz val="10"/>
            <color indexed="81"/>
            <rFont val="Tahoma"/>
            <family val="2"/>
          </rPr>
          <t xml:space="preserve">  
- Travail à + de 7.50m du niveau du sol =</t>
        </r>
        <r>
          <rPr>
            <b/>
            <sz val="10"/>
            <color indexed="10"/>
            <rFont val="Tahoma"/>
            <family val="2"/>
          </rPr>
          <t>1.30</t>
        </r>
        <r>
          <rPr>
            <sz val="10"/>
            <color indexed="81"/>
            <rFont val="Tahoma"/>
            <family val="2"/>
          </rPr>
          <t xml:space="preserve">  
- Travail à + de 9.00m du niveau du sol =</t>
        </r>
        <r>
          <rPr>
            <b/>
            <sz val="10"/>
            <color indexed="10"/>
            <rFont val="Tahoma"/>
            <family val="2"/>
          </rPr>
          <t>1.40</t>
        </r>
        <r>
          <rPr>
            <sz val="10"/>
            <color indexed="81"/>
            <rFont val="Tahoma"/>
            <family val="2"/>
          </rPr>
          <t xml:space="preserve">  
- Travail à 10.50m à 12.00m du niveau du sol =  </t>
        </r>
        <r>
          <rPr>
            <b/>
            <sz val="10"/>
            <color indexed="10"/>
            <rFont val="Tahoma"/>
            <family val="2"/>
          </rPr>
          <t xml:space="preserve">1.50 </t>
        </r>
        <r>
          <rPr>
            <sz val="10"/>
            <color indexed="81"/>
            <rFont val="Tahoma"/>
            <family val="2"/>
          </rPr>
          <t xml:space="preserve">
</t>
        </r>
      </text>
    </comment>
    <comment ref="O12"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comments3.xml><?xml version="1.0" encoding="utf-8"?>
<comments xmlns="http://schemas.openxmlformats.org/spreadsheetml/2006/main">
  <authors>
    <author>MESSE</author>
  </authors>
  <commentList>
    <comment ref="B12" authorId="0">
      <text>
        <r>
          <rPr>
            <sz val="10"/>
            <color indexed="81"/>
            <rFont val="Tahoma"/>
            <family val="2"/>
          </rPr>
          <t xml:space="preserve">La mise en page est paramétrée par macro-commande.
Selon l'utilisation du type d'imprimante il est peut être nécessaire dans certain cas de modifier manuellement la largeur de cette colonne pour faire rentrer toutes les colonnes dans la page d'impression.
Dans ce cas cliquez avec le bouton droit de la souris entre les colonnes C et D tout en haut et ajuster.  </t>
        </r>
      </text>
    </comment>
    <comment ref="N13" authorId="0">
      <text>
        <r>
          <rPr>
            <sz val="12"/>
            <color indexed="81"/>
            <rFont val="Tahoma"/>
            <family val="2"/>
          </rPr>
          <t xml:space="preserve">Les prix unitaires peuvent s'afficher en chiffres arrondis ou avec 2 décimales.
Faites la sélection dans le menu déroulant ci-dessus
</t>
        </r>
      </text>
    </comment>
  </commentList>
</comments>
</file>

<file path=xl/sharedStrings.xml><?xml version="1.0" encoding="utf-8"?>
<sst xmlns="http://schemas.openxmlformats.org/spreadsheetml/2006/main" count="4868" uniqueCount="1448">
  <si>
    <t>Unité</t>
  </si>
  <si>
    <t>Unitaire</t>
  </si>
  <si>
    <t>Total</t>
  </si>
  <si>
    <t>Indice</t>
  </si>
  <si>
    <t>Prix de revient</t>
  </si>
  <si>
    <t>Qté</t>
  </si>
  <si>
    <t>Remise</t>
  </si>
  <si>
    <t>Main d'œuvre</t>
  </si>
  <si>
    <t>Taux horaire moyen</t>
  </si>
  <si>
    <t>Coefficient frais généraux matériaux</t>
  </si>
  <si>
    <t>Coefficient vente</t>
  </si>
  <si>
    <t>Code</t>
  </si>
  <si>
    <t>Libellé</t>
  </si>
  <si>
    <t>Temps unitaire moyen</t>
  </si>
  <si>
    <t>Déboursé sec</t>
  </si>
  <si>
    <t>Prix de vente hors taxe</t>
  </si>
  <si>
    <t>Main d'oeuvre</t>
  </si>
  <si>
    <t>Matériaux</t>
  </si>
  <si>
    <t>H</t>
  </si>
  <si>
    <t>U</t>
  </si>
  <si>
    <t>x</t>
  </si>
  <si>
    <t xml:space="preserve"> </t>
  </si>
  <si>
    <t>Calcul de Coût Horaire Moyene</t>
  </si>
  <si>
    <t>Mainœvre</t>
  </si>
  <si>
    <t>Maçon</t>
  </si>
  <si>
    <t>Salaire de base</t>
  </si>
  <si>
    <t xml:space="preserve">Charge sociale    (Ch.S) = 22% (SB + PI) </t>
  </si>
  <si>
    <t xml:space="preserve">Charge patronales    (Ch.P) = 42% (SB + PI) </t>
  </si>
  <si>
    <t>Nombre d'œuvrier par catégorie</t>
  </si>
  <si>
    <t>Coût horaire x Nombre ouvrier</t>
  </si>
  <si>
    <t>Coût horaire Charge Patronales</t>
  </si>
  <si>
    <t>P : Prix horaire globale de debourses 
sec de main d'œuvre</t>
  </si>
  <si>
    <t>N :Nombre d'œuvrier Total</t>
  </si>
  <si>
    <t xml:space="preserve">Coût Moyen de l'Heure = P/N </t>
  </si>
  <si>
    <t>Le prix H.T Rendus chantier des matériaux Aprovisionnées</t>
  </si>
  <si>
    <t xml:space="preserve">Materiel </t>
  </si>
  <si>
    <t>Prix Usine+transport</t>
  </si>
  <si>
    <t>Prix Manutension</t>
  </si>
  <si>
    <t>PRIX TOTAL</t>
  </si>
  <si>
    <t>Ciment CPJ45</t>
  </si>
  <si>
    <t>T</t>
  </si>
  <si>
    <t>Ciment CPJ35</t>
  </si>
  <si>
    <t>Sable 0,01</t>
  </si>
  <si>
    <t>m³</t>
  </si>
  <si>
    <t>Touvenant</t>
  </si>
  <si>
    <t>Gravier</t>
  </si>
  <si>
    <t>Blocs US 40</t>
  </si>
  <si>
    <t>Bois de coffrage</t>
  </si>
  <si>
    <t>Moellon</t>
  </si>
  <si>
    <t xml:space="preserve">fer béton </t>
  </si>
  <si>
    <t>m3</t>
  </si>
  <si>
    <t>polyane</t>
  </si>
  <si>
    <t>Polyane</t>
  </si>
  <si>
    <t>semelle</t>
  </si>
  <si>
    <t>Blocs 10</t>
  </si>
  <si>
    <t>hydrofuge</t>
  </si>
  <si>
    <t>peinture retiplass</t>
  </si>
  <si>
    <t>peinture prim</t>
  </si>
  <si>
    <t>peinture huisser</t>
  </si>
  <si>
    <t>ml</t>
  </si>
  <si>
    <t>peinture acrily.</t>
  </si>
  <si>
    <t xml:space="preserve">Fils </t>
  </si>
  <si>
    <t>u</t>
  </si>
  <si>
    <t>etancheité lourde</t>
  </si>
  <si>
    <t>kg</t>
  </si>
  <si>
    <t>Pointes Acier</t>
  </si>
  <si>
    <t>Polystyrène 4 cm</t>
  </si>
  <si>
    <t>m²</t>
  </si>
  <si>
    <t>caisson</t>
  </si>
  <si>
    <t>faîtage</t>
  </si>
  <si>
    <t>arretier</t>
  </si>
  <si>
    <t>solin</t>
  </si>
  <si>
    <t>sous arretier</t>
  </si>
  <si>
    <t>L</t>
  </si>
  <si>
    <t>visse tole Complet</t>
  </si>
  <si>
    <t>cheneaux G</t>
  </si>
  <si>
    <t>Quote part coffrage</t>
  </si>
  <si>
    <t>Rendement x Prix en m² / N</t>
  </si>
  <si>
    <t>cheneaux T</t>
  </si>
  <si>
    <t>rive tole</t>
  </si>
  <si>
    <t>carrelage</t>
  </si>
  <si>
    <t>failliance</t>
  </si>
  <si>
    <t>ciment cole</t>
  </si>
  <si>
    <t>BA13</t>
  </si>
  <si>
    <t>consomable</t>
  </si>
  <si>
    <t>DESIGNATION</t>
  </si>
  <si>
    <t>TU</t>
  </si>
  <si>
    <t>type materiel</t>
  </si>
  <si>
    <t>Décapage à l'engins (Chargeuse 300m³/j)</t>
  </si>
  <si>
    <t>0,01 h/m²</t>
  </si>
  <si>
    <t>Fouille en trous ou en tranchés ( tracto-pelle)</t>
  </si>
  <si>
    <t>0,08 h/m³</t>
  </si>
  <si>
    <t>JCB</t>
  </si>
  <si>
    <t>M.O pour Evacuation au remblaiment</t>
  </si>
  <si>
    <t>1,00 h/m³</t>
  </si>
  <si>
    <t>Fabbrication des béton à la bétonnière</t>
  </si>
  <si>
    <t>2,00 h/m³</t>
  </si>
  <si>
    <t xml:space="preserve">Mise en œuvre de béton </t>
  </si>
  <si>
    <t xml:space="preserve">2,50 h/m³ </t>
  </si>
  <si>
    <t>M.O de coffrage et décoffrage</t>
  </si>
  <si>
    <t>3,50 h/m³</t>
  </si>
  <si>
    <t>M.O de coffrage et décoffrage pour dalle en Hourdis</t>
  </si>
  <si>
    <t>1,50 h/m²</t>
  </si>
  <si>
    <t xml:space="preserve">Acier </t>
  </si>
  <si>
    <t>0,21 h/Kg</t>
  </si>
  <si>
    <t xml:space="preserve">Maçonnerie en moellon      </t>
  </si>
  <si>
    <t>3,25 h/m³</t>
  </si>
  <si>
    <t>Regard de dim 40 × 40 cm</t>
  </si>
  <si>
    <t>4,50 h/U</t>
  </si>
  <si>
    <t>M.O de linteaux et appuis</t>
  </si>
  <si>
    <t>1,25 h/m³</t>
  </si>
  <si>
    <t xml:space="preserve">M.O de Maçonnerie    </t>
  </si>
  <si>
    <t>1,15 h/m²</t>
  </si>
  <si>
    <t xml:space="preserve">M.O de fabrication Mortier </t>
  </si>
  <si>
    <t xml:space="preserve">1,50 h/m² </t>
  </si>
  <si>
    <t>M.O d'enduit taloché extérieur</t>
  </si>
  <si>
    <t>1,35 h/m²</t>
  </si>
  <si>
    <t xml:space="preserve">M.O d'enduit taloché intérieur  </t>
  </si>
  <si>
    <t>1,25 h/m²</t>
  </si>
  <si>
    <t>Ressources</t>
  </si>
  <si>
    <t>Quantité</t>
  </si>
  <si>
    <t>Prix unitaire</t>
  </si>
  <si>
    <t>Prix fabrication</t>
  </si>
  <si>
    <t xml:space="preserve">MO </t>
  </si>
  <si>
    <t>Ciment 4.5</t>
  </si>
  <si>
    <t>grav 0.30</t>
  </si>
  <si>
    <t>M3</t>
  </si>
  <si>
    <t>divers consomable</t>
  </si>
  <si>
    <t>ens</t>
  </si>
  <si>
    <t>total</t>
  </si>
  <si>
    <t>Sable 0.01</t>
  </si>
  <si>
    <t>INSTALATION DE CHANTIER</t>
  </si>
  <si>
    <t>Forfaitaire</t>
  </si>
  <si>
    <t>Prix unitaire Sec</t>
  </si>
  <si>
    <t>ETUDE DE PRIX   (SOUS DETAIL)</t>
  </si>
  <si>
    <t>Total (DH)</t>
  </si>
  <si>
    <t>Unité étudiée M2</t>
  </si>
  <si>
    <t>Bois</t>
  </si>
  <si>
    <t>Tole</t>
  </si>
  <si>
    <t>Pointe Acier</t>
  </si>
  <si>
    <t>03.00</t>
  </si>
  <si>
    <t>Implantation d'un pavillon de 6 axes</t>
  </si>
  <si>
    <t>Unité étudiée M3</t>
  </si>
  <si>
    <t>Fils</t>
  </si>
  <si>
    <t>Tracto - pelle</t>
  </si>
  <si>
    <t>H/m³</t>
  </si>
  <si>
    <t xml:space="preserve">FONDATION </t>
  </si>
  <si>
    <t>04.00</t>
  </si>
  <si>
    <t>Terrassement mécanique ,sans BRH, fouille en rigole, terre enlevéé sans cout de décharge, avec régalage</t>
  </si>
  <si>
    <t>Matériel</t>
  </si>
  <si>
    <t>Béton n° 1</t>
  </si>
  <si>
    <t xml:space="preserve">DALLE </t>
  </si>
  <si>
    <t>SUPERSTRUCTURE RDC</t>
  </si>
  <si>
    <t>PLANCHER / ETAGE</t>
  </si>
  <si>
    <t xml:space="preserve">Prix N° : </t>
  </si>
  <si>
    <t>Unité étudiée  M3</t>
  </si>
  <si>
    <t xml:space="preserve">30.2 Plancher dalle pleines confectionnées a partir de prédalle préfabriquées béton en oeuvre </t>
  </si>
  <si>
    <t>Tout venant</t>
  </si>
  <si>
    <t xml:space="preserve">Main d'œuvre  </t>
  </si>
  <si>
    <t>CHARPENTE COUVERTURE</t>
  </si>
  <si>
    <t>Béton n° 2</t>
  </si>
  <si>
    <t>Cheneaux en métal galvanisée</t>
  </si>
  <si>
    <t>Faitage pour tôle ondulée avec étanchéité</t>
  </si>
  <si>
    <t>Kg</t>
  </si>
  <si>
    <t>BETON ARMEE</t>
  </si>
  <si>
    <t>Unité étudiée ML</t>
  </si>
  <si>
    <t>CARRELAGE</t>
  </si>
  <si>
    <t>PEINTURE</t>
  </si>
  <si>
    <t>peinture mur exterieur plastifier</t>
  </si>
  <si>
    <t xml:space="preserve">peinture plafond </t>
  </si>
  <si>
    <t>peinture interieur</t>
  </si>
  <si>
    <t>peinture porte et huisserie</t>
  </si>
  <si>
    <t>FAUX PLAFOND ETAGE</t>
  </si>
  <si>
    <t>faux plafond interieur en plaque de platre ba13 hydro avec bande de joint 2 couches /M²</t>
  </si>
  <si>
    <t>Mise en œuvre de béton</t>
  </si>
  <si>
    <t>Quote part Materiel</t>
  </si>
  <si>
    <t>Quote part coffrage 0,06/2 M3/M2</t>
  </si>
  <si>
    <t>Main d'œuvre de coff et décoff</t>
  </si>
  <si>
    <t>Pointe</t>
  </si>
  <si>
    <t>polystérène de 4 cm</t>
  </si>
  <si>
    <t>Unité étudiée U</t>
  </si>
  <si>
    <t>Béton n° 3</t>
  </si>
  <si>
    <t>Grille Métallique</t>
  </si>
  <si>
    <t>Hourdis 15+5 y/c poutrelle</t>
  </si>
  <si>
    <t>Treillis soudés</t>
  </si>
  <si>
    <t>Pose trellis soudé</t>
  </si>
  <si>
    <t>Pose des hourdis et poutrelle</t>
  </si>
  <si>
    <t>Main d'œuvre de béton</t>
  </si>
  <si>
    <t>Polystyréne pour coffrage de joints de 4cm</t>
  </si>
  <si>
    <t>Unité étudiée M²</t>
  </si>
  <si>
    <t>107 - ENDUITS</t>
  </si>
  <si>
    <t>Mortier n° 2A (Corps d'enduit)</t>
  </si>
  <si>
    <t>M,O d'installation d'Echaffaudage</t>
  </si>
  <si>
    <t xml:space="preserve"> (Pht)</t>
  </si>
  <si>
    <t xml:space="preserve">Coefficient frais généraux </t>
  </si>
  <si>
    <t>aléas</t>
  </si>
  <si>
    <t>frais de fonctionnent</t>
  </si>
  <si>
    <t>materiaux / transport</t>
  </si>
  <si>
    <t>materiel de location</t>
  </si>
  <si>
    <t>augmentation</t>
  </si>
  <si>
    <t>P.Location</t>
  </si>
  <si>
    <t>Prix.Chant</t>
  </si>
  <si>
    <t>7/Palette</t>
  </si>
  <si>
    <t>Roulot</t>
  </si>
  <si>
    <t>0,06 x 1563,00/2</t>
  </si>
  <si>
    <t>Phts/m3</t>
  </si>
  <si>
    <t>avec Rendement =
et N : nombre d'années = 2</t>
  </si>
  <si>
    <t>semmelle filante en béton armé dosé en C 25 coulée à la main dosé 350kg de 25 H X 45 L /M3</t>
  </si>
  <si>
    <t>06.00</t>
  </si>
  <si>
    <t>béton 1 ( dosé 400kg)</t>
  </si>
  <si>
    <t>béton 2 (dosé 350 kg)</t>
  </si>
  <si>
    <t>béton 3 (dosé 250 kg)</t>
  </si>
  <si>
    <t>mortier 1  (dosé 400 kg)</t>
  </si>
  <si>
    <t>mortier 2  (joint etanche)</t>
  </si>
  <si>
    <t>Béton 1 (dosé a 400kg)</t>
  </si>
  <si>
    <t>Béton 2 (dosé a 350kg)</t>
  </si>
  <si>
    <t>Béton 3 (dosé a 250kg)</t>
  </si>
  <si>
    <t>Mortier 1 (400kg)</t>
  </si>
  <si>
    <t>Mortier 2 (avec hydofuge)</t>
  </si>
  <si>
    <t>treilli dalle</t>
  </si>
  <si>
    <t>05.00</t>
  </si>
  <si>
    <t>Quote part coffrage 0,06/6 M3/M2</t>
  </si>
  <si>
    <t>06.01</t>
  </si>
  <si>
    <t>Mur blocs usf de soubasment remplit de béton armé dosé à 300kg /M²</t>
  </si>
  <si>
    <t>Blocs US 20/40</t>
  </si>
  <si>
    <t>Fer béton HA12</t>
  </si>
  <si>
    <t>Mortier n°1</t>
  </si>
  <si>
    <t>08.30</t>
  </si>
  <si>
    <t>fils</t>
  </si>
  <si>
    <t>montage bloc</t>
  </si>
  <si>
    <t>Etanchéité de soubassement enterré avec ragréage du soubassement puis passage d'un produit étanche /M²</t>
  </si>
  <si>
    <t>12.00</t>
  </si>
  <si>
    <t>ragréage</t>
  </si>
  <si>
    <t>Etancheité bitumeux</t>
  </si>
  <si>
    <t>Ragréage</t>
  </si>
  <si>
    <t xml:space="preserve"> Comblage hérissonnage sous dallage, damé avec matériel adéquat par couche de 0,20 /M²</t>
  </si>
  <si>
    <t>14.00</t>
  </si>
  <si>
    <t>Dallage béton armé épaisseur 0,12 dosé en C 25 ou 350kg, armé d'un treillis soudé ST 25 C et d'un polyane</t>
  </si>
  <si>
    <t>16.00</t>
  </si>
  <si>
    <t>Acier treilli</t>
  </si>
  <si>
    <t>4,8x2,4</t>
  </si>
  <si>
    <t>Coupure capillaire 1er joint en mortier hydrofuge dosé à 450kg /ML</t>
  </si>
  <si>
    <t>17.00</t>
  </si>
  <si>
    <t>mortier n° 2</t>
  </si>
  <si>
    <t>Mur élévation en blocs américain USF 20x20x40 posé à bain de mortier dosé à 400kg avec du sable 0/1 compris</t>
  </si>
  <si>
    <t>18.60</t>
  </si>
  <si>
    <t>Mur cloison en blocs américain USF 10x20x40 posé à bain de mortier dosé à 400kg avec du sable 0/1 compris</t>
  </si>
  <si>
    <t>37.30</t>
  </si>
  <si>
    <t>Blocs US 10/40</t>
  </si>
  <si>
    <t xml:space="preserve">Poteau béton  coulée à la main dosé 350kg  </t>
  </si>
  <si>
    <t>chainage</t>
  </si>
  <si>
    <t>poûtre</t>
  </si>
  <si>
    <t>05.01</t>
  </si>
  <si>
    <t>4m</t>
  </si>
  <si>
    <t>Poutre 10/25</t>
  </si>
  <si>
    <t xml:space="preserve">Unité étudiée M³ </t>
  </si>
  <si>
    <t>Unité étudiée M³</t>
  </si>
  <si>
    <t>05.02</t>
  </si>
  <si>
    <t>6m</t>
  </si>
  <si>
    <t>Réservation des ventilations 10/10</t>
  </si>
  <si>
    <t>Unité étudiée  U</t>
  </si>
  <si>
    <t>19.00</t>
  </si>
  <si>
    <t>F</t>
  </si>
  <si>
    <t xml:space="preserve"> Plancher poutrelle béton précontraint et hourdis entrevous béton ep 12+7 béton dosé C 25 /M²</t>
  </si>
  <si>
    <t>30.10</t>
  </si>
  <si>
    <t>Unité étudiée  M²</t>
  </si>
  <si>
    <t>05.10</t>
  </si>
  <si>
    <t>Fondation</t>
  </si>
  <si>
    <t>Adresse</t>
  </si>
  <si>
    <t xml:space="preserve">                                           </t>
  </si>
  <si>
    <t xml:space="preserve">  Signature entrepreneur</t>
  </si>
  <si>
    <t>Arrêté le présent devis à la somme de :</t>
  </si>
  <si>
    <t>TOTAL T.T.C</t>
  </si>
  <si>
    <t xml:space="preserve">Dalle de compression </t>
  </si>
  <si>
    <t xml:space="preserve">Signature client           </t>
  </si>
  <si>
    <t>Instalation de chantier barraquement , sans cloture</t>
  </si>
  <si>
    <t>Mise en œuvre d'un polyane sur l'emprise fondation, dallage /m²</t>
  </si>
  <si>
    <t>Semmelle isolée en béton armé dosé en C 25 coulée à la main dosé 350kg  60/60</t>
  </si>
  <si>
    <t>Béton de propreté pour fondation dosé 250kg</t>
  </si>
  <si>
    <t xml:space="preserve">Poutre béton  coulée à la main dosé 400kg  </t>
  </si>
  <si>
    <t>Chainage béton  coulée à la main dosé 350kg périphérique courronnement sur mur rehausse coffrage bois 0,2X0,2 /ML chainage ranpant idem</t>
  </si>
  <si>
    <t>appui fenêtre préfa</t>
  </si>
  <si>
    <t>50m x 5</t>
  </si>
  <si>
    <t>0,45h/m²</t>
  </si>
  <si>
    <t>M.O charpente couverture</t>
  </si>
  <si>
    <t>Charpente ferme métal IPE  au ml</t>
  </si>
  <si>
    <t>f</t>
  </si>
  <si>
    <t>Conso</t>
  </si>
  <si>
    <t>Location Materiel</t>
  </si>
  <si>
    <t>Tracto JCB</t>
  </si>
  <si>
    <t>BRH</t>
  </si>
  <si>
    <t>Echafaudage</t>
  </si>
  <si>
    <t>manitou</t>
  </si>
  <si>
    <t>pompe</t>
  </si>
  <si>
    <t>Camion</t>
  </si>
  <si>
    <t>Unité étudiée  Ml</t>
  </si>
  <si>
    <t>Charpente métal panne C 100   2,5 /ML</t>
  </si>
  <si>
    <t>Panne C 100</t>
  </si>
  <si>
    <t>IPE 100</t>
  </si>
  <si>
    <t>fer et profil</t>
  </si>
  <si>
    <t xml:space="preserve">panne C 100 </t>
  </si>
  <si>
    <t>Tôle Ondulée 75/100 pré-laquée</t>
  </si>
  <si>
    <t>Tôle ondulée</t>
  </si>
  <si>
    <t>7,5kg/m² util</t>
  </si>
  <si>
    <t>Vice tole</t>
  </si>
  <si>
    <t xml:space="preserve">fournisseur </t>
  </si>
  <si>
    <t>caracteristique produits</t>
  </si>
  <si>
    <t>unité vente</t>
  </si>
  <si>
    <t>1 sac</t>
  </si>
  <si>
    <t>palette</t>
  </si>
  <si>
    <t>kg/ml</t>
  </si>
  <si>
    <t>bar 6m</t>
  </si>
  <si>
    <t>camion</t>
  </si>
  <si>
    <t>kg/m²</t>
  </si>
  <si>
    <t>sac 25 kg</t>
  </si>
  <si>
    <t>bac 25kg</t>
  </si>
  <si>
    <t>Poids(ou)Qt</t>
  </si>
  <si>
    <t>prix S_coef</t>
  </si>
  <si>
    <t>prix + coef</t>
  </si>
  <si>
    <t>designation</t>
  </si>
  <si>
    <t>ref</t>
  </si>
  <si>
    <t>unité</t>
  </si>
  <si>
    <t>Prix S_coef</t>
  </si>
  <si>
    <t>Prix + Coef</t>
  </si>
  <si>
    <t xml:space="preserve">Le prix H.T Rendus chantier </t>
  </si>
  <si>
    <t>2x30x12x18</t>
  </si>
  <si>
    <t>Compacteur</t>
  </si>
  <si>
    <t>bétonnière</t>
  </si>
  <si>
    <t>prix</t>
  </si>
  <si>
    <t>j</t>
  </si>
  <si>
    <t>h</t>
  </si>
  <si>
    <t>Les  prix  des locations</t>
  </si>
  <si>
    <t>top cot</t>
  </si>
  <si>
    <t>Grille de ventilation</t>
  </si>
  <si>
    <t>Ø 100</t>
  </si>
  <si>
    <t xml:space="preserve">Prime Coresp àà une heure = 5%  </t>
  </si>
  <si>
    <t>5kg</t>
  </si>
  <si>
    <t>Fil  recuit</t>
  </si>
  <si>
    <t>sachet 100</t>
  </si>
  <si>
    <t>1,20m L</t>
  </si>
  <si>
    <t>40 x 40</t>
  </si>
  <si>
    <t>25 x 40</t>
  </si>
  <si>
    <t>260 x 120</t>
  </si>
  <si>
    <t xml:space="preserve">enduit </t>
  </si>
  <si>
    <t>rouleau</t>
  </si>
  <si>
    <t>topcot</t>
  </si>
  <si>
    <t>bande renfort etan</t>
  </si>
  <si>
    <t>bande renfort plac</t>
  </si>
  <si>
    <t>roule 150m</t>
  </si>
  <si>
    <t>Plancher hourdis 20+0</t>
  </si>
  <si>
    <t>ml/m²</t>
  </si>
  <si>
    <t>raille placo</t>
  </si>
  <si>
    <t>Montan placo</t>
  </si>
  <si>
    <t>2,6m</t>
  </si>
  <si>
    <t xml:space="preserve">3m </t>
  </si>
  <si>
    <t xml:space="preserve">25x25 </t>
  </si>
  <si>
    <t xml:space="preserve">10x25 </t>
  </si>
  <si>
    <t>20x20x10x25(l)</t>
  </si>
  <si>
    <t>2x12x15x2 (l)</t>
  </si>
  <si>
    <t>bac 25kg 16l (8m²/l)/2</t>
  </si>
  <si>
    <t>bac 25kg (0,15l/m²)</t>
  </si>
  <si>
    <t>bac 25kg(1,4k/m²)</t>
  </si>
  <si>
    <t>sac 25kg (2,4/m²)</t>
  </si>
  <si>
    <t>sac 25kg 0,5k/m²</t>
  </si>
  <si>
    <t>l/m3</t>
  </si>
  <si>
    <t>Hydrofuge</t>
  </si>
  <si>
    <t>2% / ciment (5l)</t>
  </si>
  <si>
    <t xml:space="preserve">Caisson de rive </t>
  </si>
  <si>
    <t>Caisson sous-rive pré-laquée</t>
  </si>
  <si>
    <t>Cheneaux Tôle pré-laquée</t>
  </si>
  <si>
    <t>Tôle pré-laquée</t>
  </si>
  <si>
    <t>Arrêtier pour tôle ondulée avec étanchéité</t>
  </si>
  <si>
    <t>sous Arrêtier</t>
  </si>
  <si>
    <t>Arrêtier Tôle pré-laquée</t>
  </si>
  <si>
    <t>Façon de noue avec étanchéité</t>
  </si>
  <si>
    <t>Appui de fenêtre béton préfa posé à bain de mortier  /ML</t>
  </si>
  <si>
    <t>appui fenêtre</t>
  </si>
  <si>
    <t>Unité étudiée Ml</t>
  </si>
  <si>
    <t xml:space="preserve">Escalier béton armé marche balancer </t>
  </si>
  <si>
    <t>MORTIER Jointage  cim blanc</t>
  </si>
  <si>
    <t>Main d'œuvre FORM</t>
  </si>
  <si>
    <t>carreaux standard (20e)</t>
  </si>
  <si>
    <t>Sable 0,5 (CHARPE)</t>
  </si>
  <si>
    <t>Ciments</t>
  </si>
  <si>
    <t xml:space="preserve">JOINTS </t>
  </si>
  <si>
    <t>faillance</t>
  </si>
  <si>
    <t>Consomable</t>
  </si>
  <si>
    <t>Etanchéïté dalle et salle de bains</t>
  </si>
  <si>
    <t>etancheité primaire</t>
  </si>
  <si>
    <t>bac 25kg (8m²/kg)</t>
  </si>
  <si>
    <t>Sable 0,6</t>
  </si>
  <si>
    <t>Pose Carrelage avec pleinte escalier y compris sans fourniture carrelage</t>
  </si>
  <si>
    <t>50m x 20cm(5m/m²)</t>
  </si>
  <si>
    <t>sable cylice</t>
  </si>
  <si>
    <t>m²/kg</t>
  </si>
  <si>
    <t>25kg</t>
  </si>
  <si>
    <t>bac 25kg 25m²</t>
  </si>
  <si>
    <t>0,5kg/ml 25kg</t>
  </si>
  <si>
    <t xml:space="preserve">02.00                    </t>
  </si>
  <si>
    <t>4g/u</t>
  </si>
  <si>
    <t>1,2x1</t>
  </si>
  <si>
    <t>DIVERS</t>
  </si>
  <si>
    <t>1,30H/M²</t>
  </si>
  <si>
    <t>MO plancher hourdis</t>
  </si>
  <si>
    <t>MO Plancher plein</t>
  </si>
  <si>
    <t>1,20h/m²</t>
  </si>
  <si>
    <t>S O M M A I R E</t>
  </si>
  <si>
    <t>Chapitre</t>
  </si>
  <si>
    <t>Page 1</t>
  </si>
  <si>
    <t>T E M P S U N I T A I R E S D E M A I N D ’ O E U V R E</t>
  </si>
  <si>
    <t>CHAPITRE 1</t>
  </si>
  <si>
    <t>- INSTALLATION DE CHANTIER -</t>
  </si>
  <si>
    <t>PARTICULARITE</t>
  </si>
  <si>
    <t>UNITE</t>
  </si>
  <si>
    <t>T.U.</t>
  </si>
  <si>
    <t>IMPLANTATION</t>
  </si>
  <si>
    <t>point</t>
  </si>
  <si>
    <t>IMPLANTATION PIEU</t>
  </si>
  <si>
    <t>FABRICATION DE BETON</t>
  </si>
  <si>
    <t>CONDITIONNEMENT DE...</t>
  </si>
  <si>
    <t>Banches</t>
  </si>
  <si>
    <t>Sapines</t>
  </si>
  <si>
    <t>Métriform, Millsdall...</t>
  </si>
  <si>
    <t>Tables coffrantes</t>
  </si>
  <si>
    <t>Consoles pignons</t>
  </si>
  <si>
    <t>BARAQUEMENTS</t>
  </si>
  <si>
    <t>Passage couvert (au m² couvert)</t>
  </si>
  <si>
    <t>Vestiaire - réfectoire</t>
  </si>
  <si>
    <t>Vestiaire – réfectoire (roulotte)</t>
  </si>
  <si>
    <t>Mobilier</t>
  </si>
  <si>
    <t>Sanitaire</t>
  </si>
  <si>
    <t>Dortoir</t>
  </si>
  <si>
    <t>Bureau</t>
  </si>
  <si>
    <t>Superposition bungalows (plus-value)</t>
  </si>
  <si>
    <t>Magasin – atelier (container)</t>
  </si>
  <si>
    <t>RESEAU D'EAU</t>
  </si>
  <si>
    <t>Alimentation</t>
  </si>
  <si>
    <t>Distribution aux étages</t>
  </si>
  <si>
    <t>Niveau</t>
  </si>
  <si>
    <t>Regard</t>
  </si>
  <si>
    <t>Evacuation E.U.</t>
  </si>
  <si>
    <t>Fosse septique</t>
  </si>
  <si>
    <t>Puisard</t>
  </si>
  <si>
    <t>RESEAU ELECTRICITE</t>
  </si>
  <si>
    <t>Cabine SEREM (transfo)</t>
  </si>
  <si>
    <t>Branchement</t>
  </si>
  <si>
    <t>Armoire électrique</t>
  </si>
  <si>
    <t>Groupe électrogène</t>
  </si>
  <si>
    <t>Ligne aérienne</t>
  </si>
  <si>
    <t>Ligne enterrée</t>
  </si>
  <si>
    <t>Page 2</t>
  </si>
  <si>
    <t>RESEAU TELEPHONE</t>
  </si>
  <si>
    <t>􀂃</t>
  </si>
  <si>
    <t>Ligne</t>
  </si>
  <si>
    <t>POSTE DE CARBURANT</t>
  </si>
  <si>
    <t>Enterré</t>
  </si>
  <si>
    <t>VOIES D’ACCES</t>
  </si>
  <si>
    <t>Aménagement</t>
  </si>
  <si>
    <t>Escalier</t>
  </si>
  <si>
    <t>niveau</t>
  </si>
  <si>
    <t>Entretien voies d’accès</t>
  </si>
  <si>
    <t>mois</t>
  </si>
  <si>
    <t>Clôtures</t>
  </si>
  <si>
    <t>Palissade</t>
  </si>
  <si>
    <t>Panneau de chantier</t>
  </si>
  <si>
    <t>GRUES</t>
  </si>
  <si>
    <t>Voie bétonnée</t>
  </si>
  <si>
    <t>Voie sur longrines</t>
  </si>
  <si>
    <t>Voie sur pieux</t>
  </si>
  <si>
    <t>Montage grue ≤ 120 T.m</t>
  </si>
  <si>
    <t>Montage grue &gt; 120 T.m</t>
  </si>
  <si>
    <t>Surélévation grue</t>
  </si>
  <si>
    <t>élément</t>
  </si>
  <si>
    <t>Ancrage au bâtiment</t>
  </si>
  <si>
    <t>Massif ancrage pied de grue</t>
  </si>
  <si>
    <t>Lest</t>
  </si>
  <si>
    <t>tonne</t>
  </si>
  <si>
    <t>CENTRALE A BETON</t>
  </si>
  <si>
    <t>Capacité 1000 l</t>
  </si>
  <si>
    <t>Capacité 500 l</t>
  </si>
  <si>
    <t>Silo à ciment</t>
  </si>
  <si>
    <t>Silo à mortier sec</t>
  </si>
  <si>
    <t>Chauffage des granulats</t>
  </si>
  <si>
    <t>AIRES DE TRAVAIL</t>
  </si>
  <si>
    <t>Préfabrication</t>
  </si>
  <si>
    <t>Stockage</t>
  </si>
  <si>
    <t>Ferraillage</t>
  </si>
  <si>
    <t>Aire de lavage 50 m² environ</t>
  </si>
  <si>
    <t>GOULOTTE A GRAVOIS</t>
  </si>
  <si>
    <t>Page 3</t>
  </si>
  <si>
    <t>CHAPITRE 2</t>
  </si>
  <si>
    <t>- DEMOLITIONS -</t>
  </si>
  <si>
    <t>MACONNERIE</t>
  </si>
  <si>
    <t>BETON NON ARME</t>
  </si>
  <si>
    <t>BETON ARME</t>
  </si>
  <si>
    <t>RECEPAGE DE TETES DE PIEUX</t>
  </si>
  <si>
    <t>φ ≤ 0,60 m</t>
  </si>
  <si>
    <t>0,60 &lt; φ &lt; 0,90 m</t>
  </si>
  <si>
    <t>φ ≥ 0,60 m</t>
  </si>
  <si>
    <t>RECEPAGE DE PAROI MOULEE</t>
  </si>
  <si>
    <t>Epaisseur ≤ 0,50 m</t>
  </si>
  <si>
    <t>Epaisseur &gt; 0,50 m</t>
  </si>
  <si>
    <t>DEPLIAGE DE FERS EN ATTENTE</t>
  </si>
  <si>
    <t>Paroi moulée</t>
  </si>
  <si>
    <t>Paroi berlinoise</t>
  </si>
  <si>
    <t>CHAPITRE 3</t>
  </si>
  <si>
    <t>- TERRASSEMENTS -</t>
  </si>
  <si>
    <t>FOUILLE EN RIGOLE</t>
  </si>
  <si>
    <t>A la main</t>
  </si>
  <si>
    <t>REMBLAI</t>
  </si>
  <si>
    <t>REGLAGE FOND DE FOUILLE</t>
  </si>
  <si>
    <t>FORME EN TOUT-VENANT</t>
  </si>
  <si>
    <t>Ou en sable</t>
  </si>
  <si>
    <t>TERRASSEMENT MECANIQUE</t>
  </si>
  <si>
    <t>Pleine fouille : 200 m3/jour</t>
  </si>
  <si>
    <t>Pleine fouille : 500 m3/jour</t>
  </si>
  <si>
    <t>Pleine fouille locale : 200 m3/jour</t>
  </si>
  <si>
    <t>Fouille en rigole : 100 m3/jour</t>
  </si>
  <si>
    <t>Page 4</t>
  </si>
  <si>
    <t>CHAPITRE 4</t>
  </si>
  <si>
    <t>- FONDATIONS -</t>
  </si>
  <si>
    <t>BETON DE PROPRETE</t>
  </si>
  <si>
    <t>Au m²</t>
  </si>
  <si>
    <t>GROS BETON</t>
  </si>
  <si>
    <t>Petite quantité</t>
  </si>
  <si>
    <t>Moyenne quantité</t>
  </si>
  <si>
    <t>Grande quantité</t>
  </si>
  <si>
    <t>COFFRAGE SEMELLES OU LONGRINES</t>
  </si>
  <si>
    <t>Coffrage bois</t>
  </si>
  <si>
    <t>Coffrage métallique</t>
  </si>
  <si>
    <t>BETON POUR SEMELLES OU LONGRINES</t>
  </si>
  <si>
    <t>COFFRAGE DE RADIER</t>
  </si>
  <si>
    <t>Coffrage bois (arrêt de coulage)</t>
  </si>
  <si>
    <t>Coffrage de reprise de radier</t>
  </si>
  <si>
    <t>BETON POUR RADIER</t>
  </si>
  <si>
    <t>Moyenne quantité (à la grue)</t>
  </si>
  <si>
    <t>Grande quantité (épais. 60 cm env.)</t>
  </si>
  <si>
    <t>COFFRAGE DE MUR</t>
  </si>
  <si>
    <t>BETON DE MUR</t>
  </si>
  <si>
    <t>COFFRAGE DE POTEAU</t>
  </si>
  <si>
    <t>BETON DE POTEAU</t>
  </si>
  <si>
    <t>POSE DE POLYANE</t>
  </si>
  <si>
    <t>DALLAGE (Tous compris)</t>
  </si>
  <si>
    <t>Petite surface</t>
  </si>
  <si>
    <t>(0,10 sablon + polyane + 0,12 béton + TS)</t>
  </si>
  <si>
    <t>Moyenne surface</t>
  </si>
  <si>
    <t>DALLAGE (décomposition des tâches)</t>
  </si>
  <si>
    <t>Forme en tout-venant épais. 0,10 m</t>
  </si>
  <si>
    <t>Forme en tout-venant épais. 0,15 m</t>
  </si>
  <si>
    <t>Isolation polystyrène</t>
  </si>
  <si>
    <t>Film polyane</t>
  </si>
  <si>
    <t>Treillis soudé (par nappe)</t>
  </si>
  <si>
    <t>Forme béton épais. 0,12 m</t>
  </si>
  <si>
    <t>Forme béton épais. 0,15 m</t>
  </si>
  <si>
    <t>Surfaçage à l’hélicoptère</t>
  </si>
  <si>
    <t>Joint d’isolement périphérique polystyr</t>
  </si>
  <si>
    <t>Joint de retrait scié</t>
  </si>
  <si>
    <t>Joint de construction « plastirègle »</t>
  </si>
  <si>
    <t>CHAPE RAPPORTEE</t>
  </si>
  <si>
    <t>Chape ciment épaisseur 0,03</t>
  </si>
  <si>
    <t>Page 5</t>
  </si>
  <si>
    <t>CHAPITRE 5</t>
  </si>
  <si>
    <t>- CANALISATIONS -</t>
  </si>
  <si>
    <t>POSE DE TUYAUX</t>
  </si>
  <si>
    <t>POSE DE DRAINS PVC</t>
  </si>
  <si>
    <t>POSE DE SIPHONS</t>
  </si>
  <si>
    <t>EXECUTION DE REGARD</t>
  </si>
  <si>
    <t>Exécution traditionnelle, maçonnée</t>
  </si>
  <si>
    <t>Préfabriqué</t>
  </si>
  <si>
    <t>EXECUTION DE CANIVEAU</t>
  </si>
  <si>
    <t>Exécution traditionnelle</t>
  </si>
  <si>
    <t>CHAPITRE 6</t>
  </si>
  <si>
    <t>- INFRASTRUCTURE -</t>
  </si>
  <si>
    <t>Coffrage bois de petite section</t>
  </si>
  <si>
    <t>Coffrage bois de grande section</t>
  </si>
  <si>
    <t>Coffrage bois de grande hauteur</t>
  </si>
  <si>
    <t>Coffrage bois cylindrique traditionnel</t>
  </si>
  <si>
    <t>BETON POUR POTEAU</t>
  </si>
  <si>
    <t>Petite section</t>
  </si>
  <si>
    <t>Moyenne section</t>
  </si>
  <si>
    <t>Grande section</t>
  </si>
  <si>
    <t>COFFRAGE DE POUTRE</t>
  </si>
  <si>
    <t>Hauteur courante</t>
  </si>
  <si>
    <t>Grande hauteur</t>
  </si>
  <si>
    <t>BETON POUR POUTRE</t>
  </si>
  <si>
    <t>POSE DE POUTRE PREFA.</t>
  </si>
  <si>
    <t>Compris clavetage</t>
  </si>
  <si>
    <t>COFFRAGE DE MURS EN INFRA.</t>
  </si>
  <si>
    <t>Coffrage bois traditionnel</t>
  </si>
  <si>
    <t>Coffrage courbe traditionnel</t>
  </si>
  <si>
    <t>Contre terre</t>
  </si>
  <si>
    <t>Pignon</t>
  </si>
  <si>
    <t>BETON POUR MUR</t>
  </si>
  <si>
    <t>Epaisseur ≤ 0,30 m</t>
  </si>
  <si>
    <t>Epaisseur &gt; 0,30 m</t>
  </si>
  <si>
    <t>Page 6</t>
  </si>
  <si>
    <t>VOILE EN TRANCHEE BLINDEE</t>
  </si>
  <si>
    <t>Coffrage tradi (min. : 2,50h – max. 6h)</t>
  </si>
  <si>
    <t>Bétonnage (min. : 3h – max. 6h)</t>
  </si>
  <si>
    <t>Aciers coupés-façonnés</t>
  </si>
  <si>
    <t>POTEAU EN PUITS BLINDE</t>
  </si>
  <si>
    <t>Coffrage</t>
  </si>
  <si>
    <t>Bétonnage (min. : 4h – max. 8h)</t>
  </si>
  <si>
    <t>Aciers coupés-façonnés-assemblés</t>
  </si>
  <si>
    <t>PAROI MOULEE</t>
  </si>
  <si>
    <t>Démolition des murettes guides</t>
  </si>
  <si>
    <t>ml²</t>
  </si>
  <si>
    <t>Recépage paroi (sur 70 cm de haut)</t>
  </si>
  <si>
    <t>Nettoyage et dressement paroi</t>
  </si>
  <si>
    <t>Dégagement aciers en attente</t>
  </si>
  <si>
    <t>VOILE EN SOUS-OEUVRE</t>
  </si>
  <si>
    <t>Bétonnage (min. : 2,50h – max. 4h)</t>
  </si>
  <si>
    <t>PIEUX</t>
  </si>
  <si>
    <t>Recèpage tête de pieu</t>
  </si>
  <si>
    <t>Coffrage massif tête de pieu</t>
  </si>
  <si>
    <t>Béton pour massif</t>
  </si>
  <si>
    <t>Aciers CFA</t>
  </si>
  <si>
    <t>POSE DE POLYSTYRENE JOINT DILAT.</t>
  </si>
  <si>
    <t>REVETEMENT BITUMINEUX</t>
  </si>
  <si>
    <t>ENDUIT TRADI SUR MITOYEN</t>
  </si>
  <si>
    <t>Compris piochage du support</t>
  </si>
  <si>
    <t>POSE DE JOINT WATER-STOP</t>
  </si>
  <si>
    <t>COFFRAGE DE DALLE PLEINE EN INFRA.</t>
  </si>
  <si>
    <t>Table coffrante</t>
  </si>
  <si>
    <t>Poutrelles type « Doka »</t>
  </si>
  <si>
    <t>Avec sapines grande hauteur</t>
  </si>
  <si>
    <t>Coffrage modulaire hauteur normale</t>
  </si>
  <si>
    <t>Coffrage modulaire grande hauteur</t>
  </si>
  <si>
    <t>BETON POUR DALLE PLEINE</t>
  </si>
  <si>
    <t>POSE DE PREDALLES</t>
  </si>
  <si>
    <t>Compris étaiement</t>
  </si>
  <si>
    <t>POSE DE PLANCHER CORPS CREUX</t>
  </si>
  <si>
    <t>Pose, compris étaiement</t>
  </si>
  <si>
    <t>Pose de treillis soudé</t>
  </si>
  <si>
    <t>0.08</t>
  </si>
  <si>
    <t>Béton complémentaire, cis surfaçage</t>
  </si>
  <si>
    <t>Pose, ferraillage, bétonnage tout compris</t>
  </si>
  <si>
    <t>COFFRAGE POUR OUVRAGE DIVERS</t>
  </si>
  <si>
    <t>Traditionnel</t>
  </si>
  <si>
    <t>Page 7</t>
  </si>
  <si>
    <t>CHAPITRE 7</t>
  </si>
  <si>
    <t>- SUPERSTRUCTURE -</t>
  </si>
  <si>
    <t>Coffrage tube carton perdu (Ecobat)</t>
  </si>
  <si>
    <t>Coffrage métallique (coffrage outil)</t>
  </si>
  <si>
    <t>Coffrage préfa de meneau ou potelet</t>
  </si>
  <si>
    <t>A l’unité</t>
  </si>
  <si>
    <t>Poutre coulée en place</t>
  </si>
  <si>
    <t>Préfa. en batterie (Type Plakabéton)</t>
  </si>
  <si>
    <t>BETON POUR CLAVETAGE POUTRE</t>
  </si>
  <si>
    <t>PREFABRICATION DE POUTRES</t>
  </si>
  <si>
    <t>COFFRAGE DE MURS EN SUPER.</t>
  </si>
  <si>
    <t>Banche métallique, cis mannequins</t>
  </si>
  <si>
    <t>Hauteur mur 2,70 m, longueur &lt; 2 m</t>
  </si>
  <si>
    <t>Longueur de 3 à 4 m</t>
  </si>
  <si>
    <t>Longueur de 5 à 6 m</t>
  </si>
  <si>
    <t>Longueur de 7 à 8 m</t>
  </si>
  <si>
    <t>Longueur de 9 à 10 m</t>
  </si>
  <si>
    <t>PV pose et dépose de consoles-pignons</t>
  </si>
  <si>
    <t>Coffrage banche courbe (outil)</t>
  </si>
  <si>
    <t>Coffrage par panneaux modulaires</t>
  </si>
  <si>
    <t>Contre mitoyen</t>
  </si>
  <si>
    <t>Page 8</t>
  </si>
  <si>
    <t>Epaisseur ≤ 0,20 m</t>
  </si>
  <si>
    <t>Epaisseur &gt; 0,20 et ≤ 0,30 m</t>
  </si>
  <si>
    <t>RESERVATIONS EN VOILES</t>
  </si>
  <si>
    <t>&lt; 8 dm²</t>
  </si>
  <si>
    <t>Mannequin de baie</t>
  </si>
  <si>
    <t>Feuillure ou engravure</t>
  </si>
  <si>
    <t>Incorporation (Stabox, rail Halfen…)</t>
  </si>
  <si>
    <t>COFFRAGE DE DALLE PLEINE EN SUPER.</t>
  </si>
  <si>
    <t>Etaiement + désétaiement tour-étais</t>
  </si>
  <si>
    <t>Etaiement + désétaiement traditionnel</t>
  </si>
  <si>
    <t>PREFABRICATION DE PREDALLES</t>
  </si>
  <si>
    <t>métallique</t>
  </si>
  <si>
    <t>BETON POUR OUVRAGE DIVERS</t>
  </si>
  <si>
    <t>COFFRAGE DE FACADE</t>
  </si>
  <si>
    <t>Avec ouvertures</t>
  </si>
  <si>
    <t>Sans ouverture</t>
  </si>
  <si>
    <t>Faible largeur</t>
  </si>
  <si>
    <t>Incliné</t>
  </si>
  <si>
    <t>BETON POUR MUR DE FACADE</t>
  </si>
  <si>
    <t>COFFRAGE D’ALLEGE</t>
  </si>
  <si>
    <t>Métallique</t>
  </si>
  <si>
    <t>BETON POUR ALLEGE</t>
  </si>
  <si>
    <t>POTELET OU MENEAU</t>
  </si>
  <si>
    <t>Armature</t>
  </si>
  <si>
    <t>Béton</t>
  </si>
  <si>
    <t>Page 9</t>
  </si>
  <si>
    <t>CHAPITRE 8</t>
  </si>
  <si>
    <t>- OUVRAGES EN TERRASSES -</t>
  </si>
  <si>
    <t>COFFRAGE D’ACROTERE</t>
  </si>
  <si>
    <t>Coffrage traditionnel</t>
  </si>
  <si>
    <t>Coffrage outil métallique</t>
  </si>
  <si>
    <t>BETON POUR ACROTERE</t>
  </si>
  <si>
    <t>POSE D’ACROTERE PREFA.</t>
  </si>
  <si>
    <t>EXECUTION D’UNE DALLE FLOTTANTE</t>
  </si>
  <si>
    <t>FACON D’ENGRAVURE POUR RELEVE</t>
  </si>
  <si>
    <t>RELEVE D’ETANCHEITE</t>
  </si>
  <si>
    <t>FORME DE PENTE</t>
  </si>
  <si>
    <t>SOLIN GRILLAGE</t>
  </si>
  <si>
    <t>POSE DE DALLETTES DE PROTECTION</t>
  </si>
  <si>
    <t>REALISATION EDICULE ASCENSEUR</t>
  </si>
  <si>
    <t>SOCLE EXTRACTEUR DE V.M.C.</t>
  </si>
  <si>
    <t>PLOT SUPPORT GAINE EXTRACTEUR</t>
  </si>
  <si>
    <t>MASSIF POUR CROSSE D’ANTENNE</t>
  </si>
  <si>
    <t>ASPIRATEUR STATIQUE</t>
  </si>
  <si>
    <t>COSTIERE</t>
  </si>
  <si>
    <t>DALLETTE DE COURONNEMENT</t>
  </si>
  <si>
    <t>SOUCHE</t>
  </si>
  <si>
    <t>En parpaing de 0,10 m</t>
  </si>
  <si>
    <t>En préfabriqué</t>
  </si>
  <si>
    <t>Page 10</t>
  </si>
  <si>
    <t>CHAPITRE 9</t>
  </si>
  <si>
    <t>- PREFABRICATION -</t>
  </si>
  <si>
    <t>PREFA. DE POUTRES</t>
  </si>
  <si>
    <t>Petite</t>
  </si>
  <si>
    <t>Grande</t>
  </si>
  <si>
    <t>POSE DE POUTRES PREFA.</t>
  </si>
  <si>
    <t>POSE DE REFEND PREFA.</t>
  </si>
  <si>
    <t>POSE D’APPUI NEOPRENE</t>
  </si>
  <si>
    <t>dm3</t>
  </si>
  <si>
    <t>PREFA. DE PREDALLES</t>
  </si>
  <si>
    <t>PREFA. DE PANNEAU DE FACADE</t>
  </si>
  <si>
    <t>POSE PANNEAU DE FACADE</t>
  </si>
  <si>
    <t>PREFA. D’ALLEGE</t>
  </si>
  <si>
    <t>POSE D’ALLEGE</t>
  </si>
  <si>
    <t>PREFA. DE GARDE-CORPS</t>
  </si>
  <si>
    <t>POSE DE GARDE-CORPS</t>
  </si>
  <si>
    <t>PREFA. DE TRUMEAUX</t>
  </si>
  <si>
    <t>POSE DE TRUMEAUX</t>
  </si>
  <si>
    <t>PREFA. APPUI DE BAIE</t>
  </si>
  <si>
    <t>POSE APPUI DE BAIE</t>
  </si>
  <si>
    <t>PREFA. DE BANDEAU</t>
  </si>
  <si>
    <t>POSE DE BANDEAU</t>
  </si>
  <si>
    <t>PREFA. D’ESCALIER</t>
  </si>
  <si>
    <t>Droit</t>
  </si>
  <si>
    <t>Hélicoïdal</t>
  </si>
  <si>
    <t>POSE D’ESCALIER</t>
  </si>
  <si>
    <t>Volée droite, hauteur d’étage</t>
  </si>
  <si>
    <t>2 demi-volées, non compris palier</t>
  </si>
  <si>
    <t>Ens</t>
  </si>
  <si>
    <t>Hélicoïdal, hauteur d’étage</t>
  </si>
  <si>
    <t>Hélicoïdal, marche par marche</t>
  </si>
  <si>
    <t>marche</t>
  </si>
  <si>
    <t>PREFA. D’ACROTERE</t>
  </si>
  <si>
    <t>POSE D’ACROTERE</t>
  </si>
  <si>
    <t>Page 11</t>
  </si>
  <si>
    <t>CHAPITRE 10</t>
  </si>
  <si>
    <t>- ARMATURES -</t>
  </si>
  <si>
    <t>COUPE, FACONNAGE, ASSEMBLAGE</t>
  </si>
  <si>
    <t>Aciers H.A.</t>
  </si>
  <si>
    <t>POSE DE TREILLIS SOUDE</t>
  </si>
  <si>
    <t>Rouleau &lt; 1 kg/m²</t>
  </si>
  <si>
    <t>Rouleau ≥ 1 kg/m²</t>
  </si>
  <si>
    <t>Panneau &lt; 2 kg/m²</t>
  </si>
  <si>
    <t>Panneau ≥ 2 kg/m²</t>
  </si>
  <si>
    <t>POSE DE PANNEAUX HA EN RADIER</t>
  </si>
  <si>
    <t>Diamètre moyen 8 mm</t>
  </si>
  <si>
    <t>Diamètre moyen 10 mm</t>
  </si>
  <si>
    <t>Diamètre moyen 12 mm</t>
  </si>
  <si>
    <t>Diamètre moyen 14 mm</t>
  </si>
  <si>
    <t>POSE DE PANNEAUX TS EN VOILE</t>
  </si>
  <si>
    <t>POSE D’ACIERS H.A.</t>
  </si>
  <si>
    <t>ASSEMBLAGE ET POSE D’ACIERS HA</t>
  </si>
  <si>
    <t>GRUTAGE D’ARMATURES CFA</t>
  </si>
  <si>
    <t>Temps unitaire de base pour ferraillage (h/tonne), en fonction du diamètre moyen</t>
  </si>
  <si>
    <t>Diamètre moyen</t>
  </si>
  <si>
    <t>φ 6</t>
  </si>
  <si>
    <t>φ 8</t>
  </si>
  <si>
    <t>φ 10</t>
  </si>
  <si>
    <t>φ 12</t>
  </si>
  <si>
    <t>φ 14</t>
  </si>
  <si>
    <t>φ 16</t>
  </si>
  <si>
    <t>Coupe</t>
  </si>
  <si>
    <t>Façonnage</t>
  </si>
  <si>
    <t>Assemblage</t>
  </si>
  <si>
    <t>Pose</t>
  </si>
  <si>
    <t>Total (h/tonne)</t>
  </si>
  <si>
    <t>Page 12</t>
  </si>
  <si>
    <t>CHAPITRE 11</t>
  </si>
  <si>
    <t>- RAGREAGES -</t>
  </si>
  <si>
    <t>MUR BANCHE</t>
  </si>
  <si>
    <t>En infrastructure</t>
  </si>
  <si>
    <t>En superstructure</t>
  </si>
  <si>
    <t>POTEAU</t>
  </si>
  <si>
    <t>POUTRE</t>
  </si>
  <si>
    <t>SOL</t>
  </si>
  <si>
    <t>En parking</t>
  </si>
  <si>
    <t>PLAFOND</t>
  </si>
  <si>
    <t>Après coffrage modulaire</t>
  </si>
  <si>
    <t>FACADE</t>
  </si>
  <si>
    <t>TABLEAUX ET VOUSSURES</t>
  </si>
  <si>
    <t>Page 13</t>
  </si>
  <si>
    <t>CHAPITRE 12</t>
  </si>
  <si>
    <t>- PARACHEVEMENTS -</t>
  </si>
  <si>
    <t>COFFRAGE OUVRAGES DIVERS</t>
  </si>
  <si>
    <t>BETON OUVRAGES DIVERS</t>
  </si>
  <si>
    <t>APPUIS DE BAIES</t>
  </si>
  <si>
    <t>Pose préfabriqué</t>
  </si>
  <si>
    <t>COFFRAGE DE BANDEAU SAILLANT</t>
  </si>
  <si>
    <t>BETON BANDEAU SAILLANT</t>
  </si>
  <si>
    <t>POSE DE BANDEAU SAILLANT</t>
  </si>
  <si>
    <t>TROTTOIR CHASSE-ROUE</t>
  </si>
  <si>
    <t>Coulé en place</t>
  </si>
  <si>
    <t>SEUIL, GLACIS</t>
  </si>
  <si>
    <t>COFFRAGE DE RAMPE</t>
  </si>
  <si>
    <t>Droite</t>
  </si>
  <si>
    <t>Hélicoïdale</t>
  </si>
  <si>
    <t>BETON POUR RAMPE</t>
  </si>
  <si>
    <t>COFFRAGE D’ESCALIER</t>
  </si>
  <si>
    <t>BETON POUR ESCALIER</t>
  </si>
  <si>
    <t>CONDUITS</t>
  </si>
  <si>
    <t>BAC A SABLE</t>
  </si>
  <si>
    <t>CUVETTE ASCENSEUR</t>
  </si>
  <si>
    <t>FOSSE DE RELEVAGE</t>
  </si>
  <si>
    <t>FOSSE DE DECANTATION</t>
  </si>
  <si>
    <t>AMENAGEMENT DE TRANSFO.</t>
  </si>
  <si>
    <t>COFFRAGE DIVER OUVRAGES EXTER.</t>
  </si>
  <si>
    <t>BETON OUVRAGES DIVERS EXTER.</t>
  </si>
  <si>
    <t>SAUT DE LOUP</t>
  </si>
  <si>
    <t>Page 14</t>
  </si>
  <si>
    <t>CHAPITRE 13</t>
  </si>
  <si>
    <t>- MACONNERIES -</t>
  </si>
  <si>
    <t>PARPAINGS CREUX</t>
  </si>
  <si>
    <t>Epaisseur 0,075</t>
  </si>
  <si>
    <t>Epaisseur 0,10</t>
  </si>
  <si>
    <t>Epaisseur 0,15</t>
  </si>
  <si>
    <t>Epaisseur 0,20</t>
  </si>
  <si>
    <t>Epaisseur 0,25</t>
  </si>
  <si>
    <t>PARPAINGS PLEINS</t>
  </si>
  <si>
    <t>Epaisseur 0,05</t>
  </si>
  <si>
    <t>BRIQUES CREUSES</t>
  </si>
  <si>
    <t>Epaisseur 0,08</t>
  </si>
  <si>
    <t>Epaisseur 0,225</t>
  </si>
  <si>
    <t>BRIQUES PLEINES</t>
  </si>
  <si>
    <t>Epaisseur mur : 0,11 m</t>
  </si>
  <si>
    <t>Epaisseur mur : 0,22 m</t>
  </si>
  <si>
    <t>REJOINTOIEMENT</t>
  </si>
  <si>
    <t>Sur maçonnerie de parpaings</t>
  </si>
  <si>
    <t>Sur briques de parement</t>
  </si>
  <si>
    <t>BRIQUES DE VERRE</t>
  </si>
  <si>
    <t>Type « Névada »</t>
  </si>
  <si>
    <t>BLOCS DE BETON CELLULAIRE</t>
  </si>
  <si>
    <t>Epaisseur 0,25 m</t>
  </si>
  <si>
    <t>LINTEAUX DANS MACONNERIES</t>
  </si>
  <si>
    <t>Réalisés avec blocs en U</t>
  </si>
  <si>
    <t>CHAINAGES VERTICAUX</t>
  </si>
  <si>
    <t>Coulés dans blocs à alvéoles</t>
  </si>
  <si>
    <t>CHAINAGES HORIZONTAUX</t>
  </si>
  <si>
    <t>Avec blocs en U (aciers 1,5 kg/ml)</t>
  </si>
  <si>
    <t>Avec planelles en rive de dalle</t>
  </si>
  <si>
    <t>CHAINAGES RAMPANTS</t>
  </si>
  <si>
    <t>Coffrés pour pignons (aciers 1 kg/ml)</t>
  </si>
  <si>
    <t>CHAPE D’ARASE ETANCHE</t>
  </si>
  <si>
    <t>Chape ciment hydrofuge (ép.0,03)</t>
  </si>
  <si>
    <t>Page 15</t>
  </si>
  <si>
    <t>CHAPITRE 14</t>
  </si>
  <si>
    <t>- REVETEMENTS -</t>
  </si>
  <si>
    <t>CARRELAGE GRES CERAME</t>
  </si>
  <si>
    <t>ENDUIT TRADITIONNEL EXTERIEUR</t>
  </si>
  <si>
    <t>Au mortier bâtard</t>
  </si>
  <si>
    <t>Au mortier de ciment</t>
  </si>
  <si>
    <t>Avec armature en grillage</t>
  </si>
  <si>
    <t>CHAPE</t>
  </si>
  <si>
    <t>Normale</t>
  </si>
  <si>
    <t>Antidérapante</t>
  </si>
  <si>
    <t>Lissée</t>
  </si>
  <si>
    <t>Striée ou bouchardée</t>
  </si>
  <si>
    <t>A chevrons (rampes parkings)</t>
  </si>
  <si>
    <t>Arase étanche dans maçonnerie</t>
  </si>
  <si>
    <t>ENDUITS INTERIEURS</t>
  </si>
  <si>
    <t>Sur mur</t>
  </si>
  <si>
    <t>Sur plafond</t>
  </si>
  <si>
    <t>Etanche</t>
  </si>
  <si>
    <t>MARCHES GRANITO</t>
  </si>
  <si>
    <t>NEZ DE MARCHE</t>
  </si>
  <si>
    <t>CHAPITRE 15</t>
  </si>
  <si>
    <t>- FINITIONS -</t>
  </si>
  <si>
    <t>JOINT A LA POMPE</t>
  </si>
  <si>
    <t>COUVRE JOINT EN FACADE</t>
  </si>
  <si>
    <t>JOINT SUR ACROTERE</t>
  </si>
  <si>
    <t>POSE GRILLE DE VENTLATION</t>
  </si>
  <si>
    <t>SCELLEMENT, CALFEUTREMENT</t>
  </si>
  <si>
    <t>Porte d’ascenseur</t>
  </si>
  <si>
    <t>Surface</t>
  </si>
  <si>
    <t>Page 16</t>
  </si>
  <si>
    <t>CHAPITRE 16</t>
  </si>
  <si>
    <t>- REPLIEMENT DE CHANTIER -</t>
  </si>
  <si>
    <t>DEMONTAGE DE...</t>
  </si>
  <si>
    <t>Bungalow 25 m²</t>
  </si>
  <si>
    <t>Bungalow 15 m²</t>
  </si>
  <si>
    <t>Magasin - atelier</t>
  </si>
  <si>
    <t>Distribution</t>
  </si>
  <si>
    <t>Armoire</t>
  </si>
  <si>
    <t>Page 17</t>
  </si>
  <si>
    <t>0,5h/u</t>
  </si>
  <si>
    <t>1,8h/m²</t>
  </si>
  <si>
    <t>1,4h/ml</t>
  </si>
  <si>
    <t>POSE DE POLYSTYRENE JOINT DILAT</t>
  </si>
  <si>
    <t>0,1h/m²</t>
  </si>
  <si>
    <t>6h/u</t>
  </si>
  <si>
    <t>2h/m3</t>
  </si>
  <si>
    <t>1,2h/m3</t>
  </si>
  <si>
    <t>05.03</t>
  </si>
  <si>
    <t>Cheneaux en métal galvanisée avec étanchéité</t>
  </si>
  <si>
    <t>caisson de rive/sous-rive pour tôle ondulée laquée 2 F 75/100/ml</t>
  </si>
  <si>
    <t>Caisson de rive pour tôle ondulée laquée 2 F 75 /100/ML</t>
  </si>
  <si>
    <t>Couverture en tôle ondulé acier laquée 2 F 75 /100/M²</t>
  </si>
  <si>
    <t>Cheneaux en tôle laquée 2F 75/100/ml avec étanchéité</t>
  </si>
  <si>
    <t>Bande de solin et contre solin pour tôle ondulée laquée 2 F 75 /100/ML avec étanchéité</t>
  </si>
  <si>
    <t>Superstructure</t>
  </si>
  <si>
    <t>Charpente_Couverture</t>
  </si>
  <si>
    <t>Ref.</t>
  </si>
  <si>
    <t>7.1</t>
  </si>
  <si>
    <t>7.2</t>
  </si>
  <si>
    <t>Enduit intérieur sur murs et plafonds type plâtre ou tradi</t>
  </si>
  <si>
    <t xml:space="preserve">Enduit tradi extérieur sur Façade </t>
  </si>
  <si>
    <t>9.2</t>
  </si>
  <si>
    <t>9.3</t>
  </si>
  <si>
    <t>9.1</t>
  </si>
  <si>
    <t xml:space="preserve">9.50 </t>
  </si>
  <si>
    <t>9.501</t>
  </si>
  <si>
    <t>9.60</t>
  </si>
  <si>
    <t>9.61</t>
  </si>
  <si>
    <t>9.502</t>
  </si>
  <si>
    <t>9.503</t>
  </si>
  <si>
    <t>9.504</t>
  </si>
  <si>
    <t>9.505</t>
  </si>
  <si>
    <t>18.00</t>
  </si>
  <si>
    <t>8.10</t>
  </si>
  <si>
    <t>12.10</t>
  </si>
  <si>
    <t>12.1</t>
  </si>
  <si>
    <t>12.2</t>
  </si>
  <si>
    <t>12.20</t>
  </si>
  <si>
    <t>15.1</t>
  </si>
  <si>
    <t>15.2</t>
  </si>
  <si>
    <t>15.3</t>
  </si>
  <si>
    <t>15.4</t>
  </si>
  <si>
    <t>14.1</t>
  </si>
  <si>
    <t>Enduit</t>
  </si>
  <si>
    <t>Béton_Armée</t>
  </si>
  <si>
    <t>Revêtement_Sol</t>
  </si>
  <si>
    <t>Peinture</t>
  </si>
  <si>
    <t>Dalle_ Plancher</t>
  </si>
  <si>
    <t xml:space="preserve">                                                                                                                                                           </t>
  </si>
  <si>
    <t>Instalation_chantier</t>
  </si>
  <si>
    <t>pose faillance sur mur avec ciment en cole sans fourniture faillance</t>
  </si>
  <si>
    <t>Adresse:</t>
  </si>
  <si>
    <t xml:space="preserve">Saint Denis  </t>
  </si>
  <si>
    <t xml:space="preserve">Saint Pierre    </t>
  </si>
  <si>
    <t xml:space="preserve">Bois de Néfles st Paul     </t>
  </si>
  <si>
    <t xml:space="preserve">Bras-Panon    </t>
  </si>
  <si>
    <t xml:space="preserve">Cilaos    </t>
  </si>
  <si>
    <t xml:space="preserve">L'Entre-Deux    </t>
  </si>
  <si>
    <t xml:space="preserve">La Chaloupe st Leu     </t>
  </si>
  <si>
    <t xml:space="preserve">La Montagne     </t>
  </si>
  <si>
    <t>Plaine des Cafres</t>
  </si>
  <si>
    <t xml:space="preserve">La Possession     </t>
  </si>
  <si>
    <t xml:space="preserve">Le Port     </t>
  </si>
  <si>
    <t xml:space="preserve">La Riviére     </t>
  </si>
  <si>
    <t xml:space="preserve">La Saline </t>
  </si>
  <si>
    <t xml:space="preserve">Le Guillaume    </t>
  </si>
  <si>
    <t xml:space="preserve">Piton st Leu   </t>
  </si>
  <si>
    <t xml:space="preserve">les Avirons     </t>
  </si>
  <si>
    <t xml:space="preserve">Traois-Bassins     </t>
  </si>
  <si>
    <t xml:space="preserve">L'étang-Salé    </t>
  </si>
  <si>
    <t xml:space="preserve">La Nouvelle     </t>
  </si>
  <si>
    <t xml:space="preserve">Petite-île     </t>
  </si>
  <si>
    <t xml:space="preserve">Le Tampon   </t>
  </si>
  <si>
    <t xml:space="preserve">Pleine des Palmistes     </t>
  </si>
  <si>
    <t xml:space="preserve">Ravine des Cabris     </t>
  </si>
  <si>
    <t xml:space="preserve">Salazie    </t>
  </si>
  <si>
    <t xml:space="preserve">St Gilles Les Bains     </t>
  </si>
  <si>
    <t xml:space="preserve">St Gilles Les hauts     </t>
  </si>
  <si>
    <t xml:space="preserve">Saint Leu     </t>
  </si>
  <si>
    <t xml:space="preserve">Saint Anne  </t>
  </si>
  <si>
    <t xml:space="preserve">Saint Marie     </t>
  </si>
  <si>
    <t xml:space="preserve">Saint Rose     </t>
  </si>
  <si>
    <t xml:space="preserve">Saint André    </t>
  </si>
  <si>
    <t xml:space="preserve">Saint Suzanne     </t>
  </si>
  <si>
    <t xml:space="preserve">Saint Philippe     </t>
  </si>
  <si>
    <t xml:space="preserve">Saint Louis    </t>
  </si>
  <si>
    <t xml:space="preserve">Saint Paul     </t>
  </si>
  <si>
    <t xml:space="preserve">Saint Benoît   </t>
  </si>
  <si>
    <t xml:space="preserve">Saint Joseph   </t>
  </si>
  <si>
    <t>Saint Clotilde</t>
  </si>
  <si>
    <t>M.O. + F.O + FDF</t>
  </si>
  <si>
    <t>CP</t>
  </si>
  <si>
    <t>Villes</t>
  </si>
  <si>
    <t>INSTALATION CHANTIER</t>
  </si>
  <si>
    <t>SUPERSTRUCTURE ETAGE</t>
  </si>
  <si>
    <t>PLANCHER / DALLE</t>
  </si>
  <si>
    <t>CHARPENTE / COUVERTURE</t>
  </si>
  <si>
    <t>ENDUIT</t>
  </si>
  <si>
    <t>REVETEMENT SOL / MURAL</t>
  </si>
  <si>
    <t>ECHEANCIER</t>
  </si>
  <si>
    <t>OUVERTURE DE CHANTIER</t>
  </si>
  <si>
    <t>ACHEVEMENT DES FONDATIONS E/ MUR ELEVATION</t>
  </si>
  <si>
    <t>ACHEVEMENT DE LA CHARPENTE COUVERTURE</t>
  </si>
  <si>
    <t>ACHEVEMENT DU SECOND OEUVRE</t>
  </si>
  <si>
    <t>A LA RECEPTION</t>
  </si>
  <si>
    <t>Echéancier facturation</t>
  </si>
  <si>
    <t>Temps M.O.(h)</t>
  </si>
  <si>
    <t>Prix de vente H.T</t>
  </si>
  <si>
    <t>Coût des fournitures (F.O)</t>
  </si>
  <si>
    <t>Désignation des ouvrages</t>
  </si>
  <si>
    <t>10 - PILOTIS / SOUS SOL / DALLE PLANCHER (Vide sanitaire)</t>
  </si>
  <si>
    <t>11 - PLUS VALUE POUR SUR-PROFONDEUR DES FOUILLES</t>
  </si>
  <si>
    <t>12 – REVETEMENT SOL – MURAL</t>
  </si>
  <si>
    <t>13 - ETANCHEITE SOL / DALLE</t>
  </si>
  <si>
    <t>14 - PEINTURE INTERIEURE ET EXTERIEURE</t>
  </si>
  <si>
    <t>15 - PORTES INTERIEURES</t>
  </si>
  <si>
    <t>16 - FAUX PLAFOND HORIZONTAL :</t>
  </si>
  <si>
    <t>17 - ESCALIER BETON EXTERIEUR LIVRE BRUT</t>
  </si>
  <si>
    <t>18 - CARRELAGE SUR ESCALIER BETON</t>
  </si>
  <si>
    <t>19 - ESCALIER BOIS SANS CONTRE-MARCHE</t>
  </si>
  <si>
    <t>20 - POSE DES PLANCHES BOIS EN FACADES</t>
  </si>
  <si>
    <t>21 - ENDUIT PROJETE</t>
  </si>
  <si>
    <t>22 - CLOISONS :</t>
  </si>
  <si>
    <t xml:space="preserve">23 - ISOLATION </t>
  </si>
  <si>
    <t>24 - LAMBREQUINS EN TOLE ALU</t>
  </si>
  <si>
    <t>25 - GOUTTIERES ALU ET DESCENTES EAUX PLUVIALES</t>
  </si>
  <si>
    <t>26 - AUVENT / BRISE SOLEIL</t>
  </si>
  <si>
    <t xml:space="preserve">27 - JOINT EN BANDE </t>
  </si>
  <si>
    <t>28 - PLUS-VALUE POUR DIFFICULTE DE CHANTIER</t>
  </si>
  <si>
    <t>Nom</t>
  </si>
  <si>
    <t>Ville</t>
  </si>
  <si>
    <t>Code Postal</t>
  </si>
  <si>
    <t>Adresse Terrain</t>
  </si>
  <si>
    <t>Superficie</t>
  </si>
  <si>
    <t>Nom Notaire</t>
  </si>
  <si>
    <t>Facturation</t>
  </si>
  <si>
    <t>FAUX PLAFOND</t>
  </si>
  <si>
    <t>Etai</t>
  </si>
  <si>
    <t>Faux Plafond</t>
  </si>
  <si>
    <t>97440 Saint André</t>
  </si>
  <si>
    <t>Tel : 0692694965</t>
  </si>
  <si>
    <t xml:space="preserve">Adresse: 2157 chemin lefaguyes </t>
  </si>
  <si>
    <t>lavabo</t>
  </si>
  <si>
    <t>WC</t>
  </si>
  <si>
    <t>evier</t>
  </si>
  <si>
    <t>receveur de douche</t>
  </si>
  <si>
    <t>mitigeur evier</t>
  </si>
  <si>
    <t>mitigeur douche</t>
  </si>
  <si>
    <t>mitigeur lavabo</t>
  </si>
  <si>
    <t>vannes d'arrêt</t>
  </si>
  <si>
    <t>lave mains</t>
  </si>
  <si>
    <t>robinet</t>
  </si>
  <si>
    <t>tube PER</t>
  </si>
  <si>
    <t>raccordement divers</t>
  </si>
  <si>
    <t>pommeaux de douche</t>
  </si>
  <si>
    <t>siphon douche</t>
  </si>
  <si>
    <t>PVC 100</t>
  </si>
  <si>
    <t>PVC 50</t>
  </si>
  <si>
    <t>Tuyau polyéthyléne</t>
  </si>
  <si>
    <t>nourrice</t>
  </si>
  <si>
    <t>bainoir</t>
  </si>
  <si>
    <t>Accessoir</t>
  </si>
  <si>
    <t>PLOMBERIE</t>
  </si>
  <si>
    <t xml:space="preserve">Pose et fourniture WC </t>
  </si>
  <si>
    <t>Raccordement divers</t>
  </si>
  <si>
    <t>Tuyau PVC 100</t>
  </si>
  <si>
    <t>Pose et fourniture baignoire</t>
  </si>
  <si>
    <t>Pose et fourniture receveur de douche</t>
  </si>
  <si>
    <t>Pose et fourniture vasque /lavabo</t>
  </si>
  <si>
    <t>Pose et fourniture lave mains</t>
  </si>
  <si>
    <t>Pose et fourniture évier</t>
  </si>
  <si>
    <t>Douche a l'Italienne</t>
  </si>
  <si>
    <t xml:space="preserve">vannes d'arrêt </t>
  </si>
  <si>
    <t>Robinet d'arriver EF</t>
  </si>
  <si>
    <t>regard EU</t>
  </si>
  <si>
    <t>Raccordement EU</t>
  </si>
  <si>
    <t>mitigeur</t>
  </si>
  <si>
    <t>baignoir</t>
  </si>
  <si>
    <t>receveur douche</t>
  </si>
  <si>
    <t>vasque</t>
  </si>
  <si>
    <t>Tuyau PVC 50</t>
  </si>
  <si>
    <t>siphon</t>
  </si>
  <si>
    <t>vannes</t>
  </si>
  <si>
    <t xml:space="preserve">Robinet </t>
  </si>
  <si>
    <t>Tuyau PER</t>
  </si>
  <si>
    <t>Unité étudiée ml</t>
  </si>
  <si>
    <t>Plomberie</t>
  </si>
  <si>
    <t>OUVRAGES</t>
  </si>
  <si>
    <t>Divers</t>
  </si>
  <si>
    <t>FONDATION</t>
  </si>
  <si>
    <t>Canalisation PVC</t>
  </si>
  <si>
    <t xml:space="preserve"> Tuyau PER</t>
  </si>
  <si>
    <t>forfait</t>
  </si>
  <si>
    <t>mur moellon</t>
  </si>
  <si>
    <t>Mur moellons ( jointé 1 face ) y compris fondations à la base</t>
  </si>
  <si>
    <t>10.001</t>
  </si>
  <si>
    <t>FTE* et filtre à sable non drainé</t>
  </si>
  <si>
    <t>Siret: 83026631800013 APE 4399C</t>
  </si>
  <si>
    <t>Mail:sorec.construcion@gmail.com</t>
  </si>
  <si>
    <t>Etanchéïté Sur murs enterrés</t>
  </si>
  <si>
    <t>Feutre Soprema</t>
  </si>
  <si>
    <t>Montant T.T.C</t>
  </si>
  <si>
    <t>Rampe d'accès pour véhicule</t>
  </si>
  <si>
    <t xml:space="preserve">37.4 </t>
  </si>
  <si>
    <t xml:space="preserve">fourniture et pause Carrelage (17e) avec pleinte escalier y compris </t>
  </si>
  <si>
    <t>fourniture et pause faillance (10e) sur mur avec ciment en cole</t>
  </si>
  <si>
    <t>DEVIS</t>
  </si>
  <si>
    <t>coef</t>
  </si>
  <si>
    <t>com</t>
  </si>
  <si>
    <t>Marge Réel</t>
  </si>
  <si>
    <t>TTC GO</t>
  </si>
  <si>
    <t>TTC PAF</t>
  </si>
  <si>
    <t>TTC CEM</t>
  </si>
  <si>
    <t>NOM     DIJOUX LOIC</t>
  </si>
  <si>
    <t>ADRESSE : Lotissement MENCIOL BRAS DES CHEVRETTES</t>
  </si>
  <si>
    <t>VILLE  97440 Saint ANDRE</t>
  </si>
  <si>
    <t>Terrassement mécanique ,sans BRH, fouille en rigole, terre enlevéé sans évacuation ni cout de décharge, avec régalage</t>
  </si>
  <si>
    <t>Dallage béton armé épaisseur 0,12 dosé à 350kg, armé d'un treillis soudé ST 10  et d'un polyane</t>
  </si>
  <si>
    <t>forfaitaire</t>
  </si>
  <si>
    <t>Mur cloison en BA13 double face ( finition bande compris au lot peinture )</t>
  </si>
  <si>
    <t xml:space="preserve"> Plancher poutrelle béton précontraint et hourdis entrevous béton ep 12+0 sans dalle de compréssion dosé à 350 kg</t>
  </si>
  <si>
    <t xml:space="preserve">Poutre béton  et poteau béton coulée à la main dosé 400kg  </t>
  </si>
  <si>
    <t>plan de travail en béton</t>
  </si>
  <si>
    <t>Enduit intérieur sur murs et plafonds type plâtre ou tradi au choix</t>
  </si>
  <si>
    <t xml:space="preserve">fourniture et pause Carrelage (provision de 15e) avec pleinte escalier y compris </t>
  </si>
  <si>
    <t>fourniture et pause faillance (provision de 10e) sur mur avec ciment en cole</t>
  </si>
  <si>
    <t>peinture interieur y compris plafond</t>
  </si>
  <si>
    <t>Bande de solin et contre solin pour tôle ondulée laquée 2F 75/100e</t>
  </si>
  <si>
    <t>faux plafond interieur en placoplâtre (BA 13) y compris bande de recouvrement pour les joints</t>
  </si>
  <si>
    <t>MENUISERIE INTERIEUR</t>
  </si>
  <si>
    <t>bloc porte isoplane interieur</t>
  </si>
  <si>
    <t>MENUISERIES</t>
  </si>
  <si>
    <t>menuiseries Alu blanc pose + fourniture</t>
  </si>
  <si>
    <t>ELECTRICITE</t>
  </si>
  <si>
    <t>Installation électrique conforme aux normes en vigueur  compris  tabeau et consuel</t>
  </si>
  <si>
    <t>S.ALUM</t>
  </si>
  <si>
    <t>PC 16A</t>
  </si>
  <si>
    <t>PC 20A (four + L.V)</t>
  </si>
  <si>
    <t>32A</t>
  </si>
  <si>
    <t>RJ45</t>
  </si>
  <si>
    <t>TV/SAT</t>
  </si>
  <si>
    <t>VA ET VIENT 3P</t>
  </si>
  <si>
    <t xml:space="preserve">VA ET VIENT  </t>
  </si>
  <si>
    <t>ATTENTE . CLIM</t>
  </si>
  <si>
    <t>ATTENTE CHAUFFE EAU + L .L</t>
  </si>
  <si>
    <t>EXTERIEUR (hublot en va et vient)</t>
  </si>
  <si>
    <t xml:space="preserve">RESEAU TERRE </t>
  </si>
  <si>
    <t>COFFRET DE DISTRIBUTION</t>
  </si>
  <si>
    <t>GTL</t>
  </si>
  <si>
    <t>CERTIFICAT CONSUEL</t>
  </si>
  <si>
    <t>COFFRET COMMUNICATION</t>
  </si>
  <si>
    <t>RACCORDEMENTS  RESEAUX</t>
  </si>
  <si>
    <t>raccordement  AEP EDF PTT</t>
  </si>
  <si>
    <t>Raccordement EU ( entre la maison et la limite du terrain)</t>
  </si>
  <si>
    <t>FTE 3ML ( filtre à coco compacte) type EPURFIX</t>
  </si>
  <si>
    <t>FONDATION / ELEVATION</t>
  </si>
  <si>
    <t>SECOND ŒUVRE</t>
  </si>
  <si>
    <t>Le présent devis est valable 2mois. Toutes demandes non comprises au présent devis seront calculées et feront l'objet d'un</t>
  </si>
  <si>
    <t>devis de travaux supplémentaires et sera validé par les 2 parties avant tout interavention sur le chantier.</t>
  </si>
  <si>
    <t>RECAPITULATIF DEVIS ESTIMATIF</t>
  </si>
  <si>
    <t>DETAIL DES PRESTATIONS</t>
  </si>
  <si>
    <t xml:space="preserve">RESEAUX DE PLOMBERIE </t>
  </si>
  <si>
    <t>Verif</t>
  </si>
  <si>
    <t>TOTAL  ( TTC  )</t>
  </si>
  <si>
    <t>MENUISERIE EXTERIEUR ALUMINIUM ( TTC )</t>
  </si>
  <si>
    <t xml:space="preserve">TOTAL   ( TTC ) en  PRÊT A FINIR </t>
  </si>
  <si>
    <t>TRAVAUX COMPLEMENTAIRES</t>
  </si>
  <si>
    <t>PEINTURE / ETANCHEITE</t>
  </si>
  <si>
    <t>APPAREILLAGE SANITAIRE</t>
  </si>
  <si>
    <t xml:space="preserve">RACCORDEMENT RESEAUX </t>
  </si>
  <si>
    <t>TOTAL  TTC</t>
  </si>
  <si>
    <t>TOTAL TTC  Avec les COMPLEMENTS</t>
  </si>
  <si>
    <t>OPTION SUPLEMENTAIRE</t>
  </si>
  <si>
    <t>TOTAL GLOBAL ( TTC )</t>
  </si>
  <si>
    <t>Q</t>
  </si>
  <si>
    <t>TVA</t>
  </si>
  <si>
    <t>TTC</t>
  </si>
  <si>
    <t>transport</t>
  </si>
  <si>
    <t>Mur cloison en BA13 double face sans isolation</t>
  </si>
  <si>
    <t xml:space="preserve"> Plancher dalle pleines confectionnées a partir de prédalle préfabriquées béton en œuvre</t>
  </si>
  <si>
    <t>30.2</t>
  </si>
  <si>
    <t>Tél : 0693 826382</t>
  </si>
  <si>
    <t>Saint André le</t>
  </si>
  <si>
    <t>ADRESSE DE FACTURATION</t>
  </si>
  <si>
    <t xml:space="preserve">Adresse </t>
  </si>
  <si>
    <t>MONTANT HT</t>
  </si>
  <si>
    <t>Virement</t>
  </si>
  <si>
    <t>Entreprise:</t>
  </si>
  <si>
    <r>
      <t>Co</t>
    </r>
    <r>
      <rPr>
        <sz val="10"/>
        <color indexed="8"/>
        <rFont val="Arial Narrow"/>
        <family val="2"/>
      </rPr>
      <t>ût hors taxe avec coeff 1,42 de majr</t>
    </r>
  </si>
  <si>
    <r>
      <t>1m</t>
    </r>
    <r>
      <rPr>
        <sz val="10"/>
        <color indexed="8"/>
        <rFont val="Arial Narrow"/>
        <family val="2"/>
      </rPr>
      <t>³</t>
    </r>
  </si>
  <si>
    <t xml:space="preserve">       m²</t>
  </si>
  <si>
    <r>
      <t>Objet du devis</t>
    </r>
    <r>
      <rPr>
        <b/>
        <sz val="14"/>
        <rFont val="Arial Narrow"/>
        <family val="2"/>
      </rPr>
      <t>: Travaux de Maçonnerie, Charpente Couverture, Gros Œuvre,  Finition</t>
    </r>
  </si>
  <si>
    <t>Chéque</t>
  </si>
  <si>
    <t>BON DE COMMANDE</t>
  </si>
  <si>
    <t>N° BC:</t>
  </si>
  <si>
    <t>ADRESSE DE LIVRAISON</t>
  </si>
  <si>
    <t>FOURNISSEUR</t>
  </si>
  <si>
    <t>Dénomination:</t>
  </si>
  <si>
    <t>Livraison</t>
  </si>
  <si>
    <t>2157 chemin lefaguyes 97440 st André</t>
  </si>
  <si>
    <t>Référence de l'engagement :</t>
  </si>
  <si>
    <t>Date:</t>
  </si>
  <si>
    <t>Montant:</t>
  </si>
  <si>
    <t>code</t>
  </si>
  <si>
    <t>Qantité</t>
  </si>
  <si>
    <t>PU</t>
  </si>
  <si>
    <t>SOREC</t>
  </si>
  <si>
    <t>N° Dossier:</t>
  </si>
  <si>
    <t>Plan de travail en béton</t>
  </si>
  <si>
    <t>T.Unitaire</t>
  </si>
  <si>
    <t>Total.T.U</t>
  </si>
  <si>
    <t>Total.P.F.O</t>
  </si>
  <si>
    <t>P.Unit.F.O</t>
  </si>
  <si>
    <t>Appel de Fond</t>
  </si>
  <si>
    <t>Télephone</t>
  </si>
  <si>
    <t>Email</t>
  </si>
  <si>
    <t>CAD</t>
  </si>
  <si>
    <t>Date Compro</t>
  </si>
  <si>
    <t>Etape</t>
  </si>
  <si>
    <t>20,0%</t>
  </si>
  <si>
    <t>Commentaire</t>
  </si>
  <si>
    <t>N° Devis</t>
  </si>
  <si>
    <t>N° Client :</t>
  </si>
  <si>
    <t>Nom Client:</t>
  </si>
  <si>
    <t>Ville:</t>
  </si>
  <si>
    <t xml:space="preserve">N° Devis: </t>
  </si>
  <si>
    <t>Prospect</t>
  </si>
  <si>
    <t>Contact</t>
  </si>
  <si>
    <t>Devis</t>
  </si>
  <si>
    <t>Portefeuille</t>
  </si>
  <si>
    <t>Abandon</t>
  </si>
  <si>
    <t>Relance</t>
  </si>
  <si>
    <t>O.S / MAP</t>
  </si>
  <si>
    <t>Réceptionné</t>
  </si>
  <si>
    <t>Basse</t>
  </si>
  <si>
    <t>Elevée</t>
  </si>
  <si>
    <t>Critique</t>
  </si>
  <si>
    <t>Montant facturé</t>
  </si>
  <si>
    <t>Incrémenté D</t>
  </si>
  <si>
    <t>Incrémenté F</t>
  </si>
  <si>
    <t xml:space="preserve">RAMSAMY </t>
  </si>
  <si>
    <t>PATRICK</t>
  </si>
  <si>
    <t>2157 chemin lefaguyes</t>
  </si>
  <si>
    <t>pat@gmail.fr</t>
  </si>
  <si>
    <t>65 bis chemin lafaillette</t>
  </si>
  <si>
    <t>CD 5692</t>
  </si>
  <si>
    <t>VIED00003</t>
  </si>
  <si>
    <t>VIRASSAMY</t>
  </si>
  <si>
    <t>EDDY</t>
  </si>
  <si>
    <t>eddy@orange.fr</t>
  </si>
  <si>
    <t>45 bis chemin des fleurs</t>
  </si>
  <si>
    <t>CE 592</t>
  </si>
  <si>
    <t>RAMSAMY</t>
  </si>
  <si>
    <t>ANNE CLAIRE</t>
  </si>
  <si>
    <t>wjp@gmail.fr</t>
  </si>
  <si>
    <t>109 rue des begonias</t>
  </si>
  <si>
    <t>Saint Andre</t>
  </si>
  <si>
    <t>VELMANT</t>
  </si>
  <si>
    <t>AP2129</t>
  </si>
  <si>
    <t>10 rue des longose</t>
  </si>
  <si>
    <t xml:space="preserve">BOYER </t>
  </si>
  <si>
    <t>SABINE</t>
  </si>
  <si>
    <t>aline@orange</t>
  </si>
  <si>
    <t>10 chemin severe</t>
  </si>
  <si>
    <t>LN2928</t>
  </si>
  <si>
    <t>SETAMA</t>
  </si>
  <si>
    <t>Alerte</t>
  </si>
  <si>
    <t>RAAN00007</t>
  </si>
  <si>
    <t>N° Client</t>
  </si>
  <si>
    <t>RAPA00008</t>
  </si>
  <si>
    <t>VIRAPIN HARI</t>
  </si>
  <si>
    <t>VIRAPOULE PAUL</t>
  </si>
  <si>
    <t>21 chemin belle vue terre</t>
  </si>
  <si>
    <t xml:space="preserve">rappeler le client </t>
  </si>
  <si>
    <r>
      <t>O</t>
    </r>
    <r>
      <rPr>
        <b/>
        <u/>
        <sz val="14"/>
        <color theme="3"/>
        <rFont val="Arial"/>
        <family val="2"/>
      </rPr>
      <t>bjet du devis</t>
    </r>
    <r>
      <rPr>
        <b/>
        <sz val="14"/>
        <color theme="3"/>
        <rFont val="Arial"/>
        <family val="2"/>
      </rPr>
      <t xml:space="preserve">: </t>
    </r>
    <r>
      <rPr>
        <b/>
        <sz val="14"/>
        <color theme="1"/>
        <rFont val="Arial"/>
        <family val="2"/>
      </rPr>
      <t>T</t>
    </r>
    <r>
      <rPr>
        <b/>
        <sz val="14"/>
        <color theme="3"/>
        <rFont val="Arial"/>
        <family val="2"/>
      </rPr>
      <t xml:space="preserve">ravaux de </t>
    </r>
    <r>
      <rPr>
        <b/>
        <sz val="14"/>
        <color theme="1"/>
        <rFont val="Arial"/>
        <family val="2"/>
      </rPr>
      <t>M</t>
    </r>
    <r>
      <rPr>
        <b/>
        <sz val="14"/>
        <color theme="3"/>
        <rFont val="Arial"/>
        <family val="2"/>
      </rPr>
      <t xml:space="preserve">açonnerie, </t>
    </r>
    <r>
      <rPr>
        <b/>
        <sz val="14"/>
        <color theme="1"/>
        <rFont val="Arial"/>
        <family val="2"/>
      </rPr>
      <t>C</t>
    </r>
    <r>
      <rPr>
        <b/>
        <sz val="14"/>
        <color theme="3"/>
        <rFont val="Arial"/>
        <family val="2"/>
      </rPr>
      <t xml:space="preserve">harpente </t>
    </r>
    <r>
      <rPr>
        <b/>
        <sz val="14"/>
        <color theme="1"/>
        <rFont val="Arial"/>
        <family val="2"/>
      </rPr>
      <t>C</t>
    </r>
    <r>
      <rPr>
        <b/>
        <sz val="14"/>
        <color theme="3"/>
        <rFont val="Arial"/>
        <family val="2"/>
      </rPr>
      <t xml:space="preserve">ouverture, </t>
    </r>
    <r>
      <rPr>
        <b/>
        <sz val="14"/>
        <color theme="1"/>
        <rFont val="Arial"/>
        <family val="2"/>
      </rPr>
      <t>F</t>
    </r>
    <r>
      <rPr>
        <b/>
        <sz val="14"/>
        <color theme="3"/>
        <rFont val="Arial"/>
        <family val="2"/>
      </rPr>
      <t xml:space="preserve">inition </t>
    </r>
    <r>
      <rPr>
        <b/>
        <sz val="14"/>
        <color theme="1"/>
        <rFont val="Arial"/>
        <family val="2"/>
      </rPr>
      <t>G</t>
    </r>
    <r>
      <rPr>
        <b/>
        <sz val="14"/>
        <color theme="3"/>
        <rFont val="Arial"/>
        <family val="2"/>
      </rPr>
      <t>ros Œuvre</t>
    </r>
  </si>
  <si>
    <t>D00073</t>
  </si>
  <si>
    <t>fait à saint André le :</t>
  </si>
  <si>
    <t>D00083</t>
  </si>
  <si>
    <t>LAURET</t>
  </si>
  <si>
    <t>ELIANE</t>
  </si>
  <si>
    <t>105 rue des petunias</t>
  </si>
  <si>
    <t>eliane@gmail.fr</t>
  </si>
  <si>
    <t>95 rue des goyavier</t>
  </si>
  <si>
    <t>AC451</t>
  </si>
  <si>
    <t>TAZAR</t>
  </si>
  <si>
    <t>LUDMILLA</t>
  </si>
  <si>
    <t>20157 bis chemin lefaguyes</t>
  </si>
  <si>
    <t>ludmi@orange</t>
  </si>
  <si>
    <t>156 chemin loranger</t>
  </si>
  <si>
    <t>RL2910</t>
  </si>
  <si>
    <t>KAPORAL</t>
  </si>
  <si>
    <t xml:space="preserve">NAGUIN </t>
  </si>
  <si>
    <t>MARIE CELINE</t>
  </si>
  <si>
    <t>109 rue des begonias ravine creuse</t>
  </si>
  <si>
    <t>18 lot des vague</t>
  </si>
  <si>
    <t>MC2808</t>
  </si>
  <si>
    <t>celine@orange.fr</t>
  </si>
  <si>
    <t>NAMA00017</t>
  </si>
  <si>
    <t>RALU00018</t>
  </si>
  <si>
    <t>DIJOUX</t>
  </si>
  <si>
    <t>LOIC</t>
  </si>
  <si>
    <t>52 rue margueritte</t>
  </si>
  <si>
    <t>loic@gmail.fr</t>
  </si>
  <si>
    <t>52 chemin lagourd</t>
  </si>
  <si>
    <t>cv520</t>
  </si>
  <si>
    <t>MARMOTE</t>
  </si>
  <si>
    <t>NAYAN</t>
  </si>
  <si>
    <t>nayan@gmail.com</t>
  </si>
  <si>
    <t>na9740</t>
  </si>
  <si>
    <t>RAMASAMY</t>
  </si>
  <si>
    <t>8495 rue des hortensia</t>
  </si>
  <si>
    <t>RANA00022</t>
  </si>
  <si>
    <t>950 chemin des bégonia</t>
  </si>
  <si>
    <t>lu@.com</t>
  </si>
  <si>
    <t>lu9740</t>
  </si>
  <si>
    <t>MARAKA</t>
  </si>
  <si>
    <t>LAEL00024</t>
  </si>
  <si>
    <t>D00087</t>
  </si>
  <si>
    <t>rappeler le client le 29/06/2018</t>
  </si>
  <si>
    <t>rappeler la mairie le 02/07/2018</t>
  </si>
  <si>
    <t>D00088</t>
  </si>
  <si>
    <t>VOIR LA MAIRIE LE 22/06/2018</t>
  </si>
  <si>
    <t>BOSA00024</t>
  </si>
  <si>
    <t>DILO00024</t>
  </si>
  <si>
    <t>RALU00024</t>
  </si>
  <si>
    <t>MOGAMAT</t>
  </si>
  <si>
    <t>PREFABETON</t>
  </si>
  <si>
    <t>HOLCIM</t>
  </si>
  <si>
    <t>Fournisseurs</t>
  </si>
  <si>
    <t>SEIGNERIE</t>
  </si>
  <si>
    <t>Incrémenté BD</t>
  </si>
  <si>
    <t>4 Rue lafayette</t>
  </si>
  <si>
    <t>97470  Saint- Benoit</t>
  </si>
  <si>
    <t>N° Devis :</t>
  </si>
  <si>
    <t>prendre rdv le 22/07/2018</t>
  </si>
  <si>
    <t>permis a faire avant le 2/07/2018</t>
  </si>
  <si>
    <t>na@.com</t>
  </si>
  <si>
    <t>na9745</t>
  </si>
  <si>
    <t>CHEMIN DES ARCANCIELLE</t>
  </si>
  <si>
    <t>28/07/2018</t>
  </si>
  <si>
    <t>D00093</t>
  </si>
  <si>
    <t xml:space="preserve">ouverture chantier </t>
  </si>
  <si>
    <t>caractéristique</t>
  </si>
  <si>
    <t>Unité étudier</t>
  </si>
  <si>
    <t>Qt / d'achat</t>
  </si>
  <si>
    <t xml:space="preserve"> (Prix ht)</t>
  </si>
  <si>
    <t>Prix achat unitaire</t>
  </si>
  <si>
    <t>Unité d'achat (usine)</t>
  </si>
  <si>
    <t>Tableau2</t>
  </si>
  <si>
    <t>Tableau4</t>
  </si>
  <si>
    <t>Tableau5</t>
  </si>
  <si>
    <t>Tableau6</t>
  </si>
  <si>
    <t>TVA 8,5%</t>
  </si>
  <si>
    <t>TVA NP 8,5%</t>
  </si>
  <si>
    <t>CT</t>
  </si>
  <si>
    <t>TVA/NP</t>
  </si>
  <si>
    <t>Tel : 0693 82 63 82</t>
  </si>
  <si>
    <t>RANA0000</t>
  </si>
  <si>
    <t>DILO00001</t>
  </si>
  <si>
    <t>DIJOUX /FONTAINE</t>
  </si>
  <si>
    <t>LOIC / AMANDINE</t>
  </si>
  <si>
    <t>140 chemin mulot  Cambuston</t>
  </si>
  <si>
    <t>Semelle filante 35cm 10mm 6m</t>
  </si>
  <si>
    <t>fer a béton torsadée B500B/AFCAB D 10mm L 6m</t>
  </si>
  <si>
    <t>TRANSPORT</t>
  </si>
  <si>
    <t>14,81</t>
  </si>
  <si>
    <t>2,7</t>
  </si>
  <si>
    <t>13,82</t>
  </si>
  <si>
    <t>BD00001</t>
  </si>
  <si>
    <t>ramsamy patrick</t>
  </si>
  <si>
    <t>97440 saint andre</t>
  </si>
  <si>
    <t>Prenom</t>
  </si>
  <si>
    <t>Ville2</t>
  </si>
  <si>
    <t xml:space="preserve">  Comblage hérissonnage sous dallage, damé avec matériel adéquat par couche de 0,20 /M² </t>
  </si>
  <si>
    <t xml:space="preserve"> m³ </t>
  </si>
  <si>
    <t xml:space="preserve"> 32,55 </t>
  </si>
  <si>
    <t xml:space="preserve">  </t>
  </si>
  <si>
    <t xml:space="preserve"> 0,75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</si>
  <si>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</si>
  <si>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</si>
  <si>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</si>
  <si>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</si>
  <si>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</si>
  <si>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m² </t>
  </si>
  <si>
    <t xml:space="preserve"> 28,55 </t>
  </si>
  <si>
    <t xml:space="preserve"> Dallage béton armé épaisseur 0,12 dosé en C 25 ou 350kg, armé d'un treillis soudé ST 25 C et d'un polyane </t>
  </si>
  <si>
    <t xml:space="preserve"> 0,2 </t>
  </si>
  <si>
    <t xml:space="preserve"> 57,1 </t>
  </si>
  <si>
    <t xml:space="preserve"> 2,8 </t>
  </si>
  <si>
    <t xml:space="preserve"> 3652,68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</si>
  <si>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</si>
  <si>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</si>
  <si>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</si>
  <si>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</si>
  <si>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</si>
  <si>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</si>
  <si>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</si>
  <si>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30,2 </t>
  </si>
  <si>
    <t xml:space="preserve">  Plancher dalle pleines confectionnées a partir de prédalle préfabriquées béton en œuvre </t>
  </si>
  <si>
    <t xml:space="preserve"> 7844,55 </t>
  </si>
  <si>
    <t xml:space="preserve"> 180,75 </t>
  </si>
  <si>
    <t xml:space="preserve"> 15,1 </t>
  </si>
  <si>
    <t xml:space="preserve"> peinture mur exterieur plastifier </t>
  </si>
  <si>
    <t xml:space="preserve"> 10,5 </t>
  </si>
  <si>
    <t xml:space="preserve"> 0,25 </t>
  </si>
  <si>
    <t xml:space="preserve"> 5,71 </t>
  </si>
  <si>
    <t xml:space="preserve"> 325,5 </t>
  </si>
  <si>
    <t xml:space="preserve"> 7,5 </t>
  </si>
  <si>
    <t xml:space="preserve"> 608,78 </t>
  </si>
  <si>
    <t xml:space="preserve"> 34,26 </t>
  </si>
  <si>
    <t xml:space="preserve"> 2435,12 </t>
  </si>
  <si>
    <t xml:space="preserve">  Dallage béton armé épaisseur 0,12 dosé en C 25 ou 350kg, armé d'un treillis soudé ST 25 C et d'un polyane  </t>
  </si>
  <si>
    <t xml:space="preserve">  m²  </t>
  </si>
  <si>
    <t xml:space="preserve">    </t>
  </si>
  <si>
    <t xml:space="preserve">  0,2  </t>
  </si>
  <si>
    <t xml:space="preserve">  2,8  </t>
  </si>
  <si>
    <t xml:space="preserve">   Comblage hérissonnage sous dallage, damé avec matériel adéquat par couche de 0,20 /M²  </t>
  </si>
  <si>
    <t xml:space="preserve">  m³  </t>
  </si>
  <si>
    <t xml:space="preserve">  32,55  </t>
  </si>
  <si>
    <t xml:space="preserve">  0,75  </t>
  </si>
  <si>
    <t xml:space="preserve">  3652,68  </t>
  </si>
  <si>
    <t xml:space="preserve">  57,1  </t>
  </si>
  <si>
    <t xml:space="preserve">  9,1  </t>
  </si>
  <si>
    <t xml:space="preserve">  Charpente ferme métal IPE  au ml  </t>
  </si>
  <si>
    <t xml:space="preserve">  ml  </t>
  </si>
  <si>
    <t xml:space="preserve">  2029,02  </t>
  </si>
  <si>
    <t xml:space="preserve">  0,45  </t>
  </si>
  <si>
    <t xml:space="preserve">  4116,98  </t>
  </si>
  <si>
    <t xml:space="preserve">  4940,36  </t>
  </si>
  <si>
    <t xml:space="preserve">  1217,56  </t>
  </si>
  <si>
    <t xml:space="preserve">  Total  </t>
  </si>
  <si>
    <t xml:space="preserve">  INSTALATION CHANTIER  </t>
  </si>
  <si>
    <t xml:space="preserve">  30,1  </t>
  </si>
  <si>
    <t xml:space="preserve">   Plancher poutrelle béton précontraint et hourdis entrevous béton ep 12+7 béton dosé C 25 /M²  </t>
  </si>
  <si>
    <t xml:space="preserve">  28,55  </t>
  </si>
  <si>
    <t>Tableau9</t>
  </si>
  <si>
    <t>Tableau10</t>
  </si>
  <si>
    <t>Tableau11</t>
  </si>
  <si>
    <t>Tableau12</t>
  </si>
  <si>
    <t>Tableau13</t>
  </si>
  <si>
    <t>Tableau14</t>
  </si>
  <si>
    <t>Tableau15</t>
  </si>
  <si>
    <t>Tableau16</t>
  </si>
  <si>
    <t>Tableau17</t>
  </si>
  <si>
    <t>Tableau18</t>
  </si>
  <si>
    <t>Tableau19</t>
  </si>
  <si>
    <t>Tableau20</t>
  </si>
  <si>
    <t>RAMSAMY    PATRICK</t>
  </si>
  <si>
    <t xml:space="preserve">97400    Saint Denis  </t>
  </si>
  <si>
    <t>Numéro Devis</t>
  </si>
  <si>
    <t>Bd_Devis</t>
  </si>
  <si>
    <t>Liste Etapes</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</si>
</sst>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7" formatCode="#,##0.00\ &quot;€&quot;;\-#,##0.00\ &quot;€&quot;"/>
    <numFmt numFmtId="164" formatCode="&quot;€&quot;#,##0.00_);\(&quot;€&quot;#,##0.00\)"/>
    <numFmt numFmtId="165" formatCode="_(&quot;€&quot;* #,##0.00_);_(&quot;€&quot;* \(#,##0.00\);_(&quot;€&quot;* &quot;-&quot;??_);_(@_)"/>
    <numFmt numFmtId="166" formatCode="&quot;€&quot;#,##0.00_);[Red]\(&quot;€&quot;#,##0.00\)"/>
    <numFmt numFmtId="167" formatCode="_(* #,##0.00_);_(* \(#,##0.00\);_(* &quot;-&quot;??_);_(@_)"/>
    <numFmt numFmtId="168" formatCode="0.000"/>
    <numFmt numFmtId="169" formatCode="&quot;$&quot;#,##0.00_);[Red]\(&quot;$&quot;#,##0.00\)"/>
    <numFmt numFmtId="170" formatCode="0.00\%"/>
    <numFmt numFmtId="171" formatCode="0.##\h"/>
    <numFmt numFmtId="172" formatCode="[Red][&lt;0]\-00\%;[&lt;99]0.0\%;00\%"/>
    <numFmt numFmtId="173" formatCode="[Black][&gt;0]?0.##\h;[Red][=0]&quot;voir h&quot;;[Green]0.##\h"/>
    <numFmt numFmtId="174" formatCode="#\ ###\ ##0.00[$ €-409];[Blue]\-#\ ###\ ##0.00[$ €-409]"/>
    <numFmt numFmtId="175" formatCode="_(&quot;F&quot;* #,##0.00_);_(&quot;F&quot;* \(#,##0.00\);_(&quot;F&quot;* &quot;-&quot;??_);_(@_)"/>
    <numFmt numFmtId="176" formatCode="0;[Red]0"/>
    <numFmt numFmtId="177" formatCode="#,##0.00\ &quot;€&quot;"/>
    <numFmt numFmtId="178" formatCode="_-* #,##0.000\ _€_-;\-* #,##0.000\ _€_-;_-* &quot;-&quot;??\ _€_-;_-@_-"/>
    <numFmt numFmtId="179" formatCode="_-* #,##0\ _€_-;\-* #,##0\ _€_-;_-* &quot;-&quot;??\ _€_-;_-@_-"/>
    <numFmt numFmtId="180" formatCode="d\ mmmm\ yyyy"/>
    <numFmt numFmtId="181" formatCode="0.0%"/>
    <numFmt numFmtId="182" formatCode="#,##0.00\ _€"/>
    <numFmt numFmtId="183" formatCode="[$-F800]dddd\,\ mmmm\ dd\,\ yyyy"/>
    <numFmt numFmtId="184" formatCode="_-* #,##0.00\ [$€]_-;\-* #,##0.00\ [$€]_-;_-* &quot;-&quot;??\ [$€]_-;_-@_-"/>
    <numFmt numFmtId="185" formatCode="_-* #,##0.00\ [$€-81D]_-;\-* #,##0.00\ [$€-81D]_-;_-* &quot;-&quot;??\ [$€-81D]_-;_-@_-"/>
    <numFmt numFmtId="186" formatCode="00"/>
    <numFmt numFmtId="187" formatCode="0.00;[Red]0.00"/>
    <numFmt numFmtId="188" formatCode="#,##0.0\ &quot;€&quot;"/>
  </numFmts>
  <fonts count="96">
    <font>
      <sz val="11"/>
      <color theme="1"/>
      <name val="Calibri"/>
      <family val="2"/>
      <scheme val="minor"/>
    </font>
    <font>
      <sz val="8"/>
      <name val="Calibri"/>
      <family val="2"/>
    </font>
    <font>
      <sz val="10"/>
      <name val="Arial"/>
      <family val="2"/>
    </font>
    <font>
      <b/>
      <sz val="10"/>
      <name val="Arial"/>
      <family val="2"/>
    </font>
    <font>
      <b/>
      <u/>
      <sz val="12"/>
      <color indexed="10"/>
      <name val="Tahoma"/>
      <family val="2"/>
    </font>
    <font>
      <sz val="12"/>
      <color indexed="81"/>
      <name val="Tahoma"/>
      <family val="2"/>
    </font>
    <font>
      <b/>
      <sz val="12"/>
      <color indexed="10"/>
      <name val="Tahoma"/>
      <family val="2"/>
    </font>
    <font>
      <sz val="10"/>
      <color indexed="81"/>
      <name val="Tahoma"/>
      <family val="2"/>
    </font>
    <font>
      <b/>
      <sz val="10"/>
      <color indexed="10"/>
      <name val="Tahoma"/>
      <family val="2"/>
    </font>
    <font>
      <sz val="11"/>
      <name val="Times New Roman"/>
      <family val="1"/>
    </font>
    <font>
      <sz val="10"/>
      <name val="Calibri"/>
      <family val="2"/>
    </font>
    <font>
      <b/>
      <sz val="12"/>
      <color theme="1"/>
      <name val="Arial"/>
      <family val="2"/>
    </font>
    <font>
      <b/>
      <i/>
      <sz val="10"/>
      <name val="Arial"/>
      <family val="2"/>
    </font>
    <font>
      <sz val="10"/>
      <color theme="1"/>
      <name val="Calibri"/>
      <family val="2"/>
    </font>
    <font>
      <i/>
      <sz val="10"/>
      <name val="Arial"/>
      <family val="2"/>
    </font>
    <font>
      <b/>
      <i/>
      <u/>
      <sz val="10"/>
      <color theme="3"/>
      <name val="Arial"/>
      <family val="2"/>
    </font>
    <font>
      <sz val="9"/>
      <color indexed="18"/>
      <name val="Arial Narrow"/>
      <family val="2"/>
    </font>
    <font>
      <b/>
      <sz val="9"/>
      <name val="Arial Narrow"/>
      <family val="2"/>
    </font>
    <font>
      <b/>
      <sz val="16"/>
      <name val="Arial Narrow"/>
      <family val="2"/>
    </font>
    <font>
      <b/>
      <sz val="9"/>
      <color indexed="61"/>
      <name val="Arial Narrow"/>
      <family val="2"/>
    </font>
    <font>
      <sz val="9"/>
      <name val="Arial Narrow"/>
      <family val="2"/>
    </font>
    <font>
      <sz val="9"/>
      <color theme="1"/>
      <name val="Arial Narrow"/>
      <family val="2"/>
    </font>
    <font>
      <sz val="10"/>
      <name val="Arial Narrow"/>
      <family val="2"/>
    </font>
    <font>
      <sz val="9"/>
      <color rgb="FF002060"/>
      <name val="Arial Narrow"/>
      <family val="2"/>
    </font>
    <font>
      <b/>
      <sz val="9"/>
      <color indexed="8"/>
      <name val="Arial Narrow"/>
      <family val="2"/>
    </font>
    <font>
      <sz val="9"/>
      <color indexed="9"/>
      <name val="Arial Narrow"/>
      <family val="2"/>
    </font>
    <font>
      <b/>
      <sz val="12"/>
      <name val="Arial Narrow"/>
      <family val="2"/>
    </font>
    <font>
      <b/>
      <sz val="9"/>
      <color theme="1"/>
      <name val="Arial Narrow"/>
      <family val="2"/>
    </font>
    <font>
      <sz val="10"/>
      <color theme="1"/>
      <name val="Arial Narrow"/>
      <family val="2"/>
    </font>
    <font>
      <sz val="11"/>
      <color theme="1"/>
      <name val="Arial Narrow"/>
      <family val="2"/>
    </font>
    <font>
      <sz val="11"/>
      <name val="Arial Narrow"/>
      <family val="2"/>
    </font>
    <font>
      <b/>
      <sz val="11"/>
      <name val="Arial Narrow"/>
      <family val="2"/>
    </font>
    <font>
      <b/>
      <i/>
      <sz val="12"/>
      <color theme="1"/>
      <name val="Arial Narrow"/>
      <family val="2"/>
    </font>
    <font>
      <b/>
      <sz val="10"/>
      <color theme="1"/>
      <name val="Arial Narrow"/>
      <family val="2"/>
    </font>
    <font>
      <b/>
      <i/>
      <sz val="10"/>
      <name val="Arial Narrow"/>
      <family val="2"/>
    </font>
    <font>
      <b/>
      <u/>
      <sz val="10"/>
      <name val="Arial Narrow"/>
      <family val="2"/>
    </font>
    <font>
      <b/>
      <sz val="14"/>
      <name val="Arial Narrow"/>
      <family val="2"/>
    </font>
    <font>
      <sz val="8"/>
      <name val="Arial Narrow"/>
      <family val="2"/>
    </font>
    <font>
      <b/>
      <sz val="9"/>
      <color indexed="18"/>
      <name val="Arial Narrow"/>
      <family val="2"/>
    </font>
    <font>
      <b/>
      <sz val="16"/>
      <color theme="3"/>
      <name val="Arial Narrow"/>
      <family val="2"/>
    </font>
    <font>
      <b/>
      <sz val="9"/>
      <color rgb="FF002060"/>
      <name val="Arial Narrow"/>
      <family val="2"/>
    </font>
    <font>
      <b/>
      <sz val="9"/>
      <color theme="3"/>
      <name val="Arial Narrow"/>
      <family val="2"/>
    </font>
    <font>
      <sz val="9"/>
      <color indexed="10"/>
      <name val="Arial Narrow"/>
      <family val="2"/>
    </font>
    <font>
      <b/>
      <sz val="9"/>
      <color indexed="9"/>
      <name val="Arial Narrow"/>
      <family val="2"/>
    </font>
    <font>
      <b/>
      <sz val="10"/>
      <name val="Arial Narrow"/>
      <family val="2"/>
    </font>
    <font>
      <sz val="14"/>
      <color theme="1"/>
      <name val="Arial Narrow"/>
      <family val="2"/>
    </font>
    <font>
      <sz val="10"/>
      <color indexed="8"/>
      <name val="Arial Narrow"/>
      <family val="2"/>
    </font>
    <font>
      <sz val="12"/>
      <name val="Arial Narrow"/>
      <family val="2"/>
    </font>
    <font>
      <i/>
      <u/>
      <sz val="16"/>
      <name val="Arial Narrow"/>
      <family val="2"/>
    </font>
    <font>
      <sz val="16"/>
      <name val="Arial Narrow"/>
      <family val="2"/>
    </font>
    <font>
      <sz val="14"/>
      <color rgb="FF080808"/>
      <name val="Arial Narrow"/>
      <family val="2"/>
    </font>
    <font>
      <u/>
      <sz val="12"/>
      <name val="Arial Narrow"/>
      <family val="2"/>
    </font>
    <font>
      <u/>
      <sz val="12"/>
      <color rgb="FF000000"/>
      <name val="Arial Narrow"/>
      <family val="2"/>
    </font>
    <font>
      <sz val="10"/>
      <color theme="0"/>
      <name val="Arial Narrow"/>
      <family val="2"/>
    </font>
    <font>
      <sz val="11"/>
      <color theme="0"/>
      <name val="Arial Narrow"/>
      <family val="2"/>
    </font>
    <font>
      <sz val="8"/>
      <color theme="0"/>
      <name val="Arial Narrow"/>
      <family val="2"/>
    </font>
    <font>
      <u/>
      <sz val="10"/>
      <color theme="1"/>
      <name val="Arial Narrow"/>
      <family val="2"/>
    </font>
    <font>
      <b/>
      <u/>
      <sz val="10"/>
      <color theme="1"/>
      <name val="Arial Narrow"/>
      <family val="2"/>
    </font>
    <font>
      <sz val="10"/>
      <color rgb="FF222222"/>
      <name val="Arial Narrow"/>
      <family val="2"/>
    </font>
    <font>
      <sz val="10"/>
      <color indexed="18"/>
      <name val="Arial Narrow"/>
      <family val="2"/>
    </font>
    <font>
      <b/>
      <sz val="10"/>
      <color indexed="61"/>
      <name val="Arial Narrow"/>
      <family val="2"/>
    </font>
    <font>
      <b/>
      <i/>
      <u/>
      <sz val="10"/>
      <name val="Arial"/>
      <family val="2"/>
    </font>
    <font>
      <sz val="10"/>
      <color rgb="FF002060"/>
      <name val="Arial Narrow"/>
      <family val="2"/>
    </font>
    <font>
      <b/>
      <sz val="10"/>
      <color rgb="FF002060"/>
      <name val="Cambria"/>
      <family val="1"/>
      <scheme val="major"/>
    </font>
    <font>
      <sz val="10"/>
      <color rgb="FF002060"/>
      <name val="Cambria"/>
      <family val="1"/>
      <scheme val="major"/>
    </font>
    <font>
      <b/>
      <sz val="10"/>
      <color indexed="8"/>
      <name val="Arial Narrow"/>
      <family val="2"/>
    </font>
    <font>
      <sz val="10"/>
      <color indexed="9"/>
      <name val="Arial Narrow"/>
      <family val="2"/>
    </font>
    <font>
      <b/>
      <i/>
      <sz val="10"/>
      <color theme="1"/>
      <name val="Arial Narrow"/>
      <family val="2"/>
    </font>
    <font>
      <sz val="10"/>
      <color rgb="FFFFFFCC"/>
      <name val="Arial Narrow"/>
      <family val="2"/>
    </font>
    <font>
      <i/>
      <sz val="10"/>
      <color theme="1"/>
      <name val="Arial Narrow"/>
      <family val="2"/>
    </font>
    <font>
      <b/>
      <sz val="10"/>
      <name val="Calibri"/>
      <family val="2"/>
    </font>
    <font>
      <sz val="10"/>
      <color indexed="18"/>
      <name val="Calibri"/>
      <family val="2"/>
    </font>
    <font>
      <b/>
      <sz val="10"/>
      <color indexed="18"/>
      <name val="Calibri"/>
      <family val="2"/>
    </font>
    <font>
      <b/>
      <u/>
      <sz val="14"/>
      <name val="Arial Narrow"/>
      <family val="2"/>
    </font>
    <font>
      <sz val="14"/>
      <name val="Arial Narrow"/>
      <family val="2"/>
    </font>
    <font>
      <sz val="14"/>
      <name val="Arial"/>
      <family val="2"/>
    </font>
    <font>
      <b/>
      <sz val="12"/>
      <color theme="1"/>
      <name val="Arial Narrow"/>
      <family val="2"/>
    </font>
    <font>
      <i/>
      <sz val="10"/>
      <name val="Arial Narrow"/>
      <family val="2"/>
    </font>
    <font>
      <u/>
      <sz val="10"/>
      <name val="Arial Narrow"/>
      <family val="2"/>
    </font>
    <font>
      <b/>
      <i/>
      <sz val="12"/>
      <name val="Arial Narrow"/>
      <family val="2"/>
    </font>
    <font>
      <sz val="9"/>
      <name val="Arial Narrow"/>
      <family val="2"/>
    </font>
    <font>
      <b/>
      <u/>
      <sz val="14"/>
      <color theme="1"/>
      <name val="Arial"/>
      <family val="2"/>
    </font>
    <font>
      <b/>
      <u/>
      <sz val="14"/>
      <color theme="3"/>
      <name val="Arial"/>
      <family val="2"/>
    </font>
    <font>
      <b/>
      <sz val="14"/>
      <color theme="3"/>
      <name val="Arial"/>
      <family val="2"/>
    </font>
    <font>
      <b/>
      <sz val="14"/>
      <color theme="1"/>
      <name val="Arial"/>
      <family val="2"/>
    </font>
    <font>
      <sz val="10"/>
      <color theme="1"/>
      <name val="Arial"/>
      <family val="2"/>
    </font>
    <font>
      <sz val="9"/>
      <color theme="1"/>
      <name val="Arial"/>
      <family val="2"/>
    </font>
    <font>
      <sz val="9"/>
      <name val="Arial"/>
      <family val="2"/>
    </font>
    <font>
      <sz val="10"/>
      <color theme="1"/>
      <name val="Tahoma"/>
      <family val="2"/>
    </font>
    <font>
      <sz val="10"/>
      <name val="Tahoma"/>
      <family val="2"/>
    </font>
    <font>
      <b/>
      <sz val="26"/>
      <color rgb="FFFF0000"/>
      <name val="Wide Latin"/>
      <family val="1"/>
    </font>
    <font>
      <b/>
      <i/>
      <sz val="26"/>
      <color rgb="FFFF0000"/>
      <name val="New Century Schoolbook"/>
      <family val="1"/>
    </font>
    <font>
      <sz val="11"/>
      <color theme="1"/>
      <name val="Calibri"/>
      <family val="2"/>
      <scheme val="minor"/>
    </font>
    <font>
      <sz val="9"/>
      <color theme="1"/>
      <name val="Arial Narrow"/>
    </font>
    <font>
      <sz val="9"/>
      <name val="Arial Narrow"/>
    </font>
    <font>
      <b/>
      <sz val="11"/>
      <color theme="0"/>
      <name val="Arial Narrow"/>
      <family val="2"/>
    </font>
  </fonts>
  <fills count="2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9900"/>
        <bgColor indexed="64"/>
      </patternFill>
    </fill>
    <fill>
      <patternFill patternType="solid">
        <fgColor rgb="FFFFC000"/>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rgb="FFFFFFE5"/>
        <bgColor indexed="64"/>
      </patternFill>
    </fill>
    <fill>
      <patternFill patternType="solid">
        <fgColor rgb="FFFFCC99"/>
        <bgColor indexed="64"/>
      </patternFill>
    </fill>
    <fill>
      <patternFill patternType="solid">
        <fgColor theme="0"/>
        <bgColor rgb="FF2E389A"/>
      </patternFill>
    </fill>
    <fill>
      <patternFill patternType="solid">
        <fgColor theme="0" tint="-4.9989318521683403E-2"/>
        <bgColor rgb="FF2E389A"/>
      </patternFill>
    </fill>
    <fill>
      <patternFill patternType="solid">
        <fgColor theme="8"/>
        <bgColor theme="8"/>
      </patternFill>
    </fill>
    <fill>
      <patternFill patternType="solid">
        <fgColor theme="8" tint="0.79998168889431442"/>
        <bgColor theme="8" tint="0.79998168889431442"/>
      </patternFill>
    </fill>
    <fill>
      <patternFill patternType="solid">
        <fgColor rgb="FF4BACC6"/>
        <bgColor theme="8"/>
      </patternFill>
    </fill>
    <fill>
      <patternFill patternType="solid">
        <fgColor rgb="FF4BACC6"/>
        <bgColor indexed="64"/>
      </patternFill>
    </fill>
  </fills>
  <borders count="210">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top style="thin">
        <color theme="3"/>
      </top>
      <bottom/>
      <diagonal/>
    </border>
    <border>
      <left/>
      <right style="thin">
        <color indexed="64"/>
      </right>
      <top style="thin">
        <color theme="3"/>
      </top>
      <bottom style="thin">
        <color indexed="64"/>
      </bottom>
      <diagonal/>
    </border>
    <border>
      <left style="thin">
        <color theme="3"/>
      </left>
      <right style="thin">
        <color theme="3"/>
      </right>
      <top style="thin">
        <color theme="3"/>
      </top>
      <bottom style="thin">
        <color theme="3"/>
      </bottom>
      <diagonal/>
    </border>
    <border>
      <left style="thin">
        <color theme="3"/>
      </left>
      <right/>
      <top/>
      <bottom/>
      <diagonal/>
    </border>
    <border>
      <left style="thin">
        <color theme="3"/>
      </left>
      <right/>
      <top/>
      <bottom style="thin">
        <color theme="3"/>
      </bottom>
      <diagonal/>
    </border>
    <border>
      <left/>
      <right/>
      <top/>
      <bottom style="thin">
        <color theme="3"/>
      </bottom>
      <diagonal/>
    </border>
    <border>
      <left/>
      <right style="hair">
        <color indexed="64"/>
      </right>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right/>
      <top style="thin">
        <color theme="3"/>
      </top>
      <bottom style="thin">
        <color indexed="64"/>
      </bottom>
      <diagonal/>
    </border>
    <border>
      <left style="hair">
        <color indexed="64"/>
      </left>
      <right style="thin">
        <color theme="3"/>
      </right>
      <top style="hair">
        <color indexed="64"/>
      </top>
      <bottom style="hair">
        <color indexed="64"/>
      </bottom>
      <diagonal/>
    </border>
    <border>
      <left/>
      <right style="hair">
        <color indexed="64"/>
      </right>
      <top style="hair">
        <color indexed="64"/>
      </top>
      <bottom style="thin">
        <color theme="3"/>
      </bottom>
      <diagonal/>
    </border>
    <border>
      <left style="hair">
        <color indexed="64"/>
      </left>
      <right style="hair">
        <color indexed="64"/>
      </right>
      <top style="hair">
        <color indexed="64"/>
      </top>
      <bottom style="thin">
        <color theme="3"/>
      </bottom>
      <diagonal/>
    </border>
    <border>
      <left style="hair">
        <color indexed="64"/>
      </left>
      <right style="thin">
        <color theme="3"/>
      </right>
      <top style="hair">
        <color indexed="64"/>
      </top>
      <bottom style="thin">
        <color theme="3"/>
      </bottom>
      <diagonal/>
    </border>
    <border>
      <left/>
      <right style="thin">
        <color theme="3"/>
      </right>
      <top style="thin">
        <color theme="3"/>
      </top>
      <bottom style="thin">
        <color theme="3"/>
      </bottom>
      <diagonal/>
    </border>
    <border>
      <left style="thin">
        <color theme="3"/>
      </left>
      <right style="hair">
        <color theme="3"/>
      </right>
      <top style="thin">
        <color theme="3"/>
      </top>
      <bottom style="hair">
        <color theme="3"/>
      </bottom>
      <diagonal/>
    </border>
    <border>
      <left style="thin">
        <color theme="3"/>
      </left>
      <right style="hair">
        <color theme="3"/>
      </right>
      <top style="hair">
        <color theme="3"/>
      </top>
      <bottom style="hair">
        <color theme="3"/>
      </bottom>
      <diagonal/>
    </border>
    <border>
      <left style="thin">
        <color theme="3"/>
      </left>
      <right style="hair">
        <color theme="3"/>
      </right>
      <top style="hair">
        <color theme="3"/>
      </top>
      <bottom style="thin">
        <color theme="3"/>
      </bottom>
      <diagonal/>
    </border>
    <border>
      <left style="hair">
        <color theme="3"/>
      </left>
      <right/>
      <top style="thin">
        <color theme="3"/>
      </top>
      <bottom style="hair">
        <color theme="3"/>
      </bottom>
      <diagonal/>
    </border>
    <border>
      <left/>
      <right/>
      <top style="thin">
        <color theme="3"/>
      </top>
      <bottom style="hair">
        <color theme="3"/>
      </bottom>
      <diagonal/>
    </border>
    <border>
      <left/>
      <right style="hair">
        <color theme="3"/>
      </right>
      <top style="thin">
        <color theme="3"/>
      </top>
      <bottom style="hair">
        <color theme="3"/>
      </bottom>
      <diagonal/>
    </border>
    <border>
      <left style="hair">
        <color theme="3"/>
      </left>
      <right/>
      <top style="hair">
        <color theme="3"/>
      </top>
      <bottom style="hair">
        <color theme="3"/>
      </bottom>
      <diagonal/>
    </border>
    <border>
      <left/>
      <right/>
      <top style="hair">
        <color theme="3"/>
      </top>
      <bottom style="hair">
        <color theme="3"/>
      </bottom>
      <diagonal/>
    </border>
    <border>
      <left/>
      <right style="hair">
        <color theme="3"/>
      </right>
      <top style="hair">
        <color theme="3"/>
      </top>
      <bottom style="hair">
        <color theme="3"/>
      </bottom>
      <diagonal/>
    </border>
    <border>
      <left style="hair">
        <color theme="3"/>
      </left>
      <right/>
      <top style="hair">
        <color theme="3"/>
      </top>
      <bottom style="thin">
        <color theme="3"/>
      </bottom>
      <diagonal/>
    </border>
    <border>
      <left/>
      <right/>
      <top style="hair">
        <color theme="3"/>
      </top>
      <bottom style="thin">
        <color theme="3"/>
      </bottom>
      <diagonal/>
    </border>
    <border>
      <left/>
      <right style="hair">
        <color theme="3"/>
      </right>
      <top style="hair">
        <color theme="3"/>
      </top>
      <bottom style="thin">
        <color theme="3"/>
      </bottom>
      <diagonal/>
    </border>
    <border>
      <left style="hair">
        <color indexed="64"/>
      </left>
      <right style="hair">
        <color indexed="64"/>
      </right>
      <top style="thin">
        <color theme="3"/>
      </top>
      <bottom style="hair">
        <color indexed="64"/>
      </bottom>
      <diagonal/>
    </border>
    <border>
      <left style="hair">
        <color indexed="64"/>
      </left>
      <right style="thin">
        <color theme="3"/>
      </right>
      <top style="thin">
        <color theme="3"/>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diagonal/>
    </border>
    <border>
      <left/>
      <right/>
      <top style="hair">
        <color indexed="64"/>
      </top>
      <bottom style="hair">
        <color indexed="64"/>
      </bottom>
      <diagonal/>
    </border>
    <border>
      <left style="hair">
        <color auto="1"/>
      </left>
      <right style="hair">
        <color auto="1"/>
      </right>
      <top/>
      <bottom/>
      <diagonal/>
    </border>
    <border>
      <left style="hair">
        <color auto="1"/>
      </left>
      <right style="hair">
        <color auto="1"/>
      </right>
      <top/>
      <bottom style="thin">
        <color indexed="9"/>
      </bottom>
      <diagonal/>
    </border>
    <border>
      <left style="hair">
        <color auto="1"/>
      </left>
      <right style="hair">
        <color auto="1"/>
      </right>
      <top style="hair">
        <color auto="1"/>
      </top>
      <bottom style="thin">
        <color indexed="9"/>
      </bottom>
      <diagonal/>
    </border>
    <border>
      <left style="hair">
        <color auto="1"/>
      </left>
      <right style="hair">
        <color auto="1"/>
      </right>
      <top style="thin">
        <color indexed="9"/>
      </top>
      <bottom style="thin">
        <color indexed="9"/>
      </bottom>
      <diagonal/>
    </border>
    <border>
      <left style="thin">
        <color auto="1"/>
      </left>
      <right style="hair">
        <color auto="1"/>
      </right>
      <top/>
      <bottom/>
      <diagonal/>
    </border>
    <border>
      <left style="hair">
        <color auto="1"/>
      </left>
      <right style="hair">
        <color auto="1"/>
      </right>
      <top/>
      <bottom style="thin">
        <color indexed="64"/>
      </bottom>
      <diagonal/>
    </border>
    <border>
      <left style="hair">
        <color auto="1"/>
      </left>
      <right style="thin">
        <color indexed="64"/>
      </right>
      <top/>
      <bottom style="thin">
        <color indexed="64"/>
      </bottom>
      <diagonal/>
    </border>
    <border>
      <left/>
      <right style="thin">
        <color indexed="64"/>
      </right>
      <top style="hair">
        <color auto="1"/>
      </top>
      <bottom/>
      <diagonal/>
    </border>
    <border>
      <left style="thin">
        <color auto="1"/>
      </left>
      <right/>
      <top style="thin">
        <color auto="1"/>
      </top>
      <bottom/>
      <diagonal/>
    </border>
    <border>
      <left/>
      <right style="hair">
        <color indexed="64"/>
      </right>
      <top style="thin">
        <color indexed="64"/>
      </top>
      <bottom/>
      <diagonal/>
    </border>
    <border>
      <left style="hair">
        <color auto="1"/>
      </left>
      <right/>
      <top style="thin">
        <color indexed="9"/>
      </top>
      <bottom/>
      <diagonal/>
    </border>
    <border>
      <left/>
      <right/>
      <top style="thin">
        <color indexed="9"/>
      </top>
      <bottom/>
      <diagonal/>
    </border>
    <border>
      <left/>
      <right style="thin">
        <color indexed="64"/>
      </right>
      <top style="thin">
        <color indexed="9"/>
      </top>
      <bottom/>
      <diagonal/>
    </border>
    <border>
      <left/>
      <right style="hair">
        <color indexed="64"/>
      </right>
      <top/>
      <bottom style="thin">
        <color auto="1"/>
      </bottom>
      <diagonal/>
    </border>
    <border>
      <left style="hair">
        <color indexed="64"/>
      </left>
      <right style="thin">
        <color auto="1"/>
      </right>
      <top/>
      <bottom style="thin">
        <color auto="1"/>
      </bottom>
      <diagonal/>
    </border>
    <border>
      <left style="hair">
        <color auto="1"/>
      </left>
      <right/>
      <top style="thin">
        <color indexed="9"/>
      </top>
      <bottom style="hair">
        <color auto="1"/>
      </bottom>
      <diagonal/>
    </border>
    <border>
      <left/>
      <right/>
      <top/>
      <bottom style="hair">
        <color auto="1"/>
      </bottom>
      <diagonal/>
    </border>
    <border>
      <left/>
      <right style="thin">
        <color indexed="64"/>
      </right>
      <top style="thin">
        <color indexed="9"/>
      </top>
      <bottom style="hair">
        <color auto="1"/>
      </bottom>
      <diagonal/>
    </border>
    <border>
      <left/>
      <right style="hair">
        <color indexed="64"/>
      </right>
      <top style="thin">
        <color auto="1"/>
      </top>
      <bottom style="thin">
        <color auto="1"/>
      </bottom>
      <diagonal/>
    </border>
    <border>
      <left style="thin">
        <color rgb="FF7030A0"/>
      </left>
      <right/>
      <top style="thin">
        <color rgb="FF7030A0"/>
      </top>
      <bottom style="thin">
        <color rgb="FF7030A0"/>
      </bottom>
      <diagonal/>
    </border>
    <border>
      <left/>
      <right/>
      <top style="thin">
        <color rgb="FF7030A0"/>
      </top>
      <bottom style="thin">
        <color rgb="FF7030A0"/>
      </bottom>
      <diagonal/>
    </border>
    <border>
      <left/>
      <right style="thin">
        <color rgb="FF7030A0"/>
      </right>
      <top style="thin">
        <color rgb="FF7030A0"/>
      </top>
      <bottom style="thin">
        <color rgb="FF7030A0"/>
      </bottom>
      <diagonal/>
    </border>
    <border>
      <left style="thin">
        <color rgb="FF381F7D"/>
      </left>
      <right/>
      <top style="thin">
        <color rgb="FF381F7D"/>
      </top>
      <bottom style="thin">
        <color rgb="FF381F7D"/>
      </bottom>
      <diagonal/>
    </border>
    <border>
      <left/>
      <right/>
      <top style="thin">
        <color rgb="FF381F7D"/>
      </top>
      <bottom style="thin">
        <color rgb="FF381F7D"/>
      </bottom>
      <diagonal/>
    </border>
    <border>
      <left/>
      <right style="thin">
        <color rgb="FF381F7D"/>
      </right>
      <top style="thin">
        <color rgb="FF381F7D"/>
      </top>
      <bottom style="thin">
        <color rgb="FF381F7D"/>
      </bottom>
      <diagonal/>
    </border>
    <border>
      <left style="thin">
        <color theme="4" tint="-0.24994659260841701"/>
      </left>
      <right/>
      <top style="thin">
        <color theme="4" tint="-0.24994659260841701"/>
      </top>
      <bottom style="hair">
        <color theme="4" tint="-0.24994659260841701"/>
      </bottom>
      <diagonal/>
    </border>
    <border>
      <left style="hair">
        <color rgb="FF7030A0"/>
      </left>
      <right/>
      <top style="thin">
        <color theme="4" tint="-0.24994659260841701"/>
      </top>
      <bottom style="hair">
        <color theme="4" tint="-0.24994659260841701"/>
      </bottom>
      <diagonal/>
    </border>
    <border>
      <left/>
      <right/>
      <top style="thin">
        <color theme="4" tint="-0.24994659260841701"/>
      </top>
      <bottom style="hair">
        <color theme="4" tint="-0.24994659260841701"/>
      </bottom>
      <diagonal/>
    </border>
    <border>
      <left/>
      <right style="hair">
        <color rgb="FF7030A0"/>
      </right>
      <top style="thin">
        <color theme="4" tint="-0.24994659260841701"/>
      </top>
      <bottom style="hair">
        <color theme="4" tint="-0.24994659260841701"/>
      </bottom>
      <diagonal/>
    </border>
    <border>
      <left/>
      <right style="thin">
        <color theme="4" tint="-0.24994659260841701"/>
      </right>
      <top style="thin">
        <color theme="4" tint="-0.24994659260841701"/>
      </top>
      <bottom style="hair">
        <color theme="4" tint="-0.24994659260841701"/>
      </bottom>
      <diagonal/>
    </border>
    <border>
      <left style="thin">
        <color theme="4" tint="-0.24994659260841701"/>
      </left>
      <right/>
      <top style="hair">
        <color theme="4" tint="-0.24994659260841701"/>
      </top>
      <bottom style="hair">
        <color theme="4" tint="-0.24994659260841701"/>
      </bottom>
      <diagonal/>
    </border>
    <border>
      <left style="hair">
        <color rgb="FF7030A0"/>
      </left>
      <right/>
      <top style="hair">
        <color theme="4" tint="-0.24994659260841701"/>
      </top>
      <bottom style="hair">
        <color theme="4" tint="-0.24994659260841701"/>
      </bottom>
      <diagonal/>
    </border>
    <border>
      <left/>
      <right/>
      <top style="hair">
        <color theme="4" tint="-0.24994659260841701"/>
      </top>
      <bottom style="hair">
        <color theme="4" tint="-0.24994659260841701"/>
      </bottom>
      <diagonal/>
    </border>
    <border>
      <left/>
      <right style="hair">
        <color rgb="FF7030A0"/>
      </right>
      <top style="hair">
        <color theme="4" tint="-0.24994659260841701"/>
      </top>
      <bottom style="hair">
        <color theme="4" tint="-0.24994659260841701"/>
      </bottom>
      <diagonal/>
    </border>
    <border>
      <left/>
      <right style="thin">
        <color theme="4" tint="-0.24994659260841701"/>
      </right>
      <top style="hair">
        <color theme="4" tint="-0.24994659260841701"/>
      </top>
      <bottom style="hair">
        <color theme="4" tint="-0.24994659260841701"/>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style="hair">
        <color rgb="FF7030A0"/>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right style="thin">
        <color rgb="FF7030A0"/>
      </right>
      <top style="thin">
        <color theme="4" tint="-0.24994659260841701"/>
      </top>
      <bottom style="thin">
        <color theme="4" tint="-0.24994659260841701"/>
      </bottom>
      <diagonal/>
    </border>
    <border>
      <left style="thin">
        <color theme="4" tint="-0.24994659260841701"/>
      </left>
      <right/>
      <top/>
      <bottom style="hair">
        <color theme="4" tint="-0.24994659260841701"/>
      </bottom>
      <diagonal/>
    </border>
    <border>
      <left style="hair">
        <color rgb="FF7030A0"/>
      </left>
      <right/>
      <top/>
      <bottom style="hair">
        <color theme="4" tint="-0.24994659260841701"/>
      </bottom>
      <diagonal/>
    </border>
    <border>
      <left/>
      <right/>
      <top/>
      <bottom style="hair">
        <color theme="4" tint="-0.24994659260841701"/>
      </bottom>
      <diagonal/>
    </border>
    <border>
      <left/>
      <right style="hair">
        <color rgb="FF7030A0"/>
      </right>
      <top/>
      <bottom style="hair">
        <color theme="4" tint="-0.24994659260841701"/>
      </bottom>
      <diagonal/>
    </border>
    <border>
      <left/>
      <right style="thin">
        <color theme="4" tint="-0.24994659260841701"/>
      </right>
      <top/>
      <bottom style="hair">
        <color theme="4" tint="-0.24994659260841701"/>
      </bottom>
      <diagonal/>
    </border>
    <border>
      <left style="thin">
        <color theme="4" tint="-0.24994659260841701"/>
      </left>
      <right/>
      <top style="hair">
        <color theme="4" tint="-0.24994659260841701"/>
      </top>
      <bottom/>
      <diagonal/>
    </border>
    <border>
      <left style="hair">
        <color rgb="FF7030A0"/>
      </left>
      <right/>
      <top style="hair">
        <color theme="4" tint="-0.24994659260841701"/>
      </top>
      <bottom/>
      <diagonal/>
    </border>
    <border>
      <left/>
      <right/>
      <top style="hair">
        <color theme="4" tint="-0.24994659260841701"/>
      </top>
      <bottom/>
      <diagonal/>
    </border>
    <border>
      <left/>
      <right style="hair">
        <color rgb="FF7030A0"/>
      </right>
      <top style="hair">
        <color theme="4" tint="-0.24994659260841701"/>
      </top>
      <bottom/>
      <diagonal/>
    </border>
    <border>
      <left/>
      <right style="thin">
        <color theme="4" tint="-0.24994659260841701"/>
      </right>
      <top style="hair">
        <color theme="4" tint="-0.24994659260841701"/>
      </top>
      <bottom/>
      <diagonal/>
    </border>
    <border>
      <left style="thin">
        <color theme="4" tint="-0.24994659260841701"/>
      </left>
      <right/>
      <top/>
      <bottom style="thin">
        <color theme="4" tint="-0.24994659260841701"/>
      </bottom>
      <diagonal/>
    </border>
    <border>
      <left style="hair">
        <color rgb="FF7030A0"/>
      </left>
      <right/>
      <top/>
      <bottom style="thin">
        <color theme="4" tint="-0.24994659260841701"/>
      </bottom>
      <diagonal/>
    </border>
    <border>
      <left/>
      <right/>
      <top/>
      <bottom style="thin">
        <color theme="4" tint="-0.24994659260841701"/>
      </bottom>
      <diagonal/>
    </border>
    <border>
      <left/>
      <right style="hair">
        <color rgb="FF7030A0"/>
      </right>
      <top/>
      <bottom style="thin">
        <color theme="4" tint="-0.24994659260841701"/>
      </bottom>
      <diagonal/>
    </border>
    <border>
      <left/>
      <right style="thin">
        <color theme="4" tint="-0.24994659260841701"/>
      </right>
      <top/>
      <bottom style="thin">
        <color theme="4" tint="-0.2499465926084170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thin">
        <color auto="1"/>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theme="3"/>
      </top>
      <bottom/>
      <diagonal/>
    </border>
    <border>
      <left style="hair">
        <color indexed="64"/>
      </left>
      <right style="thin">
        <color indexed="64"/>
      </right>
      <top style="thin">
        <color indexed="64"/>
      </top>
      <bottom/>
      <diagonal/>
    </border>
    <border>
      <left style="thin">
        <color indexed="64"/>
      </left>
      <right/>
      <top style="thin">
        <color indexed="9"/>
      </top>
      <bottom/>
      <diagonal/>
    </border>
    <border>
      <left/>
      <right/>
      <top style="thin">
        <color indexed="9"/>
      </top>
      <bottom/>
      <diagonal/>
    </border>
    <border>
      <left style="hair">
        <color indexed="64"/>
      </left>
      <right style="thin">
        <color indexed="64"/>
      </right>
      <top/>
      <bottom style="thin">
        <color theme="3"/>
      </bottom>
      <diagonal/>
    </border>
    <border>
      <left style="thin">
        <color indexed="64"/>
      </left>
      <right/>
      <top style="thin">
        <color indexed="9"/>
      </top>
      <bottom style="thin">
        <color indexed="64"/>
      </bottom>
      <diagonal/>
    </border>
    <border>
      <left/>
      <right/>
      <top style="thin">
        <color indexed="9"/>
      </top>
      <bottom style="thin">
        <color indexed="64"/>
      </bottom>
      <diagonal/>
    </border>
    <border>
      <left style="thin">
        <color theme="3"/>
      </left>
      <right/>
      <top style="thin">
        <color theme="3"/>
      </top>
      <bottom style="thin">
        <color indexed="64"/>
      </bottom>
      <diagonal/>
    </border>
    <border>
      <left/>
      <right style="hair">
        <color indexed="64"/>
      </right>
      <top style="thin">
        <color theme="3"/>
      </top>
      <bottom style="thin">
        <color indexed="64"/>
      </bottom>
      <diagonal/>
    </border>
    <border>
      <left style="hair">
        <color indexed="64"/>
      </left>
      <right style="thin">
        <color indexed="64"/>
      </right>
      <top style="thin">
        <color theme="3"/>
      </top>
      <bottom style="thin">
        <color indexed="64"/>
      </bottom>
      <diagonal/>
    </border>
    <border>
      <left style="thin">
        <color auto="1"/>
      </left>
      <right/>
      <top style="thin">
        <color auto="1"/>
      </top>
      <bottom/>
      <diagonal/>
    </border>
    <border>
      <left/>
      <right/>
      <top style="thin">
        <color auto="1"/>
      </top>
      <bottom/>
      <diagonal/>
    </border>
    <border>
      <left/>
      <right style="hair">
        <color indexed="64"/>
      </right>
      <top style="thin">
        <color auto="1"/>
      </top>
      <bottom/>
      <diagonal/>
    </border>
    <border>
      <left/>
      <right style="thin">
        <color indexed="64"/>
      </right>
      <top style="thin">
        <color indexed="64"/>
      </top>
      <bottom/>
      <diagonal/>
    </border>
    <border>
      <left style="thin">
        <color rgb="FF000000"/>
      </left>
      <right style="thin">
        <color indexed="64"/>
      </right>
      <top style="thin">
        <color rgb="FF000000"/>
      </top>
      <bottom style="thin">
        <color auto="1"/>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auto="1"/>
      </bottom>
      <diagonal/>
    </border>
    <border>
      <left style="thin">
        <color rgb="FF000000"/>
      </left>
      <right style="thin">
        <color indexed="64"/>
      </right>
      <top style="thin">
        <color auto="1"/>
      </top>
      <bottom style="thin">
        <color rgb="FF000000"/>
      </bottom>
      <diagonal/>
    </border>
    <border>
      <left style="thin">
        <color indexed="64"/>
      </left>
      <right style="thin">
        <color indexed="64"/>
      </right>
      <top style="thin">
        <color auto="1"/>
      </top>
      <bottom style="thin">
        <color rgb="FF000000"/>
      </bottom>
      <diagonal/>
    </border>
    <border>
      <left style="thin">
        <color indexed="64"/>
      </left>
      <right style="thin">
        <color rgb="FF000000"/>
      </right>
      <top style="thin">
        <color auto="1"/>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right/>
      <top style="thin">
        <color indexed="9"/>
      </top>
      <bottom/>
      <diagonal/>
    </border>
    <border>
      <left/>
      <right/>
      <top style="thin">
        <color auto="1"/>
      </top>
      <bottom style="thin">
        <color auto="1"/>
      </bottom>
      <diagonal/>
    </border>
    <border>
      <left/>
      <right style="thin">
        <color indexed="64"/>
      </right>
      <top style="thin">
        <color rgb="FF000000"/>
      </top>
      <bottom style="thin">
        <color auto="1"/>
      </bottom>
      <diagonal/>
    </border>
    <border>
      <left/>
      <right style="thin">
        <color indexed="64"/>
      </right>
      <top style="thin">
        <color auto="1"/>
      </top>
      <bottom style="thin">
        <color rgb="FF000000"/>
      </bottom>
      <diagonal/>
    </border>
    <border>
      <left style="thin">
        <color indexed="64"/>
      </left>
      <right style="thin">
        <color indexed="64"/>
      </right>
      <top style="thin">
        <color indexed="64"/>
      </top>
      <bottom/>
      <diagonal/>
    </border>
    <border>
      <left style="thin">
        <color theme="8" tint="0.39997558519241921"/>
      </left>
      <right/>
      <top style="thin">
        <color theme="8" tint="0.39997558519241921"/>
      </top>
      <bottom style="thin">
        <color theme="8" tint="0.39997558519241921"/>
      </bottom>
      <diagonal/>
    </border>
    <border>
      <left/>
      <right/>
      <top style="thin">
        <color theme="8" tint="0.39997558519241921"/>
      </top>
      <bottom style="thin">
        <color theme="8" tint="0.39997558519241921"/>
      </bottom>
      <diagonal/>
    </border>
    <border>
      <left style="thin">
        <color theme="8" tint="0.39997558519241921"/>
      </left>
      <right/>
      <top style="thin">
        <color theme="8" tint="0.39997558519241921"/>
      </top>
      <bottom/>
      <diagonal/>
    </border>
    <border>
      <left/>
      <right/>
      <top style="thin">
        <color theme="8" tint="0.39997558519241921"/>
      </top>
      <bottom/>
      <diagonal/>
    </border>
  </borders>
  <cellStyleXfs count="11">
    <xf numFmtId="0" fontId="0" fillId="0" borderId="0" applyNumberFormat="0" applyBorder="0" applyAlignment="0" applyProtection="0"/>
    <xf numFmtId="165" fontId="2" fillId="0" borderId="0" applyFont="0" applyFill="0" applyBorder="0" applyAlignment="0" applyProtection="0"/>
    <xf numFmtId="167" fontId="9" fillId="0" borderId="0" applyFont="0" applyFill="0" applyBorder="0" applyAlignment="0" applyProtection="0"/>
    <xf numFmtId="175" fontId="9"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2" fillId="0" borderId="0"/>
    <xf numFmtId="184" fontId="2" fillId="0" borderId="0" applyFont="0" applyFill="0" applyBorder="0" applyAlignment="0" applyProtection="0"/>
    <xf numFmtId="0" fontId="92" fillId="0" borderId="0"/>
    <xf numFmtId="0" fontId="92" fillId="0" borderId="0"/>
  </cellStyleXfs>
  <cellXfs count="1187">
    <xf numFmtId="0" fontId="0" fillId="0" borderId="0" xfId="0"/>
    <xf numFmtId="0" fontId="12" fillId="0" borderId="36" xfId="4" applyFont="1" applyBorder="1" applyAlignment="1" applyProtection="1">
      <alignment horizontal="center" vertical="center"/>
    </xf>
    <xf numFmtId="0" fontId="12" fillId="0" borderId="2" xfId="4" applyFont="1" applyBorder="1" applyAlignment="1" applyProtection="1">
      <alignment horizontal="center" vertical="center"/>
    </xf>
    <xf numFmtId="0" fontId="12" fillId="0" borderId="2" xfId="4" applyFont="1" applyBorder="1" applyProtection="1"/>
    <xf numFmtId="177" fontId="3" fillId="0" borderId="18" xfId="4" applyNumberFormat="1" applyFont="1" applyBorder="1" applyAlignment="1" applyProtection="1">
      <alignment horizontal="center" vertical="center"/>
    </xf>
    <xf numFmtId="177" fontId="3" fillId="9" borderId="19" xfId="4" applyNumberFormat="1" applyFont="1" applyFill="1" applyBorder="1" applyAlignment="1" applyProtection="1">
      <alignment horizontal="center" vertical="center"/>
    </xf>
    <xf numFmtId="177" fontId="3" fillId="12" borderId="20" xfId="4" applyNumberFormat="1" applyFont="1" applyFill="1" applyBorder="1" applyAlignment="1" applyProtection="1">
      <alignment horizontal="center" vertical="center"/>
    </xf>
    <xf numFmtId="0" fontId="2" fillId="0" borderId="0" xfId="4" applyFont="1" applyProtection="1"/>
    <xf numFmtId="0" fontId="2" fillId="0" borderId="0" xfId="4" applyFont="1" applyFill="1" applyBorder="1" applyProtection="1"/>
    <xf numFmtId="0" fontId="14" fillId="0" borderId="0" xfId="4" applyFont="1" applyProtection="1"/>
    <xf numFmtId="0" fontId="3" fillId="0" borderId="0" xfId="4" applyFont="1" applyBorder="1" applyProtection="1"/>
    <xf numFmtId="0" fontId="15" fillId="0" borderId="0" xfId="4" applyFont="1" applyAlignment="1" applyProtection="1">
      <alignment horizontal="right"/>
    </xf>
    <xf numFmtId="0" fontId="2" fillId="0" borderId="134" xfId="4" applyFont="1" applyBorder="1" applyAlignment="1" applyProtection="1">
      <alignment horizontal="center" vertical="center"/>
    </xf>
    <xf numFmtId="0" fontId="2" fillId="0" borderId="0" xfId="4" applyFont="1" applyBorder="1" applyProtection="1"/>
    <xf numFmtId="0" fontId="22" fillId="5" borderId="0" xfId="4" applyFont="1" applyFill="1" applyBorder="1" applyAlignment="1" applyProtection="1"/>
    <xf numFmtId="0" fontId="22" fillId="0" borderId="0" xfId="4" applyFont="1" applyBorder="1" applyProtection="1"/>
    <xf numFmtId="0" fontId="22" fillId="5" borderId="0" xfId="4" applyFont="1" applyFill="1" applyBorder="1" applyAlignment="1" applyProtection="1">
      <alignment vertical="top" wrapText="1" readingOrder="1"/>
    </xf>
    <xf numFmtId="0" fontId="22" fillId="0" borderId="99" xfId="4" applyFont="1" applyBorder="1" applyProtection="1"/>
    <xf numFmtId="0" fontId="28" fillId="5" borderId="0" xfId="4" applyFont="1" applyFill="1" applyBorder="1" applyAlignment="1" applyProtection="1"/>
    <xf numFmtId="0" fontId="22" fillId="0" borderId="0" xfId="4" applyFont="1" applyProtection="1"/>
    <xf numFmtId="0" fontId="28" fillId="5" borderId="125" xfId="4" applyFont="1" applyFill="1" applyBorder="1" applyAlignment="1" applyProtection="1"/>
    <xf numFmtId="177" fontId="28" fillId="5" borderId="128" xfId="4" applyNumberFormat="1" applyFont="1" applyFill="1" applyBorder="1" applyAlignment="1" applyProtection="1"/>
    <xf numFmtId="177" fontId="28" fillId="5" borderId="133" xfId="4" applyNumberFormat="1" applyFont="1" applyFill="1" applyBorder="1" applyAlignment="1" applyProtection="1"/>
    <xf numFmtId="182" fontId="33" fillId="0" borderId="137" xfId="4" applyNumberFormat="1" applyFont="1" applyFill="1" applyBorder="1" applyAlignment="1" applyProtection="1"/>
    <xf numFmtId="0" fontId="34" fillId="3" borderId="70" xfId="4" applyFont="1" applyFill="1" applyBorder="1" applyAlignment="1" applyProtection="1">
      <alignment horizontal="right"/>
    </xf>
    <xf numFmtId="182" fontId="28" fillId="5" borderId="0" xfId="4" applyNumberFormat="1" applyFont="1" applyFill="1" applyBorder="1" applyAlignment="1" applyProtection="1">
      <alignment horizontal="right"/>
    </xf>
    <xf numFmtId="177" fontId="28" fillId="5" borderId="145" xfId="4" applyNumberFormat="1" applyFont="1" applyFill="1" applyBorder="1" applyAlignment="1" applyProtection="1"/>
    <xf numFmtId="177" fontId="28" fillId="5" borderId="150" xfId="4" applyNumberFormat="1" applyFont="1" applyFill="1" applyBorder="1" applyAlignment="1" applyProtection="1"/>
    <xf numFmtId="177" fontId="28" fillId="5" borderId="155" xfId="4" applyNumberFormat="1" applyFont="1" applyFill="1" applyBorder="1" applyAlignment="1" applyProtection="1"/>
    <xf numFmtId="0" fontId="35" fillId="0" borderId="0" xfId="4" applyFont="1" applyFill="1" applyBorder="1" applyAlignment="1" applyProtection="1"/>
    <xf numFmtId="0" fontId="22" fillId="5" borderId="0" xfId="4" applyFont="1" applyFill="1" applyBorder="1" applyAlignment="1" applyProtection="1">
      <alignment horizontal="left" vertical="center"/>
    </xf>
    <xf numFmtId="0" fontId="22" fillId="5" borderId="0" xfId="4" applyFont="1" applyFill="1" applyBorder="1" applyAlignment="1" applyProtection="1">
      <alignment horizontal="left" vertical="center" readingOrder="1"/>
    </xf>
    <xf numFmtId="0" fontId="21" fillId="0" borderId="0" xfId="0" applyFont="1" applyAlignment="1"/>
    <xf numFmtId="0" fontId="21" fillId="5" borderId="0" xfId="0" applyFont="1" applyFill="1" applyBorder="1" applyAlignment="1">
      <alignment horizontal="center"/>
    </xf>
    <xf numFmtId="2" fontId="20" fillId="5" borderId="0" xfId="0" applyNumberFormat="1" applyFont="1" applyFill="1" applyBorder="1" applyAlignment="1"/>
    <xf numFmtId="0" fontId="21" fillId="5" borderId="0" xfId="0" applyFont="1" applyFill="1" applyBorder="1" applyAlignment="1"/>
    <xf numFmtId="0" fontId="40" fillId="5" borderId="0" xfId="0" applyFont="1" applyFill="1" applyBorder="1" applyAlignment="1">
      <alignment shrinkToFit="1"/>
    </xf>
    <xf numFmtId="0" fontId="23" fillId="5" borderId="0" xfId="0" applyFont="1" applyFill="1" applyBorder="1" applyAlignment="1">
      <alignment shrinkToFit="1"/>
    </xf>
    <xf numFmtId="0" fontId="23" fillId="5" borderId="0" xfId="0" applyFont="1" applyFill="1" applyBorder="1" applyAlignment="1"/>
    <xf numFmtId="0" fontId="20" fillId="2" borderId="62" xfId="0" applyNumberFormat="1" applyFont="1" applyFill="1" applyBorder="1" applyAlignment="1" applyProtection="1">
      <alignment horizontal="center"/>
    </xf>
    <xf numFmtId="170" fontId="17" fillId="2" borderId="0" xfId="0" applyNumberFormat="1" applyFont="1" applyFill="1" applyBorder="1" applyAlignment="1" applyProtection="1">
      <alignment horizontal="center"/>
      <protection locked="0"/>
    </xf>
    <xf numFmtId="0" fontId="20" fillId="2" borderId="0" xfId="0" applyNumberFormat="1" applyFont="1" applyFill="1" applyBorder="1" applyAlignment="1" applyProtection="1">
      <alignment horizontal="center"/>
    </xf>
    <xf numFmtId="0" fontId="21" fillId="0" borderId="0" xfId="0" applyFont="1" applyFill="1" applyAlignment="1"/>
    <xf numFmtId="0" fontId="21" fillId="5" borderId="81" xfId="0" applyFont="1" applyFill="1" applyBorder="1" applyAlignment="1">
      <alignment horizontal="center"/>
    </xf>
    <xf numFmtId="0" fontId="21" fillId="5" borderId="82" xfId="0" applyFont="1" applyFill="1" applyBorder="1" applyAlignment="1"/>
    <xf numFmtId="0" fontId="21" fillId="5" borderId="60" xfId="0" applyFont="1" applyFill="1" applyBorder="1" applyAlignment="1"/>
    <xf numFmtId="0" fontId="21" fillId="5" borderId="56" xfId="0" applyFont="1" applyFill="1" applyBorder="1" applyAlignment="1"/>
    <xf numFmtId="0" fontId="21" fillId="5" borderId="57" xfId="0" applyFont="1" applyFill="1" applyBorder="1" applyAlignment="1"/>
    <xf numFmtId="0" fontId="21" fillId="5" borderId="84" xfId="0" applyFont="1" applyFill="1" applyBorder="1" applyAlignment="1">
      <alignment horizontal="center"/>
    </xf>
    <xf numFmtId="0" fontId="21" fillId="5" borderId="85" xfId="0" applyFont="1" applyFill="1" applyBorder="1" applyAlignment="1"/>
    <xf numFmtId="0" fontId="21" fillId="5" borderId="61" xfId="0" applyFont="1" applyFill="1" applyBorder="1" applyAlignment="1"/>
    <xf numFmtId="0" fontId="21" fillId="5" borderId="58" xfId="0" applyFont="1" applyFill="1" applyBorder="1" applyAlignment="1"/>
    <xf numFmtId="0" fontId="21" fillId="5" borderId="87" xfId="0" applyFont="1" applyFill="1" applyBorder="1" applyAlignment="1">
      <alignment horizontal="center"/>
    </xf>
    <xf numFmtId="0" fontId="21" fillId="5" borderId="88" xfId="0" applyFont="1" applyFill="1" applyBorder="1" applyAlignment="1"/>
    <xf numFmtId="0" fontId="21" fillId="5" borderId="73" xfId="0" applyFont="1" applyFill="1" applyBorder="1" applyAlignment="1"/>
    <xf numFmtId="0" fontId="21" fillId="5" borderId="74" xfId="0" applyFont="1" applyFill="1" applyBorder="1" applyAlignment="1"/>
    <xf numFmtId="0" fontId="20" fillId="5" borderId="0" xfId="0" applyNumberFormat="1" applyFont="1" applyFill="1" applyBorder="1" applyAlignment="1" applyProtection="1"/>
    <xf numFmtId="0" fontId="20" fillId="5" borderId="0" xfId="0" applyNumberFormat="1" applyFont="1" applyFill="1" applyBorder="1" applyAlignment="1" applyProtection="1">
      <alignment horizontal="center"/>
    </xf>
    <xf numFmtId="2" fontId="20" fillId="5" borderId="0" xfId="0" applyNumberFormat="1" applyFont="1" applyFill="1" applyBorder="1" applyAlignment="1" applyProtection="1"/>
    <xf numFmtId="0" fontId="29" fillId="5" borderId="0" xfId="0" applyFont="1" applyFill="1" applyBorder="1" applyAlignment="1"/>
    <xf numFmtId="0" fontId="30" fillId="5" borderId="0" xfId="0" applyNumberFormat="1" applyFont="1" applyFill="1" applyBorder="1" applyAlignment="1" applyProtection="1">
      <alignment horizontal="center"/>
    </xf>
    <xf numFmtId="2" fontId="30" fillId="5" borderId="0" xfId="0" applyNumberFormat="1" applyFont="1" applyFill="1" applyBorder="1" applyAlignment="1" applyProtection="1"/>
    <xf numFmtId="0" fontId="30" fillId="5" borderId="0" xfId="0" applyNumberFormat="1" applyFont="1" applyFill="1" applyBorder="1" applyAlignment="1" applyProtection="1"/>
    <xf numFmtId="0" fontId="21" fillId="5" borderId="0" xfId="0" applyFont="1" applyFill="1" applyAlignment="1"/>
    <xf numFmtId="0" fontId="21" fillId="5" borderId="0" xfId="0" applyFont="1" applyFill="1" applyAlignment="1">
      <alignment horizontal="center"/>
    </xf>
    <xf numFmtId="2" fontId="20" fillId="5" borderId="0" xfId="0" applyNumberFormat="1" applyFont="1" applyFill="1" applyAlignment="1"/>
    <xf numFmtId="0" fontId="21" fillId="0" borderId="0" xfId="0" applyFont="1" applyFill="1" applyAlignment="1">
      <alignment horizontal="center"/>
    </xf>
    <xf numFmtId="2" fontId="20" fillId="0" borderId="0" xfId="0" applyNumberFormat="1" applyFont="1" applyFill="1" applyAlignment="1"/>
    <xf numFmtId="0" fontId="29" fillId="0" borderId="0" xfId="0" applyFont="1"/>
    <xf numFmtId="0" fontId="22" fillId="0" borderId="1" xfId="0" applyFont="1" applyBorder="1" applyAlignment="1">
      <alignment horizontal="left" vertical="center"/>
    </xf>
    <xf numFmtId="0" fontId="28" fillId="0" borderId="0" xfId="0" applyFont="1"/>
    <xf numFmtId="0" fontId="28" fillId="3" borderId="1" xfId="0" applyFont="1" applyFill="1" applyBorder="1" applyAlignment="1">
      <alignment horizontal="center" vertical="center"/>
    </xf>
    <xf numFmtId="177" fontId="28" fillId="0" borderId="2" xfId="0" applyNumberFormat="1" applyFont="1" applyBorder="1" applyAlignment="1">
      <alignment horizontal="center" vertical="center"/>
    </xf>
    <xf numFmtId="0" fontId="28" fillId="0" borderId="8" xfId="0" applyFont="1" applyBorder="1" applyAlignment="1">
      <alignment horizontal="center"/>
    </xf>
    <xf numFmtId="0" fontId="28" fillId="0" borderId="8" xfId="0" applyFont="1" applyBorder="1" applyAlignment="1">
      <alignment horizontal="center" vertical="center"/>
    </xf>
    <xf numFmtId="0" fontId="28" fillId="3" borderId="1" xfId="0" applyFont="1" applyFill="1" applyBorder="1"/>
    <xf numFmtId="0" fontId="28" fillId="0" borderId="2" xfId="0" applyFont="1" applyBorder="1"/>
    <xf numFmtId="0" fontId="28" fillId="0" borderId="8" xfId="0" applyFont="1" applyBorder="1"/>
    <xf numFmtId="0" fontId="28" fillId="0" borderId="34" xfId="0" applyFont="1" applyBorder="1"/>
    <xf numFmtId="0" fontId="28" fillId="0" borderId="0" xfId="0" applyFont="1" applyAlignment="1">
      <alignment horizontal="center"/>
    </xf>
    <xf numFmtId="0" fontId="44" fillId="4" borderId="10" xfId="0" applyFont="1" applyFill="1" applyBorder="1" applyAlignment="1">
      <alignment horizontal="center" vertical="center"/>
    </xf>
    <xf numFmtId="0" fontId="44" fillId="4" borderId="12" xfId="0" applyFont="1" applyFill="1" applyBorder="1" applyAlignment="1">
      <alignment horizontal="center" vertical="center"/>
    </xf>
    <xf numFmtId="0" fontId="44" fillId="4" borderId="13" xfId="0" applyFont="1" applyFill="1" applyBorder="1" applyAlignment="1">
      <alignment horizontal="center" vertical="center"/>
    </xf>
    <xf numFmtId="0" fontId="44" fillId="4" borderId="1" xfId="0" applyFont="1" applyFill="1" applyBorder="1" applyAlignment="1">
      <alignment horizontal="center" vertical="center"/>
    </xf>
    <xf numFmtId="0" fontId="44" fillId="4" borderId="2" xfId="0" applyFont="1" applyFill="1" applyBorder="1" applyAlignment="1">
      <alignment horizontal="center" vertical="center"/>
    </xf>
    <xf numFmtId="0" fontId="44" fillId="4" borderId="8" xfId="0" applyFont="1" applyFill="1" applyBorder="1" applyAlignment="1">
      <alignment horizontal="center" vertical="center"/>
    </xf>
    <xf numFmtId="0" fontId="28" fillId="0" borderId="16" xfId="0" applyFont="1" applyBorder="1"/>
    <xf numFmtId="0" fontId="28" fillId="0" borderId="2" xfId="0" applyFont="1" applyBorder="1" applyAlignment="1">
      <alignment horizontal="center" vertical="center"/>
    </xf>
    <xf numFmtId="0" fontId="28" fillId="0" borderId="17" xfId="0" applyFont="1" applyBorder="1"/>
    <xf numFmtId="0" fontId="28" fillId="0" borderId="1" xfId="0" applyFont="1" applyBorder="1"/>
    <xf numFmtId="0" fontId="28" fillId="0" borderId="4" xfId="0" applyFont="1" applyBorder="1"/>
    <xf numFmtId="0" fontId="28" fillId="0" borderId="5" xfId="0" applyFont="1" applyBorder="1" applyAlignment="1">
      <alignment horizontal="center" vertical="center"/>
    </xf>
    <xf numFmtId="0" fontId="28" fillId="0" borderId="9" xfId="0" applyFont="1" applyBorder="1"/>
    <xf numFmtId="0" fontId="44" fillId="4" borderId="24" xfId="0" applyFont="1" applyFill="1" applyBorder="1" applyAlignment="1">
      <alignment horizontal="center" vertical="center"/>
    </xf>
    <xf numFmtId="0" fontId="44" fillId="4" borderId="25" xfId="0" applyFont="1" applyFill="1" applyBorder="1" applyAlignment="1">
      <alignment horizontal="center" vertical="center"/>
    </xf>
    <xf numFmtId="0" fontId="22" fillId="4" borderId="10" xfId="0" applyFont="1" applyFill="1" applyBorder="1" applyAlignment="1">
      <alignment horizontal="left" vertical="center"/>
    </xf>
    <xf numFmtId="0" fontId="22" fillId="0" borderId="1" xfId="0" applyFont="1" applyBorder="1" applyAlignment="1">
      <alignment horizontal="left" vertical="center" wrapText="1"/>
    </xf>
    <xf numFmtId="2" fontId="22" fillId="3" borderId="12" xfId="0" applyNumberFormat="1" applyFont="1" applyFill="1" applyBorder="1" applyAlignment="1">
      <alignment horizontal="center" vertical="center"/>
    </xf>
    <xf numFmtId="2" fontId="22" fillId="3" borderId="13" xfId="2" applyNumberFormat="1" applyFont="1" applyFill="1" applyBorder="1" applyAlignment="1">
      <alignment horizontal="center" vertical="center"/>
    </xf>
    <xf numFmtId="2" fontId="22" fillId="0" borderId="2" xfId="0" applyNumberFormat="1" applyFont="1" applyFill="1" applyBorder="1" applyAlignment="1">
      <alignment horizontal="center" vertical="center"/>
    </xf>
    <xf numFmtId="2" fontId="22" fillId="0" borderId="8" xfId="0" applyNumberFormat="1" applyFont="1" applyFill="1" applyBorder="1" applyAlignment="1">
      <alignment horizontal="center" vertical="center"/>
    </xf>
    <xf numFmtId="0" fontId="28" fillId="0" borderId="1" xfId="0" applyFont="1" applyBorder="1" applyAlignment="1">
      <alignment horizontal="left" vertical="center"/>
    </xf>
    <xf numFmtId="2" fontId="22" fillId="0" borderId="8" xfId="2" applyNumberFormat="1" applyFont="1" applyFill="1" applyBorder="1" applyAlignment="1">
      <alignment horizontal="center" vertical="center"/>
    </xf>
    <xf numFmtId="2" fontId="22" fillId="3" borderId="2" xfId="0" applyNumberFormat="1" applyFont="1" applyFill="1" applyBorder="1" applyAlignment="1">
      <alignment horizontal="center" vertical="center"/>
    </xf>
    <xf numFmtId="2" fontId="22" fillId="3" borderId="8" xfId="2" applyNumberFormat="1" applyFont="1" applyFill="1" applyBorder="1" applyAlignment="1">
      <alignment horizontal="center" vertical="center"/>
    </xf>
    <xf numFmtId="0" fontId="28" fillId="9" borderId="1" xfId="0" applyFont="1" applyFill="1" applyBorder="1" applyAlignment="1">
      <alignment horizontal="left" vertical="center"/>
    </xf>
    <xf numFmtId="0" fontId="28" fillId="0" borderId="1" xfId="0" applyFont="1" applyBorder="1" applyAlignment="1">
      <alignment horizontal="left" vertical="center" wrapText="1"/>
    </xf>
    <xf numFmtId="0" fontId="33" fillId="9" borderId="4" xfId="0" applyFont="1" applyFill="1" applyBorder="1" applyAlignment="1">
      <alignment horizontal="left" vertical="center"/>
    </xf>
    <xf numFmtId="0" fontId="29" fillId="0" borderId="0" xfId="0" applyFont="1" applyFill="1"/>
    <xf numFmtId="0" fontId="22" fillId="0" borderId="0" xfId="0" applyNumberFormat="1" applyFont="1" applyFill="1" applyBorder="1" applyAlignment="1" applyProtection="1">
      <alignment vertical="top"/>
    </xf>
    <xf numFmtId="0" fontId="26" fillId="0" borderId="15" xfId="0" applyNumberFormat="1" applyFont="1" applyFill="1" applyBorder="1" applyAlignment="1" applyProtection="1">
      <alignment vertical="center"/>
    </xf>
    <xf numFmtId="0" fontId="26" fillId="0" borderId="22" xfId="0" applyNumberFormat="1" applyFont="1" applyFill="1" applyBorder="1" applyAlignment="1" applyProtection="1">
      <alignment vertical="center"/>
    </xf>
    <xf numFmtId="0" fontId="26" fillId="0" borderId="15" xfId="0" applyNumberFormat="1" applyFont="1" applyFill="1" applyBorder="1" applyAlignment="1" applyProtection="1">
      <alignment horizontal="center" vertical="center"/>
    </xf>
    <xf numFmtId="0" fontId="26" fillId="0" borderId="22" xfId="0" applyNumberFormat="1" applyFont="1" applyFill="1" applyBorder="1" applyAlignment="1" applyProtection="1">
      <alignment horizontal="center" vertical="center"/>
    </xf>
    <xf numFmtId="2" fontId="36" fillId="0" borderId="23" xfId="0" applyNumberFormat="1" applyFont="1" applyFill="1" applyBorder="1" applyAlignment="1" applyProtection="1">
      <alignment horizontal="center" vertical="center"/>
    </xf>
    <xf numFmtId="9" fontId="36" fillId="0" borderId="167" xfId="0" applyNumberFormat="1" applyFont="1" applyFill="1" applyBorder="1" applyAlignment="1" applyProtection="1">
      <alignment horizontal="center" vertical="center"/>
    </xf>
    <xf numFmtId="9" fontId="36" fillId="0" borderId="165" xfId="0" applyNumberFormat="1" applyFont="1" applyFill="1" applyBorder="1" applyAlignment="1" applyProtection="1">
      <alignment horizontal="center" vertical="center"/>
    </xf>
    <xf numFmtId="9" fontId="36" fillId="0" borderId="37" xfId="0" applyNumberFormat="1" applyFont="1" applyFill="1" applyBorder="1" applyAlignment="1" applyProtection="1">
      <alignment horizontal="center" vertical="center"/>
    </xf>
    <xf numFmtId="0" fontId="47" fillId="0" borderId="0" xfId="0" applyNumberFormat="1" applyFont="1" applyFill="1" applyBorder="1" applyAlignment="1" applyProtection="1">
      <alignment vertical="top"/>
    </xf>
    <xf numFmtId="0" fontId="29" fillId="0" borderId="0" xfId="0" applyFont="1" applyFill="1" applyBorder="1"/>
    <xf numFmtId="0" fontId="50" fillId="0" borderId="0" xfId="0" applyNumberFormat="1" applyFont="1" applyFill="1" applyBorder="1" applyAlignment="1" applyProtection="1">
      <alignment horizontal="right" vertical="top"/>
    </xf>
    <xf numFmtId="0" fontId="50" fillId="0" borderId="0" xfId="0" applyNumberFormat="1" applyFont="1" applyFill="1" applyBorder="1" applyAlignment="1" applyProtection="1">
      <alignment vertical="top"/>
    </xf>
    <xf numFmtId="0" fontId="53" fillId="0" borderId="0" xfId="0" applyNumberFormat="1" applyFont="1" applyFill="1" applyBorder="1" applyAlignment="1" applyProtection="1">
      <alignment vertical="top"/>
    </xf>
    <xf numFmtId="0" fontId="29" fillId="0" borderId="0" xfId="0" applyFont="1" applyFill="1" applyAlignment="1"/>
    <xf numFmtId="0" fontId="54" fillId="0" borderId="0" xfId="0" applyFont="1" applyFill="1" applyBorder="1" applyAlignment="1"/>
    <xf numFmtId="168" fontId="37" fillId="0" borderId="0" xfId="0" applyNumberFormat="1" applyFont="1" applyFill="1" applyBorder="1" applyAlignment="1" applyProtection="1">
      <alignment vertical="top"/>
    </xf>
    <xf numFmtId="166" fontId="37" fillId="0" borderId="0" xfId="0" applyNumberFormat="1" applyFont="1" applyFill="1" applyBorder="1" applyAlignment="1" applyProtection="1">
      <alignment vertical="top"/>
    </xf>
    <xf numFmtId="0" fontId="37" fillId="0" borderId="0" xfId="0" applyNumberFormat="1" applyFont="1" applyFill="1" applyBorder="1" applyAlignment="1" applyProtection="1">
      <alignment horizontal="center" vertical="top"/>
    </xf>
    <xf numFmtId="168" fontId="37" fillId="0" borderId="0" xfId="0" applyNumberFormat="1" applyFont="1" applyFill="1" applyBorder="1" applyAlignment="1" applyProtection="1">
      <alignment horizontal="center" vertical="top"/>
    </xf>
    <xf numFmtId="166" fontId="37" fillId="0" borderId="0" xfId="0" applyNumberFormat="1" applyFont="1" applyFill="1" applyBorder="1" applyAlignment="1" applyProtection="1">
      <alignment horizontal="right" vertical="top"/>
    </xf>
    <xf numFmtId="0" fontId="33" fillId="3" borderId="0" xfId="0" applyFont="1" applyFill="1"/>
    <xf numFmtId="0" fontId="28" fillId="3" borderId="0" xfId="0" applyFont="1" applyFill="1"/>
    <xf numFmtId="9" fontId="28" fillId="3" borderId="0" xfId="0" applyNumberFormat="1" applyFont="1" applyFill="1"/>
    <xf numFmtId="0" fontId="28" fillId="3" borderId="0" xfId="0" applyFont="1" applyFill="1" applyAlignment="1">
      <alignment horizontal="right" vertical="center"/>
    </xf>
    <xf numFmtId="0" fontId="28" fillId="3" borderId="0" xfId="0" applyNumberFormat="1" applyFont="1" applyFill="1" applyAlignment="1">
      <alignment horizontal="right" vertical="center"/>
    </xf>
    <xf numFmtId="0" fontId="44" fillId="4" borderId="27" xfId="0" applyFont="1" applyFill="1" applyBorder="1" applyAlignment="1">
      <alignment horizontal="center" vertical="center"/>
    </xf>
    <xf numFmtId="0" fontId="44" fillId="4" borderId="28" xfId="0" applyFont="1" applyFill="1" applyBorder="1" applyAlignment="1">
      <alignment horizontal="center" vertical="center"/>
    </xf>
    <xf numFmtId="0" fontId="44" fillId="4" borderId="30" xfId="0" applyFont="1" applyFill="1" applyBorder="1" applyAlignment="1">
      <alignment horizontal="center" vertical="center"/>
    </xf>
    <xf numFmtId="0" fontId="44" fillId="4" borderId="31" xfId="0" applyFont="1" applyFill="1" applyBorder="1" applyAlignment="1">
      <alignment horizontal="center" vertical="center"/>
    </xf>
    <xf numFmtId="0" fontId="44" fillId="4" borderId="32" xfId="0" applyFont="1" applyFill="1" applyBorder="1" applyAlignment="1">
      <alignment horizontal="center" vertical="center"/>
    </xf>
    <xf numFmtId="0" fontId="44" fillId="4" borderId="33" xfId="0" applyFont="1" applyFill="1" applyBorder="1" applyAlignment="1">
      <alignment horizontal="center" vertical="center"/>
    </xf>
    <xf numFmtId="2" fontId="22" fillId="0" borderId="26" xfId="2" applyNumberFormat="1" applyFont="1" applyBorder="1" applyAlignment="1">
      <alignment horizontal="center" vertical="center"/>
    </xf>
    <xf numFmtId="2" fontId="28" fillId="0" borderId="2" xfId="0" applyNumberFormat="1" applyFont="1" applyFill="1" applyBorder="1" applyAlignment="1">
      <alignment horizontal="center" vertical="center"/>
    </xf>
    <xf numFmtId="2" fontId="22" fillId="0" borderId="2" xfId="2" applyNumberFormat="1" applyFont="1" applyBorder="1" applyAlignment="1">
      <alignment horizontal="center" vertical="center"/>
    </xf>
    <xf numFmtId="2" fontId="28" fillId="0" borderId="35" xfId="0" applyNumberFormat="1" applyFont="1" applyBorder="1" applyAlignment="1">
      <alignment horizontal="center" vertical="center"/>
    </xf>
    <xf numFmtId="0" fontId="22" fillId="0" borderId="35" xfId="0" applyFont="1" applyBorder="1"/>
    <xf numFmtId="0" fontId="22" fillId="0" borderId="26" xfId="0" applyFont="1" applyBorder="1"/>
    <xf numFmtId="2" fontId="28" fillId="0" borderId="34" xfId="0" applyNumberFormat="1" applyFont="1" applyFill="1" applyBorder="1" applyAlignment="1">
      <alignment vertical="center"/>
    </xf>
    <xf numFmtId="2" fontId="28" fillId="0" borderId="26" xfId="0" applyNumberFormat="1" applyFont="1" applyFill="1" applyBorder="1" applyAlignment="1">
      <alignment vertical="center"/>
    </xf>
    <xf numFmtId="2" fontId="22" fillId="0" borderId="2" xfId="2" applyNumberFormat="1" applyFont="1" applyFill="1" applyBorder="1" applyAlignment="1">
      <alignment horizontal="center" vertical="center"/>
    </xf>
    <xf numFmtId="2" fontId="22" fillId="0" borderId="34" xfId="2" applyNumberFormat="1" applyFont="1" applyFill="1" applyBorder="1" applyAlignment="1">
      <alignment horizontal="center" vertical="center"/>
    </xf>
    <xf numFmtId="2" fontId="28" fillId="0" borderId="34" xfId="0" applyNumberFormat="1" applyFont="1" applyBorder="1" applyAlignment="1">
      <alignment horizontal="center" vertical="center"/>
    </xf>
    <xf numFmtId="2" fontId="28" fillId="0" borderId="34" xfId="0" applyNumberFormat="1" applyFont="1" applyFill="1" applyBorder="1" applyAlignment="1">
      <alignment horizontal="center" vertical="center"/>
    </xf>
    <xf numFmtId="2" fontId="22" fillId="0" borderId="26" xfId="2" applyNumberFormat="1" applyFont="1" applyFill="1" applyBorder="1" applyAlignment="1">
      <alignment horizontal="center" vertical="center"/>
    </xf>
    <xf numFmtId="2" fontId="28" fillId="0" borderId="26" xfId="0" applyNumberFormat="1" applyFont="1" applyFill="1" applyBorder="1" applyAlignment="1">
      <alignment horizontal="center" vertical="center"/>
    </xf>
    <xf numFmtId="167" fontId="22" fillId="0" borderId="2" xfId="2" applyNumberFormat="1" applyFont="1" applyFill="1" applyBorder="1" applyAlignment="1">
      <alignment horizontal="center"/>
    </xf>
    <xf numFmtId="0" fontId="35" fillId="0" borderId="0" xfId="0" applyFont="1"/>
    <xf numFmtId="0" fontId="28" fillId="0" borderId="0" xfId="0" applyFont="1" applyAlignment="1">
      <alignment horizontal="center" vertical="center"/>
    </xf>
    <xf numFmtId="0" fontId="28" fillId="7" borderId="2" xfId="0" applyFont="1" applyFill="1" applyBorder="1"/>
    <xf numFmtId="0" fontId="28" fillId="7" borderId="2" xfId="0" applyFont="1" applyFill="1" applyBorder="1" applyAlignment="1">
      <alignment horizontal="center" vertical="center"/>
    </xf>
    <xf numFmtId="0" fontId="28" fillId="0" borderId="2" xfId="0" applyFont="1" applyFill="1" applyBorder="1" applyAlignment="1">
      <alignment vertical="center"/>
    </xf>
    <xf numFmtId="2" fontId="28" fillId="0" borderId="2" xfId="0" applyNumberFormat="1" applyFont="1" applyBorder="1" applyAlignment="1">
      <alignment horizontal="center" vertical="center"/>
    </xf>
    <xf numFmtId="0" fontId="28" fillId="0" borderId="26" xfId="0" applyFont="1" applyFill="1" applyBorder="1"/>
    <xf numFmtId="0" fontId="28" fillId="0" borderId="26" xfId="0" applyFont="1" applyFill="1" applyBorder="1" applyAlignment="1">
      <alignment horizontal="center"/>
    </xf>
    <xf numFmtId="167" fontId="28" fillId="0" borderId="26" xfId="0" applyNumberFormat="1" applyFont="1" applyFill="1" applyBorder="1" applyAlignment="1">
      <alignment horizontal="center"/>
    </xf>
    <xf numFmtId="0" fontId="28" fillId="0" borderId="2" xfId="0" applyFont="1" applyFill="1" applyBorder="1"/>
    <xf numFmtId="0" fontId="28" fillId="0" borderId="2" xfId="0" applyFont="1" applyFill="1" applyBorder="1" applyAlignment="1">
      <alignment horizontal="center"/>
    </xf>
    <xf numFmtId="167" fontId="28" fillId="0" borderId="2" xfId="0" applyNumberFormat="1" applyFont="1" applyFill="1" applyBorder="1" applyAlignment="1">
      <alignment horizontal="center"/>
    </xf>
    <xf numFmtId="0" fontId="28" fillId="0" borderId="36" xfId="0" applyFont="1" applyBorder="1" applyAlignment="1">
      <alignment horizontal="left" vertical="center" wrapText="1"/>
    </xf>
    <xf numFmtId="0" fontId="28" fillId="0" borderId="36" xfId="0" applyFont="1" applyBorder="1" applyAlignment="1">
      <alignment vertical="center"/>
    </xf>
    <xf numFmtId="0" fontId="28" fillId="10" borderId="4" xfId="0" applyFont="1" applyFill="1" applyBorder="1" applyAlignment="1">
      <alignment horizontal="center" vertical="center"/>
    </xf>
    <xf numFmtId="0" fontId="28" fillId="10" borderId="29" xfId="0" applyFont="1" applyFill="1" applyBorder="1" applyAlignment="1">
      <alignment horizontal="center" vertical="center"/>
    </xf>
    <xf numFmtId="0" fontId="28" fillId="10" borderId="5" xfId="0" applyFont="1" applyFill="1" applyBorder="1" applyAlignment="1">
      <alignment horizontal="center"/>
    </xf>
    <xf numFmtId="0" fontId="28" fillId="10" borderId="7" xfId="0" applyFont="1" applyFill="1" applyBorder="1" applyAlignment="1">
      <alignment horizontal="center"/>
    </xf>
    <xf numFmtId="0" fontId="28" fillId="10" borderId="9" xfId="0" applyFont="1" applyFill="1" applyBorder="1" applyAlignment="1">
      <alignment horizontal="center"/>
    </xf>
    <xf numFmtId="0" fontId="28" fillId="4" borderId="31" xfId="0" applyFont="1" applyFill="1" applyBorder="1"/>
    <xf numFmtId="0" fontId="28" fillId="12" borderId="26" xfId="0" applyFont="1" applyFill="1" applyBorder="1"/>
    <xf numFmtId="0" fontId="28" fillId="11" borderId="35" xfId="0" applyFont="1" applyFill="1" applyBorder="1" applyAlignment="1">
      <alignment horizontal="center" vertical="center"/>
    </xf>
    <xf numFmtId="0" fontId="28" fillId="0" borderId="35" xfId="0" applyFont="1" applyFill="1" applyBorder="1" applyAlignment="1">
      <alignment horizontal="center" vertical="center"/>
    </xf>
    <xf numFmtId="2" fontId="28" fillId="0" borderId="35" xfId="0" applyNumberFormat="1" applyFont="1" applyFill="1" applyBorder="1" applyAlignment="1">
      <alignment horizontal="center" vertical="center"/>
    </xf>
    <xf numFmtId="2" fontId="28" fillId="11" borderId="35" xfId="0" applyNumberFormat="1" applyFont="1" applyFill="1" applyBorder="1" applyAlignment="1">
      <alignment horizontal="center" vertical="center"/>
    </xf>
    <xf numFmtId="2" fontId="28" fillId="0" borderId="26" xfId="0" applyNumberFormat="1" applyFont="1" applyBorder="1" applyAlignment="1">
      <alignment horizontal="center" vertical="center"/>
    </xf>
    <xf numFmtId="2" fontId="28" fillId="3" borderId="26" xfId="0" applyNumberFormat="1" applyFont="1" applyFill="1" applyBorder="1" applyAlignment="1">
      <alignment horizontal="center" vertical="center"/>
    </xf>
    <xf numFmtId="2" fontId="28" fillId="0" borderId="23" xfId="2" applyNumberFormat="1" applyFont="1" applyBorder="1" applyAlignment="1">
      <alignment horizontal="center" vertical="center"/>
    </xf>
    <xf numFmtId="0" fontId="28" fillId="0" borderId="35" xfId="0" applyFont="1" applyBorder="1"/>
    <xf numFmtId="0" fontId="28" fillId="12" borderId="2" xfId="0" applyFont="1" applyFill="1" applyBorder="1"/>
    <xf numFmtId="2" fontId="28" fillId="3" borderId="2" xfId="0" applyNumberFormat="1" applyFont="1" applyFill="1" applyBorder="1" applyAlignment="1">
      <alignment horizontal="center" vertical="center"/>
    </xf>
    <xf numFmtId="2" fontId="28" fillId="0" borderId="6" xfId="2" applyNumberFormat="1" applyFont="1" applyBorder="1" applyAlignment="1">
      <alignment horizontal="center" vertical="center"/>
    </xf>
    <xf numFmtId="0" fontId="28" fillId="12" borderId="34" xfId="0" applyFont="1" applyFill="1" applyBorder="1"/>
    <xf numFmtId="0" fontId="56" fillId="0" borderId="34" xfId="0" applyFont="1" applyBorder="1"/>
    <xf numFmtId="2" fontId="28" fillId="3" borderId="34" xfId="0" applyNumberFormat="1" applyFont="1" applyFill="1" applyBorder="1" applyAlignment="1">
      <alignment horizontal="center" vertical="center"/>
    </xf>
    <xf numFmtId="2" fontId="28" fillId="0" borderId="34" xfId="2" applyNumberFormat="1" applyFont="1" applyBorder="1" applyAlignment="1">
      <alignment horizontal="center" vertical="center"/>
    </xf>
    <xf numFmtId="2" fontId="28" fillId="0" borderId="18" xfId="2" applyNumberFormat="1" applyFont="1" applyBorder="1" applyAlignment="1">
      <alignment horizontal="center" vertical="center"/>
    </xf>
    <xf numFmtId="0" fontId="28" fillId="0" borderId="26" xfId="0" applyFont="1" applyBorder="1"/>
    <xf numFmtId="2" fontId="28" fillId="0" borderId="2" xfId="2" applyNumberFormat="1" applyFont="1" applyBorder="1" applyAlignment="1">
      <alignment horizontal="center" vertical="center"/>
    </xf>
    <xf numFmtId="0" fontId="28" fillId="11" borderId="22" xfId="0" applyFont="1" applyFill="1" applyBorder="1" applyAlignment="1">
      <alignment horizontal="center" vertical="center"/>
    </xf>
    <xf numFmtId="2" fontId="28" fillId="0" borderId="0" xfId="0" applyNumberFormat="1" applyFont="1" applyFill="1" applyAlignment="1">
      <alignment horizontal="center" vertical="center"/>
    </xf>
    <xf numFmtId="0" fontId="28" fillId="12" borderId="2" xfId="0" applyFont="1" applyFill="1" applyBorder="1" applyAlignment="1">
      <alignment horizontal="left"/>
    </xf>
    <xf numFmtId="0" fontId="28" fillId="0" borderId="22" xfId="0" applyFont="1" applyFill="1" applyBorder="1" applyAlignment="1">
      <alignment horizontal="center" vertical="center"/>
    </xf>
    <xf numFmtId="2" fontId="28" fillId="11" borderId="35" xfId="0" applyNumberFormat="1" applyFont="1" applyFill="1" applyBorder="1" applyAlignment="1">
      <alignment vertical="center"/>
    </xf>
    <xf numFmtId="2" fontId="28" fillId="0" borderId="35" xfId="0" applyNumberFormat="1" applyFont="1" applyBorder="1" applyAlignment="1">
      <alignment vertical="center"/>
    </xf>
    <xf numFmtId="2" fontId="28" fillId="0" borderId="26" xfId="0" applyNumberFormat="1" applyFont="1" applyBorder="1" applyAlignment="1">
      <alignment vertical="center"/>
    </xf>
    <xf numFmtId="2" fontId="28" fillId="3" borderId="26" xfId="0" applyNumberFormat="1" applyFont="1" applyFill="1" applyBorder="1" applyAlignment="1">
      <alignment vertical="center"/>
    </xf>
    <xf numFmtId="2" fontId="28" fillId="0" borderId="26" xfId="2" applyNumberFormat="1" applyFont="1" applyBorder="1" applyAlignment="1">
      <alignment vertical="center"/>
    </xf>
    <xf numFmtId="0" fontId="56" fillId="0" borderId="35" xfId="0" applyFont="1" applyFill="1" applyBorder="1"/>
    <xf numFmtId="0" fontId="28" fillId="12" borderId="35" xfId="0" applyFont="1" applyFill="1" applyBorder="1" applyAlignment="1">
      <alignment horizontal="right"/>
    </xf>
    <xf numFmtId="0" fontId="56" fillId="0" borderId="34" xfId="0" applyFont="1" applyFill="1" applyBorder="1"/>
    <xf numFmtId="0" fontId="28" fillId="0" borderId="35" xfId="0" applyFont="1" applyFill="1" applyBorder="1" applyAlignment="1">
      <alignment horizontal="right"/>
    </xf>
    <xf numFmtId="0" fontId="28" fillId="12" borderId="26" xfId="0" applyFont="1" applyFill="1" applyBorder="1" applyAlignment="1">
      <alignment horizontal="right"/>
    </xf>
    <xf numFmtId="2" fontId="28" fillId="0" borderId="36" xfId="0" applyNumberFormat="1" applyFont="1" applyBorder="1" applyAlignment="1">
      <alignment horizontal="center" vertical="center"/>
    </xf>
    <xf numFmtId="0" fontId="28" fillId="0" borderId="35" xfId="0" applyFont="1" applyFill="1" applyBorder="1" applyAlignment="1">
      <alignment horizontal="left"/>
    </xf>
    <xf numFmtId="0" fontId="28" fillId="0" borderId="2" xfId="0" applyFont="1" applyFill="1" applyBorder="1" applyAlignment="1">
      <alignment horizontal="left"/>
    </xf>
    <xf numFmtId="176" fontId="28" fillId="0" borderId="2" xfId="0" applyNumberFormat="1" applyFont="1" applyBorder="1"/>
    <xf numFmtId="0" fontId="28" fillId="0" borderId="35" xfId="0" applyFont="1" applyBorder="1" applyAlignment="1">
      <alignment horizontal="center" vertical="center"/>
    </xf>
    <xf numFmtId="2" fontId="28" fillId="0" borderId="35" xfId="0" applyNumberFormat="1" applyFont="1" applyBorder="1" applyAlignment="1">
      <alignment horizontal="center"/>
    </xf>
    <xf numFmtId="2" fontId="28" fillId="11" borderId="35" xfId="0" applyNumberFormat="1" applyFont="1" applyFill="1" applyBorder="1"/>
    <xf numFmtId="0" fontId="28" fillId="0" borderId="35" xfId="0" applyFont="1" applyBorder="1" applyAlignment="1">
      <alignment horizontal="center"/>
    </xf>
    <xf numFmtId="2" fontId="28" fillId="11" borderId="35" xfId="0" applyNumberFormat="1" applyFont="1" applyFill="1" applyBorder="1" applyAlignment="1">
      <alignment horizontal="center"/>
    </xf>
    <xf numFmtId="176" fontId="28" fillId="12" borderId="2" xfId="0" applyNumberFormat="1" applyFont="1" applyFill="1" applyBorder="1"/>
    <xf numFmtId="176" fontId="28" fillId="12" borderId="2" xfId="0" applyNumberFormat="1" applyFont="1" applyFill="1" applyBorder="1" applyAlignment="1">
      <alignment horizontal="left"/>
    </xf>
    <xf numFmtId="0" fontId="28" fillId="12" borderId="34" xfId="0" applyFont="1" applyFill="1" applyBorder="1" applyAlignment="1">
      <alignment vertical="center"/>
    </xf>
    <xf numFmtId="0" fontId="28" fillId="0" borderId="34" xfId="0" applyFont="1" applyBorder="1" applyAlignment="1">
      <alignment horizontal="center" vertical="center"/>
    </xf>
    <xf numFmtId="0" fontId="28" fillId="0" borderId="34" xfId="0" applyFont="1" applyBorder="1" applyAlignment="1">
      <alignment horizontal="center"/>
    </xf>
    <xf numFmtId="2" fontId="28" fillId="0" borderId="37" xfId="0" applyNumberFormat="1" applyFont="1" applyFill="1" applyBorder="1" applyAlignment="1">
      <alignment horizontal="center" vertical="center"/>
    </xf>
    <xf numFmtId="0" fontId="28" fillId="0" borderId="26" xfId="0" applyFont="1" applyBorder="1" applyAlignment="1">
      <alignment horizontal="center" vertical="center"/>
    </xf>
    <xf numFmtId="0" fontId="28" fillId="0" borderId="26" xfId="0" applyFont="1" applyBorder="1" applyAlignment="1">
      <alignment horizontal="center"/>
    </xf>
    <xf numFmtId="0" fontId="44" fillId="4" borderId="10" xfId="0" applyNumberFormat="1" applyFont="1" applyFill="1" applyBorder="1"/>
    <xf numFmtId="0" fontId="44" fillId="4" borderId="12" xfId="0" applyNumberFormat="1" applyFont="1" applyFill="1" applyBorder="1" applyAlignment="1">
      <alignment horizontal="center"/>
    </xf>
    <xf numFmtId="0" fontId="44" fillId="4" borderId="11" xfId="0" applyNumberFormat="1" applyFont="1" applyFill="1" applyBorder="1" applyAlignment="1">
      <alignment horizontal="center"/>
    </xf>
    <xf numFmtId="0" fontId="44" fillId="4" borderId="13" xfId="0" applyNumberFormat="1" applyFont="1" applyFill="1" applyBorder="1" applyAlignment="1">
      <alignment horizontal="center"/>
    </xf>
    <xf numFmtId="2" fontId="44" fillId="4" borderId="12" xfId="0" applyNumberFormat="1" applyFont="1" applyFill="1" applyBorder="1" applyAlignment="1">
      <alignment horizontal="center" vertical="center"/>
    </xf>
    <xf numFmtId="2" fontId="44" fillId="4" borderId="11" xfId="0" applyNumberFormat="1" applyFont="1" applyFill="1" applyBorder="1" applyAlignment="1">
      <alignment horizontal="center" vertical="center"/>
    </xf>
    <xf numFmtId="0" fontId="33" fillId="0" borderId="0" xfId="0" applyFont="1"/>
    <xf numFmtId="0" fontId="28" fillId="0" borderId="38" xfId="0" applyFont="1" applyBorder="1"/>
    <xf numFmtId="2" fontId="28" fillId="0" borderId="5" xfId="0" applyNumberFormat="1" applyFont="1" applyBorder="1" applyAlignment="1">
      <alignment horizontal="center" vertical="center"/>
    </xf>
    <xf numFmtId="167" fontId="28" fillId="0" borderId="39" xfId="0" applyNumberFormat="1" applyFont="1" applyBorder="1"/>
    <xf numFmtId="2" fontId="28" fillId="0" borderId="0" xfId="0" applyNumberFormat="1" applyFont="1" applyAlignment="1">
      <alignment horizontal="center" vertical="center"/>
    </xf>
    <xf numFmtId="0" fontId="28" fillId="0" borderId="0" xfId="0" applyFont="1" applyBorder="1"/>
    <xf numFmtId="2" fontId="28" fillId="0" borderId="0" xfId="0" applyNumberFormat="1" applyFont="1" applyBorder="1" applyAlignment="1">
      <alignment horizontal="center" vertical="center"/>
    </xf>
    <xf numFmtId="167" fontId="28" fillId="0" borderId="0" xfId="0" applyNumberFormat="1" applyFont="1" applyBorder="1"/>
    <xf numFmtId="0" fontId="44" fillId="4" borderId="6" xfId="0" applyNumberFormat="1" applyFont="1" applyFill="1" applyBorder="1" applyAlignment="1"/>
    <xf numFmtId="0" fontId="44" fillId="4" borderId="40" xfId="0" applyNumberFormat="1" applyFont="1" applyFill="1" applyBorder="1" applyAlignment="1"/>
    <xf numFmtId="0" fontId="44" fillId="4" borderId="43" xfId="0" applyNumberFormat="1" applyFont="1" applyFill="1" applyBorder="1" applyAlignment="1">
      <alignment horizontal="center"/>
    </xf>
    <xf numFmtId="165" fontId="44" fillId="9" borderId="41" xfId="2" applyNumberFormat="1" applyFont="1" applyFill="1" applyBorder="1" applyAlignment="1">
      <alignment horizontal="center"/>
    </xf>
    <xf numFmtId="0" fontId="44" fillId="6" borderId="2" xfId="0" applyNumberFormat="1" applyFont="1" applyFill="1" applyBorder="1"/>
    <xf numFmtId="0" fontId="44" fillId="6" borderId="2" xfId="0" applyNumberFormat="1" applyFont="1" applyFill="1" applyBorder="1" applyAlignment="1">
      <alignment horizontal="center"/>
    </xf>
    <xf numFmtId="0" fontId="22" fillId="0" borderId="2" xfId="0" applyNumberFormat="1" applyFont="1" applyFill="1" applyBorder="1"/>
    <xf numFmtId="0" fontId="22" fillId="0" borderId="2" xfId="0" applyNumberFormat="1" applyFont="1" applyFill="1" applyBorder="1" applyAlignment="1">
      <alignment horizontal="center"/>
    </xf>
    <xf numFmtId="0" fontId="22" fillId="3" borderId="2" xfId="2" applyNumberFormat="1" applyFont="1" applyFill="1" applyBorder="1" applyAlignment="1">
      <alignment horizontal="right"/>
    </xf>
    <xf numFmtId="2" fontId="22" fillId="0" borderId="2" xfId="2" applyNumberFormat="1" applyFont="1" applyFill="1" applyBorder="1" applyAlignment="1">
      <alignment horizontal="right"/>
    </xf>
    <xf numFmtId="0" fontId="22" fillId="0" borderId="2" xfId="2" applyNumberFormat="1" applyFont="1" applyFill="1" applyBorder="1" applyAlignment="1">
      <alignment horizontal="right"/>
    </xf>
    <xf numFmtId="0" fontId="22" fillId="0" borderId="2" xfId="0" applyNumberFormat="1" applyFont="1" applyFill="1" applyBorder="1" applyAlignment="1">
      <alignment horizontal="left"/>
    </xf>
    <xf numFmtId="0" fontId="22" fillId="0" borderId="0" xfId="0" applyNumberFormat="1" applyFont="1" applyFill="1" applyBorder="1"/>
    <xf numFmtId="167" fontId="22" fillId="0" borderId="0" xfId="2" applyNumberFormat="1" applyFont="1" applyFill="1" applyBorder="1" applyAlignment="1">
      <alignment horizontal="center"/>
    </xf>
    <xf numFmtId="0" fontId="22" fillId="3" borderId="2" xfId="2" applyNumberFormat="1" applyFont="1" applyFill="1" applyBorder="1" applyAlignment="1">
      <alignment horizontal="center"/>
    </xf>
    <xf numFmtId="0" fontId="22" fillId="0" borderId="2" xfId="2" applyNumberFormat="1" applyFont="1" applyFill="1" applyBorder="1" applyAlignment="1">
      <alignment horizontal="center"/>
    </xf>
    <xf numFmtId="2" fontId="22" fillId="0" borderId="2" xfId="2" applyNumberFormat="1" applyFont="1" applyFill="1" applyBorder="1" applyAlignment="1">
      <alignment horizontal="center"/>
    </xf>
    <xf numFmtId="0" fontId="22" fillId="0" borderId="0" xfId="0" applyNumberFormat="1" applyFont="1" applyFill="1" applyBorder="1" applyAlignment="1">
      <alignment horizontal="center"/>
    </xf>
    <xf numFmtId="0" fontId="22" fillId="0" borderId="0" xfId="2" applyNumberFormat="1" applyFont="1" applyFill="1" applyBorder="1" applyAlignment="1">
      <alignment horizontal="center"/>
    </xf>
    <xf numFmtId="2" fontId="22" fillId="0" borderId="0" xfId="2" applyNumberFormat="1" applyFont="1" applyFill="1" applyBorder="1" applyAlignment="1">
      <alignment horizontal="center"/>
    </xf>
    <xf numFmtId="0" fontId="22" fillId="0" borderId="34" xfId="0" applyNumberFormat="1" applyFont="1" applyFill="1" applyBorder="1" applyAlignment="1">
      <alignment horizontal="center"/>
    </xf>
    <xf numFmtId="0" fontId="44" fillId="4" borderId="40" xfId="0" applyNumberFormat="1" applyFont="1" applyFill="1" applyBorder="1" applyAlignment="1">
      <alignment horizontal="center"/>
    </xf>
    <xf numFmtId="0" fontId="44" fillId="6" borderId="26" xfId="0" applyNumberFormat="1" applyFont="1" applyFill="1" applyBorder="1" applyAlignment="1">
      <alignment horizontal="center"/>
    </xf>
    <xf numFmtId="178" fontId="22" fillId="3" borderId="2" xfId="2" applyNumberFormat="1" applyFont="1" applyFill="1" applyBorder="1" applyAlignment="1">
      <alignment horizontal="left"/>
    </xf>
    <xf numFmtId="0" fontId="44" fillId="0" borderId="6" xfId="0" applyNumberFormat="1" applyFont="1" applyFill="1" applyBorder="1" applyAlignment="1"/>
    <xf numFmtId="0" fontId="44" fillId="0" borderId="40" xfId="0" applyNumberFormat="1" applyFont="1" applyFill="1" applyBorder="1" applyAlignment="1"/>
    <xf numFmtId="0" fontId="22" fillId="0" borderId="40" xfId="0" applyNumberFormat="1" applyFont="1" applyFill="1" applyBorder="1" applyAlignment="1">
      <alignment horizontal="center"/>
    </xf>
    <xf numFmtId="167" fontId="44" fillId="9" borderId="2" xfId="2" applyNumberFormat="1" applyFont="1" applyFill="1" applyBorder="1" applyAlignment="1">
      <alignment horizontal="center"/>
    </xf>
    <xf numFmtId="0" fontId="44" fillId="6" borderId="34" xfId="0" applyNumberFormat="1" applyFont="1" applyFill="1" applyBorder="1"/>
    <xf numFmtId="0" fontId="44" fillId="6" borderId="34" xfId="0" applyNumberFormat="1" applyFont="1" applyFill="1" applyBorder="1" applyAlignment="1">
      <alignment horizontal="center"/>
    </xf>
    <xf numFmtId="167" fontId="22" fillId="3" borderId="2" xfId="2" applyNumberFormat="1" applyFont="1" applyFill="1" applyBorder="1" applyAlignment="1">
      <alignment horizontal="center"/>
    </xf>
    <xf numFmtId="167" fontId="22" fillId="0" borderId="34" xfId="2" applyNumberFormat="1" applyFont="1" applyFill="1" applyBorder="1" applyAlignment="1">
      <alignment horizontal="center"/>
    </xf>
    <xf numFmtId="0" fontId="44" fillId="0" borderId="18" xfId="0" applyNumberFormat="1" applyFont="1" applyFill="1" applyBorder="1" applyAlignment="1"/>
    <xf numFmtId="0" fontId="44" fillId="0" borderId="19" xfId="0" applyNumberFormat="1" applyFont="1" applyFill="1" applyBorder="1" applyAlignment="1"/>
    <xf numFmtId="0" fontId="22" fillId="0" borderId="19" xfId="0" applyNumberFormat="1" applyFont="1" applyFill="1" applyBorder="1" applyAlignment="1">
      <alignment horizontal="center"/>
    </xf>
    <xf numFmtId="167" fontId="44" fillId="9" borderId="25" xfId="2" applyNumberFormat="1" applyFont="1" applyFill="1" applyBorder="1" applyAlignment="1">
      <alignment horizontal="center"/>
    </xf>
    <xf numFmtId="178" fontId="22" fillId="3" borderId="2" xfId="2" applyNumberFormat="1" applyFont="1" applyFill="1" applyBorder="1" applyAlignment="1">
      <alignment horizontal="center"/>
    </xf>
    <xf numFmtId="179" fontId="22" fillId="3" borderId="2" xfId="2" applyNumberFormat="1" applyFont="1" applyFill="1" applyBorder="1" applyAlignment="1">
      <alignment horizontal="center"/>
    </xf>
    <xf numFmtId="167" fontId="22" fillId="3" borderId="34" xfId="2" applyNumberFormat="1" applyFont="1" applyFill="1" applyBorder="1" applyAlignment="1">
      <alignment horizontal="center"/>
    </xf>
    <xf numFmtId="167" fontId="22" fillId="0" borderId="19" xfId="2" applyNumberFormat="1" applyFont="1" applyFill="1" applyBorder="1" applyAlignment="1">
      <alignment horizontal="center"/>
    </xf>
    <xf numFmtId="178" fontId="22" fillId="3" borderId="2" xfId="2" applyNumberFormat="1" applyFont="1" applyFill="1" applyBorder="1" applyAlignment="1">
      <alignment horizontal="right"/>
    </xf>
    <xf numFmtId="179" fontId="22" fillId="3" borderId="2" xfId="2" applyNumberFormat="1" applyFont="1" applyFill="1" applyBorder="1" applyAlignment="1">
      <alignment horizontal="right"/>
    </xf>
    <xf numFmtId="4" fontId="22" fillId="3" borderId="2" xfId="2" applyNumberFormat="1" applyFont="1" applyFill="1" applyBorder="1" applyAlignment="1">
      <alignment horizontal="right"/>
    </xf>
    <xf numFmtId="167" fontId="22" fillId="3" borderId="2" xfId="2" applyNumberFormat="1" applyFont="1" applyFill="1" applyBorder="1" applyAlignment="1">
      <alignment horizontal="right"/>
    </xf>
    <xf numFmtId="0" fontId="44" fillId="0" borderId="18" xfId="0" applyFont="1" applyFill="1" applyBorder="1" applyAlignment="1"/>
    <xf numFmtId="0" fontId="44" fillId="0" borderId="19" xfId="0" applyFont="1" applyFill="1" applyBorder="1" applyAlignment="1"/>
    <xf numFmtId="0" fontId="22" fillId="0" borderId="19" xfId="0" applyFont="1" applyFill="1" applyBorder="1" applyAlignment="1">
      <alignment horizontal="center"/>
    </xf>
    <xf numFmtId="0" fontId="22" fillId="0" borderId="2" xfId="0" applyFont="1" applyFill="1" applyBorder="1" applyAlignment="1">
      <alignment horizontal="center"/>
    </xf>
    <xf numFmtId="0" fontId="44" fillId="4" borderId="6" xfId="0" applyFont="1" applyFill="1" applyBorder="1" applyAlignment="1"/>
    <xf numFmtId="0" fontId="44" fillId="4" borderId="40" xfId="0" applyFont="1" applyFill="1" applyBorder="1" applyAlignment="1"/>
    <xf numFmtId="0" fontId="44" fillId="4" borderId="43" xfId="0" applyFont="1" applyFill="1" applyBorder="1" applyAlignment="1">
      <alignment horizontal="center"/>
    </xf>
    <xf numFmtId="0" fontId="22" fillId="0" borderId="2" xfId="0" applyFont="1" applyFill="1" applyBorder="1"/>
    <xf numFmtId="2" fontId="22" fillId="0" borderId="2" xfId="0" applyNumberFormat="1" applyFont="1" applyFill="1" applyBorder="1" applyAlignment="1">
      <alignment horizontal="center"/>
    </xf>
    <xf numFmtId="0" fontId="22" fillId="0" borderId="0" xfId="0" applyFont="1" applyFill="1" applyBorder="1"/>
    <xf numFmtId="0" fontId="22" fillId="0" borderId="0" xfId="0" applyFont="1" applyFill="1" applyAlignment="1">
      <alignment horizontal="center"/>
    </xf>
    <xf numFmtId="2" fontId="44" fillId="0" borderId="0" xfId="0" applyNumberFormat="1" applyFont="1" applyFill="1" applyBorder="1" applyAlignment="1">
      <alignment horizontal="center" vertical="center"/>
    </xf>
    <xf numFmtId="2" fontId="22" fillId="3" borderId="2" xfId="2" applyNumberFormat="1" applyFont="1" applyFill="1" applyBorder="1" applyAlignment="1">
      <alignment horizontal="center"/>
    </xf>
    <xf numFmtId="2" fontId="22" fillId="0" borderId="2" xfId="0" applyNumberFormat="1" applyFont="1" applyFill="1" applyBorder="1" applyAlignment="1">
      <alignment horizontal="left"/>
    </xf>
    <xf numFmtId="2" fontId="22" fillId="3" borderId="2" xfId="0" applyNumberFormat="1" applyFont="1" applyFill="1" applyBorder="1" applyAlignment="1">
      <alignment horizontal="center"/>
    </xf>
    <xf numFmtId="167" fontId="22" fillId="3" borderId="2" xfId="3" applyNumberFormat="1" applyFont="1" applyFill="1" applyBorder="1" applyAlignment="1">
      <alignment horizontal="center"/>
    </xf>
    <xf numFmtId="167" fontId="22" fillId="0" borderId="2" xfId="3" applyNumberFormat="1" applyFont="1" applyFill="1" applyBorder="1" applyAlignment="1">
      <alignment horizontal="center"/>
    </xf>
    <xf numFmtId="0" fontId="44" fillId="0" borderId="6" xfId="0" applyFont="1" applyFill="1" applyBorder="1" applyAlignment="1"/>
    <xf numFmtId="0" fontId="44" fillId="0" borderId="40" xfId="0" applyFont="1" applyFill="1" applyBorder="1" applyAlignment="1"/>
    <xf numFmtId="0" fontId="44" fillId="4" borderId="23" xfId="0" applyNumberFormat="1" applyFont="1" applyFill="1" applyBorder="1" applyAlignment="1"/>
    <xf numFmtId="0" fontId="44" fillId="4" borderId="14" xfId="0" applyNumberFormat="1" applyFont="1" applyFill="1" applyBorder="1" applyAlignment="1"/>
    <xf numFmtId="0" fontId="44" fillId="4" borderId="14" xfId="0" applyNumberFormat="1" applyFont="1" applyFill="1" applyBorder="1" applyAlignment="1">
      <alignment horizontal="center"/>
    </xf>
    <xf numFmtId="0" fontId="44" fillId="0" borderId="2" xfId="0" applyNumberFormat="1" applyFont="1" applyFill="1" applyBorder="1"/>
    <xf numFmtId="0" fontId="44" fillId="0" borderId="2" xfId="0" applyNumberFormat="1" applyFont="1" applyFill="1" applyBorder="1" applyAlignment="1">
      <alignment horizontal="center"/>
    </xf>
    <xf numFmtId="0" fontId="22" fillId="0" borderId="2" xfId="0" applyNumberFormat="1" applyFont="1" applyFill="1" applyBorder="1" applyAlignment="1">
      <alignment wrapText="1"/>
    </xf>
    <xf numFmtId="178" fontId="22" fillId="0" borderId="2" xfId="2" applyNumberFormat="1" applyFont="1" applyFill="1" applyBorder="1" applyAlignment="1">
      <alignment horizontal="center"/>
    </xf>
    <xf numFmtId="167" fontId="22" fillId="0" borderId="36" xfId="2" applyNumberFormat="1" applyFont="1" applyFill="1" applyBorder="1" applyAlignment="1">
      <alignment horizontal="center"/>
    </xf>
    <xf numFmtId="0" fontId="44" fillId="4" borderId="23" xfId="0" applyFont="1" applyFill="1" applyBorder="1" applyAlignment="1"/>
    <xf numFmtId="0" fontId="44" fillId="4" borderId="14" xfId="0" applyFont="1" applyFill="1" applyBorder="1" applyAlignment="1"/>
    <xf numFmtId="0" fontId="44" fillId="4" borderId="44" xfId="0" applyFont="1" applyFill="1" applyBorder="1" applyAlignment="1">
      <alignment horizontal="center"/>
    </xf>
    <xf numFmtId="178" fontId="22" fillId="0" borderId="2" xfId="2" applyNumberFormat="1" applyFont="1" applyFill="1" applyBorder="1" applyAlignment="1"/>
    <xf numFmtId="167" fontId="22" fillId="0" borderId="2" xfId="2" applyNumberFormat="1" applyFont="1" applyFill="1" applyBorder="1" applyAlignment="1"/>
    <xf numFmtId="179" fontId="22" fillId="0" borderId="2" xfId="2" applyNumberFormat="1" applyFont="1" applyFill="1" applyBorder="1" applyAlignment="1">
      <alignment horizontal="center"/>
    </xf>
    <xf numFmtId="167" fontId="22" fillId="0" borderId="0" xfId="2" applyNumberFormat="1" applyFont="1" applyFill="1" applyBorder="1"/>
    <xf numFmtId="167" fontId="44" fillId="0" borderId="19" xfId="2" applyNumberFormat="1" applyFont="1" applyFill="1" applyBorder="1" applyAlignment="1">
      <alignment horizontal="center"/>
    </xf>
    <xf numFmtId="167" fontId="44" fillId="0" borderId="0" xfId="2" applyNumberFormat="1" applyFont="1" applyFill="1" applyBorder="1" applyAlignment="1">
      <alignment horizontal="center"/>
    </xf>
    <xf numFmtId="178" fontId="22" fillId="0" borderId="0" xfId="2" applyNumberFormat="1" applyFont="1" applyFill="1" applyBorder="1" applyAlignment="1">
      <alignment horizontal="center"/>
    </xf>
    <xf numFmtId="0" fontId="44" fillId="0" borderId="0" xfId="0" applyFont="1" applyFill="1" applyBorder="1" applyAlignment="1">
      <alignment horizontal="center"/>
    </xf>
    <xf numFmtId="2" fontId="22" fillId="0" borderId="0" xfId="0" applyNumberFormat="1" applyFont="1" applyFill="1" applyBorder="1" applyAlignment="1">
      <alignment horizontal="center"/>
    </xf>
    <xf numFmtId="0" fontId="22" fillId="0" borderId="34" xfId="0" applyFont="1" applyFill="1" applyBorder="1" applyAlignment="1">
      <alignment horizontal="center"/>
    </xf>
    <xf numFmtId="167" fontId="44" fillId="9" borderId="41" xfId="2" applyNumberFormat="1" applyFont="1" applyFill="1" applyBorder="1" applyAlignment="1">
      <alignment horizontal="center"/>
    </xf>
    <xf numFmtId="0" fontId="22" fillId="0" borderId="6" xfId="0" applyFont="1" applyFill="1" applyBorder="1" applyAlignment="1"/>
    <xf numFmtId="0" fontId="22" fillId="0" borderId="40" xfId="0" applyFont="1" applyFill="1" applyBorder="1" applyAlignment="1"/>
    <xf numFmtId="0" fontId="22" fillId="0" borderId="40" xfId="0" applyFont="1" applyFill="1" applyBorder="1" applyAlignment="1">
      <alignment horizontal="center"/>
    </xf>
    <xf numFmtId="0" fontId="22" fillId="0" borderId="0" xfId="0" applyFont="1" applyFill="1"/>
    <xf numFmtId="0" fontId="44" fillId="0" borderId="6" xfId="0" applyNumberFormat="1" applyFont="1" applyFill="1" applyBorder="1"/>
    <xf numFmtId="0" fontId="22" fillId="0" borderId="40" xfId="0" applyNumberFormat="1" applyFont="1" applyFill="1" applyBorder="1" applyAlignment="1"/>
    <xf numFmtId="0" fontId="22" fillId="0" borderId="20" xfId="0" applyNumberFormat="1" applyFont="1" applyFill="1" applyBorder="1" applyAlignment="1">
      <alignment horizontal="center"/>
    </xf>
    <xf numFmtId="167" fontId="22" fillId="0" borderId="2" xfId="2" applyNumberFormat="1" applyFont="1" applyFill="1" applyBorder="1"/>
    <xf numFmtId="167" fontId="44" fillId="0" borderId="2" xfId="2" applyNumberFormat="1" applyFont="1" applyFill="1" applyBorder="1" applyAlignment="1">
      <alignment horizontal="center"/>
    </xf>
    <xf numFmtId="0" fontId="22" fillId="0" borderId="0" xfId="0" applyNumberFormat="1" applyFont="1" applyFill="1" applyBorder="1" applyAlignment="1"/>
    <xf numFmtId="0" fontId="44" fillId="0" borderId="0" xfId="0" applyNumberFormat="1" applyFont="1" applyFill="1" applyBorder="1"/>
    <xf numFmtId="0" fontId="44" fillId="0" borderId="2" xfId="0" applyNumberFormat="1" applyFont="1" applyFill="1" applyBorder="1" applyAlignment="1">
      <alignment horizontal="left"/>
    </xf>
    <xf numFmtId="167" fontId="22" fillId="0" borderId="22" xfId="2" applyNumberFormat="1" applyFont="1" applyFill="1" applyBorder="1"/>
    <xf numFmtId="167" fontId="44" fillId="4" borderId="2" xfId="2" applyNumberFormat="1" applyFont="1" applyFill="1" applyBorder="1" applyAlignment="1">
      <alignment horizontal="center"/>
    </xf>
    <xf numFmtId="0" fontId="28" fillId="0" borderId="0" xfId="0" applyFont="1" applyFill="1" applyBorder="1"/>
    <xf numFmtId="176" fontId="28" fillId="0" borderId="18" xfId="0" applyNumberFormat="1" applyFont="1" applyBorder="1" applyAlignment="1"/>
    <xf numFmtId="176" fontId="28" fillId="0" borderId="19" xfId="0" applyNumberFormat="1" applyFont="1" applyBorder="1" applyAlignment="1"/>
    <xf numFmtId="176" fontId="28" fillId="0" borderId="19" xfId="0" applyNumberFormat="1" applyFont="1" applyBorder="1" applyAlignment="1">
      <alignment horizontal="center" vertical="center"/>
    </xf>
    <xf numFmtId="0" fontId="28" fillId="0" borderId="2" xfId="0" applyFont="1" applyBorder="1" applyAlignment="1">
      <alignment horizontal="center"/>
    </xf>
    <xf numFmtId="0" fontId="28" fillId="3" borderId="2" xfId="0" applyFont="1" applyFill="1" applyBorder="1" applyAlignment="1">
      <alignment horizontal="right"/>
    </xf>
    <xf numFmtId="2" fontId="28" fillId="0" borderId="2" xfId="2" applyNumberFormat="1" applyFont="1" applyBorder="1" applyAlignment="1">
      <alignment horizontal="right"/>
    </xf>
    <xf numFmtId="0" fontId="28" fillId="0" borderId="2" xfId="0" applyNumberFormat="1" applyFont="1" applyBorder="1" applyAlignment="1">
      <alignment horizontal="right"/>
    </xf>
    <xf numFmtId="176" fontId="33" fillId="0" borderId="2" xfId="0" applyNumberFormat="1" applyFont="1" applyBorder="1" applyAlignment="1">
      <alignment horizontal="left"/>
    </xf>
    <xf numFmtId="176" fontId="28" fillId="0" borderId="2" xfId="0" applyNumberFormat="1" applyFont="1" applyBorder="1" applyAlignment="1">
      <alignment horizontal="center"/>
    </xf>
    <xf numFmtId="0" fontId="28" fillId="3" borderId="2" xfId="0" applyFont="1" applyFill="1" applyBorder="1" applyAlignment="1">
      <alignment horizontal="center"/>
    </xf>
    <xf numFmtId="0" fontId="28" fillId="0" borderId="2" xfId="0" applyNumberFormat="1" applyFont="1" applyBorder="1" applyAlignment="1">
      <alignment horizontal="center"/>
    </xf>
    <xf numFmtId="176" fontId="57" fillId="0" borderId="0" xfId="0" applyNumberFormat="1" applyFont="1" applyBorder="1"/>
    <xf numFmtId="176" fontId="33" fillId="0" borderId="18" xfId="0" applyNumberFormat="1" applyFont="1" applyBorder="1" applyAlignment="1"/>
    <xf numFmtId="176" fontId="33" fillId="0" borderId="19" xfId="0" applyNumberFormat="1" applyFont="1" applyBorder="1" applyAlignment="1"/>
    <xf numFmtId="176" fontId="28" fillId="0" borderId="19" xfId="0" applyNumberFormat="1" applyFont="1" applyBorder="1" applyAlignment="1">
      <alignment horizontal="center"/>
    </xf>
    <xf numFmtId="176" fontId="28" fillId="0" borderId="0" xfId="0" applyNumberFormat="1" applyFont="1" applyBorder="1"/>
    <xf numFmtId="0" fontId="28" fillId="0" borderId="19" xfId="0" applyFont="1" applyBorder="1"/>
    <xf numFmtId="176" fontId="28" fillId="0" borderId="14" xfId="0" applyNumberFormat="1" applyFont="1" applyBorder="1"/>
    <xf numFmtId="167" fontId="28" fillId="0" borderId="0" xfId="0" applyNumberFormat="1" applyFont="1"/>
    <xf numFmtId="176" fontId="28" fillId="0" borderId="0" xfId="0" applyNumberFormat="1" applyFont="1" applyFill="1" applyBorder="1"/>
    <xf numFmtId="176" fontId="28" fillId="0" borderId="14" xfId="0" applyNumberFormat="1" applyFont="1" applyFill="1" applyBorder="1"/>
    <xf numFmtId="176" fontId="28" fillId="0" borderId="3" xfId="0" applyNumberFormat="1" applyFont="1" applyBorder="1"/>
    <xf numFmtId="0" fontId="28" fillId="0" borderId="0" xfId="0" applyFont="1" applyFill="1" applyBorder="1" applyAlignment="1">
      <alignment horizontal="center"/>
    </xf>
    <xf numFmtId="0" fontId="35" fillId="4" borderId="0" xfId="0" applyFont="1" applyFill="1" applyBorder="1" applyAlignment="1">
      <alignment horizontal="left" vertical="center" wrapText="1"/>
    </xf>
    <xf numFmtId="0" fontId="35" fillId="4" borderId="0" xfId="0" applyFont="1" applyFill="1" applyAlignment="1">
      <alignment vertical="center" wrapText="1"/>
    </xf>
    <xf numFmtId="0" fontId="22" fillId="0" borderId="0" xfId="0" applyFont="1" applyBorder="1" applyAlignment="1">
      <alignment horizontal="left" vertical="center" wrapText="1"/>
    </xf>
    <xf numFmtId="177" fontId="22" fillId="0" borderId="0" xfId="2" applyNumberFormat="1" applyFont="1" applyFill="1" applyBorder="1" applyAlignment="1">
      <alignment horizontal="center"/>
    </xf>
    <xf numFmtId="165" fontId="22" fillId="0" borderId="0" xfId="2" applyNumberFormat="1" applyFont="1" applyFill="1" applyBorder="1" applyAlignment="1">
      <alignment horizontal="center"/>
    </xf>
    <xf numFmtId="177" fontId="28" fillId="0" borderId="0" xfId="0" applyNumberFormat="1" applyFont="1" applyFill="1" applyBorder="1" applyAlignment="1">
      <alignment horizontal="center"/>
    </xf>
    <xf numFmtId="0" fontId="28" fillId="0" borderId="0" xfId="4" applyFont="1" applyFill="1" applyBorder="1" applyAlignment="1" applyProtection="1"/>
    <xf numFmtId="0" fontId="28" fillId="0" borderId="0" xfId="4" applyFont="1" applyFill="1" applyBorder="1" applyAlignment="1" applyProtection="1">
      <alignment horizontal="center"/>
    </xf>
    <xf numFmtId="182" fontId="28" fillId="0" borderId="0" xfId="4" applyNumberFormat="1" applyFont="1" applyFill="1" applyBorder="1" applyAlignment="1" applyProtection="1"/>
    <xf numFmtId="0" fontId="28" fillId="0" borderId="99" xfId="4" applyNumberFormat="1" applyFont="1" applyBorder="1" applyAlignment="1" applyProtection="1">
      <alignment wrapText="1" readingOrder="1"/>
    </xf>
    <xf numFmtId="49" fontId="22" fillId="0" borderId="99" xfId="4" applyNumberFormat="1" applyFont="1" applyBorder="1" applyAlignment="1" applyProtection="1">
      <alignment horizontal="center" vertical="center" wrapText="1" readingOrder="1"/>
    </xf>
    <xf numFmtId="0" fontId="22" fillId="0" borderId="99" xfId="4" applyNumberFormat="1" applyFont="1" applyBorder="1" applyAlignment="1" applyProtection="1">
      <alignment wrapText="1" readingOrder="1"/>
    </xf>
    <xf numFmtId="0" fontId="22" fillId="0" borderId="99" xfId="4" applyNumberFormat="1" applyFont="1" applyBorder="1" applyAlignment="1" applyProtection="1">
      <alignment vertical="top" wrapText="1" readingOrder="1"/>
    </xf>
    <xf numFmtId="49" fontId="28" fillId="0" borderId="99" xfId="4" applyNumberFormat="1" applyFont="1" applyBorder="1" applyAlignment="1" applyProtection="1">
      <alignment horizontal="center" vertical="center" wrapText="1" readingOrder="1"/>
    </xf>
    <xf numFmtId="0" fontId="22" fillId="0" borderId="99" xfId="4" applyNumberFormat="1" applyFont="1" applyBorder="1" applyAlignment="1" applyProtection="1">
      <alignment horizontal="left" vertical="top" wrapText="1" readingOrder="1"/>
    </xf>
    <xf numFmtId="0" fontId="28" fillId="0" borderId="99" xfId="4" applyNumberFormat="1" applyFont="1" applyBorder="1" applyAlignment="1" applyProtection="1">
      <alignment readingOrder="1"/>
    </xf>
    <xf numFmtId="0" fontId="22" fillId="0" borderId="99" xfId="4" applyNumberFormat="1" applyFont="1" applyBorder="1" applyAlignment="1" applyProtection="1">
      <alignment readingOrder="1"/>
    </xf>
    <xf numFmtId="49" fontId="22" fillId="0" borderId="99" xfId="4" applyNumberFormat="1" applyFont="1" applyBorder="1" applyAlignment="1" applyProtection="1">
      <alignment horizontal="center" vertical="center" readingOrder="1"/>
    </xf>
    <xf numFmtId="0" fontId="22" fillId="0" borderId="99" xfId="4" applyNumberFormat="1" applyFont="1" applyFill="1" applyBorder="1" applyAlignment="1" applyProtection="1">
      <alignment readingOrder="1"/>
    </xf>
    <xf numFmtId="0" fontId="28" fillId="0" borderId="57" xfId="4" applyNumberFormat="1" applyFont="1" applyBorder="1" applyAlignment="1" applyProtection="1">
      <alignment wrapText="1" readingOrder="1"/>
    </xf>
    <xf numFmtId="0" fontId="22" fillId="0" borderId="57" xfId="4" applyNumberFormat="1" applyFont="1" applyBorder="1" applyAlignment="1" applyProtection="1">
      <alignment wrapText="1" readingOrder="1"/>
    </xf>
    <xf numFmtId="49" fontId="22" fillId="0" borderId="57" xfId="4" applyNumberFormat="1" applyFont="1" applyBorder="1" applyAlignment="1" applyProtection="1">
      <alignment horizontal="center" vertical="center" wrapText="1" readingOrder="1"/>
    </xf>
    <xf numFmtId="0" fontId="28" fillId="0" borderId="0" xfId="0" applyFont="1" applyFill="1"/>
    <xf numFmtId="176" fontId="28" fillId="0" borderId="0" xfId="0" applyNumberFormat="1" applyFont="1" applyFill="1" applyBorder="1" applyAlignment="1">
      <alignment horizontal="center"/>
    </xf>
    <xf numFmtId="0" fontId="2" fillId="0" borderId="0" xfId="4" applyFont="1" applyAlignment="1" applyProtection="1"/>
    <xf numFmtId="177" fontId="2" fillId="0" borderId="0" xfId="4" applyNumberFormat="1" applyFont="1" applyProtection="1"/>
    <xf numFmtId="177" fontId="2" fillId="0" borderId="0" xfId="4" applyNumberFormat="1" applyFont="1" applyAlignment="1" applyProtection="1">
      <alignment horizontal="right"/>
    </xf>
    <xf numFmtId="0" fontId="59" fillId="5" borderId="94" xfId="4" applyFont="1" applyFill="1" applyBorder="1" applyAlignment="1" applyProtection="1"/>
    <xf numFmtId="180" fontId="44" fillId="5" borderId="95" xfId="4" applyNumberFormat="1" applyFont="1" applyFill="1" applyBorder="1" applyAlignment="1" applyProtection="1">
      <alignment horizontal="left" wrapText="1"/>
    </xf>
    <xf numFmtId="0" fontId="59" fillId="5" borderId="95" xfId="4" applyFont="1" applyFill="1" applyBorder="1" applyAlignment="1" applyProtection="1">
      <alignment horizontal="center"/>
    </xf>
    <xf numFmtId="0" fontId="59" fillId="5" borderId="95" xfId="4" applyFont="1" applyFill="1" applyBorder="1" applyAlignment="1" applyProtection="1"/>
    <xf numFmtId="0" fontId="44" fillId="5" borderId="95" xfId="4" applyFont="1" applyFill="1" applyBorder="1" applyAlignment="1" applyProtection="1">
      <alignment horizontal="right"/>
    </xf>
    <xf numFmtId="0" fontId="44" fillId="5" borderId="96" xfId="4" applyNumberFormat="1" applyFont="1" applyFill="1" applyBorder="1" applyAlignment="1" applyProtection="1">
      <alignment horizontal="left"/>
    </xf>
    <xf numFmtId="0" fontId="3" fillId="11" borderId="36" xfId="4" applyFont="1" applyFill="1" applyBorder="1" applyAlignment="1" applyProtection="1">
      <alignment horizontal="center" vertical="center"/>
      <protection locked="0"/>
    </xf>
    <xf numFmtId="0" fontId="3" fillId="11" borderId="2" xfId="4" applyFont="1" applyFill="1" applyBorder="1" applyAlignment="1" applyProtection="1">
      <alignment horizontal="center" vertical="center"/>
      <protection locked="0"/>
    </xf>
    <xf numFmtId="2" fontId="3" fillId="0" borderId="2" xfId="4" applyNumberFormat="1" applyFont="1" applyBorder="1" applyAlignment="1" applyProtection="1">
      <alignment horizontal="center" vertical="center"/>
    </xf>
    <xf numFmtId="0" fontId="60" fillId="5" borderId="97" xfId="4" applyFont="1" applyFill="1" applyBorder="1" applyAlignment="1" applyProtection="1"/>
    <xf numFmtId="0" fontId="60" fillId="5" borderId="0" xfId="4" applyFont="1" applyFill="1" applyBorder="1" applyAlignment="1" applyProtection="1"/>
    <xf numFmtId="2" fontId="22" fillId="5" borderId="0" xfId="4" applyNumberFormat="1" applyFont="1" applyFill="1" applyBorder="1" applyAlignment="1" applyProtection="1"/>
    <xf numFmtId="182" fontId="28" fillId="5" borderId="0" xfId="4" applyNumberFormat="1" applyFont="1" applyFill="1" applyBorder="1" applyAlignment="1" applyProtection="1"/>
    <xf numFmtId="0" fontId="59" fillId="5" borderId="97" xfId="4" applyFont="1" applyFill="1" applyBorder="1" applyAlignment="1" applyProtection="1"/>
    <xf numFmtId="0" fontId="59" fillId="5" borderId="0" xfId="4" applyFont="1" applyFill="1" applyBorder="1" applyAlignment="1" applyProtection="1"/>
    <xf numFmtId="0" fontId="61" fillId="0" borderId="23" xfId="4" applyFont="1" applyBorder="1" applyAlignment="1" applyProtection="1">
      <alignment horizontal="center" vertical="center"/>
    </xf>
    <xf numFmtId="0" fontId="61" fillId="0" borderId="14" xfId="4" applyFont="1" applyBorder="1" applyAlignment="1" applyProtection="1">
      <alignment horizontal="center" vertical="center"/>
    </xf>
    <xf numFmtId="0" fontId="61" fillId="0" borderId="37" xfId="4" applyFont="1" applyBorder="1" applyAlignment="1" applyProtection="1">
      <alignment horizontal="center" vertical="center"/>
    </xf>
    <xf numFmtId="182" fontId="62" fillId="5" borderId="21" xfId="4" applyNumberFormat="1" applyFont="1" applyFill="1" applyBorder="1" applyAlignment="1" applyProtection="1"/>
    <xf numFmtId="0" fontId="63" fillId="5" borderId="0" xfId="4" applyFont="1" applyFill="1" applyBorder="1" applyAlignment="1" applyProtection="1">
      <protection locked="0"/>
    </xf>
    <xf numFmtId="0" fontId="64" fillId="5" borderId="0" xfId="4" applyFont="1" applyFill="1" applyBorder="1" applyAlignment="1" applyProtection="1">
      <protection locked="0"/>
    </xf>
    <xf numFmtId="0" fontId="28" fillId="5" borderId="97" xfId="4" applyFont="1" applyFill="1" applyBorder="1" applyAlignment="1" applyProtection="1"/>
    <xf numFmtId="0" fontId="62" fillId="5" borderId="0" xfId="4" applyFont="1" applyFill="1" applyBorder="1" applyAlignment="1" applyProtection="1"/>
    <xf numFmtId="0" fontId="28" fillId="5" borderId="0" xfId="4" applyFont="1" applyFill="1" applyBorder="1" applyAlignment="1" applyProtection="1">
      <alignment horizontal="center"/>
    </xf>
    <xf numFmtId="0" fontId="65" fillId="0" borderId="97" xfId="4" applyFont="1" applyFill="1" applyBorder="1" applyAlignment="1" applyProtection="1"/>
    <xf numFmtId="0" fontId="66" fillId="0" borderId="0" xfId="4" applyFont="1" applyFill="1" applyBorder="1" applyAlignment="1" applyProtection="1"/>
    <xf numFmtId="2" fontId="22" fillId="0" borderId="0" xfId="4" applyNumberFormat="1" applyFont="1" applyFill="1" applyBorder="1" applyAlignment="1" applyProtection="1"/>
    <xf numFmtId="0" fontId="65" fillId="0" borderId="0" xfId="4" applyFont="1" applyFill="1" applyBorder="1" applyAlignment="1" applyProtection="1"/>
    <xf numFmtId="182" fontId="28" fillId="0" borderId="21" xfId="4" applyNumberFormat="1" applyFont="1" applyFill="1" applyBorder="1" applyAlignment="1" applyProtection="1"/>
    <xf numFmtId="0" fontId="44" fillId="6" borderId="58" xfId="4" applyFont="1" applyFill="1" applyBorder="1" applyAlignment="1" applyProtection="1">
      <alignment vertical="top" wrapText="1" readingOrder="1"/>
    </xf>
    <xf numFmtId="3" fontId="44" fillId="6" borderId="58" xfId="4" applyNumberFormat="1" applyFont="1" applyFill="1" applyBorder="1" applyAlignment="1" applyProtection="1">
      <alignment vertical="top" wrapText="1" readingOrder="1"/>
    </xf>
    <xf numFmtId="0" fontId="44" fillId="6" borderId="58" xfId="4" applyFont="1" applyFill="1" applyBorder="1" applyAlignment="1" applyProtection="1">
      <alignment horizontal="center" vertical="center" wrapText="1" readingOrder="1"/>
    </xf>
    <xf numFmtId="2" fontId="44" fillId="6" borderId="58" xfId="4" applyNumberFormat="1" applyFont="1" applyFill="1" applyBorder="1" applyAlignment="1" applyProtection="1">
      <alignment horizontal="center" vertical="center" wrapText="1" readingOrder="1"/>
    </xf>
    <xf numFmtId="0" fontId="35" fillId="6" borderId="58" xfId="4" applyFont="1" applyFill="1" applyBorder="1" applyAlignment="1" applyProtection="1">
      <alignment vertical="top" wrapText="1" readingOrder="1"/>
    </xf>
    <xf numFmtId="182" fontId="44" fillId="6" borderId="58" xfId="4" applyNumberFormat="1" applyFont="1" applyFill="1" applyBorder="1" applyAlignment="1" applyProtection="1">
      <alignment horizontal="center" vertical="center" wrapText="1" readingOrder="1"/>
    </xf>
    <xf numFmtId="0" fontId="35" fillId="0" borderId="99" xfId="4" applyNumberFormat="1" applyFont="1" applyBorder="1" applyAlignment="1" applyProtection="1">
      <alignment wrapText="1" readingOrder="1"/>
    </xf>
    <xf numFmtId="2" fontId="22" fillId="0" borderId="99" xfId="4" applyNumberFormat="1" applyFont="1" applyBorder="1" applyAlignment="1" applyProtection="1">
      <alignment horizontal="center" vertical="center" wrapText="1" readingOrder="1"/>
    </xf>
    <xf numFmtId="174" fontId="22" fillId="0" borderId="100" xfId="4" applyNumberFormat="1" applyFont="1" applyFill="1" applyBorder="1" applyAlignment="1" applyProtection="1">
      <alignment horizontal="center" vertical="center" wrapText="1" readingOrder="1"/>
    </xf>
    <xf numFmtId="182" fontId="22" fillId="13" borderId="100" xfId="4" applyNumberFormat="1" applyFont="1" applyFill="1" applyBorder="1" applyAlignment="1" applyProtection="1">
      <alignment horizontal="center" vertical="center" wrapText="1" readingOrder="1"/>
    </xf>
    <xf numFmtId="2" fontId="53" fillId="0" borderId="99" xfId="4" applyNumberFormat="1" applyFont="1" applyFill="1" applyBorder="1" applyAlignment="1" applyProtection="1">
      <alignment horizontal="center" vertical="center" wrapText="1" readingOrder="1"/>
    </xf>
    <xf numFmtId="164" fontId="2" fillId="0" borderId="0" xfId="4" applyNumberFormat="1" applyFont="1" applyProtection="1"/>
    <xf numFmtId="2" fontId="53" fillId="0" borderId="99" xfId="4" applyNumberFormat="1" applyFont="1" applyFill="1" applyBorder="1" applyAlignment="1" applyProtection="1">
      <alignment horizontal="center" vertical="center" wrapText="1" readingOrder="1"/>
      <protection locked="0"/>
    </xf>
    <xf numFmtId="2" fontId="53" fillId="0" borderId="99" xfId="4" applyNumberFormat="1" applyFont="1" applyBorder="1" applyAlignment="1" applyProtection="1">
      <alignment horizontal="center" vertical="center" wrapText="1" readingOrder="1"/>
    </xf>
    <xf numFmtId="0" fontId="2" fillId="0" borderId="0" xfId="4" applyFont="1" applyAlignment="1" applyProtection="1">
      <alignment wrapText="1" readingOrder="1"/>
    </xf>
    <xf numFmtId="164" fontId="2" fillId="0" borderId="0" xfId="4" applyNumberFormat="1" applyFont="1" applyAlignment="1" applyProtection="1">
      <alignment wrapText="1" readingOrder="1"/>
    </xf>
    <xf numFmtId="2" fontId="53" fillId="0" borderId="99" xfId="4" applyNumberFormat="1" applyFont="1" applyBorder="1" applyAlignment="1" applyProtection="1">
      <alignment horizontal="center" vertical="center" readingOrder="1"/>
    </xf>
    <xf numFmtId="182" fontId="22" fillId="13" borderId="101" xfId="4" applyNumberFormat="1" applyFont="1" applyFill="1" applyBorder="1" applyAlignment="1" applyProtection="1">
      <alignment horizontal="center" vertical="center" readingOrder="1"/>
    </xf>
    <xf numFmtId="164" fontId="2" fillId="0" borderId="0" xfId="4" applyNumberFormat="1" applyFont="1" applyAlignment="1" applyProtection="1"/>
    <xf numFmtId="2" fontId="53" fillId="0" borderId="99" xfId="4" applyNumberFormat="1" applyFont="1" applyFill="1" applyBorder="1" applyAlignment="1" applyProtection="1">
      <alignment horizontal="center" vertical="center" readingOrder="1"/>
    </xf>
    <xf numFmtId="182" fontId="22" fillId="13" borderId="102" xfId="4" applyNumberFormat="1" applyFont="1" applyFill="1" applyBorder="1" applyAlignment="1" applyProtection="1">
      <alignment horizontal="center" vertical="center" wrapText="1" readingOrder="1"/>
    </xf>
    <xf numFmtId="164" fontId="2" fillId="0" borderId="0" xfId="4" applyNumberFormat="1" applyFont="1" applyBorder="1" applyProtection="1"/>
    <xf numFmtId="182" fontId="2" fillId="0" borderId="0" xfId="4" applyNumberFormat="1" applyFont="1" applyBorder="1" applyProtection="1"/>
    <xf numFmtId="182" fontId="2" fillId="0" borderId="0" xfId="4" applyNumberFormat="1" applyFont="1" applyProtection="1"/>
    <xf numFmtId="2" fontId="53" fillId="0" borderId="99" xfId="4" applyNumberFormat="1" applyFont="1" applyFill="1" applyBorder="1" applyAlignment="1" applyProtection="1">
      <alignment horizontal="center" vertical="center" readingOrder="1"/>
      <protection locked="0"/>
    </xf>
    <xf numFmtId="182" fontId="22" fillId="13" borderId="99" xfId="4" applyNumberFormat="1" applyFont="1" applyFill="1" applyBorder="1" applyAlignment="1" applyProtection="1">
      <alignment horizontal="center" vertical="center" readingOrder="1"/>
    </xf>
    <xf numFmtId="182" fontId="22" fillId="13" borderId="100" xfId="4" applyNumberFormat="1" applyFont="1" applyFill="1" applyBorder="1" applyAlignment="1" applyProtection="1">
      <alignment horizontal="center" vertical="center" readingOrder="1"/>
    </xf>
    <xf numFmtId="1" fontId="10" fillId="0" borderId="0" xfId="4" applyNumberFormat="1" applyFont="1" applyFill="1" applyBorder="1" applyAlignment="1" applyProtection="1">
      <alignment wrapText="1" readingOrder="1"/>
    </xf>
    <xf numFmtId="174" fontId="10" fillId="0" borderId="0" xfId="4" applyNumberFormat="1" applyFont="1" applyFill="1" applyBorder="1" applyAlignment="1" applyProtection="1">
      <alignment wrapText="1" readingOrder="1"/>
    </xf>
    <xf numFmtId="49" fontId="10" fillId="0" borderId="0" xfId="4" applyNumberFormat="1" applyFont="1" applyFill="1" applyBorder="1" applyAlignment="1" applyProtection="1">
      <alignment wrapText="1" readingOrder="1"/>
    </xf>
    <xf numFmtId="2" fontId="53" fillId="0" borderId="57" xfId="4" applyNumberFormat="1" applyFont="1" applyBorder="1" applyAlignment="1" applyProtection="1">
      <alignment horizontal="center" vertical="center" wrapText="1" readingOrder="1"/>
    </xf>
    <xf numFmtId="182" fontId="22" fillId="13" borderId="57" xfId="4" applyNumberFormat="1" applyFont="1" applyFill="1" applyBorder="1" applyAlignment="1" applyProtection="1">
      <alignment horizontal="center" vertical="center" wrapText="1" readingOrder="1"/>
    </xf>
    <xf numFmtId="0" fontId="22" fillId="13" borderId="103" xfId="4" applyNumberFormat="1" applyFont="1" applyFill="1" applyBorder="1" applyAlignment="1" applyProtection="1">
      <alignment horizontal="right"/>
    </xf>
    <xf numFmtId="0" fontId="44" fillId="13" borderId="99" xfId="4" applyNumberFormat="1" applyFont="1" applyFill="1" applyBorder="1" applyAlignment="1" applyProtection="1"/>
    <xf numFmtId="0" fontId="53" fillId="13" borderId="99" xfId="4" applyNumberFormat="1" applyFont="1" applyFill="1" applyBorder="1" applyAlignment="1" applyProtection="1">
      <alignment horizontal="center" vertical="center" readingOrder="1"/>
    </xf>
    <xf numFmtId="2" fontId="53" fillId="13" borderId="104" xfId="4" applyNumberFormat="1" applyFont="1" applyFill="1" applyBorder="1" applyAlignment="1" applyProtection="1">
      <alignment horizontal="center" vertical="center" readingOrder="1"/>
    </xf>
    <xf numFmtId="182" fontId="44" fillId="13" borderId="105" xfId="4" applyNumberFormat="1" applyFont="1" applyFill="1" applyBorder="1" applyAlignment="1" applyProtection="1">
      <alignment horizontal="right" vertical="center"/>
    </xf>
    <xf numFmtId="0" fontId="28" fillId="5" borderId="94" xfId="4" applyFont="1" applyFill="1" applyBorder="1" applyAlignment="1" applyProtection="1"/>
    <xf numFmtId="0" fontId="22" fillId="2" borderId="95" xfId="4" applyNumberFormat="1" applyFont="1" applyFill="1" applyBorder="1" applyAlignment="1" applyProtection="1"/>
    <xf numFmtId="0" fontId="22" fillId="2" borderId="106" xfId="4" applyNumberFormat="1" applyFont="1" applyFill="1" applyBorder="1" applyAlignment="1" applyProtection="1">
      <alignment horizontal="center"/>
    </xf>
    <xf numFmtId="182" fontId="44" fillId="6" borderId="92" xfId="4" applyNumberFormat="1" applyFont="1" applyFill="1" applyBorder="1" applyAlignment="1" applyProtection="1">
      <alignment horizontal="right" vertical="center"/>
    </xf>
    <xf numFmtId="0" fontId="22" fillId="2" borderId="109" xfId="4" applyNumberFormat="1" applyFont="1" applyFill="1" applyBorder="1" applyAlignment="1" applyProtection="1"/>
    <xf numFmtId="0" fontId="22" fillId="2" borderId="110" xfId="4" applyNumberFormat="1" applyFont="1" applyFill="1" applyBorder="1" applyAlignment="1" applyProtection="1"/>
    <xf numFmtId="0" fontId="22" fillId="2" borderId="111" xfId="4" applyNumberFormat="1" applyFont="1" applyFill="1" applyBorder="1" applyAlignment="1" applyProtection="1">
      <alignment horizontal="center"/>
    </xf>
    <xf numFmtId="0" fontId="22" fillId="6" borderId="15" xfId="4" applyFont="1" applyFill="1" applyBorder="1" applyAlignment="1" applyProtection="1">
      <alignment vertical="center"/>
    </xf>
    <xf numFmtId="181" fontId="22" fillId="6" borderId="21" xfId="4" applyNumberFormat="1" applyFont="1" applyFill="1" applyBorder="1" applyAlignment="1" applyProtection="1">
      <alignment horizontal="left" vertical="center"/>
    </xf>
    <xf numFmtId="182" fontId="44" fillId="6" borderId="93" xfId="4" applyNumberFormat="1" applyFont="1" applyFill="1" applyBorder="1" applyAlignment="1" applyProtection="1">
      <alignment horizontal="right" vertical="center"/>
    </xf>
    <xf numFmtId="0" fontId="44" fillId="2" borderId="110" xfId="4" applyNumberFormat="1" applyFont="1" applyFill="1" applyBorder="1" applyAlignment="1" applyProtection="1"/>
    <xf numFmtId="170" fontId="44" fillId="2" borderId="22" xfId="4" applyNumberFormat="1" applyFont="1" applyFill="1" applyBorder="1" applyAlignment="1" applyProtection="1">
      <alignment horizontal="center"/>
    </xf>
    <xf numFmtId="182" fontId="44" fillId="6" borderId="93" xfId="4" applyNumberFormat="1" applyFont="1" applyFill="1" applyBorder="1" applyAlignment="1" applyProtection="1"/>
    <xf numFmtId="0" fontId="22" fillId="2" borderId="22" xfId="4" applyNumberFormat="1" applyFont="1" applyFill="1" applyBorder="1" applyAlignment="1" applyProtection="1">
      <alignment horizontal="center"/>
    </xf>
    <xf numFmtId="2" fontId="22" fillId="6" borderId="23" xfId="4" applyNumberFormat="1" applyFont="1" applyFill="1" applyBorder="1" applyAlignment="1" applyProtection="1"/>
    <xf numFmtId="181" fontId="22" fillId="6" borderId="112" xfId="4" applyNumberFormat="1" applyFont="1" applyFill="1" applyBorder="1" applyAlignment="1" applyProtection="1">
      <alignment horizontal="left"/>
      <protection locked="0"/>
    </xf>
    <xf numFmtId="182" fontId="44" fillId="6" borderId="113" xfId="4" applyNumberFormat="1" applyFont="1" applyFill="1" applyBorder="1" applyAlignment="1" applyProtection="1"/>
    <xf numFmtId="0" fontId="22" fillId="2" borderId="114" xfId="4" applyNumberFormat="1" applyFont="1" applyFill="1" applyBorder="1" applyAlignment="1" applyProtection="1"/>
    <xf numFmtId="0" fontId="22" fillId="5" borderId="115" xfId="4" applyFont="1" applyFill="1" applyBorder="1" applyAlignment="1" applyProtection="1"/>
    <xf numFmtId="0" fontId="22" fillId="2" borderId="116" xfId="4" applyNumberFormat="1" applyFont="1" applyFill="1" applyBorder="1" applyAlignment="1" applyProtection="1">
      <alignment horizontal="center"/>
    </xf>
    <xf numFmtId="182" fontId="44" fillId="14" borderId="91" xfId="4" applyNumberFormat="1" applyFont="1" applyFill="1" applyBorder="1" applyAlignment="1" applyProtection="1"/>
    <xf numFmtId="0" fontId="33" fillId="5" borderId="0" xfId="4" applyFont="1" applyFill="1" applyBorder="1" applyAlignment="1" applyProtection="1"/>
    <xf numFmtId="0" fontId="67" fillId="5" borderId="0" xfId="4" applyFont="1" applyFill="1" applyBorder="1" applyAlignment="1" applyProtection="1"/>
    <xf numFmtId="0" fontId="33" fillId="4" borderId="69" xfId="4" applyFont="1" applyFill="1" applyBorder="1" applyAlignment="1" applyProtection="1"/>
    <xf numFmtId="0" fontId="33" fillId="4" borderId="70" xfId="4" applyFont="1" applyFill="1" applyBorder="1" applyAlignment="1" applyProtection="1"/>
    <xf numFmtId="0" fontId="33" fillId="4" borderId="70" xfId="4" applyFont="1" applyFill="1" applyBorder="1" applyAlignment="1" applyProtection="1">
      <alignment horizontal="center"/>
    </xf>
    <xf numFmtId="0" fontId="28" fillId="4" borderId="76" xfId="4" applyFont="1" applyFill="1" applyBorder="1" applyAlignment="1" applyProtection="1"/>
    <xf numFmtId="0" fontId="33" fillId="4" borderId="64" xfId="4" applyFont="1" applyFill="1" applyBorder="1" applyAlignment="1" applyProtection="1"/>
    <xf numFmtId="182" fontId="33" fillId="4" borderId="64" xfId="4" applyNumberFormat="1" applyFont="1" applyFill="1" applyBorder="1" applyAlignment="1" applyProtection="1"/>
    <xf numFmtId="0" fontId="28" fillId="5" borderId="77" xfId="4" applyFont="1" applyFill="1" applyBorder="1" applyAlignment="1" applyProtection="1"/>
    <xf numFmtId="0" fontId="28" fillId="5" borderId="80" xfId="4" applyFont="1" applyFill="1" applyBorder="1" applyAlignment="1" applyProtection="1"/>
    <xf numFmtId="0" fontId="28" fillId="5" borderId="81" xfId="4" applyFont="1" applyFill="1" applyBorder="1" applyAlignment="1" applyProtection="1">
      <alignment horizontal="center"/>
    </xf>
    <xf numFmtId="0" fontId="28" fillId="5" borderId="82" xfId="4" applyFont="1" applyFill="1" applyBorder="1" applyAlignment="1" applyProtection="1"/>
    <xf numFmtId="9" fontId="28" fillId="13" borderId="89" xfId="4" applyNumberFormat="1" applyFont="1" applyFill="1" applyBorder="1" applyAlignment="1" applyProtection="1"/>
    <xf numFmtId="182" fontId="28" fillId="13" borderId="90" xfId="4" applyNumberFormat="1" applyFont="1" applyFill="1" applyBorder="1" applyAlignment="1" applyProtection="1"/>
    <xf numFmtId="0" fontId="2" fillId="0" borderId="0" xfId="4" applyNumberFormat="1" applyFont="1" applyProtection="1"/>
    <xf numFmtId="0" fontId="28" fillId="5" borderId="78" xfId="4" applyFont="1" applyFill="1" applyBorder="1" applyAlignment="1" applyProtection="1"/>
    <xf numFmtId="0" fontId="28" fillId="5" borderId="83" xfId="4" applyFont="1" applyFill="1" applyBorder="1" applyAlignment="1" applyProtection="1"/>
    <xf numFmtId="0" fontId="28" fillId="5" borderId="84" xfId="4" applyFont="1" applyFill="1" applyBorder="1" applyAlignment="1" applyProtection="1">
      <alignment horizontal="center"/>
    </xf>
    <xf numFmtId="0" fontId="28" fillId="5" borderId="85" xfId="4" applyFont="1" applyFill="1" applyBorder="1" applyAlignment="1" applyProtection="1"/>
    <xf numFmtId="9" fontId="28" fillId="13" borderId="58" xfId="4" applyNumberFormat="1" applyFont="1" applyFill="1" applyBorder="1" applyAlignment="1" applyProtection="1"/>
    <xf numFmtId="182" fontId="28" fillId="13" borderId="72" xfId="4" applyNumberFormat="1" applyFont="1" applyFill="1" applyBorder="1" applyAlignment="1" applyProtection="1"/>
    <xf numFmtId="0" fontId="28" fillId="5" borderId="79" xfId="4" applyFont="1" applyFill="1" applyBorder="1" applyAlignment="1" applyProtection="1"/>
    <xf numFmtId="0" fontId="28" fillId="5" borderId="86" xfId="4" applyFont="1" applyFill="1" applyBorder="1" applyAlignment="1" applyProtection="1"/>
    <xf numFmtId="0" fontId="28" fillId="5" borderId="87" xfId="4" applyFont="1" applyFill="1" applyBorder="1" applyAlignment="1" applyProtection="1">
      <alignment horizontal="center"/>
    </xf>
    <xf numFmtId="0" fontId="28" fillId="5" borderId="88" xfId="4" applyFont="1" applyFill="1" applyBorder="1" applyAlignment="1" applyProtection="1"/>
    <xf numFmtId="9" fontId="28" fillId="13" borderId="74" xfId="4" applyNumberFormat="1" applyFont="1" applyFill="1" applyBorder="1" applyAlignment="1" applyProtection="1"/>
    <xf numFmtId="182" fontId="28" fillId="13" borderId="75" xfId="4" applyNumberFormat="1" applyFont="1" applyFill="1" applyBorder="1" applyAlignment="1" applyProtection="1"/>
    <xf numFmtId="0" fontId="22" fillId="5" borderId="0" xfId="4" applyNumberFormat="1" applyFont="1" applyFill="1" applyBorder="1" applyAlignment="1" applyProtection="1"/>
    <xf numFmtId="182" fontId="44" fillId="5" borderId="0" xfId="4" applyNumberFormat="1" applyFont="1" applyFill="1" applyBorder="1" applyAlignment="1" applyProtection="1"/>
    <xf numFmtId="0" fontId="44" fillId="5" borderId="0" xfId="4" applyFont="1" applyFill="1" applyBorder="1" applyAlignment="1" applyProtection="1"/>
    <xf numFmtId="0" fontId="28" fillId="5" borderId="0" xfId="4" applyFont="1" applyFill="1" applyBorder="1" applyAlignment="1" applyProtection="1">
      <alignment horizontal="right" vertical="center"/>
    </xf>
    <xf numFmtId="0" fontId="34" fillId="5" borderId="0" xfId="4" applyFont="1" applyFill="1" applyBorder="1" applyAlignment="1" applyProtection="1"/>
    <xf numFmtId="0" fontId="33" fillId="0" borderId="0" xfId="4" applyFont="1" applyFill="1" applyBorder="1" applyAlignment="1" applyProtection="1"/>
    <xf numFmtId="0" fontId="28" fillId="0" borderId="121" xfId="4" applyFont="1" applyFill="1" applyBorder="1" applyAlignment="1" applyProtection="1"/>
    <xf numFmtId="0" fontId="33" fillId="6" borderId="122" xfId="4" applyFont="1" applyFill="1" applyBorder="1" applyAlignment="1" applyProtection="1"/>
    <xf numFmtId="0" fontId="28" fillId="6" borderId="122" xfId="4" applyFont="1" applyFill="1" applyBorder="1" applyAlignment="1" applyProtection="1">
      <alignment horizontal="center"/>
    </xf>
    <xf numFmtId="2" fontId="22" fillId="6" borderId="122" xfId="4" applyNumberFormat="1" applyFont="1" applyFill="1" applyBorder="1" applyAlignment="1" applyProtection="1"/>
    <xf numFmtId="0" fontId="28" fillId="6" borderId="122" xfId="4" applyFont="1" applyFill="1" applyBorder="1" applyAlignment="1" applyProtection="1"/>
    <xf numFmtId="182" fontId="28" fillId="6" borderId="123" xfId="4" applyNumberFormat="1" applyFont="1" applyFill="1" applyBorder="1" applyAlignment="1" applyProtection="1"/>
    <xf numFmtId="0" fontId="28" fillId="15" borderId="124" xfId="4" applyFont="1" applyFill="1" applyBorder="1" applyAlignment="1" applyProtection="1"/>
    <xf numFmtId="0" fontId="28" fillId="5" borderId="126" xfId="4" applyFont="1" applyFill="1" applyBorder="1" applyAlignment="1" applyProtection="1">
      <alignment horizontal="center"/>
    </xf>
    <xf numFmtId="2" fontId="22" fillId="5" borderId="126" xfId="4" applyNumberFormat="1" applyFont="1" applyFill="1" applyBorder="1" applyAlignment="1" applyProtection="1"/>
    <xf numFmtId="0" fontId="28" fillId="5" borderId="127" xfId="4" applyFont="1" applyFill="1" applyBorder="1" applyAlignment="1" applyProtection="1"/>
    <xf numFmtId="0" fontId="28" fillId="15" borderId="129" xfId="4" applyFont="1" applyFill="1" applyBorder="1" applyAlignment="1" applyProtection="1"/>
    <xf numFmtId="0" fontId="22" fillId="0" borderId="130" xfId="4" applyNumberFormat="1" applyFont="1" applyBorder="1" applyAlignment="1" applyProtection="1">
      <alignment wrapText="1" readingOrder="1"/>
    </xf>
    <xf numFmtId="0" fontId="28" fillId="5" borderId="131" xfId="4" applyFont="1" applyFill="1" applyBorder="1" applyAlignment="1" applyProtection="1">
      <alignment horizontal="center"/>
    </xf>
    <xf numFmtId="2" fontId="22" fillId="5" borderId="131" xfId="4" applyNumberFormat="1" applyFont="1" applyFill="1" applyBorder="1" applyAlignment="1" applyProtection="1"/>
    <xf numFmtId="0" fontId="28" fillId="5" borderId="132" xfId="4" applyFont="1" applyFill="1" applyBorder="1" applyAlignment="1" applyProtection="1"/>
    <xf numFmtId="0" fontId="28" fillId="5" borderId="130" xfId="4" applyFont="1" applyFill="1" applyBorder="1" applyAlignment="1" applyProtection="1"/>
    <xf numFmtId="0" fontId="2" fillId="0" borderId="0" xfId="4" applyNumberFormat="1" applyFont="1" applyBorder="1" applyProtection="1"/>
    <xf numFmtId="177" fontId="2" fillId="0" borderId="6" xfId="4" applyNumberFormat="1" applyFont="1" applyBorder="1" applyAlignment="1" applyProtection="1">
      <alignment horizontal="right"/>
    </xf>
    <xf numFmtId="177" fontId="2" fillId="0" borderId="135" xfId="4" applyNumberFormat="1" applyFont="1" applyBorder="1" applyProtection="1"/>
    <xf numFmtId="0" fontId="28" fillId="15" borderId="136" xfId="4" applyFont="1" applyFill="1" applyBorder="1" applyAlignment="1" applyProtection="1"/>
    <xf numFmtId="0" fontId="33" fillId="0" borderId="137" xfId="4" applyFont="1" applyFill="1" applyBorder="1" applyAlignment="1" applyProtection="1"/>
    <xf numFmtId="0" fontId="28" fillId="0" borderId="137" xfId="4" applyFont="1" applyFill="1" applyBorder="1" applyAlignment="1" applyProtection="1">
      <alignment horizontal="center"/>
    </xf>
    <xf numFmtId="2" fontId="22" fillId="0" borderId="137" xfId="4" applyNumberFormat="1" applyFont="1" applyFill="1" applyBorder="1" applyAlignment="1" applyProtection="1"/>
    <xf numFmtId="0" fontId="28" fillId="0" borderId="137" xfId="4" applyFont="1" applyFill="1" applyBorder="1" applyAlignment="1" applyProtection="1"/>
    <xf numFmtId="0" fontId="33" fillId="4" borderId="138" xfId="4" applyFont="1" applyFill="1" applyBorder="1" applyAlignment="1" applyProtection="1"/>
    <xf numFmtId="0" fontId="28" fillId="4" borderId="137" xfId="4" applyFont="1" applyFill="1" applyBorder="1" applyAlignment="1" applyProtection="1">
      <alignment horizontal="center"/>
    </xf>
    <xf numFmtId="2" fontId="22" fillId="4" borderId="137" xfId="4" applyNumberFormat="1" applyFont="1" applyFill="1" applyBorder="1" applyAlignment="1" applyProtection="1"/>
    <xf numFmtId="0" fontId="28" fillId="4" borderId="137" xfId="4" applyFont="1" applyFill="1" applyBorder="1" applyAlignment="1" applyProtection="1"/>
    <xf numFmtId="177" fontId="33" fillId="4" borderId="139" xfId="4" applyNumberFormat="1" applyFont="1" applyFill="1" applyBorder="1" applyAlignment="1" applyProtection="1"/>
    <xf numFmtId="0" fontId="28" fillId="15" borderId="0" xfId="4" applyFont="1" applyFill="1" applyBorder="1" applyAlignment="1" applyProtection="1"/>
    <xf numFmtId="182" fontId="33" fillId="0" borderId="0" xfId="4" applyNumberFormat="1" applyFont="1" applyFill="1" applyBorder="1" applyAlignment="1" applyProtection="1"/>
    <xf numFmtId="0" fontId="68" fillId="0" borderId="136" xfId="4" applyFont="1" applyFill="1" applyBorder="1" applyAlignment="1" applyProtection="1"/>
    <xf numFmtId="0" fontId="33" fillId="3" borderId="138" xfId="4" applyFont="1" applyFill="1" applyBorder="1" applyAlignment="1" applyProtection="1"/>
    <xf numFmtId="0" fontId="28" fillId="3" borderId="137" xfId="4" applyFont="1" applyFill="1" applyBorder="1" applyAlignment="1" applyProtection="1">
      <alignment horizontal="center"/>
    </xf>
    <xf numFmtId="0" fontId="22" fillId="3" borderId="70" xfId="4" applyNumberFormat="1" applyFont="1" applyFill="1" applyBorder="1" applyAlignment="1" applyProtection="1"/>
    <xf numFmtId="177" fontId="33" fillId="3" borderId="140" xfId="4" applyNumberFormat="1" applyFont="1" applyFill="1" applyBorder="1" applyAlignment="1" applyProtection="1">
      <alignment horizontal="right" vertical="center"/>
    </xf>
    <xf numFmtId="0" fontId="69" fillId="5" borderId="0" xfId="4" applyFont="1" applyFill="1" applyBorder="1" applyAlignment="1" applyProtection="1"/>
    <xf numFmtId="0" fontId="2" fillId="0" borderId="0" xfId="4" applyNumberFormat="1" applyFont="1" applyFill="1" applyBorder="1" applyProtection="1"/>
    <xf numFmtId="0" fontId="33" fillId="14" borderId="138" xfId="4" applyFont="1" applyFill="1" applyBorder="1" applyAlignment="1" applyProtection="1"/>
    <xf numFmtId="0" fontId="28" fillId="14" borderId="137" xfId="4" applyFont="1" applyFill="1" applyBorder="1" applyAlignment="1" applyProtection="1">
      <alignment horizontal="center"/>
    </xf>
    <xf numFmtId="2" fontId="22" fillId="14" borderId="137" xfId="4" applyNumberFormat="1" applyFont="1" applyFill="1" applyBorder="1" applyAlignment="1" applyProtection="1"/>
    <xf numFmtId="0" fontId="67" fillId="14" borderId="137" xfId="4" applyFont="1" applyFill="1" applyBorder="1" applyAlignment="1" applyProtection="1">
      <alignment horizontal="right"/>
    </xf>
    <xf numFmtId="177" fontId="33" fillId="14" borderId="139" xfId="4" applyNumberFormat="1" applyFont="1" applyFill="1" applyBorder="1" applyAlignment="1" applyProtection="1">
      <alignment horizontal="right"/>
    </xf>
    <xf numFmtId="0" fontId="28" fillId="15" borderId="137" xfId="4" applyFont="1" applyFill="1" applyBorder="1" applyAlignment="1" applyProtection="1"/>
    <xf numFmtId="4" fontId="33" fillId="0" borderId="137" xfId="4" applyNumberFormat="1" applyFont="1" applyFill="1" applyBorder="1" applyAlignment="1" applyProtection="1"/>
    <xf numFmtId="0" fontId="28" fillId="16" borderId="136" xfId="4" applyFont="1" applyFill="1" applyBorder="1" applyAlignment="1" applyProtection="1"/>
    <xf numFmtId="0" fontId="33" fillId="6" borderId="137" xfId="4" applyFont="1" applyFill="1" applyBorder="1" applyAlignment="1" applyProtection="1"/>
    <xf numFmtId="0" fontId="28" fillId="6" borderId="137" xfId="4" applyFont="1" applyFill="1" applyBorder="1" applyAlignment="1" applyProtection="1">
      <alignment horizontal="center"/>
    </xf>
    <xf numFmtId="2" fontId="22" fillId="6" borderId="137" xfId="4" applyNumberFormat="1" applyFont="1" applyFill="1" applyBorder="1" applyAlignment="1" applyProtection="1"/>
    <xf numFmtId="0" fontId="28" fillId="6" borderId="137" xfId="4" applyFont="1" applyFill="1" applyBorder="1" applyAlignment="1" applyProtection="1"/>
    <xf numFmtId="182" fontId="33" fillId="6" borderId="139" xfId="4" applyNumberFormat="1" applyFont="1" applyFill="1" applyBorder="1" applyAlignment="1" applyProtection="1"/>
    <xf numFmtId="0" fontId="28" fillId="15" borderId="141" xfId="4" applyFont="1" applyFill="1" applyBorder="1" applyAlignment="1" applyProtection="1"/>
    <xf numFmtId="0" fontId="28" fillId="5" borderId="142" xfId="4" applyFont="1" applyFill="1" applyBorder="1" applyAlignment="1" applyProtection="1"/>
    <xf numFmtId="0" fontId="28" fillId="5" borderId="143" xfId="4" applyFont="1" applyFill="1" applyBorder="1" applyAlignment="1" applyProtection="1">
      <alignment horizontal="center"/>
    </xf>
    <xf numFmtId="2" fontId="22" fillId="5" borderId="143" xfId="4" applyNumberFormat="1" applyFont="1" applyFill="1" applyBorder="1" applyAlignment="1" applyProtection="1"/>
    <xf numFmtId="0" fontId="28" fillId="5" borderId="144" xfId="4" applyFont="1" applyFill="1" applyBorder="1" applyAlignment="1" applyProtection="1"/>
    <xf numFmtId="0" fontId="28" fillId="15" borderId="146" xfId="4" applyFont="1" applyFill="1" applyBorder="1" applyAlignment="1" applyProtection="1"/>
    <xf numFmtId="0" fontId="28" fillId="5" borderId="147" xfId="4" applyFont="1" applyFill="1" applyBorder="1" applyAlignment="1" applyProtection="1"/>
    <xf numFmtId="0" fontId="28" fillId="5" borderId="148" xfId="4" applyFont="1" applyFill="1" applyBorder="1" applyAlignment="1" applyProtection="1">
      <alignment horizontal="center"/>
    </xf>
    <xf numFmtId="2" fontId="22" fillId="5" borderId="148" xfId="4" applyNumberFormat="1" applyFont="1" applyFill="1" applyBorder="1" applyAlignment="1" applyProtection="1"/>
    <xf numFmtId="0" fontId="28" fillId="5" borderId="149" xfId="4" applyFont="1" applyFill="1" applyBorder="1" applyAlignment="1" applyProtection="1"/>
    <xf numFmtId="0" fontId="28" fillId="15" borderId="151" xfId="4" applyFont="1" applyFill="1" applyBorder="1" applyAlignment="1" applyProtection="1"/>
    <xf numFmtId="0" fontId="28" fillId="5" borderId="152" xfId="4" applyFont="1" applyFill="1" applyBorder="1" applyAlignment="1" applyProtection="1"/>
    <xf numFmtId="0" fontId="28" fillId="5" borderId="153" xfId="4" applyFont="1" applyFill="1" applyBorder="1" applyAlignment="1" applyProtection="1">
      <alignment horizontal="center"/>
    </xf>
    <xf numFmtId="2" fontId="22" fillId="5" borderId="153" xfId="4" applyNumberFormat="1" applyFont="1" applyFill="1" applyBorder="1" applyAlignment="1" applyProtection="1"/>
    <xf numFmtId="0" fontId="28" fillId="5" borderId="154" xfId="4" applyFont="1" applyFill="1" applyBorder="1" applyAlignment="1" applyProtection="1">
      <alignment horizontal="right"/>
    </xf>
    <xf numFmtId="0" fontId="33" fillId="4" borderId="137" xfId="4" applyFont="1" applyFill="1" applyBorder="1" applyAlignment="1" applyProtection="1"/>
    <xf numFmtId="177" fontId="33" fillId="0" borderId="0" xfId="4" applyNumberFormat="1" applyFont="1" applyFill="1" applyBorder="1" applyAlignment="1" applyProtection="1"/>
    <xf numFmtId="0" fontId="44" fillId="14" borderId="137" xfId="4" applyFont="1" applyFill="1" applyBorder="1" applyAlignment="1" applyProtection="1"/>
    <xf numFmtId="0" fontId="57" fillId="14" borderId="137" xfId="4" applyFont="1" applyFill="1" applyBorder="1" applyAlignment="1" applyProtection="1">
      <alignment horizontal="center"/>
    </xf>
    <xf numFmtId="2" fontId="35" fillId="14" borderId="137" xfId="4" applyNumberFormat="1" applyFont="1" applyFill="1" applyBorder="1" applyAlignment="1" applyProtection="1"/>
    <xf numFmtId="0" fontId="57" fillId="14" borderId="137" xfId="4" applyFont="1" applyFill="1" applyBorder="1" applyAlignment="1" applyProtection="1"/>
    <xf numFmtId="0" fontId="28" fillId="16" borderId="134" xfId="4" applyFont="1" applyFill="1" applyBorder="1" applyAlignment="1" applyProtection="1"/>
    <xf numFmtId="0" fontId="33" fillId="6" borderId="134" xfId="4" applyFont="1" applyFill="1" applyBorder="1" applyAlignment="1" applyProtection="1"/>
    <xf numFmtId="0" fontId="28" fillId="6" borderId="134" xfId="4" applyFont="1" applyFill="1" applyBorder="1" applyAlignment="1" applyProtection="1">
      <alignment horizontal="center"/>
    </xf>
    <xf numFmtId="2" fontId="22" fillId="6" borderId="134" xfId="4" applyNumberFormat="1" applyFont="1" applyFill="1" applyBorder="1" applyAlignment="1" applyProtection="1"/>
    <xf numFmtId="0" fontId="28" fillId="6" borderId="134" xfId="4" applyFont="1" applyFill="1" applyBorder="1" applyAlignment="1" applyProtection="1"/>
    <xf numFmtId="177" fontId="33" fillId="6" borderId="134" xfId="4" applyNumberFormat="1" applyFont="1" applyFill="1" applyBorder="1" applyAlignment="1" applyProtection="1">
      <alignment horizontal="right"/>
    </xf>
    <xf numFmtId="0" fontId="67" fillId="3" borderId="0" xfId="4" applyFont="1" applyFill="1" applyBorder="1" applyAlignment="1" applyProtection="1"/>
    <xf numFmtId="0" fontId="28" fillId="3" borderId="0" xfId="4" applyFont="1" applyFill="1" applyBorder="1" applyAlignment="1" applyProtection="1">
      <alignment horizontal="center"/>
    </xf>
    <xf numFmtId="2" fontId="22" fillId="3" borderId="0" xfId="4" applyNumberFormat="1" applyFont="1" applyFill="1" applyBorder="1" applyAlignment="1" applyProtection="1"/>
    <xf numFmtId="0" fontId="28" fillId="3" borderId="0" xfId="4" applyFont="1" applyFill="1" applyBorder="1" applyAlignment="1" applyProtection="1"/>
    <xf numFmtId="177" fontId="33" fillId="3" borderId="0" xfId="4" applyNumberFormat="1" applyFont="1" applyFill="1" applyBorder="1" applyAlignment="1" applyProtection="1"/>
    <xf numFmtId="0" fontId="28" fillId="0" borderId="136" xfId="4" applyFont="1" applyFill="1" applyBorder="1" applyAlignment="1" applyProtection="1"/>
    <xf numFmtId="0" fontId="44" fillId="0" borderId="137" xfId="4" applyFont="1" applyFill="1" applyBorder="1" applyAlignment="1" applyProtection="1"/>
    <xf numFmtId="0" fontId="57" fillId="0" borderId="137" xfId="4" applyFont="1" applyFill="1" applyBorder="1" applyAlignment="1" applyProtection="1">
      <alignment horizontal="center"/>
    </xf>
    <xf numFmtId="2" fontId="35" fillId="0" borderId="137" xfId="4" applyNumberFormat="1" applyFont="1" applyFill="1" applyBorder="1" applyAlignment="1" applyProtection="1"/>
    <xf numFmtId="0" fontId="57" fillId="0" borderId="137" xfId="4" applyFont="1" applyFill="1" applyBorder="1" applyAlignment="1" applyProtection="1"/>
    <xf numFmtId="177" fontId="33" fillId="0" borderId="139" xfId="4" applyNumberFormat="1" applyFont="1" applyFill="1" applyBorder="1" applyAlignment="1" applyProtection="1"/>
    <xf numFmtId="0" fontId="2" fillId="0" borderId="0" xfId="4" applyFont="1" applyFill="1" applyProtection="1"/>
    <xf numFmtId="0" fontId="57" fillId="0" borderId="0" xfId="4" applyFont="1" applyFill="1" applyBorder="1" applyAlignment="1" applyProtection="1">
      <alignment horizontal="center"/>
    </xf>
    <xf numFmtId="2" fontId="35" fillId="0" borderId="0" xfId="4" applyNumberFormat="1" applyFont="1" applyFill="1" applyBorder="1" applyAlignment="1" applyProtection="1"/>
    <xf numFmtId="0" fontId="57" fillId="0" borderId="0" xfId="4" applyFont="1" applyFill="1" applyBorder="1" applyAlignment="1" applyProtection="1"/>
    <xf numFmtId="182" fontId="57" fillId="0" borderId="0" xfId="4" applyNumberFormat="1" applyFont="1" applyFill="1" applyBorder="1" applyAlignment="1" applyProtection="1"/>
    <xf numFmtId="0" fontId="13" fillId="5" borderId="0" xfId="4" applyFont="1" applyFill="1" applyBorder="1" applyAlignment="1" applyProtection="1"/>
    <xf numFmtId="0" fontId="22" fillId="0" borderId="0" xfId="4" applyFont="1" applyAlignment="1" applyProtection="1">
      <alignment vertical="top"/>
    </xf>
    <xf numFmtId="0" fontId="10" fillId="5" borderId="0" xfId="4" applyNumberFormat="1" applyFont="1" applyFill="1" applyBorder="1" applyAlignment="1" applyProtection="1"/>
    <xf numFmtId="0" fontId="10" fillId="5" borderId="0" xfId="4" applyNumberFormat="1" applyFont="1" applyFill="1" applyBorder="1" applyAlignment="1" applyProtection="1">
      <alignment horizontal="center"/>
    </xf>
    <xf numFmtId="2" fontId="10" fillId="5" borderId="0" xfId="4" applyNumberFormat="1" applyFont="1" applyFill="1" applyBorder="1" applyAlignment="1" applyProtection="1"/>
    <xf numFmtId="182" fontId="70" fillId="5" borderId="0" xfId="4" applyNumberFormat="1" applyFont="1" applyFill="1" applyBorder="1" applyAlignment="1" applyProtection="1"/>
    <xf numFmtId="0" fontId="13" fillId="5" borderId="0" xfId="4" applyFont="1" applyFill="1" applyAlignment="1" applyProtection="1"/>
    <xf numFmtId="0" fontId="13" fillId="5" borderId="0" xfId="4" applyFont="1" applyFill="1" applyAlignment="1" applyProtection="1">
      <alignment horizontal="center"/>
    </xf>
    <xf numFmtId="2" fontId="10" fillId="5" borderId="0" xfId="4" applyNumberFormat="1" applyFont="1" applyFill="1" applyAlignment="1" applyProtection="1"/>
    <xf numFmtId="182" fontId="13" fillId="5" borderId="0" xfId="4" applyNumberFormat="1" applyFont="1" applyFill="1" applyAlignment="1" applyProtection="1"/>
    <xf numFmtId="0" fontId="71" fillId="5" borderId="0" xfId="4" applyFont="1" applyFill="1" applyAlignment="1" applyProtection="1"/>
    <xf numFmtId="0" fontId="72" fillId="5" borderId="0" xfId="4" applyFont="1" applyFill="1" applyAlignment="1" applyProtection="1"/>
    <xf numFmtId="165" fontId="72" fillId="5" borderId="0" xfId="1" applyFont="1" applyFill="1" applyAlignment="1" applyProtection="1"/>
    <xf numFmtId="0" fontId="45" fillId="5" borderId="59" xfId="4" applyFont="1" applyFill="1" applyBorder="1" applyAlignment="1" applyProtection="1">
      <alignment vertical="center"/>
    </xf>
    <xf numFmtId="0" fontId="73" fillId="5" borderId="98" xfId="4" applyFont="1" applyFill="1" applyBorder="1" applyAlignment="1" applyProtection="1">
      <alignment vertical="center"/>
    </xf>
    <xf numFmtId="0" fontId="74" fillId="5" borderId="98" xfId="4" applyFont="1" applyFill="1" applyBorder="1" applyAlignment="1" applyProtection="1">
      <alignment horizontal="center" vertical="center"/>
    </xf>
    <xf numFmtId="2" fontId="74" fillId="5" borderId="98" xfId="4" applyNumberFormat="1" applyFont="1" applyFill="1" applyBorder="1" applyAlignment="1" applyProtection="1">
      <alignment vertical="center"/>
    </xf>
    <xf numFmtId="0" fontId="74" fillId="5" borderId="98" xfId="4" applyFont="1" applyFill="1" applyBorder="1" applyAlignment="1" applyProtection="1">
      <alignment vertical="center"/>
    </xf>
    <xf numFmtId="182" fontId="74" fillId="5" borderId="61" xfId="4" applyNumberFormat="1" applyFont="1" applyFill="1" applyBorder="1" applyAlignment="1" applyProtection="1">
      <alignment vertical="center"/>
    </xf>
    <xf numFmtId="0" fontId="75" fillId="0" borderId="0" xfId="4" applyFont="1" applyProtection="1"/>
    <xf numFmtId="0" fontId="22" fillId="0" borderId="35" xfId="4" applyFont="1" applyBorder="1" applyProtection="1"/>
    <xf numFmtId="0" fontId="22" fillId="0" borderId="15" xfId="4" applyFont="1" applyBorder="1" applyProtection="1"/>
    <xf numFmtId="0" fontId="22" fillId="0" borderId="22" xfId="4" applyFont="1" applyBorder="1" applyProtection="1"/>
    <xf numFmtId="0" fontId="22" fillId="0" borderId="167" xfId="4" applyFont="1" applyBorder="1" applyProtection="1"/>
    <xf numFmtId="0" fontId="22" fillId="0" borderId="158" xfId="4" applyFont="1" applyBorder="1" applyProtection="1"/>
    <xf numFmtId="0" fontId="22" fillId="0" borderId="157" xfId="4" applyFont="1" applyBorder="1" applyProtection="1"/>
    <xf numFmtId="0" fontId="22" fillId="0" borderId="0" xfId="4" applyFont="1" applyBorder="1" applyAlignment="1" applyProtection="1"/>
    <xf numFmtId="0" fontId="53" fillId="0" borderId="0" xfId="4" applyFont="1" applyProtection="1"/>
    <xf numFmtId="0" fontId="22" fillId="0" borderId="8" xfId="0" applyFont="1" applyBorder="1" applyAlignment="1">
      <alignment horizontal="center" vertical="center"/>
    </xf>
    <xf numFmtId="0" fontId="22" fillId="0" borderId="160" xfId="0" applyFont="1" applyBorder="1" applyAlignment="1">
      <alignment horizontal="left" vertical="center"/>
    </xf>
    <xf numFmtId="0" fontId="22" fillId="0" borderId="161" xfId="0" applyFont="1" applyBorder="1" applyAlignment="1">
      <alignment horizontal="center" vertical="center"/>
    </xf>
    <xf numFmtId="0" fontId="22" fillId="0" borderId="1" xfId="0" applyFont="1" applyFill="1" applyBorder="1" applyAlignment="1">
      <alignment horizontal="left" vertical="center"/>
    </xf>
    <xf numFmtId="0" fontId="22" fillId="0" borderId="8" xfId="0" applyFont="1" applyFill="1" applyBorder="1" applyAlignment="1">
      <alignment horizontal="center" vertical="center"/>
    </xf>
    <xf numFmtId="0" fontId="28" fillId="3" borderId="160" xfId="0" applyFont="1" applyFill="1" applyBorder="1"/>
    <xf numFmtId="0" fontId="28" fillId="0" borderId="156" xfId="0" applyFont="1" applyBorder="1"/>
    <xf numFmtId="0" fontId="28" fillId="0" borderId="161" xfId="0" applyFont="1" applyBorder="1"/>
    <xf numFmtId="0" fontId="28" fillId="0" borderId="5" xfId="0" applyFont="1" applyBorder="1"/>
    <xf numFmtId="176" fontId="28" fillId="0" borderId="20" xfId="0" applyNumberFormat="1" applyFont="1" applyBorder="1" applyAlignment="1">
      <alignment horizontal="right" vertical="center"/>
    </xf>
    <xf numFmtId="4" fontId="44" fillId="6" borderId="24" xfId="2" applyNumberFormat="1" applyFont="1" applyFill="1" applyBorder="1" applyAlignment="1">
      <alignment horizontal="right" vertical="center"/>
    </xf>
    <xf numFmtId="0" fontId="44" fillId="6" borderId="2" xfId="0" applyNumberFormat="1" applyFont="1" applyFill="1" applyBorder="1" applyAlignment="1">
      <alignment horizontal="right" vertical="center"/>
    </xf>
    <xf numFmtId="2" fontId="22" fillId="0" borderId="2" xfId="2" applyNumberFormat="1" applyFont="1" applyFill="1" applyBorder="1" applyAlignment="1">
      <alignment horizontal="right" vertical="center"/>
    </xf>
    <xf numFmtId="2" fontId="28" fillId="0" borderId="2" xfId="0" applyNumberFormat="1" applyFont="1" applyBorder="1" applyAlignment="1">
      <alignment horizontal="right" vertical="center"/>
    </xf>
    <xf numFmtId="0" fontId="28" fillId="0" borderId="0" xfId="0" applyFont="1" applyAlignment="1">
      <alignment horizontal="right" vertical="center"/>
    </xf>
    <xf numFmtId="176" fontId="33" fillId="0" borderId="2" xfId="0" applyNumberFormat="1" applyFont="1" applyBorder="1" applyAlignment="1">
      <alignment horizontal="right" vertical="center"/>
    </xf>
    <xf numFmtId="2" fontId="22" fillId="0" borderId="0" xfId="2" applyNumberFormat="1" applyFont="1" applyFill="1" applyBorder="1" applyAlignment="1">
      <alignment horizontal="right" vertical="center"/>
    </xf>
    <xf numFmtId="176" fontId="33" fillId="0" borderId="20" xfId="0" applyNumberFormat="1" applyFont="1" applyBorder="1" applyAlignment="1">
      <alignment horizontal="right" vertical="center"/>
    </xf>
    <xf numFmtId="167" fontId="44" fillId="6" borderId="24" xfId="2" applyNumberFormat="1" applyFont="1" applyFill="1" applyBorder="1" applyAlignment="1">
      <alignment horizontal="right" vertical="center"/>
    </xf>
    <xf numFmtId="0" fontId="44" fillId="6" borderId="26" xfId="0" applyNumberFormat="1" applyFont="1" applyFill="1" applyBorder="1" applyAlignment="1">
      <alignment horizontal="right" vertical="center"/>
    </xf>
    <xf numFmtId="167" fontId="22" fillId="0" borderId="2" xfId="2" applyNumberFormat="1" applyFont="1" applyFill="1" applyBorder="1" applyAlignment="1">
      <alignment horizontal="right" vertical="center"/>
    </xf>
    <xf numFmtId="0" fontId="44" fillId="0" borderId="36" xfId="0" applyNumberFormat="1" applyFont="1" applyFill="1" applyBorder="1" applyAlignment="1">
      <alignment horizontal="right" vertical="center"/>
    </xf>
    <xf numFmtId="167" fontId="44" fillId="6" borderId="2" xfId="2" applyNumberFormat="1" applyFont="1" applyFill="1" applyBorder="1" applyAlignment="1">
      <alignment horizontal="right" vertical="center"/>
    </xf>
    <xf numFmtId="0" fontId="44" fillId="6" borderId="34" xfId="0" applyNumberFormat="1" applyFont="1" applyFill="1" applyBorder="1" applyAlignment="1">
      <alignment horizontal="right" vertical="center"/>
    </xf>
    <xf numFmtId="167" fontId="22" fillId="0" borderId="34" xfId="2" applyNumberFormat="1" applyFont="1" applyFill="1" applyBorder="1" applyAlignment="1">
      <alignment horizontal="right" vertical="center"/>
    </xf>
    <xf numFmtId="0" fontId="28" fillId="0" borderId="19" xfId="0" applyFont="1" applyBorder="1" applyAlignment="1">
      <alignment horizontal="right" vertical="center"/>
    </xf>
    <xf numFmtId="0" fontId="44" fillId="0" borderId="20" xfId="0" applyNumberFormat="1" applyFont="1" applyFill="1" applyBorder="1" applyAlignment="1">
      <alignment horizontal="right" vertical="center"/>
    </xf>
    <xf numFmtId="0" fontId="44" fillId="0" borderId="20" xfId="0" applyFont="1" applyFill="1" applyBorder="1" applyAlignment="1">
      <alignment horizontal="right" vertical="center"/>
    </xf>
    <xf numFmtId="0" fontId="28" fillId="0" borderId="0" xfId="0" applyFont="1" applyBorder="1" applyAlignment="1">
      <alignment horizontal="right" vertical="center"/>
    </xf>
    <xf numFmtId="0" fontId="44" fillId="0" borderId="0" xfId="0" applyFont="1" applyFill="1" applyBorder="1" applyAlignment="1">
      <alignment horizontal="right" vertical="center"/>
    </xf>
    <xf numFmtId="0" fontId="44" fillId="0" borderId="36" xfId="0" applyFont="1" applyFill="1" applyBorder="1" applyAlignment="1">
      <alignment horizontal="right" vertical="center"/>
    </xf>
    <xf numFmtId="167" fontId="44" fillId="6" borderId="42" xfId="2" applyNumberFormat="1" applyFont="1" applyFill="1" applyBorder="1" applyAlignment="1">
      <alignment horizontal="right" vertical="center"/>
    </xf>
    <xf numFmtId="0" fontId="44" fillId="0" borderId="2" xfId="0" applyNumberFormat="1" applyFont="1" applyFill="1" applyBorder="1" applyAlignment="1">
      <alignment horizontal="right" vertical="center"/>
    </xf>
    <xf numFmtId="0" fontId="22" fillId="0" borderId="19" xfId="0" applyNumberFormat="1" applyFont="1" applyFill="1" applyBorder="1" applyAlignment="1">
      <alignment horizontal="right" vertical="center"/>
    </xf>
    <xf numFmtId="0" fontId="28" fillId="0" borderId="0" xfId="0" applyFont="1" applyFill="1" applyBorder="1" applyAlignment="1">
      <alignment horizontal="right" vertical="center"/>
    </xf>
    <xf numFmtId="167" fontId="44" fillId="0" borderId="19" xfId="2" applyNumberFormat="1" applyFont="1" applyFill="1" applyBorder="1" applyAlignment="1">
      <alignment horizontal="right" vertical="center"/>
    </xf>
    <xf numFmtId="167" fontId="44" fillId="0" borderId="0" xfId="2" applyNumberFormat="1" applyFont="1" applyFill="1" applyBorder="1" applyAlignment="1">
      <alignment horizontal="right" vertical="center"/>
    </xf>
    <xf numFmtId="167" fontId="28" fillId="0" borderId="2" xfId="0" applyNumberFormat="1" applyFont="1" applyBorder="1" applyAlignment="1">
      <alignment horizontal="right" vertical="center"/>
    </xf>
    <xf numFmtId="0" fontId="22" fillId="0" borderId="36" xfId="0" applyFont="1" applyFill="1" applyBorder="1" applyAlignment="1">
      <alignment horizontal="right" vertical="center"/>
    </xf>
    <xf numFmtId="0" fontId="22" fillId="0" borderId="0" xfId="0" applyFont="1" applyFill="1" applyAlignment="1">
      <alignment horizontal="right" vertical="center"/>
    </xf>
    <xf numFmtId="0" fontId="22" fillId="0" borderId="0" xfId="0" applyNumberFormat="1" applyFont="1" applyFill="1" applyBorder="1" applyAlignment="1">
      <alignment horizontal="right" vertical="center"/>
    </xf>
    <xf numFmtId="0" fontId="44" fillId="6" borderId="35" xfId="0" applyNumberFormat="1" applyFont="1" applyFill="1" applyBorder="1" applyAlignment="1">
      <alignment horizontal="right" vertical="center"/>
    </xf>
    <xf numFmtId="0" fontId="22" fillId="0" borderId="36" xfId="0" applyNumberFormat="1" applyFont="1" applyFill="1" applyBorder="1" applyAlignment="1">
      <alignment horizontal="right" vertical="center"/>
    </xf>
    <xf numFmtId="167" fontId="22" fillId="0" borderId="0" xfId="2" applyNumberFormat="1" applyFont="1" applyFill="1" applyBorder="1" applyAlignment="1">
      <alignment horizontal="right" vertical="center"/>
    </xf>
    <xf numFmtId="167" fontId="44" fillId="0" borderId="37" xfId="2" applyNumberFormat="1" applyFont="1" applyFill="1" applyBorder="1" applyAlignment="1">
      <alignment horizontal="right" vertical="center"/>
    </xf>
    <xf numFmtId="0" fontId="29" fillId="10" borderId="0" xfId="0" applyFont="1" applyFill="1"/>
    <xf numFmtId="0" fontId="37" fillId="10" borderId="0" xfId="0" applyNumberFormat="1" applyFont="1" applyFill="1" applyBorder="1" applyAlignment="1" applyProtection="1">
      <alignment horizontal="center" vertical="top"/>
    </xf>
    <xf numFmtId="168" fontId="37" fillId="10" borderId="0" xfId="0" applyNumberFormat="1" applyFont="1" applyFill="1" applyBorder="1" applyAlignment="1" applyProtection="1">
      <alignment horizontal="center" vertical="top"/>
    </xf>
    <xf numFmtId="166" fontId="37" fillId="10" borderId="0" xfId="0" applyNumberFormat="1" applyFont="1" applyFill="1" applyBorder="1" applyAlignment="1" applyProtection="1">
      <alignment horizontal="right" vertical="top"/>
    </xf>
    <xf numFmtId="0" fontId="22" fillId="10" borderId="0" xfId="0" applyNumberFormat="1" applyFont="1" applyFill="1" applyBorder="1" applyAlignment="1" applyProtection="1">
      <alignment vertical="top"/>
    </xf>
    <xf numFmtId="0" fontId="20" fillId="0" borderId="15" xfId="0" applyFont="1" applyFill="1" applyBorder="1" applyAlignment="1">
      <alignment vertical="center"/>
    </xf>
    <xf numFmtId="0" fontId="20" fillId="0" borderId="0" xfId="0" applyFont="1" applyFill="1" applyBorder="1" applyAlignment="1">
      <alignment vertical="center"/>
    </xf>
    <xf numFmtId="2" fontId="20" fillId="0" borderId="66" xfId="0" applyNumberFormat="1" applyFont="1" applyFill="1" applyBorder="1" applyAlignment="1" applyProtection="1"/>
    <xf numFmtId="10" fontId="20" fillId="0" borderId="67" xfId="0" applyNumberFormat="1" applyFont="1" applyFill="1" applyBorder="1" applyAlignment="1" applyProtection="1"/>
    <xf numFmtId="2" fontId="20" fillId="0" borderId="67" xfId="0" applyNumberFormat="1" applyFont="1" applyFill="1" applyBorder="1" applyAlignment="1" applyProtection="1"/>
    <xf numFmtId="181" fontId="20" fillId="0" borderId="68" xfId="0" applyNumberFormat="1" applyFont="1" applyFill="1" applyBorder="1" applyAlignment="1" applyProtection="1"/>
    <xf numFmtId="0" fontId="27" fillId="6" borderId="70" xfId="0" applyFont="1" applyFill="1" applyBorder="1" applyAlignment="1">
      <alignment horizontal="center"/>
    </xf>
    <xf numFmtId="0" fontId="21" fillId="6" borderId="76" xfId="0" applyFont="1" applyFill="1" applyBorder="1" applyAlignment="1"/>
    <xf numFmtId="0" fontId="21" fillId="6" borderId="71" xfId="0" applyFont="1" applyFill="1" applyBorder="1" applyAlignment="1"/>
    <xf numFmtId="0" fontId="27" fillId="6" borderId="63" xfId="0" applyFont="1" applyFill="1" applyBorder="1" applyAlignment="1"/>
    <xf numFmtId="0" fontId="21" fillId="6" borderId="62" xfId="0" applyFont="1" applyFill="1" applyBorder="1" applyAlignment="1"/>
    <xf numFmtId="0" fontId="27" fillId="6" borderId="64" xfId="0" applyFont="1" applyFill="1" applyBorder="1" applyAlignment="1"/>
    <xf numFmtId="9" fontId="21" fillId="0" borderId="89" xfId="0" applyNumberFormat="1" applyFont="1" applyFill="1" applyBorder="1" applyAlignment="1"/>
    <xf numFmtId="9" fontId="21" fillId="0" borderId="58" xfId="0" applyNumberFormat="1" applyFont="1" applyFill="1" applyBorder="1" applyAlignment="1"/>
    <xf numFmtId="9" fontId="21" fillId="0" borderId="74" xfId="0" applyNumberFormat="1" applyFont="1" applyFill="1" applyBorder="1" applyAlignment="1"/>
    <xf numFmtId="0" fontId="22" fillId="0" borderId="0" xfId="4" applyFont="1" applyAlignment="1" applyProtection="1">
      <alignment horizontal="right" vertical="top"/>
    </xf>
    <xf numFmtId="0" fontId="44" fillId="0" borderId="0" xfId="4" applyFont="1" applyBorder="1" applyAlignment="1" applyProtection="1">
      <alignment horizontal="center"/>
    </xf>
    <xf numFmtId="0" fontId="78" fillId="0" borderId="0" xfId="4" applyFont="1" applyBorder="1" applyAlignment="1" applyProtection="1">
      <alignment vertical="center"/>
    </xf>
    <xf numFmtId="0" fontId="22" fillId="0" borderId="0" xfId="4" applyFont="1" applyBorder="1" applyAlignment="1" applyProtection="1">
      <alignment vertical="center"/>
    </xf>
    <xf numFmtId="49" fontId="22" fillId="0" borderId="0" xfId="4" applyNumberFormat="1" applyFont="1" applyBorder="1" applyAlignment="1" applyProtection="1"/>
    <xf numFmtId="0" fontId="44" fillId="0" borderId="159" xfId="4" applyFont="1" applyBorder="1" applyAlignment="1" applyProtection="1"/>
    <xf numFmtId="0" fontId="22" fillId="0" borderId="15" xfId="4" applyFont="1" applyBorder="1" applyAlignment="1" applyProtection="1"/>
    <xf numFmtId="177" fontId="22" fillId="0" borderId="35" xfId="4" applyNumberFormat="1" applyFont="1" applyBorder="1" applyAlignment="1" applyProtection="1"/>
    <xf numFmtId="0" fontId="22" fillId="0" borderId="165" xfId="4" applyFont="1" applyBorder="1" applyProtection="1"/>
    <xf numFmtId="185" fontId="44" fillId="0" borderId="163" xfId="4" applyNumberFormat="1" applyFont="1" applyBorder="1" applyProtection="1"/>
    <xf numFmtId="184" fontId="22" fillId="0" borderId="168" xfId="8" applyFont="1" applyBorder="1" applyProtection="1"/>
    <xf numFmtId="185" fontId="44" fillId="0" borderId="39" xfId="4" applyNumberFormat="1" applyFont="1" applyBorder="1" applyProtection="1"/>
    <xf numFmtId="0" fontId="44" fillId="0" borderId="0" xfId="4" applyFont="1" applyBorder="1" applyAlignment="1" applyProtection="1">
      <alignment horizontal="left"/>
    </xf>
    <xf numFmtId="0" fontId="22" fillId="0" borderId="2" xfId="4" applyFont="1" applyBorder="1" applyProtection="1"/>
    <xf numFmtId="0" fontId="22" fillId="0" borderId="159" xfId="4" applyFont="1" applyBorder="1" applyAlignment="1" applyProtection="1">
      <alignment horizontal="left"/>
    </xf>
    <xf numFmtId="0" fontId="22" fillId="0" borderId="15" xfId="4" applyFont="1" applyBorder="1" applyAlignment="1" applyProtection="1">
      <alignment horizontal="left"/>
    </xf>
    <xf numFmtId="0" fontId="22" fillId="0" borderId="166" xfId="4" applyFont="1" applyBorder="1" applyAlignment="1" applyProtection="1">
      <alignment horizontal="center"/>
    </xf>
    <xf numFmtId="0" fontId="22" fillId="0" borderId="0" xfId="4" applyFont="1" applyBorder="1" applyAlignment="1" applyProtection="1">
      <alignment horizontal="center"/>
    </xf>
    <xf numFmtId="0" fontId="22" fillId="0" borderId="46" xfId="4" applyFont="1" applyBorder="1" applyAlignment="1" applyProtection="1">
      <alignment horizontal="center"/>
    </xf>
    <xf numFmtId="0" fontId="44" fillId="0" borderId="31" xfId="4" applyFont="1" applyBorder="1" applyAlignment="1" applyProtection="1">
      <alignment horizontal="center"/>
    </xf>
    <xf numFmtId="0" fontId="34" fillId="0" borderId="158" xfId="4" applyFont="1" applyBorder="1" applyAlignment="1" applyProtection="1">
      <alignment horizontal="center"/>
    </xf>
    <xf numFmtId="0" fontId="44" fillId="0" borderId="162" xfId="4" applyFont="1" applyBorder="1" applyAlignment="1" applyProtection="1">
      <alignment horizontal="center"/>
    </xf>
    <xf numFmtId="0" fontId="22" fillId="0" borderId="0" xfId="4" applyFont="1" applyBorder="1" applyAlignment="1" applyProtection="1">
      <alignment horizontal="left"/>
    </xf>
    <xf numFmtId="174" fontId="22" fillId="0" borderId="99" xfId="4" applyNumberFormat="1" applyFont="1" applyFill="1" applyBorder="1" applyAlignment="1" applyProtection="1">
      <alignment horizontal="center" vertical="center" wrapText="1" readingOrder="1"/>
    </xf>
    <xf numFmtId="174" fontId="22" fillId="0" borderId="100" xfId="4" applyNumberFormat="1" applyFont="1" applyFill="1" applyBorder="1" applyAlignment="1" applyProtection="1">
      <alignment horizontal="center" vertical="center" readingOrder="1"/>
    </xf>
    <xf numFmtId="174" fontId="22" fillId="0" borderId="99" xfId="4" applyNumberFormat="1" applyFont="1" applyFill="1" applyBorder="1" applyAlignment="1" applyProtection="1">
      <alignment horizontal="center" vertical="center" readingOrder="1"/>
      <protection locked="0"/>
    </xf>
    <xf numFmtId="174" fontId="22" fillId="0" borderId="57" xfId="4" applyNumberFormat="1" applyFont="1" applyFill="1" applyBorder="1" applyAlignment="1" applyProtection="1">
      <alignment horizontal="center" vertical="center" wrapText="1" readingOrder="1"/>
    </xf>
    <xf numFmtId="174" fontId="22" fillId="13" borderId="104" xfId="4" applyNumberFormat="1" applyFont="1" applyFill="1" applyBorder="1" applyAlignment="1" applyProtection="1">
      <alignment horizontal="center" vertical="center"/>
    </xf>
    <xf numFmtId="174" fontId="22" fillId="11" borderId="100" xfId="4" applyNumberFormat="1" applyFont="1" applyFill="1" applyBorder="1" applyAlignment="1" applyProtection="1">
      <alignment horizontal="center" vertical="center" wrapText="1" readingOrder="1"/>
    </xf>
    <xf numFmtId="174" fontId="77" fillId="11" borderId="100" xfId="4" applyNumberFormat="1" applyFont="1" applyFill="1" applyBorder="1" applyAlignment="1" applyProtection="1">
      <alignment horizontal="center" vertical="center" wrapText="1" readingOrder="1"/>
    </xf>
    <xf numFmtId="0" fontId="32" fillId="5" borderId="0" xfId="4" applyFont="1" applyFill="1" applyBorder="1" applyAlignment="1" applyProtection="1"/>
    <xf numFmtId="0" fontId="79" fillId="0" borderId="0" xfId="4" applyFont="1" applyProtection="1"/>
    <xf numFmtId="0" fontId="22" fillId="0" borderId="37" xfId="4" applyFont="1" applyBorder="1" applyProtection="1"/>
    <xf numFmtId="0" fontId="44" fillId="0" borderId="159" xfId="4" applyFont="1" applyBorder="1" applyAlignment="1" applyProtection="1">
      <alignment horizontal="center"/>
    </xf>
    <xf numFmtId="49" fontId="34" fillId="0" borderId="0" xfId="4" applyNumberFormat="1" applyFont="1" applyBorder="1" applyAlignment="1" applyProtection="1">
      <alignment horizontal="center"/>
    </xf>
    <xf numFmtId="0" fontId="44" fillId="0" borderId="156" xfId="4" applyFont="1" applyBorder="1" applyAlignment="1" applyProtection="1">
      <alignment horizontal="center"/>
    </xf>
    <xf numFmtId="180" fontId="22" fillId="0" borderId="0" xfId="4" applyNumberFormat="1" applyFont="1" applyBorder="1" applyAlignment="1" applyProtection="1">
      <alignment horizontal="left"/>
    </xf>
    <xf numFmtId="184" fontId="44" fillId="0" borderId="38" xfId="8" applyFont="1" applyBorder="1" applyProtection="1"/>
    <xf numFmtId="49" fontId="34" fillId="0" borderId="22" xfId="4" applyNumberFormat="1" applyFont="1" applyBorder="1" applyAlignment="1" applyProtection="1">
      <alignment horizontal="center"/>
    </xf>
    <xf numFmtId="0" fontId="22" fillId="0" borderId="158" xfId="4" applyFont="1" applyBorder="1" applyProtection="1">
      <protection locked="0"/>
    </xf>
    <xf numFmtId="0" fontId="22" fillId="5" borderId="0" xfId="4" applyFont="1" applyFill="1" applyBorder="1" applyAlignment="1" applyProtection="1">
      <alignment vertical="center"/>
    </xf>
    <xf numFmtId="0" fontId="22" fillId="5" borderId="0" xfId="4" applyFont="1" applyFill="1" applyBorder="1" applyAlignment="1" applyProtection="1">
      <alignment vertical="center" readingOrder="1"/>
    </xf>
    <xf numFmtId="0" fontId="22" fillId="0" borderId="166" xfId="4" applyFont="1" applyBorder="1" applyAlignment="1" applyProtection="1"/>
    <xf numFmtId="0" fontId="22" fillId="0" borderId="164" xfId="4" applyFont="1" applyBorder="1" applyAlignment="1" applyProtection="1"/>
    <xf numFmtId="0" fontId="44" fillId="0" borderId="166" xfId="4" applyFont="1" applyBorder="1" applyAlignment="1" applyProtection="1">
      <alignment horizontal="center"/>
    </xf>
    <xf numFmtId="0" fontId="34" fillId="0" borderId="0" xfId="4" applyFont="1" applyBorder="1" applyAlignment="1" applyProtection="1">
      <alignment horizontal="center"/>
    </xf>
    <xf numFmtId="0" fontId="34" fillId="0" borderId="22" xfId="4" applyFont="1" applyBorder="1" applyAlignment="1" applyProtection="1">
      <alignment horizontal="center"/>
    </xf>
    <xf numFmtId="0" fontId="22" fillId="0" borderId="158" xfId="4" applyFont="1" applyBorder="1" applyAlignment="1" applyProtection="1">
      <alignment horizontal="right"/>
    </xf>
    <xf numFmtId="0" fontId="77" fillId="0" borderId="22" xfId="4" applyFont="1" applyBorder="1" applyAlignment="1" applyProtection="1">
      <alignment horizontal="center"/>
    </xf>
    <xf numFmtId="0" fontId="53" fillId="0" borderId="22" xfId="4" applyFont="1" applyBorder="1" applyProtection="1"/>
    <xf numFmtId="0" fontId="78" fillId="0" borderId="0" xfId="4" applyFont="1" applyBorder="1" applyProtection="1"/>
    <xf numFmtId="0" fontId="22" fillId="0" borderId="19" xfId="0" applyNumberFormat="1" applyFont="1" applyFill="1" applyBorder="1" applyAlignment="1"/>
    <xf numFmtId="167" fontId="44" fillId="0" borderId="2" xfId="2" applyNumberFormat="1" applyFont="1" applyFill="1" applyBorder="1" applyAlignment="1">
      <alignment horizontal="right" vertical="center"/>
    </xf>
    <xf numFmtId="167" fontId="28" fillId="0" borderId="2" xfId="0" applyNumberFormat="1" applyFont="1" applyBorder="1"/>
    <xf numFmtId="0" fontId="21" fillId="0" borderId="0" xfId="0" applyFont="1" applyAlignment="1">
      <alignment vertical="top"/>
    </xf>
    <xf numFmtId="181" fontId="20" fillId="0" borderId="21" xfId="0" applyNumberFormat="1" applyFont="1" applyFill="1" applyBorder="1" applyAlignment="1">
      <alignment horizontal="right" vertical="center"/>
    </xf>
    <xf numFmtId="0" fontId="29" fillId="0" borderId="0" xfId="0" applyFont="1" applyAlignment="1">
      <alignment horizontal="center"/>
    </xf>
    <xf numFmtId="0" fontId="29" fillId="0" borderId="0" xfId="0" applyFont="1" applyBorder="1"/>
    <xf numFmtId="0" fontId="50" fillId="0" borderId="0" xfId="0" applyNumberFormat="1" applyFont="1" applyFill="1" applyBorder="1" applyAlignment="1" applyProtection="1">
      <alignment horizontal="left" vertical="top"/>
    </xf>
    <xf numFmtId="0" fontId="21" fillId="5" borderId="0" xfId="0" applyFont="1" applyFill="1" applyBorder="1" applyAlignment="1">
      <alignment horizontal="center" vertical="center"/>
    </xf>
    <xf numFmtId="0" fontId="27" fillId="6" borderId="69" xfId="0" applyFont="1" applyFill="1" applyBorder="1" applyAlignment="1">
      <alignment horizontal="center" vertical="center"/>
    </xf>
    <xf numFmtId="0" fontId="21" fillId="5" borderId="77" xfId="0" applyFont="1" applyFill="1" applyBorder="1" applyAlignment="1">
      <alignment horizontal="center" vertical="center"/>
    </xf>
    <xf numFmtId="0" fontId="21" fillId="5" borderId="78" xfId="0" applyFont="1" applyFill="1" applyBorder="1" applyAlignment="1">
      <alignment horizontal="center" vertical="center"/>
    </xf>
    <xf numFmtId="0" fontId="21" fillId="5" borderId="79" xfId="0" applyFont="1" applyFill="1" applyBorder="1" applyAlignment="1">
      <alignment horizontal="center" vertical="center"/>
    </xf>
    <xf numFmtId="0" fontId="20" fillId="5" borderId="0" xfId="0" applyNumberFormat="1" applyFont="1" applyFill="1" applyBorder="1" applyAlignment="1" applyProtection="1">
      <alignment horizontal="center" vertical="center"/>
    </xf>
    <xf numFmtId="0" fontId="21" fillId="5" borderId="0" xfId="0" applyFont="1" applyFill="1" applyAlignment="1">
      <alignment horizontal="center" vertical="center"/>
    </xf>
    <xf numFmtId="165" fontId="38" fillId="5" borderId="0" xfId="1" applyFont="1" applyFill="1" applyAlignment="1">
      <alignment horizontal="center" vertical="center"/>
    </xf>
    <xf numFmtId="0" fontId="16" fillId="5" borderId="0" xfId="0" applyFont="1" applyFill="1" applyAlignment="1">
      <alignment horizontal="center" vertical="center"/>
    </xf>
    <xf numFmtId="0" fontId="21" fillId="0" borderId="0" xfId="0" applyFont="1" applyFill="1" applyAlignment="1">
      <alignment horizontal="center" vertical="center"/>
    </xf>
    <xf numFmtId="0" fontId="52" fillId="0" borderId="0" xfId="0" applyNumberFormat="1" applyFont="1" applyFill="1" applyBorder="1" applyAlignment="1" applyProtection="1">
      <alignment horizontal="center" vertical="center"/>
    </xf>
    <xf numFmtId="166" fontId="52" fillId="0" borderId="0" xfId="0" applyNumberFormat="1" applyFont="1" applyFill="1" applyBorder="1" applyAlignment="1" applyProtection="1">
      <alignment horizontal="center" vertical="center"/>
    </xf>
    <xf numFmtId="177" fontId="36" fillId="0" borderId="0" xfId="0" applyNumberFormat="1" applyFont="1" applyFill="1" applyBorder="1" applyAlignment="1" applyProtection="1">
      <alignment horizontal="center" vertical="center"/>
    </xf>
    <xf numFmtId="168" fontId="55" fillId="0" borderId="0" xfId="0" applyNumberFormat="1" applyFont="1" applyFill="1" applyBorder="1" applyAlignment="1" applyProtection="1">
      <alignment vertical="top"/>
    </xf>
    <xf numFmtId="0" fontId="29" fillId="0" borderId="0" xfId="0" applyFont="1" applyFill="1" applyBorder="1" applyAlignment="1"/>
    <xf numFmtId="0" fontId="21" fillId="0" borderId="159" xfId="0" applyFont="1" applyFill="1" applyBorder="1" applyAlignment="1">
      <alignment horizontal="center" vertical="center"/>
    </xf>
    <xf numFmtId="0" fontId="21" fillId="5" borderId="166" xfId="0" applyFont="1" applyFill="1" applyBorder="1" applyAlignment="1"/>
    <xf numFmtId="0" fontId="21" fillId="0" borderId="166" xfId="0" applyFont="1" applyFill="1" applyBorder="1" applyAlignment="1"/>
    <xf numFmtId="0" fontId="19" fillId="5" borderId="15" xfId="0" applyFont="1" applyFill="1" applyBorder="1" applyAlignment="1">
      <alignment horizontal="center" vertical="center"/>
    </xf>
    <xf numFmtId="0" fontId="17" fillId="5" borderId="15" xfId="0" applyFont="1" applyFill="1" applyBorder="1" applyAlignment="1">
      <alignment horizontal="center" vertical="center"/>
    </xf>
    <xf numFmtId="0" fontId="20" fillId="5" borderId="15" xfId="0" applyFont="1" applyFill="1" applyBorder="1" applyAlignment="1">
      <alignment horizontal="center" vertical="center"/>
    </xf>
    <xf numFmtId="0" fontId="21" fillId="0" borderId="0" xfId="0" applyFont="1" applyFill="1" applyBorder="1" applyAlignment="1">
      <alignment horizontal="center"/>
    </xf>
    <xf numFmtId="2" fontId="20" fillId="0" borderId="0" xfId="0" applyNumberFormat="1" applyFont="1" applyFill="1" applyBorder="1" applyAlignment="1"/>
    <xf numFmtId="0" fontId="24" fillId="0" borderId="15" xfId="0" applyFont="1" applyFill="1" applyBorder="1" applyAlignment="1">
      <alignment horizontal="center" vertical="center"/>
    </xf>
    <xf numFmtId="0" fontId="21" fillId="5" borderId="174" xfId="0" applyFont="1" applyFill="1" applyBorder="1" applyAlignment="1">
      <alignment horizontal="center" vertical="center"/>
    </xf>
    <xf numFmtId="0" fontId="20" fillId="2" borderId="176" xfId="0" applyNumberFormat="1" applyFont="1" applyFill="1" applyBorder="1" applyAlignment="1" applyProtection="1">
      <alignment horizontal="center" vertical="center"/>
    </xf>
    <xf numFmtId="0" fontId="20" fillId="2" borderId="177" xfId="0" applyNumberFormat="1" applyFont="1" applyFill="1" applyBorder="1" applyAlignment="1" applyProtection="1">
      <alignment horizontal="center"/>
    </xf>
    <xf numFmtId="0" fontId="20" fillId="2" borderId="179" xfId="0" applyNumberFormat="1" applyFont="1" applyFill="1" applyBorder="1" applyAlignment="1" applyProtection="1">
      <alignment horizontal="center" vertical="center"/>
    </xf>
    <xf numFmtId="0" fontId="20" fillId="2" borderId="180" xfId="0" applyNumberFormat="1" applyFont="1" applyFill="1" applyBorder="1" applyAlignment="1" applyProtection="1">
      <alignment horizontal="center"/>
    </xf>
    <xf numFmtId="0" fontId="21" fillId="5" borderId="166" xfId="0" applyFont="1" applyFill="1" applyBorder="1" applyAlignment="1">
      <alignment horizontal="right" wrapText="1"/>
    </xf>
    <xf numFmtId="0" fontId="19" fillId="5" borderId="0" xfId="0" applyFont="1" applyFill="1" applyBorder="1" applyAlignment="1">
      <alignment wrapText="1"/>
    </xf>
    <xf numFmtId="0" fontId="11" fillId="5" borderId="0" xfId="0" applyFont="1" applyFill="1" applyBorder="1" applyAlignment="1">
      <alignment wrapText="1"/>
    </xf>
    <xf numFmtId="0" fontId="25" fillId="0" borderId="0" xfId="0" applyFont="1" applyFill="1" applyBorder="1" applyAlignment="1">
      <alignment wrapText="1"/>
    </xf>
    <xf numFmtId="0" fontId="20" fillId="2" borderId="62" xfId="0" applyNumberFormat="1" applyFont="1" applyFill="1" applyBorder="1" applyAlignment="1" applyProtection="1">
      <alignment wrapText="1"/>
    </xf>
    <xf numFmtId="0" fontId="20" fillId="2" borderId="177" xfId="0" applyNumberFormat="1" applyFont="1" applyFill="1" applyBorder="1" applyAlignment="1" applyProtection="1">
      <alignment wrapText="1"/>
    </xf>
    <xf numFmtId="0" fontId="17" fillId="2" borderId="177" xfId="0" applyNumberFormat="1" applyFont="1" applyFill="1" applyBorder="1" applyAlignment="1" applyProtection="1">
      <alignment wrapText="1"/>
    </xf>
    <xf numFmtId="0" fontId="16" fillId="5" borderId="14" xfId="0" applyFont="1" applyFill="1" applyBorder="1" applyAlignment="1">
      <alignment wrapText="1"/>
    </xf>
    <xf numFmtId="0" fontId="21" fillId="5" borderId="0" xfId="0" applyFont="1" applyFill="1" applyBorder="1" applyAlignment="1">
      <alignment wrapText="1"/>
    </xf>
    <xf numFmtId="0" fontId="27" fillId="5" borderId="0" xfId="0" applyFont="1" applyFill="1" applyBorder="1" applyAlignment="1" applyProtection="1">
      <alignment wrapText="1"/>
      <protection hidden="1"/>
    </xf>
    <xf numFmtId="0" fontId="76" fillId="5" borderId="0" xfId="0" applyFont="1" applyFill="1" applyBorder="1" applyAlignment="1" applyProtection="1">
      <alignment wrapText="1"/>
      <protection hidden="1"/>
    </xf>
    <xf numFmtId="0" fontId="27" fillId="6" borderId="70" xfId="0" applyFont="1" applyFill="1" applyBorder="1" applyAlignment="1">
      <alignment wrapText="1"/>
    </xf>
    <xf numFmtId="0" fontId="21" fillId="5" borderId="80" xfId="0" applyFont="1" applyFill="1" applyBorder="1" applyAlignment="1">
      <alignment wrapText="1"/>
    </xf>
    <xf numFmtId="0" fontId="21" fillId="5" borderId="83" xfId="0" applyFont="1" applyFill="1" applyBorder="1" applyAlignment="1">
      <alignment wrapText="1"/>
    </xf>
    <xf numFmtId="0" fontId="21" fillId="5" borderId="86" xfId="0" applyFont="1" applyFill="1" applyBorder="1" applyAlignment="1">
      <alignment wrapText="1"/>
    </xf>
    <xf numFmtId="0" fontId="29" fillId="5" borderId="0" xfId="0" applyFont="1" applyFill="1" applyBorder="1" applyAlignment="1">
      <alignment wrapText="1"/>
    </xf>
    <xf numFmtId="0" fontId="21" fillId="5" borderId="0" xfId="0" applyFont="1" applyFill="1" applyAlignment="1">
      <alignment wrapText="1"/>
    </xf>
    <xf numFmtId="0" fontId="38" fillId="5" borderId="0" xfId="0" applyFont="1" applyFill="1" applyAlignment="1">
      <alignment wrapText="1"/>
    </xf>
    <xf numFmtId="0" fontId="16" fillId="5" borderId="0" xfId="0" applyFont="1" applyFill="1" applyAlignment="1">
      <alignment wrapText="1"/>
    </xf>
    <xf numFmtId="0" fontId="21" fillId="0" borderId="0" xfId="0" applyFont="1" applyFill="1" applyAlignment="1">
      <alignment wrapText="1"/>
    </xf>
    <xf numFmtId="0" fontId="29" fillId="0" borderId="0" xfId="0" applyNumberFormat="1" applyFont="1"/>
    <xf numFmtId="0" fontId="29" fillId="0" borderId="0" xfId="0" applyNumberFormat="1" applyFont="1" applyBorder="1"/>
    <xf numFmtId="186" fontId="28" fillId="3" borderId="0" xfId="0" applyNumberFormat="1" applyFont="1" applyFill="1" applyAlignment="1">
      <alignment horizontal="right" vertical="center"/>
    </xf>
    <xf numFmtId="187" fontId="28" fillId="3" borderId="0" xfId="0" applyNumberFormat="1" applyFont="1" applyFill="1"/>
    <xf numFmtId="177" fontId="21" fillId="5" borderId="22" xfId="0" applyNumberFormat="1" applyFont="1" applyFill="1" applyBorder="1" applyAlignment="1"/>
    <xf numFmtId="177" fontId="23" fillId="5" borderId="22" xfId="0" applyNumberFormat="1" applyFont="1" applyFill="1" applyBorder="1" applyAlignment="1"/>
    <xf numFmtId="177" fontId="38" fillId="0" borderId="175" xfId="0" applyNumberFormat="1" applyFont="1" applyFill="1" applyBorder="1" applyAlignment="1">
      <alignment horizontal="right" vertical="center"/>
    </xf>
    <xf numFmtId="177" fontId="38" fillId="0" borderId="93" xfId="0" applyNumberFormat="1" applyFont="1" applyFill="1" applyBorder="1" applyAlignment="1">
      <alignment horizontal="right" vertical="center"/>
    </xf>
    <xf numFmtId="177" fontId="38" fillId="0" borderId="93" xfId="0" applyNumberFormat="1" applyFont="1" applyFill="1" applyBorder="1" applyAlignment="1"/>
    <xf numFmtId="177" fontId="38" fillId="0" borderId="178" xfId="0" applyNumberFormat="1" applyFont="1" applyFill="1" applyBorder="1" applyAlignment="1"/>
    <xf numFmtId="177" fontId="26" fillId="8" borderId="183" xfId="0" applyNumberFormat="1" applyFont="1" applyFill="1" applyBorder="1" applyAlignment="1"/>
    <xf numFmtId="177" fontId="21" fillId="5" borderId="0" xfId="0" applyNumberFormat="1" applyFont="1" applyFill="1" applyBorder="1" applyAlignment="1"/>
    <xf numFmtId="177" fontId="27" fillId="6" borderId="64" xfId="0" applyNumberFormat="1" applyFont="1" applyFill="1" applyBorder="1" applyAlignment="1"/>
    <xf numFmtId="177" fontId="21" fillId="13" borderId="90" xfId="0" applyNumberFormat="1" applyFont="1" applyFill="1" applyBorder="1" applyAlignment="1"/>
    <xf numFmtId="177" fontId="21" fillId="13" borderId="72" xfId="0" applyNumberFormat="1" applyFont="1" applyFill="1" applyBorder="1" applyAlignment="1"/>
    <xf numFmtId="177" fontId="21" fillId="13" borderId="75" xfId="0" applyNumberFormat="1" applyFont="1" applyFill="1" applyBorder="1" applyAlignment="1"/>
    <xf numFmtId="177" fontId="17" fillId="5" borderId="0" xfId="0" applyNumberFormat="1" applyFont="1" applyFill="1" applyBorder="1" applyAlignment="1" applyProtection="1"/>
    <xf numFmtId="177" fontId="31" fillId="5" borderId="0" xfId="0" applyNumberFormat="1" applyFont="1" applyFill="1" applyBorder="1" applyAlignment="1" applyProtection="1"/>
    <xf numFmtId="177" fontId="21" fillId="5" borderId="0" xfId="0" applyNumberFormat="1" applyFont="1" applyFill="1" applyAlignment="1"/>
    <xf numFmtId="177" fontId="21" fillId="0" borderId="0" xfId="0" applyNumberFormat="1" applyFont="1" applyFill="1" applyAlignment="1"/>
    <xf numFmtId="0" fontId="20" fillId="5" borderId="0" xfId="0" applyNumberFormat="1" applyFont="1" applyFill="1" applyAlignment="1"/>
    <xf numFmtId="0" fontId="16" fillId="5" borderId="0" xfId="0" applyNumberFormat="1" applyFont="1" applyFill="1" applyAlignment="1"/>
    <xf numFmtId="2" fontId="20" fillId="0" borderId="0" xfId="0" applyNumberFormat="1" applyFont="1" applyFill="1" applyBorder="1" applyAlignment="1">
      <alignment vertical="center"/>
    </xf>
    <xf numFmtId="174" fontId="80" fillId="0" borderId="0" xfId="0" applyNumberFormat="1" applyFont="1" applyFill="1" applyBorder="1" applyAlignment="1"/>
    <xf numFmtId="0" fontId="17" fillId="0" borderId="65" xfId="0" applyNumberFormat="1" applyFont="1" applyFill="1" applyBorder="1" applyAlignment="1" applyProtection="1"/>
    <xf numFmtId="0" fontId="17" fillId="0" borderId="0" xfId="0" applyNumberFormat="1" applyFont="1" applyFill="1" applyBorder="1" applyAlignment="1" applyProtection="1"/>
    <xf numFmtId="0" fontId="17" fillId="0" borderId="21" xfId="0" applyNumberFormat="1" applyFont="1" applyFill="1" applyBorder="1" applyAlignment="1" applyProtection="1"/>
    <xf numFmtId="0" fontId="43" fillId="8" borderId="181" xfId="0" applyFont="1" applyFill="1" applyBorder="1" applyAlignment="1"/>
    <xf numFmtId="0" fontId="43" fillId="8" borderId="71" xfId="0" applyFont="1" applyFill="1" applyBorder="1" applyAlignment="1"/>
    <xf numFmtId="0" fontId="43" fillId="8" borderId="182" xfId="0" applyFont="1" applyFill="1" applyBorder="1" applyAlignment="1"/>
    <xf numFmtId="0" fontId="20" fillId="0" borderId="184" xfId="0" applyFont="1" applyFill="1" applyBorder="1" applyAlignment="1">
      <alignment vertical="center"/>
    </xf>
    <xf numFmtId="0" fontId="20" fillId="0" borderId="185" xfId="0" applyFont="1" applyFill="1" applyBorder="1" applyAlignment="1">
      <alignment vertical="center"/>
    </xf>
    <xf numFmtId="0" fontId="20" fillId="0" borderId="186" xfId="0" applyFont="1" applyFill="1" applyBorder="1" applyAlignment="1">
      <alignment vertical="center"/>
    </xf>
    <xf numFmtId="0" fontId="21" fillId="0" borderId="166" xfId="0" applyFont="1" applyFill="1" applyBorder="1" applyAlignment="1">
      <alignment horizontal="right"/>
    </xf>
    <xf numFmtId="183" fontId="21" fillId="5" borderId="185" xfId="0" applyNumberFormat="1" applyFont="1" applyFill="1" applyBorder="1" applyAlignment="1"/>
    <xf numFmtId="183" fontId="21" fillId="5" borderId="185" xfId="0" applyNumberFormat="1" applyFont="1" applyFill="1" applyBorder="1" applyAlignment="1">
      <alignment horizontal="right"/>
    </xf>
    <xf numFmtId="0" fontId="81" fillId="5" borderId="15" xfId="0" applyFont="1" applyFill="1" applyBorder="1" applyAlignment="1">
      <alignment horizontal="left"/>
    </xf>
    <xf numFmtId="180" fontId="39" fillId="4" borderId="15" xfId="0" applyNumberFormat="1" applyFont="1" applyFill="1" applyBorder="1" applyAlignment="1">
      <alignment horizontal="right"/>
    </xf>
    <xf numFmtId="180" fontId="39" fillId="4" borderId="0" xfId="0" applyNumberFormat="1" applyFont="1" applyFill="1" applyBorder="1" applyAlignment="1"/>
    <xf numFmtId="180" fontId="39" fillId="4" borderId="22" xfId="0" applyNumberFormat="1" applyFont="1" applyFill="1" applyBorder="1" applyAlignment="1"/>
    <xf numFmtId="0" fontId="21" fillId="0" borderId="0" xfId="0" applyFont="1" applyFill="1" applyBorder="1" applyAlignment="1"/>
    <xf numFmtId="0" fontId="24" fillId="0" borderId="0" xfId="0" applyFont="1" applyFill="1" applyBorder="1" applyAlignment="1"/>
    <xf numFmtId="177" fontId="21" fillId="0" borderId="22" xfId="0" applyNumberFormat="1" applyFont="1" applyFill="1" applyBorder="1" applyAlignment="1"/>
    <xf numFmtId="0" fontId="17" fillId="4" borderId="192" xfId="0" applyFont="1" applyFill="1" applyBorder="1" applyAlignment="1" applyProtection="1">
      <alignment horizontal="center" vertical="center"/>
    </xf>
    <xf numFmtId="0" fontId="17" fillId="4" borderId="192" xfId="0" applyFont="1" applyFill="1" applyBorder="1" applyAlignment="1" applyProtection="1">
      <alignment vertical="top"/>
    </xf>
    <xf numFmtId="0" fontId="17" fillId="4" borderId="192" xfId="0" applyFont="1" applyFill="1" applyBorder="1" applyAlignment="1" applyProtection="1">
      <alignment horizontal="center" vertical="center" wrapText="1" readingOrder="1"/>
    </xf>
    <xf numFmtId="169" fontId="17" fillId="4" borderId="192" xfId="0" applyNumberFormat="1" applyFont="1" applyFill="1" applyBorder="1" applyAlignment="1" applyProtection="1">
      <alignment horizontal="center" vertical="center" wrapText="1" readingOrder="1"/>
    </xf>
    <xf numFmtId="177" fontId="17" fillId="4" borderId="193" xfId="0" applyNumberFormat="1" applyFont="1" applyFill="1" applyBorder="1" applyAlignment="1" applyProtection="1">
      <alignment horizontal="center" vertical="center"/>
    </xf>
    <xf numFmtId="3" fontId="2" fillId="5" borderId="0" xfId="0" applyNumberFormat="1" applyFont="1" applyFill="1" applyBorder="1" applyAlignment="1">
      <alignment horizontal="left"/>
    </xf>
    <xf numFmtId="0" fontId="85" fillId="5" borderId="0" xfId="0" applyNumberFormat="1" applyFont="1" applyFill="1" applyBorder="1" applyAlignment="1">
      <alignment horizontal="left"/>
    </xf>
    <xf numFmtId="0" fontId="2" fillId="5" borderId="0" xfId="0" applyNumberFormat="1" applyFont="1" applyFill="1" applyBorder="1" applyAlignment="1">
      <alignment horizontal="left"/>
    </xf>
    <xf numFmtId="0" fontId="86" fillId="0" borderId="0" xfId="0" applyFont="1" applyFill="1" applyBorder="1" applyAlignment="1">
      <alignment horizontal="center"/>
    </xf>
    <xf numFmtId="2" fontId="87" fillId="0" borderId="0" xfId="0" applyNumberFormat="1" applyFont="1" applyFill="1" applyBorder="1" applyAlignment="1"/>
    <xf numFmtId="0" fontId="88" fillId="5" borderId="0" xfId="0" applyFont="1" applyFill="1" applyBorder="1" applyAlignment="1">
      <alignment horizontal="left"/>
    </xf>
    <xf numFmtId="0" fontId="89" fillId="5" borderId="0" xfId="0" applyFont="1" applyFill="1" applyBorder="1" applyAlignment="1">
      <alignment horizontal="left"/>
    </xf>
    <xf numFmtId="0" fontId="86" fillId="5" borderId="0" xfId="0" applyFont="1" applyFill="1" applyBorder="1" applyAlignment="1" applyProtection="1"/>
    <xf numFmtId="0" fontId="86" fillId="5" borderId="0" xfId="0" applyFont="1" applyFill="1" applyBorder="1" applyAlignment="1"/>
    <xf numFmtId="0" fontId="2" fillId="5" borderId="0" xfId="4" applyFont="1" applyFill="1" applyBorder="1" applyAlignment="1" applyProtection="1">
      <alignment vertical="center" wrapText="1"/>
    </xf>
    <xf numFmtId="0" fontId="87" fillId="5" borderId="0" xfId="0" applyFont="1" applyFill="1" applyBorder="1" applyAlignment="1">
      <alignment wrapText="1"/>
    </xf>
    <xf numFmtId="0" fontId="87" fillId="5" borderId="0" xfId="0" applyFont="1" applyFill="1" applyBorder="1" applyAlignment="1">
      <alignment vertical="top" wrapText="1"/>
    </xf>
    <xf numFmtId="180" fontId="90" fillId="4" borderId="0" xfId="0" applyNumberFormat="1" applyFont="1" applyFill="1" applyBorder="1" applyAlignment="1"/>
    <xf numFmtId="180" fontId="91" fillId="4" borderId="0" xfId="0" applyNumberFormat="1" applyFont="1" applyFill="1" applyBorder="1" applyAlignment="1"/>
    <xf numFmtId="180" fontId="91" fillId="4" borderId="0" xfId="0" applyNumberFormat="1" applyFont="1" applyFill="1" applyBorder="1" applyAlignment="1">
      <alignment horizontal="right"/>
    </xf>
    <xf numFmtId="0" fontId="22" fillId="0" borderId="0" xfId="4" applyFont="1" applyBorder="1" applyAlignment="1" applyProtection="1">
      <alignment horizontal="center"/>
    </xf>
    <xf numFmtId="0" fontId="22" fillId="0" borderId="22" xfId="4" applyFont="1" applyBorder="1" applyAlignment="1" applyProtection="1">
      <alignment horizontal="center"/>
    </xf>
    <xf numFmtId="0" fontId="34" fillId="0" borderId="15" xfId="4" applyFont="1" applyBorder="1" applyAlignment="1" applyProtection="1">
      <alignment horizontal="left"/>
    </xf>
    <xf numFmtId="0" fontId="22" fillId="0" borderId="167" xfId="4" applyFont="1" applyBorder="1" applyAlignment="1" applyProtection="1">
      <alignment horizontal="left"/>
    </xf>
    <xf numFmtId="177" fontId="22" fillId="0" borderId="35" xfId="4" applyNumberFormat="1" applyFont="1" applyBorder="1" applyAlignment="1" applyProtection="1">
      <alignment horizontal="right"/>
    </xf>
    <xf numFmtId="177" fontId="22" fillId="0" borderId="157" xfId="4" applyNumberFormat="1" applyFont="1" applyBorder="1" applyAlignment="1" applyProtection="1">
      <alignment horizontal="right"/>
    </xf>
    <xf numFmtId="0" fontId="22" fillId="0" borderId="195" xfId="4" applyFont="1" applyBorder="1" applyProtection="1"/>
    <xf numFmtId="0" fontId="22" fillId="0" borderId="157" xfId="4" applyFont="1" applyBorder="1" applyAlignment="1" applyProtection="1"/>
    <xf numFmtId="2" fontId="22" fillId="0" borderId="35" xfId="4" applyNumberFormat="1" applyFont="1" applyBorder="1" applyAlignment="1" applyProtection="1">
      <alignment horizontal="center"/>
    </xf>
    <xf numFmtId="2" fontId="22" fillId="0" borderId="156" xfId="4" applyNumberFormat="1" applyFont="1" applyBorder="1" applyAlignment="1" applyProtection="1">
      <alignment horizontal="center"/>
    </xf>
    <xf numFmtId="2" fontId="22" fillId="0" borderId="157" xfId="4" applyNumberFormat="1" applyFont="1" applyBorder="1" applyAlignment="1" applyProtection="1">
      <alignment horizontal="center"/>
    </xf>
    <xf numFmtId="0" fontId="22" fillId="0" borderId="185" xfId="4" applyFont="1" applyBorder="1" applyProtection="1"/>
    <xf numFmtId="0" fontId="44" fillId="0" borderId="15" xfId="4" applyFont="1" applyBorder="1" applyAlignment="1" applyProtection="1"/>
    <xf numFmtId="0" fontId="44" fillId="0" borderId="0" xfId="4" applyNumberFormat="1" applyFont="1" applyBorder="1" applyAlignment="1" applyProtection="1">
      <alignment horizontal="left"/>
    </xf>
    <xf numFmtId="0" fontId="44" fillId="0" borderId="0" xfId="4" applyFont="1" applyBorder="1" applyAlignment="1" applyProtection="1">
      <alignment horizontal="right"/>
    </xf>
    <xf numFmtId="49" fontId="44" fillId="0" borderId="0" xfId="4" applyNumberFormat="1" applyFont="1" applyBorder="1" applyAlignment="1" applyProtection="1">
      <alignment horizontal="left"/>
    </xf>
    <xf numFmtId="0" fontId="20" fillId="0" borderId="196" xfId="0" applyNumberFormat="1" applyFont="1" applyFill="1" applyBorder="1" applyAlignment="1" applyProtection="1">
      <alignment horizontal="right"/>
      <protection locked="0"/>
    </xf>
    <xf numFmtId="0" fontId="41" fillId="0" borderId="198" xfId="0" applyNumberFormat="1" applyFont="1" applyFill="1" applyBorder="1" applyAlignment="1" applyProtection="1"/>
    <xf numFmtId="0" fontId="42" fillId="0" borderId="199" xfId="0" applyNumberFormat="1" applyFont="1" applyFill="1" applyBorder="1" applyAlignment="1" applyProtection="1">
      <alignment horizontal="center" vertical="center"/>
    </xf>
    <xf numFmtId="2" fontId="42" fillId="0" borderId="199" xfId="0" applyNumberFormat="1" applyFont="1" applyFill="1" applyBorder="1" applyAlignment="1" applyProtection="1">
      <alignment horizontal="center" vertical="center"/>
    </xf>
    <xf numFmtId="177" fontId="42" fillId="0" borderId="199" xfId="0" applyNumberFormat="1" applyFont="1" applyFill="1" applyBorder="1" applyAlignment="1" applyProtection="1">
      <alignment horizontal="center" vertical="center"/>
    </xf>
    <xf numFmtId="174" fontId="20" fillId="0" borderId="199" xfId="0" applyNumberFormat="1" applyFont="1" applyFill="1" applyBorder="1" applyAlignment="1" applyProtection="1">
      <alignment horizontal="right" vertical="center"/>
    </xf>
    <xf numFmtId="0" fontId="20" fillId="0" borderId="199" xfId="0" applyNumberFormat="1" applyFont="1" applyFill="1" applyBorder="1" applyAlignment="1" applyProtection="1">
      <alignment horizontal="right" vertical="center"/>
    </xf>
    <xf numFmtId="2" fontId="26" fillId="0" borderId="200" xfId="0" applyNumberFormat="1" applyFont="1" applyFill="1" applyBorder="1" applyAlignment="1" applyProtection="1">
      <alignment horizontal="right" vertical="center"/>
    </xf>
    <xf numFmtId="0" fontId="22" fillId="0" borderId="0" xfId="4" applyFont="1" applyBorder="1" applyAlignment="1" applyProtection="1">
      <alignment horizontal="center"/>
    </xf>
    <xf numFmtId="0" fontId="22" fillId="0" borderId="22" xfId="4" applyFont="1" applyBorder="1" applyAlignment="1" applyProtection="1">
      <alignment horizontal="center"/>
    </xf>
    <xf numFmtId="0" fontId="44" fillId="0" borderId="158" xfId="4" applyFont="1" applyBorder="1" applyAlignment="1" applyProtection="1">
      <alignment horizontal="left"/>
    </xf>
    <xf numFmtId="0" fontId="44" fillId="0" borderId="162" xfId="4" applyFont="1" applyBorder="1" applyAlignment="1" applyProtection="1">
      <alignment horizontal="left"/>
    </xf>
    <xf numFmtId="0" fontId="22" fillId="0" borderId="187" xfId="4" applyFont="1" applyBorder="1" applyAlignment="1" applyProtection="1">
      <alignment horizontal="center"/>
    </xf>
    <xf numFmtId="0" fontId="44" fillId="0" borderId="197" xfId="4" applyFont="1" applyBorder="1" applyAlignment="1" applyProtection="1">
      <alignment horizontal="center"/>
    </xf>
    <xf numFmtId="0" fontId="22" fillId="0" borderId="184" xfId="4" applyFont="1" applyBorder="1" applyProtection="1"/>
    <xf numFmtId="0" fontId="22" fillId="0" borderId="196" xfId="4" applyFont="1" applyBorder="1" applyAlignment="1" applyProtection="1">
      <alignment horizontal="center" vertical="center"/>
    </xf>
    <xf numFmtId="0" fontId="22" fillId="0" borderId="197" xfId="4" applyFont="1" applyBorder="1" applyAlignment="1" applyProtection="1">
      <alignment horizontal="center" vertical="center"/>
    </xf>
    <xf numFmtId="0" fontId="22" fillId="0" borderId="194" xfId="4" applyFont="1" applyBorder="1" applyAlignment="1" applyProtection="1">
      <alignment horizontal="center" vertical="center"/>
    </xf>
    <xf numFmtId="0" fontId="44" fillId="0" borderId="31" xfId="4" applyFont="1" applyBorder="1" applyAlignment="1" applyProtection="1">
      <alignment horizontal="left"/>
    </xf>
    <xf numFmtId="188" fontId="22" fillId="0" borderId="195" xfId="4" applyNumberFormat="1" applyFont="1" applyBorder="1" applyProtection="1"/>
    <xf numFmtId="188" fontId="22" fillId="0" borderId="187" xfId="4" applyNumberFormat="1" applyFont="1" applyBorder="1" applyProtection="1"/>
    <xf numFmtId="188" fontId="22" fillId="0" borderId="35" xfId="4" applyNumberFormat="1" applyFont="1" applyBorder="1" applyProtection="1"/>
    <xf numFmtId="188" fontId="22" fillId="0" borderId="22" xfId="4" applyNumberFormat="1" applyFont="1" applyBorder="1" applyProtection="1"/>
    <xf numFmtId="188" fontId="22" fillId="0" borderId="157" xfId="4" applyNumberFormat="1" applyFont="1" applyBorder="1" applyProtection="1"/>
    <xf numFmtId="188" fontId="22" fillId="0" borderId="165" xfId="4" applyNumberFormat="1" applyFont="1" applyBorder="1" applyProtection="1"/>
    <xf numFmtId="188" fontId="22" fillId="0" borderId="194" xfId="4" applyNumberFormat="1" applyFont="1" applyBorder="1" applyProtection="1"/>
    <xf numFmtId="188" fontId="22" fillId="0" borderId="0" xfId="4" applyNumberFormat="1" applyFont="1" applyProtection="1"/>
    <xf numFmtId="177" fontId="44" fillId="0" borderId="169" xfId="8" applyNumberFormat="1" applyFont="1" applyBorder="1" applyProtection="1"/>
    <xf numFmtId="177" fontId="77" fillId="0" borderId="166" xfId="4" applyNumberFormat="1" applyFont="1" applyBorder="1" applyAlignment="1" applyProtection="1"/>
    <xf numFmtId="177" fontId="22" fillId="0" borderId="0" xfId="8" applyNumberFormat="1" applyFont="1" applyBorder="1" applyAlignment="1" applyProtection="1"/>
    <xf numFmtId="177" fontId="22" fillId="0" borderId="0" xfId="4" applyNumberFormat="1" applyFont="1" applyBorder="1" applyAlignment="1" applyProtection="1"/>
    <xf numFmtId="177" fontId="22" fillId="0" borderId="157" xfId="4" applyNumberFormat="1" applyFont="1" applyBorder="1" applyAlignment="1" applyProtection="1"/>
    <xf numFmtId="0" fontId="44" fillId="0" borderId="194" xfId="4" applyFont="1" applyBorder="1" applyAlignment="1" applyProtection="1">
      <alignment horizontal="right"/>
    </xf>
    <xf numFmtId="0" fontId="44" fillId="0" borderId="172" xfId="4" applyFont="1" applyBorder="1" applyAlignment="1" applyProtection="1">
      <alignment horizontal="left" vertical="top" wrapText="1"/>
    </xf>
    <xf numFmtId="14" fontId="22" fillId="0" borderId="173" xfId="4" applyNumberFormat="1" applyFont="1" applyBorder="1" applyAlignment="1" applyProtection="1">
      <alignment horizontal="left"/>
      <protection locked="0"/>
    </xf>
    <xf numFmtId="177" fontId="22" fillId="0" borderId="173" xfId="4" applyNumberFormat="1" applyFont="1" applyBorder="1" applyAlignment="1" applyProtection="1">
      <alignment horizontal="left"/>
      <protection locked="0"/>
    </xf>
    <xf numFmtId="0" fontId="44" fillId="0" borderId="22" xfId="4" applyFont="1" applyBorder="1" applyAlignment="1" applyProtection="1">
      <alignment vertical="top" wrapText="1"/>
    </xf>
    <xf numFmtId="0" fontId="22" fillId="0" borderId="22" xfId="4" applyNumberFormat="1" applyFont="1" applyBorder="1" applyAlignment="1" applyProtection="1">
      <alignment horizontal="left"/>
      <protection locked="0"/>
    </xf>
    <xf numFmtId="177" fontId="22" fillId="0" borderId="22" xfId="4" applyNumberFormat="1" applyFont="1" applyBorder="1" applyAlignment="1" applyProtection="1">
      <alignment horizontal="left"/>
      <protection locked="0"/>
    </xf>
    <xf numFmtId="7" fontId="21" fillId="5" borderId="0" xfId="0" applyNumberFormat="1" applyFont="1" applyFill="1" applyBorder="1" applyAlignment="1"/>
    <xf numFmtId="2" fontId="21" fillId="5" borderId="0" xfId="0" applyNumberFormat="1" applyFont="1" applyFill="1" applyBorder="1" applyAlignment="1"/>
    <xf numFmtId="0" fontId="22" fillId="2" borderId="201" xfId="4" applyNumberFormat="1" applyFont="1" applyFill="1" applyBorder="1" applyAlignment="1" applyProtection="1"/>
    <xf numFmtId="0" fontId="44" fillId="2" borderId="0" xfId="4" applyNumberFormat="1" applyFont="1" applyFill="1" applyBorder="1" applyAlignment="1" applyProtection="1"/>
    <xf numFmtId="0" fontId="22" fillId="2" borderId="0" xfId="4" applyNumberFormat="1" applyFont="1" applyFill="1" applyBorder="1" applyAlignment="1" applyProtection="1"/>
    <xf numFmtId="0" fontId="28" fillId="5" borderId="81" xfId="4" applyFont="1" applyFill="1" applyBorder="1" applyAlignment="1" applyProtection="1"/>
    <xf numFmtId="0" fontId="28" fillId="5" borderId="84" xfId="4" applyFont="1" applyFill="1" applyBorder="1" applyAlignment="1" applyProtection="1"/>
    <xf numFmtId="0" fontId="28" fillId="5" borderId="87" xfId="4" applyFont="1" applyFill="1" applyBorder="1" applyAlignment="1" applyProtection="1"/>
    <xf numFmtId="0" fontId="28" fillId="5" borderId="126" xfId="4" applyFont="1" applyFill="1" applyBorder="1" applyAlignment="1" applyProtection="1"/>
    <xf numFmtId="0" fontId="22" fillId="0" borderId="131" xfId="4" applyNumberFormat="1" applyFont="1" applyBorder="1" applyAlignment="1" applyProtection="1">
      <alignment wrapText="1" readingOrder="1"/>
    </xf>
    <xf numFmtId="0" fontId="28" fillId="5" borderId="131" xfId="4" applyFont="1" applyFill="1" applyBorder="1" applyAlignment="1" applyProtection="1"/>
    <xf numFmtId="0" fontId="33" fillId="3" borderId="137" xfId="4" applyFont="1" applyFill="1" applyBorder="1" applyAlignment="1" applyProtection="1"/>
    <xf numFmtId="0" fontId="33" fillId="14" borderId="137" xfId="4" applyFont="1" applyFill="1" applyBorder="1" applyAlignment="1" applyProtection="1"/>
    <xf numFmtId="0" fontId="28" fillId="5" borderId="143" xfId="4" applyFont="1" applyFill="1" applyBorder="1" applyAlignment="1" applyProtection="1"/>
    <xf numFmtId="0" fontId="28" fillId="5" borderId="148" xfId="4" applyFont="1" applyFill="1" applyBorder="1" applyAlignment="1" applyProtection="1"/>
    <xf numFmtId="0" fontId="28" fillId="5" borderId="153" xfId="4" applyFont="1" applyFill="1" applyBorder="1" applyAlignment="1" applyProtection="1"/>
    <xf numFmtId="0" fontId="33" fillId="6" borderId="202" xfId="4" applyFont="1" applyFill="1" applyBorder="1" applyAlignment="1" applyProtection="1"/>
    <xf numFmtId="0" fontId="21" fillId="0" borderId="0" xfId="0" applyNumberFormat="1" applyFont="1" applyAlignment="1">
      <alignment vertical="top"/>
    </xf>
    <xf numFmtId="0" fontId="17" fillId="4" borderId="192" xfId="0" applyNumberFormat="1" applyFont="1" applyFill="1" applyBorder="1" applyAlignment="1" applyProtection="1">
      <alignment horizontal="center" vertical="center"/>
    </xf>
    <xf numFmtId="0" fontId="17" fillId="4" borderId="192" xfId="0" applyNumberFormat="1" applyFont="1" applyFill="1" applyBorder="1" applyAlignment="1" applyProtection="1">
      <alignment vertical="top"/>
    </xf>
    <xf numFmtId="0" fontId="17" fillId="4" borderId="192" xfId="0" applyNumberFormat="1" applyFont="1" applyFill="1" applyBorder="1" applyAlignment="1" applyProtection="1">
      <alignment horizontal="center" vertical="center" wrapText="1" readingOrder="1"/>
    </xf>
    <xf numFmtId="0" fontId="17" fillId="4" borderId="193" xfId="0" applyNumberFormat="1" applyFont="1" applyFill="1" applyBorder="1" applyAlignment="1" applyProtection="1">
      <alignment horizontal="center" vertical="center"/>
    </xf>
    <xf numFmtId="0" fontId="0" fillId="0" borderId="0" xfId="0" applyNumberFormat="1"/>
    <xf numFmtId="0" fontId="0" fillId="0" borderId="0" xfId="0" applyNumberFormat="1" applyAlignment="1">
      <alignment horizontal="center" vertical="center"/>
    </xf>
    <xf numFmtId="0" fontId="93" fillId="0" borderId="0" xfId="0" applyNumberFormat="1" applyFont="1" applyFill="1" applyBorder="1" applyAlignment="1">
      <alignment horizontal="center" vertical="center"/>
    </xf>
    <xf numFmtId="0" fontId="94" fillId="0" borderId="0" xfId="0" applyNumberFormat="1" applyFont="1" applyFill="1" applyBorder="1" applyAlignment="1" applyProtection="1">
      <alignment wrapText="1"/>
    </xf>
    <xf numFmtId="49" fontId="93" fillId="0" borderId="0" xfId="0" applyNumberFormat="1" applyFont="1" applyFill="1" applyBorder="1" applyAlignment="1" applyProtection="1">
      <alignment horizontal="center"/>
      <protection locked="0"/>
    </xf>
    <xf numFmtId="2" fontId="94" fillId="0" borderId="0" xfId="0" applyNumberFormat="1" applyFont="1" applyFill="1" applyBorder="1" applyAlignment="1" applyProtection="1">
      <protection locked="0"/>
    </xf>
    <xf numFmtId="174" fontId="93" fillId="0" borderId="0" xfId="0" applyNumberFormat="1" applyFont="1" applyFill="1" applyBorder="1" applyAlignment="1" applyProtection="1">
      <protection locked="0"/>
    </xf>
    <xf numFmtId="172" fontId="94" fillId="0" borderId="0" xfId="0" applyNumberFormat="1" applyFont="1" applyFill="1" applyBorder="1" applyAlignment="1" applyProtection="1">
      <protection locked="0"/>
    </xf>
    <xf numFmtId="174" fontId="94" fillId="0" borderId="0" xfId="0" applyNumberFormat="1" applyFont="1" applyFill="1" applyBorder="1" applyAlignment="1"/>
    <xf numFmtId="171" fontId="94" fillId="0" borderId="0" xfId="0" applyNumberFormat="1" applyFont="1" applyFill="1" applyBorder="1" applyAlignment="1" applyProtection="1">
      <protection locked="0"/>
    </xf>
    <xf numFmtId="173" fontId="94" fillId="0" borderId="0" xfId="0" applyNumberFormat="1" applyFont="1" applyFill="1" applyBorder="1" applyAlignment="1"/>
    <xf numFmtId="1" fontId="94" fillId="0" borderId="0" xfId="0" applyNumberFormat="1" applyFont="1" applyFill="1" applyBorder="1" applyAlignment="1" applyProtection="1">
      <protection locked="0"/>
    </xf>
    <xf numFmtId="49" fontId="94" fillId="0" borderId="0" xfId="0" applyNumberFormat="1" applyFont="1" applyFill="1" applyBorder="1" applyAlignment="1" applyProtection="1">
      <protection locked="0"/>
    </xf>
    <xf numFmtId="2" fontId="94" fillId="0" borderId="0" xfId="0" applyNumberFormat="1" applyFont="1" applyFill="1" applyBorder="1" applyAlignment="1"/>
    <xf numFmtId="176" fontId="28" fillId="0" borderId="197" xfId="0" applyNumberFormat="1" applyFont="1" applyFill="1" applyBorder="1" applyAlignment="1">
      <alignment horizontal="center"/>
    </xf>
    <xf numFmtId="165" fontId="22" fillId="0" borderId="194" xfId="2" applyNumberFormat="1" applyFont="1" applyFill="1" applyBorder="1" applyAlignment="1">
      <alignment horizontal="center"/>
    </xf>
    <xf numFmtId="165" fontId="28" fillId="0" borderId="194" xfId="0" applyNumberFormat="1" applyFont="1" applyFill="1" applyBorder="1"/>
    <xf numFmtId="165" fontId="28" fillId="0" borderId="196" xfId="0" applyNumberFormat="1" applyFont="1" applyFill="1" applyBorder="1"/>
    <xf numFmtId="176" fontId="28" fillId="0" borderId="187" xfId="0" applyNumberFormat="1" applyFont="1" applyFill="1" applyBorder="1" applyAlignment="1">
      <alignment horizontal="center"/>
    </xf>
    <xf numFmtId="165" fontId="22" fillId="0" borderId="205" xfId="2" applyNumberFormat="1" applyFont="1" applyFill="1" applyBorder="1" applyAlignment="1">
      <alignment horizontal="center"/>
    </xf>
    <xf numFmtId="165" fontId="28" fillId="0" borderId="205" xfId="0" applyNumberFormat="1" applyFont="1" applyFill="1" applyBorder="1"/>
    <xf numFmtId="165" fontId="28" fillId="0" borderId="184" xfId="0" applyNumberFormat="1" applyFont="1" applyFill="1" applyBorder="1"/>
    <xf numFmtId="177" fontId="22" fillId="0" borderId="194" xfId="2" applyNumberFormat="1" applyFont="1" applyFill="1" applyBorder="1" applyAlignment="1">
      <alignment horizontal="center"/>
    </xf>
    <xf numFmtId="177" fontId="28" fillId="0" borderId="194" xfId="0" applyNumberFormat="1" applyFont="1" applyFill="1" applyBorder="1" applyAlignment="1">
      <alignment horizontal="center"/>
    </xf>
    <xf numFmtId="177" fontId="28" fillId="0" borderId="196" xfId="0" applyNumberFormat="1" applyFont="1" applyFill="1" applyBorder="1" applyAlignment="1">
      <alignment horizontal="center"/>
    </xf>
    <xf numFmtId="167" fontId="22" fillId="0" borderId="194" xfId="0" applyNumberFormat="1" applyFont="1" applyFill="1" applyBorder="1" applyAlignment="1">
      <alignment horizontal="center"/>
    </xf>
    <xf numFmtId="176" fontId="28" fillId="0" borderId="197" xfId="0" applyNumberFormat="1" applyFont="1" applyFill="1" applyBorder="1" applyAlignment="1">
      <alignment horizontal="center" vertical="center"/>
    </xf>
    <xf numFmtId="165" fontId="22" fillId="0" borderId="194" xfId="2" applyNumberFormat="1" applyFont="1" applyFill="1" applyBorder="1" applyAlignment="1">
      <alignment horizontal="center" vertical="center"/>
    </xf>
    <xf numFmtId="177" fontId="28" fillId="0" borderId="194" xfId="0" applyNumberFormat="1" applyFont="1" applyFill="1" applyBorder="1" applyAlignment="1">
      <alignment horizontal="center" vertical="center"/>
    </xf>
    <xf numFmtId="177" fontId="28" fillId="0" borderId="196" xfId="0" applyNumberFormat="1" applyFont="1" applyFill="1" applyBorder="1" applyAlignment="1">
      <alignment horizontal="center" vertical="center"/>
    </xf>
    <xf numFmtId="0" fontId="28" fillId="0" borderId="0" xfId="0" applyFont="1" applyFill="1" applyBorder="1" applyAlignment="1">
      <alignment vertical="center"/>
    </xf>
    <xf numFmtId="177" fontId="28" fillId="0" borderId="205" xfId="0" applyNumberFormat="1" applyFont="1" applyFill="1" applyBorder="1" applyAlignment="1">
      <alignment horizontal="center"/>
    </xf>
    <xf numFmtId="177" fontId="28" fillId="0" borderId="184" xfId="0" applyNumberFormat="1" applyFont="1" applyFill="1" applyBorder="1" applyAlignment="1">
      <alignment horizontal="center"/>
    </xf>
    <xf numFmtId="2" fontId="22" fillId="0" borderId="194" xfId="0" applyNumberFormat="1" applyFont="1" applyFill="1" applyBorder="1" applyAlignment="1">
      <alignment horizontal="center"/>
    </xf>
    <xf numFmtId="177" fontId="22" fillId="0" borderId="205" xfId="2" applyNumberFormat="1" applyFont="1" applyFill="1" applyBorder="1" applyAlignment="1">
      <alignment horizontal="center"/>
    </xf>
    <xf numFmtId="0" fontId="22" fillId="0" borderId="194" xfId="0" applyFont="1" applyFill="1" applyBorder="1" applyAlignment="1">
      <alignment vertical="top" wrapText="1"/>
    </xf>
    <xf numFmtId="0" fontId="22" fillId="0" borderId="194" xfId="0" applyFont="1" applyFill="1" applyBorder="1" applyAlignment="1">
      <alignment horizontal="center"/>
    </xf>
    <xf numFmtId="0" fontId="22" fillId="0" borderId="194" xfId="0" applyFont="1" applyFill="1" applyBorder="1" applyAlignment="1"/>
    <xf numFmtId="0" fontId="22" fillId="0" borderId="205" xfId="0" applyFont="1" applyFill="1" applyBorder="1" applyAlignment="1">
      <alignment horizontal="left" vertical="top" wrapText="1"/>
    </xf>
    <xf numFmtId="0" fontId="22" fillId="0" borderId="205" xfId="0" applyFont="1" applyFill="1" applyBorder="1" applyAlignment="1">
      <alignment horizontal="center"/>
    </xf>
    <xf numFmtId="0" fontId="22" fillId="0" borderId="205" xfId="0" applyFont="1" applyFill="1" applyBorder="1" applyAlignment="1"/>
    <xf numFmtId="176" fontId="28" fillId="0" borderId="197" xfId="0" applyNumberFormat="1" applyFont="1" applyFill="1" applyBorder="1" applyAlignment="1">
      <alignment horizontal="left"/>
    </xf>
    <xf numFmtId="165" fontId="28" fillId="0" borderId="0" xfId="0" applyNumberFormat="1" applyFont="1" applyFill="1" applyBorder="1"/>
    <xf numFmtId="165" fontId="44" fillId="0" borderId="0" xfId="0" applyNumberFormat="1" applyFont="1" applyFill="1" applyBorder="1" applyAlignment="1" applyProtection="1">
      <alignment horizontal="center" vertical="top" wrapText="1"/>
    </xf>
    <xf numFmtId="2" fontId="44" fillId="0" borderId="0" xfId="0" applyNumberFormat="1" applyFont="1" applyFill="1" applyBorder="1" applyAlignment="1" applyProtection="1">
      <alignment horizontal="center" vertical="top"/>
    </xf>
    <xf numFmtId="2" fontId="44" fillId="0" borderId="0" xfId="0" applyNumberFormat="1" applyFont="1" applyFill="1" applyBorder="1" applyAlignment="1" applyProtection="1">
      <alignment vertical="top" wrapText="1"/>
    </xf>
    <xf numFmtId="167" fontId="22" fillId="0" borderId="0" xfId="0" applyNumberFormat="1" applyFont="1" applyFill="1" applyBorder="1" applyAlignment="1">
      <alignment horizontal="center"/>
    </xf>
    <xf numFmtId="0" fontId="28" fillId="0" borderId="0" xfId="0" applyFont="1" applyFill="1" applyBorder="1" applyAlignment="1">
      <alignment vertical="top"/>
    </xf>
    <xf numFmtId="167" fontId="28" fillId="0" borderId="0" xfId="0" applyNumberFormat="1" applyFont="1" applyFill="1" applyBorder="1" applyAlignment="1">
      <alignment horizontal="center"/>
    </xf>
    <xf numFmtId="0" fontId="28" fillId="0" borderId="0" xfId="0" applyFont="1" applyFill="1" applyBorder="1" applyAlignment="1">
      <alignment vertical="top" wrapText="1"/>
    </xf>
    <xf numFmtId="2" fontId="28" fillId="0" borderId="0" xfId="0" applyNumberFormat="1" applyFont="1" applyFill="1" applyBorder="1" applyAlignment="1">
      <alignment horizontal="center"/>
    </xf>
    <xf numFmtId="2" fontId="28" fillId="0" borderId="0" xfId="0" applyNumberFormat="1" applyFont="1" applyFill="1" applyBorder="1"/>
    <xf numFmtId="177" fontId="28" fillId="0" borderId="0" xfId="0" applyNumberFormat="1" applyFont="1" applyFill="1" applyBorder="1"/>
    <xf numFmtId="0" fontId="28" fillId="0" borderId="0" xfId="0" applyFont="1" applyFill="1" applyBorder="1" applyAlignment="1">
      <alignment wrapText="1"/>
    </xf>
    <xf numFmtId="0" fontId="58" fillId="0" borderId="0" xfId="0" applyFont="1" applyFill="1" applyBorder="1"/>
    <xf numFmtId="0" fontId="22" fillId="0" borderId="0" xfId="0" applyFont="1" applyFill="1" applyBorder="1" applyAlignment="1">
      <alignment vertical="top" wrapText="1"/>
    </xf>
    <xf numFmtId="0" fontId="22" fillId="0" borderId="0" xfId="0" applyFont="1" applyFill="1" applyBorder="1" applyAlignment="1">
      <alignment horizontal="center"/>
    </xf>
    <xf numFmtId="0" fontId="22" fillId="0" borderId="0" xfId="0" applyFont="1" applyFill="1" applyBorder="1" applyAlignment="1">
      <alignment horizontal="left" vertical="top" wrapText="1"/>
    </xf>
    <xf numFmtId="0" fontId="44" fillId="0" borderId="0" xfId="0" applyFont="1" applyFill="1" applyBorder="1" applyAlignment="1" applyProtection="1">
      <alignment vertical="top"/>
    </xf>
    <xf numFmtId="0" fontId="44" fillId="0" borderId="0" xfId="0" applyFont="1" applyFill="1" applyBorder="1" applyAlignment="1" applyProtection="1">
      <alignment vertical="top" wrapText="1"/>
    </xf>
    <xf numFmtId="0" fontId="22" fillId="0" borderId="0" xfId="0" applyFont="1" applyFill="1" applyBorder="1" applyAlignment="1">
      <alignment horizontal="left" wrapText="1"/>
    </xf>
    <xf numFmtId="0" fontId="44" fillId="0" borderId="165" xfId="0" applyFont="1" applyFill="1" applyBorder="1" applyAlignment="1">
      <alignment vertical="top"/>
    </xf>
    <xf numFmtId="0" fontId="44" fillId="0" borderId="157" xfId="0" applyFont="1" applyFill="1" applyBorder="1" applyAlignment="1">
      <alignment vertical="top"/>
    </xf>
    <xf numFmtId="0" fontId="44" fillId="0" borderId="157" xfId="0" applyFont="1" applyFill="1" applyBorder="1" applyAlignment="1">
      <alignment vertical="top" wrapText="1"/>
    </xf>
    <xf numFmtId="0" fontId="44" fillId="0" borderId="157" xfId="0" applyFont="1" applyFill="1" applyBorder="1" applyAlignment="1">
      <alignment horizontal="left" vertical="top" wrapText="1" indent="1"/>
    </xf>
    <xf numFmtId="0" fontId="44" fillId="0" borderId="157" xfId="0" applyFont="1" applyFill="1" applyBorder="1" applyAlignment="1">
      <alignment horizontal="center" vertical="top"/>
    </xf>
    <xf numFmtId="0" fontId="44" fillId="0" borderId="167" xfId="0" applyFont="1" applyFill="1" applyBorder="1" applyAlignment="1">
      <alignment vertical="top" wrapText="1"/>
    </xf>
    <xf numFmtId="0" fontId="44" fillId="0" borderId="165" xfId="0" applyFont="1" applyFill="1" applyBorder="1" applyAlignment="1" applyProtection="1">
      <alignment vertical="top"/>
    </xf>
    <xf numFmtId="0" fontId="44" fillId="0" borderId="157" xfId="0" applyFont="1" applyFill="1" applyBorder="1" applyAlignment="1" applyProtection="1">
      <alignment vertical="top" wrapText="1"/>
    </xf>
    <xf numFmtId="0" fontId="44" fillId="0" borderId="157" xfId="0" applyFont="1" applyFill="1" applyBorder="1" applyAlignment="1" applyProtection="1">
      <alignment vertical="top"/>
    </xf>
    <xf numFmtId="165" fontId="44" fillId="0" borderId="157" xfId="0" applyNumberFormat="1" applyFont="1" applyFill="1" applyBorder="1" applyAlignment="1" applyProtection="1">
      <alignment horizontal="center" vertical="top" wrapText="1"/>
    </xf>
    <xf numFmtId="2" fontId="44" fillId="0" borderId="157" xfId="0" applyNumberFormat="1" applyFont="1" applyFill="1" applyBorder="1" applyAlignment="1" applyProtection="1">
      <alignment horizontal="center" vertical="top"/>
    </xf>
    <xf numFmtId="2" fontId="44" fillId="0" borderId="157" xfId="0" applyNumberFormat="1" applyFont="1" applyFill="1" applyBorder="1" applyAlignment="1" applyProtection="1">
      <alignment vertical="top" wrapText="1"/>
    </xf>
    <xf numFmtId="2" fontId="44" fillId="0" borderId="167" xfId="0" applyNumberFormat="1" applyFont="1" applyFill="1" applyBorder="1" applyAlignment="1" applyProtection="1">
      <alignment vertical="top" wrapText="1"/>
    </xf>
    <xf numFmtId="0" fontId="22" fillId="0" borderId="194" xfId="0" applyFont="1" applyFill="1" applyBorder="1" applyAlignment="1">
      <alignment horizontal="left" vertical="top" wrapText="1"/>
    </xf>
    <xf numFmtId="0" fontId="28" fillId="0" borderId="197" xfId="0" applyFont="1" applyFill="1" applyBorder="1" applyAlignment="1">
      <alignment horizontal="center"/>
    </xf>
    <xf numFmtId="0" fontId="28" fillId="0" borderId="194" xfId="0" applyFont="1" applyFill="1" applyBorder="1" applyAlignment="1">
      <alignment horizontal="left" vertical="top" wrapText="1"/>
    </xf>
    <xf numFmtId="0" fontId="28" fillId="0" borderId="194" xfId="0" applyFont="1" applyFill="1" applyBorder="1" applyAlignment="1">
      <alignment horizontal="center"/>
    </xf>
    <xf numFmtId="167" fontId="28" fillId="0" borderId="194" xfId="0" applyNumberFormat="1" applyFont="1" applyFill="1" applyBorder="1" applyAlignment="1">
      <alignment horizontal="center"/>
    </xf>
    <xf numFmtId="0" fontId="28" fillId="0" borderId="194" xfId="0" applyFont="1" applyFill="1" applyBorder="1" applyAlignment="1">
      <alignment vertical="center" wrapText="1"/>
    </xf>
    <xf numFmtId="0" fontId="28" fillId="0" borderId="194" xfId="0" applyFont="1" applyFill="1" applyBorder="1" applyAlignment="1">
      <alignment horizontal="center" vertical="center"/>
    </xf>
    <xf numFmtId="167" fontId="28" fillId="0" borderId="194" xfId="0" applyNumberFormat="1" applyFont="1" applyFill="1" applyBorder="1" applyAlignment="1">
      <alignment horizontal="center" vertical="center"/>
    </xf>
    <xf numFmtId="0" fontId="28" fillId="0" borderId="194" xfId="0" applyFont="1" applyFill="1" applyBorder="1" applyAlignment="1">
      <alignment vertical="top" wrapText="1"/>
    </xf>
    <xf numFmtId="0" fontId="28" fillId="0" borderId="187" xfId="0" applyFont="1" applyFill="1" applyBorder="1" applyAlignment="1">
      <alignment horizontal="center"/>
    </xf>
    <xf numFmtId="0" fontId="28" fillId="0" borderId="205" xfId="0" applyFont="1" applyFill="1" applyBorder="1" applyAlignment="1">
      <alignment vertical="top" wrapText="1"/>
    </xf>
    <xf numFmtId="0" fontId="28" fillId="0" borderId="205" xfId="0" applyFont="1" applyFill="1" applyBorder="1" applyAlignment="1">
      <alignment horizontal="center"/>
    </xf>
    <xf numFmtId="177" fontId="44" fillId="0" borderId="157" xfId="0" applyNumberFormat="1" applyFont="1" applyFill="1" applyBorder="1" applyAlignment="1" applyProtection="1">
      <alignment horizontal="center" vertical="top" wrapText="1"/>
    </xf>
    <xf numFmtId="2" fontId="28" fillId="0" borderId="205" xfId="0" applyNumberFormat="1" applyFont="1" applyFill="1" applyBorder="1" applyAlignment="1">
      <alignment horizontal="center" vertical="center"/>
    </xf>
    <xf numFmtId="0" fontId="33" fillId="3" borderId="0" xfId="0" applyFont="1" applyFill="1" applyAlignment="1">
      <alignment horizontal="center"/>
    </xf>
    <xf numFmtId="0" fontId="28" fillId="0" borderId="0" xfId="0" applyFont="1" applyAlignment="1">
      <alignment horizontal="center"/>
    </xf>
    <xf numFmtId="0" fontId="26" fillId="0" borderId="20" xfId="0" applyNumberFormat="1" applyFont="1" applyFill="1" applyBorder="1" applyAlignment="1" applyProtection="1">
      <alignment horizontal="center" vertical="center" wrapText="1"/>
    </xf>
    <xf numFmtId="0" fontId="26" fillId="0" borderId="22" xfId="0" applyNumberFormat="1" applyFont="1" applyFill="1" applyBorder="1" applyAlignment="1" applyProtection="1">
      <alignment horizontal="center" vertical="center" wrapText="1"/>
    </xf>
    <xf numFmtId="166" fontId="37" fillId="0" borderId="0" xfId="0" applyNumberFormat="1" applyFont="1" applyFill="1" applyBorder="1" applyAlignment="1" applyProtection="1">
      <alignment horizontal="center" vertical="top"/>
    </xf>
    <xf numFmtId="0" fontId="36" fillId="0" borderId="0" xfId="0" applyNumberFormat="1" applyFont="1" applyFill="1" applyBorder="1" applyAlignment="1" applyProtection="1">
      <alignment horizontal="center" vertical="center"/>
    </xf>
    <xf numFmtId="0" fontId="49" fillId="0" borderId="0" xfId="0" applyNumberFormat="1" applyFont="1" applyFill="1" applyBorder="1" applyAlignment="1" applyProtection="1">
      <alignment horizontal="center" vertical="top"/>
    </xf>
    <xf numFmtId="0" fontId="51" fillId="0" borderId="0" xfId="0" applyNumberFormat="1" applyFont="1" applyFill="1" applyBorder="1" applyAlignment="1" applyProtection="1">
      <alignment horizontal="center" vertical="center" wrapText="1"/>
    </xf>
    <xf numFmtId="0" fontId="51" fillId="0" borderId="0" xfId="0" applyNumberFormat="1" applyFont="1" applyFill="1" applyBorder="1" applyAlignment="1" applyProtection="1">
      <alignment horizontal="center" vertical="center"/>
    </xf>
    <xf numFmtId="0" fontId="53" fillId="0" borderId="0" xfId="0" applyNumberFormat="1" applyFont="1" applyFill="1" applyBorder="1" applyAlignment="1" applyProtection="1">
      <alignment horizontal="center" vertical="top"/>
    </xf>
    <xf numFmtId="0" fontId="48" fillId="0" borderId="0" xfId="0" applyNumberFormat="1" applyFont="1" applyFill="1" applyBorder="1" applyAlignment="1" applyProtection="1">
      <alignment horizontal="center" vertical="top"/>
    </xf>
    <xf numFmtId="0" fontId="26" fillId="0" borderId="18" xfId="0" applyNumberFormat="1" applyFont="1" applyFill="1" applyBorder="1" applyAlignment="1" applyProtection="1">
      <alignment horizontal="center" vertical="center" wrapText="1"/>
    </xf>
    <xf numFmtId="0" fontId="26" fillId="0" borderId="15" xfId="0" applyNumberFormat="1" applyFont="1" applyFill="1" applyBorder="1" applyAlignment="1" applyProtection="1">
      <alignment horizontal="center" vertical="center" wrapText="1"/>
    </xf>
    <xf numFmtId="0" fontId="26" fillId="0" borderId="159" xfId="0" applyNumberFormat="1" applyFont="1" applyFill="1" applyBorder="1" applyAlignment="1" applyProtection="1">
      <alignment horizontal="center" vertical="center"/>
    </xf>
    <xf numFmtId="0" fontId="26" fillId="0" borderId="15" xfId="0" applyNumberFormat="1" applyFont="1" applyFill="1" applyBorder="1" applyAlignment="1" applyProtection="1">
      <alignment horizontal="center" vertical="center"/>
    </xf>
    <xf numFmtId="0" fontId="26" fillId="0" borderId="164" xfId="0" applyNumberFormat="1" applyFont="1" applyFill="1" applyBorder="1" applyAlignment="1" applyProtection="1">
      <alignment horizontal="center" vertical="center" wrapText="1"/>
    </xf>
    <xf numFmtId="0" fontId="26" fillId="0" borderId="159" xfId="0" applyNumberFormat="1" applyFont="1" applyFill="1" applyBorder="1" applyAlignment="1" applyProtection="1">
      <alignment horizontal="center" vertical="top"/>
    </xf>
    <xf numFmtId="0" fontId="26" fillId="0" borderId="164" xfId="0" applyNumberFormat="1" applyFont="1" applyFill="1" applyBorder="1" applyAlignment="1" applyProtection="1">
      <alignment horizontal="center" vertical="top"/>
    </xf>
    <xf numFmtId="0" fontId="26" fillId="0" borderId="6" xfId="0" applyNumberFormat="1" applyFont="1" applyFill="1" applyBorder="1" applyAlignment="1" applyProtection="1">
      <alignment horizontal="center" vertical="top" wrapText="1"/>
    </xf>
    <xf numFmtId="0" fontId="26" fillId="0" borderId="135" xfId="0" applyNumberFormat="1" applyFont="1" applyFill="1" applyBorder="1" applyAlignment="1" applyProtection="1">
      <alignment horizontal="center" vertical="top" wrapText="1"/>
    </xf>
    <xf numFmtId="168" fontId="37" fillId="0" borderId="0" xfId="0" applyNumberFormat="1" applyFont="1" applyFill="1" applyBorder="1" applyAlignment="1" applyProtection="1">
      <alignment horizontal="center" vertical="top"/>
    </xf>
    <xf numFmtId="0" fontId="50" fillId="0" borderId="0" xfId="0" applyNumberFormat="1" applyFont="1" applyFill="1" applyBorder="1" applyAlignment="1" applyProtection="1">
      <alignment horizontal="center" vertical="top"/>
    </xf>
    <xf numFmtId="0" fontId="50" fillId="0" borderId="0" xfId="0" applyNumberFormat="1" applyFont="1" applyFill="1" applyBorder="1" applyAlignment="1" applyProtection="1">
      <alignment horizontal="left" vertical="top"/>
    </xf>
    <xf numFmtId="0" fontId="27" fillId="11" borderId="195" xfId="0" applyNumberFormat="1" applyFont="1" applyFill="1" applyBorder="1" applyAlignment="1">
      <alignment horizontal="center" vertical="center"/>
    </xf>
    <xf numFmtId="0" fontId="27" fillId="11" borderId="157" xfId="0" applyNumberFormat="1" applyFont="1" applyFill="1" applyBorder="1" applyAlignment="1">
      <alignment horizontal="center" vertical="center"/>
    </xf>
    <xf numFmtId="0" fontId="17" fillId="4" borderId="189" xfId="0" applyNumberFormat="1" applyFont="1" applyFill="1" applyBorder="1" applyAlignment="1" applyProtection="1">
      <alignment horizontal="center" textRotation="90"/>
    </xf>
    <xf numFmtId="0" fontId="17" fillId="4" borderId="192" xfId="0" applyNumberFormat="1" applyFont="1" applyFill="1" applyBorder="1" applyAlignment="1" applyProtection="1">
      <alignment horizontal="center" textRotation="90"/>
    </xf>
    <xf numFmtId="0" fontId="17" fillId="4" borderId="189" xfId="0" applyNumberFormat="1" applyFont="1" applyFill="1" applyBorder="1" applyAlignment="1" applyProtection="1">
      <alignment horizontal="center" vertical="top"/>
    </xf>
    <xf numFmtId="0" fontId="17" fillId="4" borderId="190" xfId="0" applyNumberFormat="1" applyFont="1" applyFill="1" applyBorder="1" applyAlignment="1" applyProtection="1">
      <alignment horizontal="center" vertical="top"/>
    </xf>
    <xf numFmtId="0" fontId="17" fillId="4" borderId="203" xfId="0" applyNumberFormat="1" applyFont="1" applyFill="1" applyBorder="1" applyAlignment="1" applyProtection="1">
      <alignment horizontal="center" vertical="center"/>
    </xf>
    <xf numFmtId="0" fontId="17" fillId="4" borderId="204" xfId="0" applyNumberFormat="1" applyFont="1" applyFill="1" applyBorder="1" applyAlignment="1" applyProtection="1">
      <alignment horizontal="center" vertical="center"/>
    </xf>
    <xf numFmtId="0" fontId="17" fillId="4" borderId="189" xfId="0" applyNumberFormat="1" applyFont="1" applyFill="1" applyBorder="1" applyAlignment="1" applyProtection="1">
      <alignment horizontal="center" vertical="center" wrapText="1"/>
    </xf>
    <xf numFmtId="0" fontId="17" fillId="4" borderId="192" xfId="0" applyNumberFormat="1" applyFont="1" applyFill="1" applyBorder="1" applyAlignment="1" applyProtection="1">
      <alignment horizontal="center" vertical="center" wrapText="1"/>
    </xf>
    <xf numFmtId="0" fontId="17" fillId="4" borderId="189" xfId="0" applyNumberFormat="1" applyFont="1" applyFill="1" applyBorder="1" applyAlignment="1" applyProtection="1">
      <alignment horizontal="center" vertical="center"/>
    </xf>
    <xf numFmtId="0" fontId="17" fillId="4" borderId="192" xfId="0" applyNumberFormat="1" applyFont="1" applyFill="1" applyBorder="1" applyAlignment="1" applyProtection="1">
      <alignment horizontal="center" vertical="center"/>
    </xf>
    <xf numFmtId="0" fontId="33" fillId="6" borderId="118" xfId="4" applyFont="1" applyFill="1" applyBorder="1" applyAlignment="1" applyProtection="1">
      <alignment horizontal="center"/>
    </xf>
    <xf numFmtId="0" fontId="33" fillId="6" borderId="119" xfId="4" applyFont="1" applyFill="1" applyBorder="1" applyAlignment="1" applyProtection="1">
      <alignment horizontal="center"/>
    </xf>
    <xf numFmtId="0" fontId="33" fillId="6" borderId="120" xfId="4" applyFont="1" applyFill="1" applyBorder="1" applyAlignment="1" applyProtection="1">
      <alignment horizontal="center"/>
    </xf>
    <xf numFmtId="22" fontId="21" fillId="0" borderId="185" xfId="0" applyNumberFormat="1" applyFont="1" applyFill="1" applyBorder="1" applyAlignment="1">
      <alignment horizontal="center"/>
    </xf>
    <xf numFmtId="22" fontId="21" fillId="0" borderId="187" xfId="0" applyNumberFormat="1" applyFont="1" applyFill="1" applyBorder="1" applyAlignment="1">
      <alignment horizontal="center"/>
    </xf>
    <xf numFmtId="0" fontId="17" fillId="4" borderId="189" xfId="0" applyFont="1" applyFill="1" applyBorder="1" applyAlignment="1" applyProtection="1">
      <alignment horizontal="center" vertical="top"/>
    </xf>
    <xf numFmtId="0" fontId="17" fillId="4" borderId="188" xfId="0" applyFont="1" applyFill="1" applyBorder="1" applyAlignment="1" applyProtection="1">
      <alignment horizontal="center" vertical="center"/>
    </xf>
    <xf numFmtId="0" fontId="17" fillId="4" borderId="191" xfId="0" applyFont="1" applyFill="1" applyBorder="1" applyAlignment="1" applyProtection="1">
      <alignment horizontal="center" vertical="center"/>
    </xf>
    <xf numFmtId="3" fontId="17" fillId="4" borderId="189" xfId="0" applyNumberFormat="1" applyFont="1" applyFill="1" applyBorder="1" applyAlignment="1" applyProtection="1">
      <alignment horizontal="center" vertical="center" wrapText="1"/>
    </xf>
    <xf numFmtId="3" fontId="17" fillId="4" borderId="192" xfId="0" applyNumberFormat="1" applyFont="1" applyFill="1" applyBorder="1" applyAlignment="1" applyProtection="1">
      <alignment horizontal="center" vertical="center" wrapText="1"/>
    </xf>
    <xf numFmtId="0" fontId="17" fillId="4" borderId="189" xfId="0" applyFont="1" applyFill="1" applyBorder="1" applyAlignment="1" applyProtection="1">
      <alignment horizontal="center" vertical="center"/>
    </xf>
    <xf numFmtId="0" fontId="17" fillId="4" borderId="192" xfId="0" applyFont="1" applyFill="1" applyBorder="1" applyAlignment="1" applyProtection="1">
      <alignment horizontal="center" vertical="center"/>
    </xf>
    <xf numFmtId="2" fontId="17" fillId="4" borderId="189" xfId="0" applyNumberFormat="1" applyFont="1" applyFill="1" applyBorder="1" applyAlignment="1" applyProtection="1">
      <alignment horizontal="center" vertical="center"/>
    </xf>
    <xf numFmtId="2" fontId="17" fillId="4" borderId="192" xfId="0" applyNumberFormat="1" applyFont="1" applyFill="1" applyBorder="1" applyAlignment="1" applyProtection="1">
      <alignment horizontal="center" vertical="center"/>
    </xf>
    <xf numFmtId="0" fontId="17" fillId="4" borderId="190" xfId="0" applyFont="1" applyFill="1" applyBorder="1" applyAlignment="1" applyProtection="1">
      <alignment horizontal="center" vertical="top"/>
    </xf>
    <xf numFmtId="0" fontId="17" fillId="4" borderId="189" xfId="0" applyFont="1" applyFill="1" applyBorder="1" applyAlignment="1" applyProtection="1">
      <alignment horizontal="center" textRotation="90"/>
    </xf>
    <xf numFmtId="0" fontId="17" fillId="4" borderId="192" xfId="0" applyFont="1" applyFill="1" applyBorder="1" applyAlignment="1" applyProtection="1">
      <alignment horizontal="center" textRotation="90"/>
    </xf>
    <xf numFmtId="0" fontId="22" fillId="0" borderId="195" xfId="4" applyFont="1" applyBorder="1" applyAlignment="1" applyProtection="1">
      <alignment horizontal="center" textRotation="90"/>
    </xf>
    <xf numFmtId="0" fontId="22" fillId="0" borderId="35" xfId="4" applyFont="1" applyBorder="1" applyAlignment="1" applyProtection="1">
      <alignment horizontal="center" textRotation="90"/>
    </xf>
    <xf numFmtId="183" fontId="22" fillId="0" borderId="0" xfId="4" applyNumberFormat="1" applyFont="1" applyAlignment="1" applyProtection="1">
      <alignment horizontal="center" vertical="top"/>
    </xf>
    <xf numFmtId="0" fontId="36" fillId="0" borderId="6" xfId="4" applyFont="1" applyBorder="1" applyAlignment="1" applyProtection="1">
      <alignment horizontal="center" vertical="center"/>
    </xf>
    <xf numFmtId="0" fontId="36" fillId="0" borderId="170" xfId="4" applyFont="1" applyBorder="1" applyAlignment="1" applyProtection="1">
      <alignment horizontal="center" vertical="center"/>
    </xf>
    <xf numFmtId="0" fontId="36" fillId="0" borderId="171" xfId="4" applyFont="1" applyBorder="1" applyAlignment="1" applyProtection="1">
      <alignment horizontal="center" vertical="center"/>
    </xf>
    <xf numFmtId="0" fontId="44" fillId="0" borderId="159" xfId="4" applyFont="1" applyBorder="1" applyAlignment="1" applyProtection="1">
      <alignment horizontal="center"/>
    </xf>
    <xf numFmtId="0" fontId="44" fillId="0" borderId="166" xfId="4" applyFont="1" applyBorder="1" applyAlignment="1" applyProtection="1">
      <alignment horizontal="center"/>
    </xf>
    <xf numFmtId="0" fontId="44" fillId="0" borderId="164" xfId="4" applyFont="1" applyBorder="1" applyAlignment="1" applyProtection="1">
      <alignment horizontal="center"/>
    </xf>
    <xf numFmtId="0" fontId="22" fillId="0" borderId="0" xfId="4" applyFont="1" applyBorder="1" applyAlignment="1" applyProtection="1">
      <alignment horizontal="left"/>
    </xf>
    <xf numFmtId="0" fontId="22" fillId="0" borderId="22" xfId="4" applyFont="1" applyBorder="1" applyAlignment="1" applyProtection="1">
      <alignment horizontal="left"/>
    </xf>
    <xf numFmtId="0" fontId="77" fillId="0" borderId="6" xfId="4" applyFont="1" applyBorder="1" applyAlignment="1" applyProtection="1">
      <alignment horizontal="center" vertical="center"/>
    </xf>
    <xf numFmtId="0" fontId="77" fillId="0" borderId="170" xfId="4" applyFont="1" applyBorder="1" applyAlignment="1" applyProtection="1">
      <alignment horizontal="center" vertical="center"/>
    </xf>
    <xf numFmtId="0" fontId="77" fillId="0" borderId="171" xfId="4" applyFont="1" applyBorder="1" applyAlignment="1" applyProtection="1">
      <alignment horizontal="center" vertical="center"/>
    </xf>
    <xf numFmtId="49" fontId="22" fillId="0" borderId="0" xfId="4" applyNumberFormat="1" applyFont="1" applyBorder="1" applyAlignment="1" applyProtection="1">
      <alignment horizontal="left"/>
    </xf>
    <xf numFmtId="49" fontId="22" fillId="0" borderId="22" xfId="4" applyNumberFormat="1" applyFont="1" applyBorder="1" applyAlignment="1" applyProtection="1">
      <alignment horizontal="left"/>
    </xf>
    <xf numFmtId="2" fontId="44" fillId="9" borderId="6" xfId="0" applyNumberFormat="1" applyFont="1" applyFill="1" applyBorder="1" applyAlignment="1">
      <alignment horizontal="center" vertical="center"/>
    </xf>
    <xf numFmtId="2" fontId="44" fillId="9" borderId="43" xfId="0" applyNumberFormat="1" applyFont="1" applyFill="1" applyBorder="1" applyAlignment="1">
      <alignment horizontal="center" vertical="center"/>
    </xf>
    <xf numFmtId="2" fontId="22" fillId="0" borderId="2" xfId="0" applyNumberFormat="1" applyFont="1" applyBorder="1" applyAlignment="1">
      <alignment horizontal="center" vertical="center"/>
    </xf>
    <xf numFmtId="2" fontId="22" fillId="0" borderId="8" xfId="0" applyNumberFormat="1" applyFont="1" applyBorder="1" applyAlignment="1">
      <alignment horizontal="center" vertical="center"/>
    </xf>
    <xf numFmtId="2" fontId="22" fillId="9" borderId="5" xfId="0" applyNumberFormat="1" applyFont="1" applyFill="1" applyBorder="1" applyAlignment="1">
      <alignment horizontal="center" vertical="center"/>
    </xf>
    <xf numFmtId="2" fontId="22" fillId="9" borderId="9" xfId="0" applyNumberFormat="1" applyFont="1" applyFill="1" applyBorder="1" applyAlignment="1">
      <alignment horizontal="center" vertical="center"/>
    </xf>
    <xf numFmtId="0" fontId="28" fillId="7" borderId="53" xfId="0" applyFont="1" applyFill="1" applyBorder="1" applyAlignment="1">
      <alignment horizontal="center" vertical="center"/>
    </xf>
    <xf numFmtId="0" fontId="28" fillId="7" borderId="54" xfId="0" applyFont="1" applyFill="1" applyBorder="1" applyAlignment="1">
      <alignment horizontal="center" vertical="center"/>
    </xf>
    <xf numFmtId="0" fontId="44" fillId="4" borderId="47" xfId="0" applyFont="1" applyFill="1" applyBorder="1" applyAlignment="1">
      <alignment horizontal="center" vertical="center"/>
    </xf>
    <xf numFmtId="0" fontId="44" fillId="4" borderId="42" xfId="0" applyFont="1" applyFill="1" applyBorder="1" applyAlignment="1">
      <alignment horizontal="center" vertical="center"/>
    </xf>
    <xf numFmtId="0" fontId="17" fillId="4" borderId="47" xfId="0" applyFont="1" applyFill="1" applyBorder="1" applyAlignment="1">
      <alignment horizontal="center" vertical="center" wrapText="1"/>
    </xf>
    <xf numFmtId="0" fontId="17" fillId="4" borderId="42" xfId="0" applyFont="1" applyFill="1" applyBorder="1" applyAlignment="1">
      <alignment horizontal="center" vertical="center" wrapText="1"/>
    </xf>
    <xf numFmtId="0" fontId="44" fillId="4" borderId="48" xfId="0" applyFont="1" applyFill="1" applyBorder="1" applyAlignment="1">
      <alignment horizontal="center" vertical="center"/>
    </xf>
    <xf numFmtId="0" fontId="44" fillId="4" borderId="46" xfId="0" applyFont="1" applyFill="1" applyBorder="1" applyAlignment="1">
      <alignment horizontal="center" vertical="center"/>
    </xf>
    <xf numFmtId="0" fontId="44" fillId="4" borderId="49" xfId="0" applyFont="1" applyFill="1" applyBorder="1" applyAlignment="1">
      <alignment horizontal="center" vertical="center"/>
    </xf>
    <xf numFmtId="2" fontId="22" fillId="0" borderId="34" xfId="2" applyNumberFormat="1" applyFont="1" applyBorder="1" applyAlignment="1">
      <alignment horizontal="center" vertical="center"/>
    </xf>
    <xf numFmtId="2" fontId="22" fillId="0" borderId="26" xfId="2" applyNumberFormat="1" applyFont="1" applyBorder="1" applyAlignment="1">
      <alignment horizontal="center" vertical="center"/>
    </xf>
    <xf numFmtId="0" fontId="44" fillId="4" borderId="16" xfId="0" applyFont="1" applyFill="1" applyBorder="1" applyAlignment="1">
      <alignment horizontal="center" vertical="center"/>
    </xf>
    <xf numFmtId="0" fontId="28" fillId="10" borderId="50" xfId="0" applyFont="1" applyFill="1" applyBorder="1" applyAlignment="1">
      <alignment horizontal="center"/>
    </xf>
    <xf numFmtId="0" fontId="28" fillId="10" borderId="51" xfId="0" applyFont="1" applyFill="1" applyBorder="1" applyAlignment="1">
      <alignment horizontal="center"/>
    </xf>
    <xf numFmtId="0" fontId="28" fillId="10" borderId="52" xfId="0" applyFont="1" applyFill="1" applyBorder="1" applyAlignment="1">
      <alignment horizontal="center"/>
    </xf>
    <xf numFmtId="0" fontId="28" fillId="0" borderId="34" xfId="0" applyFont="1" applyBorder="1" applyAlignment="1">
      <alignment horizontal="left" vertical="center"/>
    </xf>
    <xf numFmtId="0" fontId="28" fillId="0" borderId="26" xfId="0" applyFont="1" applyBorder="1" applyAlignment="1">
      <alignment horizontal="left" vertical="center"/>
    </xf>
    <xf numFmtId="0" fontId="28" fillId="7" borderId="45" xfId="0" applyFont="1" applyFill="1" applyBorder="1" applyAlignment="1">
      <alignment horizontal="center" vertical="center"/>
    </xf>
    <xf numFmtId="0" fontId="28" fillId="7" borderId="55" xfId="0" applyFont="1" applyFill="1" applyBorder="1" applyAlignment="1">
      <alignment horizontal="center" vertical="center"/>
    </xf>
    <xf numFmtId="0" fontId="28" fillId="0" borderId="34" xfId="0" applyFont="1" applyBorder="1" applyAlignment="1">
      <alignment horizontal="center" vertical="center"/>
    </xf>
    <xf numFmtId="0" fontId="28" fillId="0" borderId="35" xfId="0" applyFont="1" applyBorder="1" applyAlignment="1">
      <alignment horizontal="center" vertical="center"/>
    </xf>
    <xf numFmtId="0" fontId="28" fillId="0" borderId="26" xfId="0" applyFont="1" applyBorder="1" applyAlignment="1">
      <alignment horizontal="center" vertical="center"/>
    </xf>
    <xf numFmtId="0" fontId="28" fillId="0" borderId="6" xfId="0" applyFont="1" applyBorder="1" applyAlignment="1">
      <alignment horizontal="center" vertical="center"/>
    </xf>
    <xf numFmtId="0" fontId="28" fillId="0" borderId="40" xfId="0" applyFont="1" applyBorder="1" applyAlignment="1">
      <alignment horizontal="center" vertical="center"/>
    </xf>
    <xf numFmtId="0" fontId="28" fillId="0" borderId="36" xfId="0" applyFont="1" applyBorder="1" applyAlignment="1">
      <alignment horizontal="center" vertical="center"/>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44" fillId="4" borderId="33" xfId="0" applyFont="1" applyFill="1" applyBorder="1" applyAlignment="1">
      <alignment horizontal="center" vertical="center"/>
    </xf>
    <xf numFmtId="0" fontId="44" fillId="4" borderId="10" xfId="0" applyFont="1" applyFill="1" applyBorder="1" applyAlignment="1">
      <alignment horizontal="center" vertical="center"/>
    </xf>
    <xf numFmtId="0" fontId="44" fillId="4" borderId="12" xfId="0" applyFont="1" applyFill="1" applyBorder="1" applyAlignment="1">
      <alignment horizontal="center" vertical="center"/>
    </xf>
    <xf numFmtId="0" fontId="44" fillId="4" borderId="13" xfId="0" applyFont="1" applyFill="1" applyBorder="1" applyAlignment="1">
      <alignment horizontal="center" vertical="center"/>
    </xf>
    <xf numFmtId="0" fontId="22" fillId="0" borderId="6" xfId="0" applyNumberFormat="1" applyFont="1" applyFill="1" applyBorder="1" applyAlignment="1">
      <alignment horizontal="center"/>
    </xf>
    <xf numFmtId="0" fontId="22" fillId="0" borderId="40" xfId="0" applyNumberFormat="1" applyFont="1" applyFill="1" applyBorder="1" applyAlignment="1">
      <alignment horizontal="center"/>
    </xf>
    <xf numFmtId="0" fontId="22" fillId="0" borderId="36" xfId="0" applyNumberFormat="1" applyFont="1" applyFill="1" applyBorder="1" applyAlignment="1">
      <alignment horizontal="center"/>
    </xf>
    <xf numFmtId="0" fontId="44" fillId="0" borderId="6" xfId="0" applyFont="1" applyFill="1" applyBorder="1" applyAlignment="1">
      <alignment horizontal="left"/>
    </xf>
    <xf numFmtId="0" fontId="44" fillId="0" borderId="40" xfId="0" applyFont="1" applyFill="1" applyBorder="1" applyAlignment="1">
      <alignment horizontal="left"/>
    </xf>
    <xf numFmtId="0" fontId="44" fillId="0" borderId="20" xfId="0" applyFont="1" applyFill="1" applyBorder="1" applyAlignment="1">
      <alignment horizontal="left"/>
    </xf>
    <xf numFmtId="0" fontId="44" fillId="0" borderId="36" xfId="0" applyFont="1" applyFill="1" applyBorder="1" applyAlignment="1">
      <alignment horizontal="left"/>
    </xf>
    <xf numFmtId="176" fontId="33" fillId="4" borderId="6" xfId="0" applyNumberFormat="1" applyFont="1" applyFill="1" applyBorder="1" applyAlignment="1">
      <alignment horizontal="center"/>
    </xf>
    <xf numFmtId="176" fontId="33" fillId="4" borderId="40" xfId="0" applyNumberFormat="1" applyFont="1" applyFill="1" applyBorder="1" applyAlignment="1">
      <alignment horizontal="center"/>
    </xf>
    <xf numFmtId="176" fontId="33" fillId="4" borderId="36" xfId="0" applyNumberFormat="1" applyFont="1" applyFill="1" applyBorder="1" applyAlignment="1">
      <alignment horizontal="center"/>
    </xf>
    <xf numFmtId="0" fontId="44" fillId="4" borderId="6" xfId="0" applyFont="1" applyFill="1" applyBorder="1" applyAlignment="1">
      <alignment horizontal="left"/>
    </xf>
    <xf numFmtId="0" fontId="44" fillId="4" borderId="40" xfId="0" applyFont="1" applyFill="1" applyBorder="1" applyAlignment="1">
      <alignment horizontal="left"/>
    </xf>
    <xf numFmtId="0" fontId="44" fillId="4" borderId="43" xfId="0" applyFont="1" applyFill="1" applyBorder="1" applyAlignment="1">
      <alignment horizontal="left"/>
    </xf>
    <xf numFmtId="0" fontId="44" fillId="4" borderId="6" xfId="0" applyFont="1" applyFill="1" applyBorder="1" applyAlignment="1">
      <alignment horizontal="center"/>
    </xf>
    <xf numFmtId="0" fontId="44" fillId="4" borderId="40" xfId="0" applyFont="1" applyFill="1" applyBorder="1" applyAlignment="1">
      <alignment horizontal="center"/>
    </xf>
    <xf numFmtId="0" fontId="44" fillId="4" borderId="36" xfId="0" applyFont="1" applyFill="1" applyBorder="1" applyAlignment="1">
      <alignment horizontal="center"/>
    </xf>
    <xf numFmtId="0" fontId="22" fillId="0" borderId="2" xfId="0" applyNumberFormat="1" applyFont="1" applyFill="1" applyBorder="1" applyAlignment="1">
      <alignment horizontal="center"/>
    </xf>
    <xf numFmtId="0" fontId="22" fillId="0" borderId="20" xfId="0" applyNumberFormat="1" applyFont="1" applyFill="1" applyBorder="1" applyAlignment="1">
      <alignment horizontal="center"/>
    </xf>
    <xf numFmtId="0" fontId="22" fillId="0" borderId="18" xfId="0" applyNumberFormat="1" applyFont="1" applyFill="1" applyBorder="1" applyAlignment="1">
      <alignment horizontal="center"/>
    </xf>
    <xf numFmtId="0" fontId="22" fillId="0" borderId="19" xfId="0" applyNumberFormat="1" applyFont="1" applyFill="1" applyBorder="1" applyAlignment="1">
      <alignment horizontal="center"/>
    </xf>
    <xf numFmtId="0" fontId="44" fillId="0" borderId="0" xfId="0" applyFont="1" applyFill="1" applyBorder="1" applyAlignment="1" applyProtection="1">
      <alignment horizontal="center" vertical="top"/>
    </xf>
    <xf numFmtId="180" fontId="18" fillId="0" borderId="97" xfId="4" applyNumberFormat="1" applyFont="1" applyFill="1" applyBorder="1" applyAlignment="1" applyProtection="1">
      <alignment horizontal="center"/>
    </xf>
    <xf numFmtId="180" fontId="18" fillId="0" borderId="0" xfId="4" applyNumberFormat="1" applyFont="1" applyFill="1" applyBorder="1" applyAlignment="1" applyProtection="1">
      <alignment horizontal="center"/>
    </xf>
    <xf numFmtId="180" fontId="18" fillId="0" borderId="21" xfId="4" applyNumberFormat="1" applyFont="1" applyFill="1" applyBorder="1" applyAlignment="1" applyProtection="1">
      <alignment horizontal="center"/>
    </xf>
    <xf numFmtId="0" fontId="44" fillId="6" borderId="58" xfId="4" applyFont="1" applyFill="1" applyBorder="1" applyAlignment="1" applyProtection="1">
      <alignment horizontal="center" vertical="top" wrapText="1" readingOrder="1"/>
    </xf>
    <xf numFmtId="0" fontId="22" fillId="6" borderId="107" xfId="4" applyFont="1" applyFill="1" applyBorder="1" applyAlignment="1" applyProtection="1">
      <alignment horizontal="left" vertical="center"/>
    </xf>
    <xf numFmtId="0" fontId="22" fillId="6" borderId="108" xfId="4" applyFont="1" applyFill="1" applyBorder="1" applyAlignment="1" applyProtection="1">
      <alignment horizontal="left" vertical="center"/>
    </xf>
    <xf numFmtId="0" fontId="44" fillId="6" borderId="15" xfId="4" applyNumberFormat="1" applyFont="1" applyFill="1" applyBorder="1" applyAlignment="1" applyProtection="1"/>
    <xf numFmtId="0" fontId="44" fillId="6" borderId="21" xfId="4" applyNumberFormat="1" applyFont="1" applyFill="1" applyBorder="1" applyAlignment="1" applyProtection="1"/>
    <xf numFmtId="0" fontId="44" fillId="14" borderId="6" xfId="4" applyFont="1" applyFill="1" applyBorder="1" applyAlignment="1" applyProtection="1"/>
    <xf numFmtId="0" fontId="44" fillId="14" borderId="117" xfId="4" applyFont="1" applyFill="1" applyBorder="1" applyAlignment="1" applyProtection="1"/>
    <xf numFmtId="0" fontId="29" fillId="18" borderId="206" xfId="0" applyFont="1" applyFill="1" applyBorder="1"/>
    <xf numFmtId="3" fontId="29" fillId="18" borderId="207" xfId="0" applyNumberFormat="1" applyFont="1" applyFill="1" applyBorder="1"/>
    <xf numFmtId="0" fontId="29" fillId="18" borderId="207" xfId="0" applyFont="1" applyFill="1" applyBorder="1"/>
    <xf numFmtId="0" fontId="29" fillId="18" borderId="207" xfId="0" applyNumberFormat="1" applyFont="1" applyFill="1" applyBorder="1"/>
    <xf numFmtId="0" fontId="95" fillId="17" borderId="208" xfId="0" applyFont="1" applyFill="1" applyBorder="1"/>
    <xf numFmtId="0" fontId="95" fillId="17" borderId="209" xfId="0" applyFont="1" applyFill="1" applyBorder="1"/>
    <xf numFmtId="2" fontId="29" fillId="0" borderId="208" xfId="0" applyNumberFormat="1" applyFont="1" applyBorder="1"/>
    <xf numFmtId="0" fontId="29" fillId="0" borderId="209" xfId="0" applyFont="1" applyBorder="1"/>
    <xf numFmtId="0" fontId="29" fillId="0" borderId="209" xfId="0" applyNumberFormat="1" applyFont="1" applyBorder="1"/>
    <xf numFmtId="14" fontId="29" fillId="0" borderId="209" xfId="0" applyNumberFormat="1" applyFont="1" applyBorder="1"/>
    <xf numFmtId="0" fontId="29" fillId="18" borderId="208" xfId="0" applyFont="1" applyFill="1" applyBorder="1"/>
    <xf numFmtId="3" fontId="29" fillId="18" borderId="209" xfId="0" applyNumberFormat="1" applyFont="1" applyFill="1" applyBorder="1"/>
    <xf numFmtId="0" fontId="29" fillId="18" borderId="209" xfId="0" applyFont="1" applyFill="1" applyBorder="1"/>
    <xf numFmtId="0" fontId="29" fillId="18" borderId="209" xfId="0" applyNumberFormat="1" applyFont="1" applyFill="1" applyBorder="1"/>
    <xf numFmtId="14" fontId="29" fillId="18" borderId="209" xfId="0" applyNumberFormat="1" applyFont="1" applyFill="1" applyBorder="1"/>
    <xf numFmtId="0" fontId="29" fillId="0" borderId="208" xfId="0" applyFont="1" applyBorder="1"/>
    <xf numFmtId="0" fontId="95" fillId="19" borderId="208" xfId="0" applyFont="1" applyFill="1" applyBorder="1"/>
    <xf numFmtId="0" fontId="0" fillId="20" borderId="0" xfId="0" applyFill="1"/>
  </cellXfs>
  <cellStyles count="11">
    <cellStyle name="Euro" xfId="1"/>
    <cellStyle name="Euro 2" xfId="8"/>
    <cellStyle name="Milliers" xfId="2" builtinId="3"/>
    <cellStyle name="Monétaire" xfId="3" builtinId="4"/>
    <cellStyle name="Monétaire 2" xfId="5"/>
    <cellStyle name="Normal" xfId="0" builtinId="0"/>
    <cellStyle name="Normal 2" xfId="4"/>
    <cellStyle name="Normal 2 2" xfId="6"/>
    <cellStyle name="Normal 3" xfId="7"/>
    <cellStyle name="Normal 4" xfId="9"/>
    <cellStyle name="Normal 5" xfId="10"/>
  </cellStyles>
  <dxfs count="151">
    <dxf>
      <fill>
        <patternFill>
          <bgColor rgb="FFFFFFCC"/>
        </patternFill>
      </fill>
    </dxf>
    <dxf>
      <fill>
        <patternFill patternType="gray125">
          <fgColor rgb="FFFF9900"/>
          <bgColor auto="1"/>
        </patternFill>
      </fill>
    </dxf>
    <dxf>
      <fill>
        <patternFill patternType="gray125">
          <fgColor rgb="FFFF9900"/>
          <bgColor auto="1"/>
        </patternFill>
      </fill>
    </dxf>
    <dxf>
      <fill>
        <patternFill>
          <bgColor indexed="11"/>
        </patternFill>
      </fill>
    </dxf>
    <dxf>
      <fill>
        <patternFill>
          <bgColor rgb="FFFFFFCC"/>
        </patternFill>
      </fill>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bottom" textRotation="0" wrapText="1"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bottom" textRotation="0" wrapText="1" relativeIndent="0" justifyLastLine="0" shrinkToFit="0" readingOrder="0"/>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style="thin">
          <color auto="1"/>
        </vertical>
        <horizontal style="thin">
          <color auto="1"/>
        </horizontal>
      </border>
    </dxf>
    <dxf>
      <font>
        <b val="0"/>
        <i val="0"/>
        <strike val="0"/>
        <condense val="0"/>
        <extend val="0"/>
        <outline val="0"/>
        <shadow val="0"/>
        <u val="none"/>
        <vertAlign val="baseline"/>
        <sz val="10"/>
        <color theme="1"/>
        <name val="Arial Narrow"/>
        <scheme val="none"/>
      </font>
      <numFmt numFmtId="176" formatCode="0;[Red]0"/>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numFmt numFmtId="2" formatCode="0.00"/>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protection locked="1" hidden="0"/>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77" formatCode="#,##0.00\ &quot;€&quo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numFmt numFmtId="167" formatCode="_(* #,##0.00_);_(* \(#,##0.00\);_(*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right style="thin">
          <color indexed="64"/>
        </right>
        <top style="thin">
          <color indexed="64"/>
        </top>
        <bottom style="thin">
          <color indexed="64"/>
        </bottom>
        <vertical/>
        <horizontal/>
      </border>
    </dxf>
    <dxf>
      <border>
        <top style="thin">
          <color indexed="64"/>
        </top>
        <vertical/>
        <horizontal/>
      </border>
    </dxf>
    <dxf>
      <border diagonalUp="0" diagonalDown="0">
        <left style="dashed">
          <color indexed="64"/>
        </left>
        <right style="dashed">
          <color indexed="64"/>
        </right>
        <top style="dashed">
          <color indexed="64"/>
        </top>
        <bottom style="dashed">
          <color indexed="64"/>
        </bottom>
      </border>
    </dxf>
    <dxf>
      <font>
        <b val="0"/>
        <i val="0"/>
        <strike val="0"/>
        <condense val="0"/>
        <extend val="0"/>
        <outline val="0"/>
        <shadow val="0"/>
        <u val="none"/>
        <vertAlign val="baseline"/>
        <sz val="10"/>
        <color theme="1"/>
        <name val="Arial Narrow"/>
        <scheme val="none"/>
      </font>
      <fill>
        <patternFill patternType="none">
          <fgColor indexed="64"/>
          <bgColor indexed="65"/>
        </patternFill>
      </fill>
      <alignment horizontal="center" vertical="bottom" textRotation="0" wrapText="0" relativeIndent="0" justifyLastLine="0" shrinkToFit="0" readingOrder="0"/>
    </dxf>
    <dxf>
      <border>
        <bottom style="thin">
          <color indexed="64"/>
        </bottom>
        <vertical/>
        <horizontal/>
      </border>
    </dxf>
    <dxf>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outline="0">
        <left style="thin">
          <color auto="1"/>
        </left>
        <right/>
        <top style="thin">
          <color auto="1"/>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1"/>
        <name val="Arial Narrow"/>
        <scheme val="none"/>
      </font>
      <fill>
        <patternFill patternType="none">
          <fgColor indexed="64"/>
          <bgColor indexed="65"/>
        </patternFill>
      </fill>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theme="1"/>
        <name val="Arial Narrow"/>
        <scheme val="none"/>
      </font>
      <numFmt numFmtId="165" formatCode="_(&quot;€&quot;* #,##0.00_);_(&quot;€&quot;* \(#,##0.00\);_(&quot;€&quot;* &quot;-&quot;??_);_(@_)"/>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numFmt numFmtId="0" formatCode="General"/>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numFmt numFmtId="165" formatCode="_(&quot;€&quot;* #,##0.00_);_(&quot;€&quot;* \(#,##0.00\);_(&quot;€&quot;* &quot;-&quot;??_);_(@_)"/>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outline="0">
        <left style="thin">
          <color indexed="64"/>
        </left>
        <right style="thin">
          <color indexed="64"/>
        </right>
        <top style="thin">
          <color indexed="64"/>
        </top>
        <bottom/>
      </border>
    </dxf>
    <dxf>
      <font>
        <b val="0"/>
        <i val="0"/>
        <strike val="0"/>
        <condense val="0"/>
        <extend val="0"/>
        <outline val="0"/>
        <shadow val="0"/>
        <u val="none"/>
        <vertAlign val="baseline"/>
        <sz val="10"/>
        <color auto="1"/>
        <name val="Arial Narrow"/>
        <scheme val="none"/>
      </font>
      <fill>
        <patternFill patternType="none">
          <fgColor indexed="64"/>
          <bgColor indexed="65"/>
        </patternFill>
      </fill>
      <alignment horizontal="center" vertical="bottom" textRotation="0" wrapText="0" relative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outline="0">
        <left/>
        <right/>
        <top style="thin">
          <color auto="1"/>
        </top>
        <bottom/>
      </border>
    </dxf>
    <dxf>
      <border diagonalUp="0" diagonalDown="0">
        <left style="thin">
          <color indexed="64"/>
        </left>
        <right style="thin">
          <color indexed="64"/>
        </right>
        <top style="thin">
          <color indexed="64"/>
        </top>
        <bottom style="thin">
          <color indexed="64"/>
        </bottom>
        <vertical style="dotted">
          <color indexed="64"/>
        </vertical>
        <horizontal style="dotted">
          <color indexed="64"/>
        </horizontal>
      </border>
    </dxf>
    <dxf>
      <border diagonalUp="0" diagonalDown="0" outline="0">
        <left/>
        <right/>
        <top style="thin">
          <color auto="1"/>
        </top>
        <bottom/>
      </border>
    </dxf>
    <dxf>
      <border diagonalUp="0" diagonalDown="0">
        <left/>
        <right style="thin">
          <color indexed="64"/>
        </right>
        <top style="thin">
          <color indexed="64"/>
        </top>
        <bottom style="thin">
          <color indexed="64"/>
        </bottom>
        <vertical style="dotted">
          <color indexed="64"/>
        </vertical>
        <horizontal style="dotted">
          <color indexed="64"/>
        </horizontal>
      </border>
    </dxf>
    <dxf>
      <border outline="0">
        <top style="thin">
          <color auto="1"/>
        </top>
      </border>
    </dxf>
    <dxf>
      <fill>
        <patternFill patternType="none">
          <fgColor indexed="64"/>
          <bgColor indexed="65"/>
        </patternFill>
      </fill>
      <alignment textRotation="0" justifyLastLine="0" shrinkToFit="0" readingOrder="0"/>
      <border diagonalUp="0" diagonalDown="0">
        <left style="thin">
          <color indexed="64"/>
        </left>
        <right style="thin">
          <color indexed="64"/>
        </right>
        <top/>
        <bottom/>
        <vertical style="dotted">
          <color indexed="64"/>
        </vertical>
        <horizontal style="dotted">
          <color indexed="64"/>
        </horizontal>
      </border>
    </dxf>
    <dxf>
      <border diagonalUp="0" diagonalDown="0">
        <left style="dashed">
          <color indexed="64"/>
        </left>
        <right style="dashed">
          <color indexed="64"/>
        </right>
        <top style="dashed">
          <color indexed="64"/>
        </top>
        <bottom style="dashed">
          <color indexed="64"/>
        </bottom>
      </border>
    </dxf>
    <dxf>
      <border>
        <bottom style="thin">
          <color indexed="64"/>
        </bottom>
        <vertical/>
        <horizontal/>
      </border>
    </dxf>
    <dxf>
      <font>
        <b/>
        <i val="0"/>
        <strike val="0"/>
        <condense val="0"/>
        <extend val="0"/>
        <outline val="0"/>
        <shadow val="0"/>
        <u val="none"/>
        <vertAlign val="baseline"/>
        <sz val="10"/>
        <color auto="1"/>
        <name val="Arial Narrow"/>
        <scheme val="none"/>
      </font>
      <fill>
        <patternFill patternType="none">
          <fgColor indexed="64"/>
          <bgColor indexed="65"/>
        </patternFill>
      </fill>
      <alignment horizontal="general" vertical="top" textRotation="0" wrapText="1" relativeIndent="0" justifyLastLine="0" shrinkToFit="0" readingOrder="0"/>
      <border diagonalUp="0" diagonalDown="0">
        <left style="thin">
          <color indexed="64"/>
        </left>
        <right style="thin">
          <color indexed="64"/>
        </right>
        <top/>
        <bottom/>
      </border>
    </dxf>
    <dxf>
      <font>
        <b val="0"/>
        <i val="0"/>
        <strike val="0"/>
        <condense val="0"/>
        <extend val="0"/>
        <outline val="0"/>
        <shadow val="0"/>
        <u val="none"/>
        <vertAlign val="baseline"/>
        <sz val="9"/>
        <color auto="1"/>
        <name val="Arial Narrow"/>
        <scheme val="none"/>
      </font>
      <numFmt numFmtId="2" formatCode="0.00"/>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82" formatCode="#,##0.00\ _€"/>
      <fill>
        <patternFill patternType="solid">
          <fgColor indexed="64"/>
          <bgColor rgb="FFFFFFE5"/>
        </patternFill>
      </fill>
      <alignment horizontal="general" vertical="bottom" textRotation="0" wrapText="0" relativeIndent="0" justifyLastLine="0" shrinkToFit="0" readingOrder="0"/>
      <border diagonalUp="0" diagonalDown="0" outline="0">
        <left style="hair">
          <color theme="3"/>
        </left>
        <right/>
        <top/>
        <bottom style="thin">
          <color indexed="9"/>
        </bottom>
      </border>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30" formatCode="@"/>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30" formatCode="@"/>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 formatCode="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 formatCode="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3" formatCode="[Black][&gt;0]?0.##\h;[Red][=0]&quot;voir h&quot;;[Green]0.##\h"/>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3" formatCode="[Black][&gt;0]?0.##\h;[Red][=0]&quot;voir h&quot;;[Green]0.##\h"/>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1" formatCode="0.##\h"/>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71" formatCode="0.##\h"/>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dxf>
    <dxf>
      <font>
        <b val="0"/>
        <i val="0"/>
        <strike val="0"/>
        <condense val="0"/>
        <extend val="0"/>
        <outline val="0"/>
        <shadow val="0"/>
        <u val="none"/>
        <vertAlign val="baseline"/>
        <sz val="9"/>
        <color auto="1"/>
        <name val="Arial Narrow"/>
        <scheme val="none"/>
      </font>
      <numFmt numFmtId="174" formatCode="#\ ###\ ##0.00[$ €-409];[Blue]\-#\ ###\ ##0.00[$ €-409]"/>
      <fill>
        <patternFill patternType="solid">
          <fgColor indexed="64"/>
          <bgColor indexed="32"/>
        </patternFill>
      </fill>
      <alignment horizontal="general" vertical="bottom" textRotation="0" wrapText="0" relativeIndent="0" justifyLastLine="0" shrinkToFit="0" readingOrder="0"/>
      <border diagonalUp="0" diagonalDown="0" outline="0">
        <left style="hair">
          <color theme="3"/>
        </left>
        <right style="hair">
          <color theme="3"/>
        </right>
        <top/>
        <bottom style="thin">
          <color indexed="9"/>
        </bottom>
      </border>
    </dxf>
    <dxf>
      <font>
        <b val="0"/>
        <i val="0"/>
        <strike val="0"/>
        <condense val="0"/>
        <extend val="0"/>
        <outline val="0"/>
        <shadow val="0"/>
        <u val="none"/>
        <vertAlign val="baseline"/>
        <sz val="9"/>
        <color auto="1"/>
        <name val="Arial Narrow"/>
        <scheme val="none"/>
      </font>
      <numFmt numFmtId="172" formatCode="[Red][&lt;0]\-00\%;[&lt;99]0.0\%;0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172" formatCode="[Red][&lt;0]\-00\%;[&lt;99]0.0\%;0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theme="1"/>
        <name val="Arial Narrow"/>
        <scheme val="none"/>
      </font>
      <numFmt numFmtId="174" formatCode="#\ ###\ ##0.00[$ €-409];[Blue]\-#\ ###\ ##0.00[$ €-409]"/>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theme="1"/>
        <name val="Arial Narrow"/>
        <scheme val="none"/>
      </font>
      <numFmt numFmtId="174" formatCode="#\ ###\ ##0.00[$ €-409];[Blue]\-#\ ###\ ##0.00[$ €-409]"/>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2" formatCode="0.00"/>
      <fill>
        <patternFill patternType="none">
          <fgColor indexed="64"/>
          <bgColor indexed="65"/>
        </patternFill>
      </fill>
      <alignment horizontal="general" vertical="bottom" textRotation="0" wrapText="0" relativeIndent="0" justifyLastLine="0" shrinkToFit="0" readingOrder="0"/>
      <protection locked="0" hidden="0"/>
    </dxf>
    <dxf>
      <font>
        <b val="0"/>
        <i val="0"/>
        <strike val="0"/>
        <condense val="0"/>
        <extend val="0"/>
        <outline val="0"/>
        <shadow val="0"/>
        <u val="none"/>
        <vertAlign val="baseline"/>
        <sz val="9"/>
        <color auto="1"/>
        <name val="Arial Narrow"/>
        <scheme val="none"/>
      </font>
      <numFmt numFmtId="2" formatCode="0.00"/>
      <alignment horizontal="general"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theme="1"/>
        <name val="Arial Narrow"/>
        <scheme val="none"/>
      </font>
      <numFmt numFmtId="30" formatCode="@"/>
      <fill>
        <patternFill patternType="none">
          <fgColor indexed="64"/>
          <bgColor indexed="65"/>
        </patternFill>
      </fill>
      <alignment horizontal="center" vertical="bottom" textRotation="0" wrapText="0" relativeIndent="0" justifyLastLine="0" shrinkToFit="0" readingOrder="0"/>
      <protection locked="0" hidden="0"/>
    </dxf>
    <dxf>
      <font>
        <b val="0"/>
        <i val="0"/>
        <strike val="0"/>
        <condense val="0"/>
        <extend val="0"/>
        <outline val="0"/>
        <shadow val="0"/>
        <u val="none"/>
        <vertAlign val="baseline"/>
        <sz val="9"/>
        <color theme="1"/>
        <name val="Arial Narrow"/>
        <scheme val="none"/>
      </font>
      <numFmt numFmtId="30" formatCode="@"/>
      <alignment horizontal="center" vertical="bottom" textRotation="0" wrapText="0" relativeIndent="0" justifyLastLine="0" shrinkToFit="0" readingOrder="0"/>
      <border diagonalUp="0" diagonalDown="0" outline="0">
        <left style="hair">
          <color theme="3"/>
        </left>
        <right style="hair">
          <color theme="3"/>
        </right>
        <top/>
        <bottom/>
      </border>
      <protection locked="0" hidden="0"/>
    </dxf>
    <dxf>
      <font>
        <b val="0"/>
        <i val="0"/>
        <strike val="0"/>
        <condense val="0"/>
        <extend val="0"/>
        <outline val="0"/>
        <shadow val="0"/>
        <u val="none"/>
        <vertAlign val="baseline"/>
        <sz val="9"/>
        <color auto="1"/>
        <name val="Arial Narrow"/>
        <scheme val="none"/>
      </font>
      <numFmt numFmtId="0" formatCode="General"/>
      <fill>
        <patternFill patternType="none">
          <fgColor indexed="64"/>
          <bgColor indexed="65"/>
        </patternFill>
      </fill>
      <alignment horizontal="general" vertical="bottom" textRotation="0" wrapText="1" indent="0" justifyLastLine="0" shrinkToFit="0" readingOrder="0"/>
      <protection locked="1" hidden="0"/>
    </dxf>
    <dxf>
      <font>
        <b val="0"/>
        <i val="0"/>
        <strike val="0"/>
        <condense val="0"/>
        <extend val="0"/>
        <outline val="0"/>
        <shadow val="0"/>
        <u val="none"/>
        <vertAlign val="baseline"/>
        <sz val="9"/>
        <color auto="1"/>
        <name val="Arial Narrow"/>
        <scheme val="none"/>
      </font>
      <numFmt numFmtId="0" formatCode="General"/>
      <alignment horizontal="general" vertical="bottom" textRotation="0" wrapText="0" relativeIndent="0" justifyLastLine="0" shrinkToFit="0" readingOrder="0"/>
      <border diagonalUp="0" diagonalDown="0" outline="0">
        <left style="hair">
          <color theme="3"/>
        </left>
        <right style="hair">
          <color theme="3"/>
        </right>
        <top/>
        <bottom/>
      </border>
      <protection locked="1" hidden="0"/>
    </dxf>
    <dxf>
      <font>
        <b val="0"/>
        <i val="0"/>
        <strike val="0"/>
        <condense val="0"/>
        <extend val="0"/>
        <outline val="0"/>
        <shadow val="0"/>
        <u val="none"/>
        <vertAlign val="baseline"/>
        <sz val="9"/>
        <color theme="1"/>
        <name val="Arial Narrow"/>
        <scheme val="none"/>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Arial Narrow"/>
        <scheme val="none"/>
      </font>
      <numFmt numFmtId="0" formatCode="General"/>
      <alignment horizontal="general" vertical="bottom" textRotation="0" wrapText="0" relativeIndent="0" justifyLastLine="0" shrinkToFit="0" readingOrder="0"/>
      <border diagonalUp="0" diagonalDown="0" outline="0">
        <left/>
        <right style="hair">
          <color theme="3"/>
        </right>
        <top/>
        <bottom/>
      </border>
    </dxf>
    <dxf>
      <fill>
        <patternFill patternType="none">
          <fgColor indexed="64"/>
          <bgColor auto="1"/>
        </patternFill>
      </fill>
    </dxf>
    <dxf>
      <fill>
        <patternFill patternType="none">
          <fgColor indexed="64"/>
          <bgColor auto="1"/>
        </patternFill>
      </fill>
    </dxf>
    <dxf>
      <border>
        <left style="dashed">
          <color auto="1"/>
        </left>
        <right style="dashed">
          <color auto="1"/>
        </right>
        <top style="dashed">
          <color auto="1"/>
        </top>
        <bottom style="dashed">
          <color auto="1"/>
        </bottom>
        <vertical style="thin">
          <color auto="1"/>
        </vertical>
        <horizontal style="thin">
          <color auto="1"/>
        </horizontal>
      </border>
    </dxf>
    <dxf>
      <border>
        <left style="thin">
          <color auto="1"/>
        </left>
        <right style="thin">
          <color auto="1"/>
        </right>
        <vertical style="hair">
          <color auto="1"/>
        </vertical>
      </border>
    </dxf>
    <dxf>
      <border>
        <left style="thin">
          <color auto="1"/>
        </left>
        <right style="thin">
          <color auto="1"/>
        </right>
        <vertical style="hair">
          <color auto="1"/>
        </vertical>
      </border>
    </dxf>
    <dxf>
      <border>
        <left style="thin">
          <color auto="1"/>
        </left>
        <right style="thin">
          <color auto="1"/>
        </right>
        <vertical style="dotted">
          <color auto="1"/>
        </vertical>
      </border>
    </dxf>
  </dxfs>
  <tableStyles count="4" defaultTableStyle="TableStyleMedium9" defaultPivotStyle="PivotStyleLight16">
    <tableStyle name="Style de tableau 1" pivot="0" count="1">
      <tableStyleElement type="wholeTable" dxfId="150"/>
    </tableStyle>
    <tableStyle name="Style de tableau 2" pivot="0" count="1">
      <tableStyleElement type="wholeTable" dxfId="149"/>
    </tableStyle>
    <tableStyle name="Style de tableau 3" pivot="0" count="1">
      <tableStyleElement type="wholeTable" dxfId="148"/>
    </tableStyle>
    <tableStyle name="Style de tableau 4" pivot="0" count="1">
      <tableStyleElement type="wholeTable" dxfId="147"/>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EAEAEA"/>
      <rgbColor rgb="00993366"/>
      <rgbColor rgb="00E1E1E1"/>
      <rgbColor rgb="00CCFFFF"/>
      <rgbColor rgb="00660066"/>
      <rgbColor rgb="00FF8080"/>
      <rgbColor rgb="000066CC"/>
      <rgbColor rgb="00EAEBAF"/>
      <rgbColor rgb="00F4F3FB"/>
      <rgbColor rgb="00FF00FF"/>
      <rgbColor rgb="00FFFF00"/>
      <rgbColor rgb="0000FFFF"/>
      <rgbColor rgb="00800080"/>
      <rgbColor rgb="00800000"/>
      <rgbColor rgb="00008080"/>
      <rgbColor rgb="000000FF"/>
      <rgbColor rgb="0000CCFF"/>
      <rgbColor rgb="00F4F3FB"/>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4BACC6"/>
      <color rgb="FF000000"/>
      <color rgb="FFFFFFCC"/>
      <color rgb="FFFFFFE5"/>
      <color rgb="FFFFFFF3"/>
      <color rgb="FFFFFFFF"/>
      <color rgb="FF990000"/>
      <color rgb="FF777777"/>
      <color rgb="FF4D4D4D"/>
      <color rgb="FF5F5F5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C.Horaire!A1"/><Relationship Id="rId2" Type="http://schemas.openxmlformats.org/officeDocument/2006/relationships/hyperlink" Target="#Apro.Chantier!A1"/><Relationship Id="rId1" Type="http://schemas.openxmlformats.org/officeDocument/2006/relationships/hyperlink" Target="#BD_clients!A1"/><Relationship Id="rId5" Type="http://schemas.openxmlformats.org/officeDocument/2006/relationships/hyperlink" Target="#'Sous-Enss'!A1"/><Relationship Id="rId4" Type="http://schemas.openxmlformats.org/officeDocument/2006/relationships/hyperlink" Target="#'Etude-Prix'!A1"/></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hyperlink" Target="#Matrice!A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hyperlink" Target="#Matrice!A1"/></Relationships>
</file>

<file path=xl/drawings/_rels/drawing4.xml.rels><?xml version="1.0" encoding="UTF-8" standalone="yes"?>
<Relationships xmlns="http://schemas.openxmlformats.org/package/2006/relationships"><Relationship Id="rId1" Type="http://schemas.openxmlformats.org/officeDocument/2006/relationships/hyperlink" Target="#Matrice!A1"/></Relationships>
</file>

<file path=xl/drawings/_rels/drawing5.xml.rels><?xml version="1.0" encoding="UTF-8" standalone="yes"?>
<Relationships xmlns="http://schemas.openxmlformats.org/package/2006/relationships"><Relationship Id="rId1" Type="http://schemas.openxmlformats.org/officeDocument/2006/relationships/hyperlink" Target="#Matrice!A1"/></Relationships>
</file>

<file path=xl/drawings/_rels/drawing6.xml.rels><?xml version="1.0" encoding="UTF-8" standalone="yes"?>
<Relationships xmlns="http://schemas.openxmlformats.org/package/2006/relationships"><Relationship Id="rId1" Type="http://schemas.openxmlformats.org/officeDocument/2006/relationships/hyperlink" Target="#Matrice!A1"/></Relationships>
</file>

<file path=xl/drawings/_rels/drawing7.xml.rels><?xml version="1.0" encoding="UTF-8" standalone="yes"?>
<Relationships xmlns="http://schemas.openxmlformats.org/package/2006/relationships"><Relationship Id="rId1" Type="http://schemas.openxmlformats.org/officeDocument/2006/relationships/hyperlink" Target="#Matrice!A1"/></Relationships>
</file>

<file path=xl/drawings/_rels/drawing8.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1</xdr:col>
      <xdr:colOff>406400</xdr:colOff>
      <xdr:row>0</xdr:row>
      <xdr:rowOff>546100</xdr:rowOff>
    </xdr:from>
    <xdr:to>
      <xdr:col>2</xdr:col>
      <xdr:colOff>546100</xdr:colOff>
      <xdr:row>2</xdr:row>
      <xdr:rowOff>12700</xdr:rowOff>
    </xdr:to>
    <xdr:sp macro="" textlink="">
      <xdr:nvSpPr>
        <xdr:cNvPr id="5" name="Rectangle 4">
          <a:hlinkClick xmlns:r="http://schemas.openxmlformats.org/officeDocument/2006/relationships" r:id="rId1"/>
        </xdr:cNvPr>
        <xdr:cNvSpPr/>
      </xdr:nvSpPr>
      <xdr:spPr>
        <a:xfrm>
          <a:off x="1168400" y="5461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BD Clients</a:t>
          </a:r>
        </a:p>
      </xdr:txBody>
    </xdr:sp>
    <xdr:clientData/>
  </xdr:twoCellAnchor>
  <xdr:twoCellAnchor>
    <xdr:from>
      <xdr:col>1</xdr:col>
      <xdr:colOff>406400</xdr:colOff>
      <xdr:row>2</xdr:row>
      <xdr:rowOff>266700</xdr:rowOff>
    </xdr:from>
    <xdr:to>
      <xdr:col>2</xdr:col>
      <xdr:colOff>546100</xdr:colOff>
      <xdr:row>4</xdr:row>
      <xdr:rowOff>12700</xdr:rowOff>
    </xdr:to>
    <xdr:sp macro="" textlink="">
      <xdr:nvSpPr>
        <xdr:cNvPr id="6" name="Rectangle 5">
          <a:hlinkClick xmlns:r="http://schemas.openxmlformats.org/officeDocument/2006/relationships" r:id="rId2"/>
        </xdr:cNvPr>
        <xdr:cNvSpPr/>
      </xdr:nvSpPr>
      <xdr:spPr>
        <a:xfrm>
          <a:off x="1168400" y="12065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Apro</a:t>
          </a:r>
          <a:r>
            <a:rPr lang="fr-FR" sz="1100" baseline="0"/>
            <a:t> Chantier</a:t>
          </a:r>
          <a:endParaRPr lang="fr-FR" sz="1100"/>
        </a:p>
      </xdr:txBody>
    </xdr:sp>
    <xdr:clientData/>
  </xdr:twoCellAnchor>
  <xdr:twoCellAnchor>
    <xdr:from>
      <xdr:col>1</xdr:col>
      <xdr:colOff>393700</xdr:colOff>
      <xdr:row>6</xdr:row>
      <xdr:rowOff>241300</xdr:rowOff>
    </xdr:from>
    <xdr:to>
      <xdr:col>2</xdr:col>
      <xdr:colOff>533400</xdr:colOff>
      <xdr:row>8</xdr:row>
      <xdr:rowOff>127000</xdr:rowOff>
    </xdr:to>
    <xdr:sp macro="" textlink="">
      <xdr:nvSpPr>
        <xdr:cNvPr id="7" name="Rectangle 6">
          <a:hlinkClick xmlns:r="http://schemas.openxmlformats.org/officeDocument/2006/relationships" r:id="rId3"/>
        </xdr:cNvPr>
        <xdr:cNvSpPr/>
      </xdr:nvSpPr>
      <xdr:spPr>
        <a:xfrm>
          <a:off x="1155700" y="2514600"/>
          <a:ext cx="15875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xdr:col>
      <xdr:colOff>393700</xdr:colOff>
      <xdr:row>4</xdr:row>
      <xdr:rowOff>228600</xdr:rowOff>
    </xdr:from>
    <xdr:to>
      <xdr:col>2</xdr:col>
      <xdr:colOff>533400</xdr:colOff>
      <xdr:row>5</xdr:row>
      <xdr:rowOff>177800</xdr:rowOff>
    </xdr:to>
    <xdr:sp macro="" textlink="">
      <xdr:nvSpPr>
        <xdr:cNvPr id="8" name="Rectangle 7">
          <a:hlinkClick xmlns:r="http://schemas.openxmlformats.org/officeDocument/2006/relationships" r:id="rId4"/>
        </xdr:cNvPr>
        <xdr:cNvSpPr/>
      </xdr:nvSpPr>
      <xdr:spPr>
        <a:xfrm>
          <a:off x="1155700" y="1828800"/>
          <a:ext cx="15875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Etude</a:t>
          </a:r>
          <a:r>
            <a:rPr lang="fr-FR" sz="1100" baseline="0"/>
            <a:t> de Prix</a:t>
          </a:r>
          <a:endParaRPr lang="fr-FR" sz="1100"/>
        </a:p>
      </xdr:txBody>
    </xdr:sp>
    <xdr:clientData/>
  </xdr:twoCellAnchor>
  <xdr:twoCellAnchor>
    <xdr:from>
      <xdr:col>1</xdr:col>
      <xdr:colOff>393700</xdr:colOff>
      <xdr:row>9</xdr:row>
      <xdr:rowOff>152400</xdr:rowOff>
    </xdr:from>
    <xdr:to>
      <xdr:col>2</xdr:col>
      <xdr:colOff>533400</xdr:colOff>
      <xdr:row>11</xdr:row>
      <xdr:rowOff>76200</xdr:rowOff>
    </xdr:to>
    <xdr:sp macro="" textlink="">
      <xdr:nvSpPr>
        <xdr:cNvPr id="9" name="Rectangle 8">
          <a:hlinkClick xmlns:r="http://schemas.openxmlformats.org/officeDocument/2006/relationships" r:id="rId5"/>
        </xdr:cNvPr>
        <xdr:cNvSpPr/>
      </xdr:nvSpPr>
      <xdr:spPr>
        <a:xfrm>
          <a:off x="1155700" y="3162300"/>
          <a:ext cx="15875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twoCellAnchor>
    <xdr:from>
      <xdr:col>11</xdr:col>
      <xdr:colOff>12700</xdr:colOff>
      <xdr:row>1</xdr:row>
      <xdr:rowOff>0</xdr:rowOff>
    </xdr:from>
    <xdr:to>
      <xdr:col>12</xdr:col>
      <xdr:colOff>444500</xdr:colOff>
      <xdr:row>2</xdr:row>
      <xdr:rowOff>38100</xdr:rowOff>
    </xdr:to>
    <xdr:sp macro="[0]!ouvrir" textlink="">
      <xdr:nvSpPr>
        <xdr:cNvPr id="10" name="Rectangle 9"/>
        <xdr:cNvSpPr/>
      </xdr:nvSpPr>
      <xdr:spPr>
        <a:xfrm>
          <a:off x="13576300" y="5715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NOUVEAU</a:t>
          </a:r>
        </a:p>
      </xdr:txBody>
    </xdr:sp>
    <xdr:clientData/>
  </xdr:twoCellAnchor>
  <xdr:twoCellAnchor>
    <xdr:from>
      <xdr:col>11</xdr:col>
      <xdr:colOff>12700</xdr:colOff>
      <xdr:row>2</xdr:row>
      <xdr:rowOff>292100</xdr:rowOff>
    </xdr:from>
    <xdr:to>
      <xdr:col>12</xdr:col>
      <xdr:colOff>444500</xdr:colOff>
      <xdr:row>4</xdr:row>
      <xdr:rowOff>38100</xdr:rowOff>
    </xdr:to>
    <xdr:sp macro="[0]!IMPRIME_DESCRIP" textlink="">
      <xdr:nvSpPr>
        <xdr:cNvPr id="11" name="Rectangle 10"/>
        <xdr:cNvSpPr/>
      </xdr:nvSpPr>
      <xdr:spPr>
        <a:xfrm>
          <a:off x="13576300" y="1231900"/>
          <a:ext cx="1346200" cy="4064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DESCRIPTIF</a:t>
          </a:r>
          <a:endParaRPr lang="fr-FR" sz="1100"/>
        </a:p>
      </xdr:txBody>
    </xdr:sp>
    <xdr:clientData/>
  </xdr:twoCellAnchor>
  <xdr:twoCellAnchor>
    <xdr:from>
      <xdr:col>11</xdr:col>
      <xdr:colOff>0</xdr:colOff>
      <xdr:row>6</xdr:row>
      <xdr:rowOff>266700</xdr:rowOff>
    </xdr:from>
    <xdr:to>
      <xdr:col>12</xdr:col>
      <xdr:colOff>431800</xdr:colOff>
      <xdr:row>8</xdr:row>
      <xdr:rowOff>152400</xdr:rowOff>
    </xdr:to>
    <xdr:sp macro="" textlink="">
      <xdr:nvSpPr>
        <xdr:cNvPr id="12" name="Rectangle 11"/>
        <xdr:cNvSpPr/>
      </xdr:nvSpPr>
      <xdr:spPr>
        <a:xfrm>
          <a:off x="13563600" y="2540000"/>
          <a:ext cx="1346200" cy="3937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Coût</a:t>
          </a:r>
          <a:r>
            <a:rPr lang="fr-FR" sz="1100" baseline="0"/>
            <a:t> Horaire</a:t>
          </a:r>
          <a:endParaRPr lang="fr-FR" sz="1100"/>
        </a:p>
      </xdr:txBody>
    </xdr:sp>
    <xdr:clientData/>
  </xdr:twoCellAnchor>
  <xdr:twoCellAnchor>
    <xdr:from>
      <xdr:col>11</xdr:col>
      <xdr:colOff>0</xdr:colOff>
      <xdr:row>4</xdr:row>
      <xdr:rowOff>254000</xdr:rowOff>
    </xdr:from>
    <xdr:to>
      <xdr:col>12</xdr:col>
      <xdr:colOff>431800</xdr:colOff>
      <xdr:row>6</xdr:row>
      <xdr:rowOff>0</xdr:rowOff>
    </xdr:to>
    <xdr:sp macro="[0]!IMPRIME_Devis" textlink="">
      <xdr:nvSpPr>
        <xdr:cNvPr id="13" name="Rectangle 12"/>
        <xdr:cNvSpPr/>
      </xdr:nvSpPr>
      <xdr:spPr>
        <a:xfrm>
          <a:off x="13563600" y="1854200"/>
          <a:ext cx="1346200" cy="4191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Imp.</a:t>
          </a:r>
          <a:r>
            <a:rPr lang="fr-FR" sz="1100" baseline="0"/>
            <a:t> DEVIS</a:t>
          </a:r>
          <a:endParaRPr lang="fr-FR" sz="1100"/>
        </a:p>
      </xdr:txBody>
    </xdr:sp>
    <xdr:clientData/>
  </xdr:twoCellAnchor>
  <xdr:twoCellAnchor>
    <xdr:from>
      <xdr:col>11</xdr:col>
      <xdr:colOff>0</xdr:colOff>
      <xdr:row>9</xdr:row>
      <xdr:rowOff>177800</xdr:rowOff>
    </xdr:from>
    <xdr:to>
      <xdr:col>12</xdr:col>
      <xdr:colOff>431800</xdr:colOff>
      <xdr:row>11</xdr:row>
      <xdr:rowOff>101600</xdr:rowOff>
    </xdr:to>
    <xdr:sp macro="" textlink="">
      <xdr:nvSpPr>
        <xdr:cNvPr id="14" name="Rectangle 13"/>
        <xdr:cNvSpPr/>
      </xdr:nvSpPr>
      <xdr:spPr>
        <a:xfrm>
          <a:off x="13563600" y="3187700"/>
          <a:ext cx="1346200" cy="381000"/>
        </a:xfrm>
        <a:prstGeom prst="rect">
          <a:avLst/>
        </a:prstGeom>
        <a:ln>
          <a:solidFill>
            <a:schemeClr val="bg1">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fr-FR" sz="1100"/>
            <a:t>Sous-ensemble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1971675</xdr:colOff>
      <xdr:row>7</xdr:row>
      <xdr:rowOff>9525</xdr:rowOff>
    </xdr:from>
    <xdr:to>
      <xdr:col>2</xdr:col>
      <xdr:colOff>2581275</xdr:colOff>
      <xdr:row>8</xdr:row>
      <xdr:rowOff>367565</xdr:rowOff>
    </xdr:to>
    <xdr:sp macro="" textlink="">
      <xdr:nvSpPr>
        <xdr:cNvPr id="10" name="Sourire 9">
          <a:hlinkClick xmlns:r="http://schemas.openxmlformats.org/officeDocument/2006/relationships" r:id="rId1"/>
        </xdr:cNvPr>
        <xdr:cNvSpPr/>
      </xdr:nvSpPr>
      <xdr:spPr>
        <a:xfrm>
          <a:off x="2409825" y="2124075"/>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7</xdr:row>
      <xdr:rowOff>133350</xdr:rowOff>
    </xdr:from>
    <xdr:to>
      <xdr:col>2</xdr:col>
      <xdr:colOff>819150</xdr:colOff>
      <xdr:row>8</xdr:row>
      <xdr:rowOff>272315</xdr:rowOff>
    </xdr:to>
    <xdr:sp macro="" textlink="">
      <xdr:nvSpPr>
        <xdr:cNvPr id="5160" name="CB_Efface" hidden="1">
          <a:extLst>
            <a:ext uri="{63B3BB69-23CF-44E3-9099-C40C66FF867C}">
              <a14:compatExt xmlns:a14="http://schemas.microsoft.com/office/drawing/2010/main" spid="_x0000_s516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5</xdr:row>
      <xdr:rowOff>47625</xdr:rowOff>
    </xdr:from>
    <xdr:to>
      <xdr:col>3</xdr:col>
      <xdr:colOff>390525</xdr:colOff>
      <xdr:row>8</xdr:row>
      <xdr:rowOff>375103</xdr:rowOff>
    </xdr:to>
    <xdr:sp macro="" textlink="">
      <xdr:nvSpPr>
        <xdr:cNvPr id="5163" name="SpinButton1" hidden="1">
          <a:extLst>
            <a:ext uri="{63B3BB69-23CF-44E3-9099-C40C66FF867C}">
              <a14:compatExt xmlns:a14="http://schemas.microsoft.com/office/drawing/2010/main" spid="_x0000_s5163"/>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xdr:col>
      <xdr:colOff>215968</xdr:colOff>
      <xdr:row>2</xdr:row>
      <xdr:rowOff>19050</xdr:rowOff>
    </xdr:from>
    <xdr:to>
      <xdr:col>2</xdr:col>
      <xdr:colOff>1743075</xdr:colOff>
      <xdr:row>3</xdr:row>
      <xdr:rowOff>31750</xdr:rowOff>
    </xdr:to>
    <xdr:pic>
      <xdr:nvPicPr>
        <xdr:cNvPr id="12" name="Image 11" descr="sorec.jpg"/>
        <xdr:cNvPicPr>
          <a:picLocks noChangeAspect="1"/>
        </xdr:cNvPicPr>
      </xdr:nvPicPr>
      <xdr:blipFill>
        <a:blip xmlns:r="http://schemas.openxmlformats.org/officeDocument/2006/relationships" r:embed="rId2" cstate="print"/>
        <a:stretch>
          <a:fillRect/>
        </a:stretch>
      </xdr:blipFill>
      <xdr:spPr>
        <a:xfrm>
          <a:off x="454093" y="447675"/>
          <a:ext cx="1939857" cy="996950"/>
        </a:xfrm>
        <a:prstGeom prst="rect">
          <a:avLst/>
        </a:prstGeom>
      </xdr:spPr>
    </xdr:pic>
    <xdr:clientData/>
  </xdr:twoCellAnchor>
  <xdr:twoCellAnchor>
    <xdr:from>
      <xdr:col>2</xdr:col>
      <xdr:colOff>3143250</xdr:colOff>
      <xdr:row>2</xdr:row>
      <xdr:rowOff>730250</xdr:rowOff>
    </xdr:from>
    <xdr:to>
      <xdr:col>15</xdr:col>
      <xdr:colOff>603250</xdr:colOff>
      <xdr:row>8</xdr:row>
      <xdr:rowOff>15875</xdr:rowOff>
    </xdr:to>
    <xdr:sp macro="" textlink="">
      <xdr:nvSpPr>
        <xdr:cNvPr id="6" name="Rectangle à coins arrondis 5"/>
        <xdr:cNvSpPr/>
      </xdr:nvSpPr>
      <xdr:spPr>
        <a:xfrm>
          <a:off x="3794125" y="1158875"/>
          <a:ext cx="9382125" cy="1143000"/>
        </a:xfrm>
        <a:prstGeom prst="round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2</xdr:col>
      <xdr:colOff>2233084</xdr:colOff>
      <xdr:row>77</xdr:row>
      <xdr:rowOff>31749</xdr:rowOff>
    </xdr:from>
    <xdr:to>
      <xdr:col>4</xdr:col>
      <xdr:colOff>214774</xdr:colOff>
      <xdr:row>83</xdr:row>
      <xdr:rowOff>12699</xdr:rowOff>
    </xdr:to>
    <xdr:pic>
      <xdr:nvPicPr>
        <xdr:cNvPr id="8" name="Image 7" descr="sorec.jpg"/>
        <xdr:cNvPicPr>
          <a:picLocks noChangeAspect="1"/>
        </xdr:cNvPicPr>
      </xdr:nvPicPr>
      <xdr:blipFill>
        <a:blip xmlns:r="http://schemas.openxmlformats.org/officeDocument/2006/relationships" r:embed="rId2" cstate="print"/>
        <a:stretch>
          <a:fillRect/>
        </a:stretch>
      </xdr:blipFill>
      <xdr:spPr>
        <a:xfrm>
          <a:off x="2899834" y="15578666"/>
          <a:ext cx="1950440" cy="996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xdr:colOff>
      <xdr:row>5</xdr:row>
      <xdr:rowOff>133350</xdr:rowOff>
    </xdr:from>
    <xdr:to>
      <xdr:col>2</xdr:col>
      <xdr:colOff>819150</xdr:colOff>
      <xdr:row>7</xdr:row>
      <xdr:rowOff>133350</xdr:rowOff>
    </xdr:to>
    <xdr:sp macro="" textlink="">
      <xdr:nvSpPr>
        <xdr:cNvPr id="9217" name="CB_Efface" hidden="1">
          <a:extLst>
            <a:ext uri="{63B3BB69-23CF-44E3-9099-C40C66FF867C}">
              <a14:compatExt xmlns:a14="http://schemas.microsoft.com/office/drawing/2010/main" spid="_x0000_s9217"/>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38100</xdr:colOff>
      <xdr:row>4</xdr:row>
      <xdr:rowOff>0</xdr:rowOff>
    </xdr:from>
    <xdr:to>
      <xdr:col>3</xdr:col>
      <xdr:colOff>390525</xdr:colOff>
      <xdr:row>9</xdr:row>
      <xdr:rowOff>57150</xdr:rowOff>
    </xdr:to>
    <xdr:sp macro="" textlink="">
      <xdr:nvSpPr>
        <xdr:cNvPr id="9218" name="SpinButton1" hidden="1">
          <a:extLst>
            <a:ext uri="{63B3BB69-23CF-44E3-9099-C40C66FF867C}">
              <a14:compatExt xmlns:a14="http://schemas.microsoft.com/office/drawing/2010/main" spid="_x0000_s9218"/>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3</xdr:col>
      <xdr:colOff>1195952</xdr:colOff>
      <xdr:row>3</xdr:row>
      <xdr:rowOff>111944</xdr:rowOff>
    </xdr:from>
    <xdr:to>
      <xdr:col>4</xdr:col>
      <xdr:colOff>589116</xdr:colOff>
      <xdr:row>7</xdr:row>
      <xdr:rowOff>4586</xdr:rowOff>
    </xdr:to>
    <xdr:sp macro="" textlink="">
      <xdr:nvSpPr>
        <xdr:cNvPr id="14" name="Sourire 9">
          <a:hlinkClick xmlns:r="http://schemas.openxmlformats.org/officeDocument/2006/relationships" r:id="rId1"/>
        </xdr:cNvPr>
        <xdr:cNvSpPr/>
      </xdr:nvSpPr>
      <xdr:spPr>
        <a:xfrm>
          <a:off x="3193129" y="1002992"/>
          <a:ext cx="611955" cy="54300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editAs="oneCell">
    <xdr:from>
      <xdr:col>2</xdr:col>
      <xdr:colOff>19050</xdr:colOff>
      <xdr:row>5</xdr:row>
      <xdr:rowOff>133350</xdr:rowOff>
    </xdr:from>
    <xdr:to>
      <xdr:col>2</xdr:col>
      <xdr:colOff>819150</xdr:colOff>
      <xdr:row>7</xdr:row>
      <xdr:rowOff>127592</xdr:rowOff>
    </xdr:to>
    <xdr:sp macro="" textlink="">
      <xdr:nvSpPr>
        <xdr:cNvPr id="15" name="CB_Efface" hidden="1">
          <a:extLst>
            <a:ext uri="{63B3BB69-23CF-44E3-9099-C40C66FF867C}">
              <a14:compatExt xmlns:a14="http://schemas.microsoft.com/office/drawing/2010/main" spid="_x0000_s5160"/>
            </a:ext>
          </a:extLst>
        </xdr:cNvPr>
        <xdr:cNvSpPr/>
      </xdr:nvSpPr>
      <xdr:spPr bwMode="auto">
        <a:xfrm>
          <a:off x="371475" y="2019300"/>
          <a:ext cx="800100" cy="318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0</xdr:col>
      <xdr:colOff>234132</xdr:colOff>
      <xdr:row>0</xdr:row>
      <xdr:rowOff>143387</xdr:rowOff>
    </xdr:from>
    <xdr:to>
      <xdr:col>2</xdr:col>
      <xdr:colOff>729431</xdr:colOff>
      <xdr:row>3</xdr:row>
      <xdr:rowOff>30726</xdr:rowOff>
    </xdr:to>
    <xdr:pic>
      <xdr:nvPicPr>
        <xdr:cNvPr id="10" name="Image 9" descr="sorec.jpg"/>
        <xdr:cNvPicPr>
          <a:picLocks noChangeAspect="1"/>
        </xdr:cNvPicPr>
      </xdr:nvPicPr>
      <xdr:blipFill>
        <a:blip xmlns:r="http://schemas.openxmlformats.org/officeDocument/2006/relationships" r:embed="rId2" cstate="print"/>
        <a:stretch>
          <a:fillRect/>
        </a:stretch>
      </xdr:blipFill>
      <xdr:spPr>
        <a:xfrm>
          <a:off x="234132" y="143387"/>
          <a:ext cx="1642396" cy="778387"/>
        </a:xfrm>
        <a:prstGeom prst="rect">
          <a:avLst/>
        </a:prstGeom>
      </xdr:spPr>
    </xdr:pic>
    <xdr:clientData/>
  </xdr:twoCellAnchor>
  <xdr:twoCellAnchor editAs="oneCell">
    <xdr:from>
      <xdr:col>5</xdr:col>
      <xdr:colOff>136071</xdr:colOff>
      <xdr:row>54</xdr:row>
      <xdr:rowOff>125605</xdr:rowOff>
    </xdr:from>
    <xdr:to>
      <xdr:col>7</xdr:col>
      <xdr:colOff>329082</xdr:colOff>
      <xdr:row>60</xdr:row>
      <xdr:rowOff>4348</xdr:rowOff>
    </xdr:to>
    <xdr:pic>
      <xdr:nvPicPr>
        <xdr:cNvPr id="7" name="Image 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64752" y="9106319"/>
          <a:ext cx="1752599" cy="8207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409575</xdr:colOff>
      <xdr:row>1</xdr:row>
      <xdr:rowOff>104775</xdr:rowOff>
    </xdr:from>
    <xdr:to>
      <xdr:col>5</xdr:col>
      <xdr:colOff>257175</xdr:colOff>
      <xdr:row>3</xdr:row>
      <xdr:rowOff>123825</xdr:rowOff>
    </xdr:to>
    <xdr:sp macro="" textlink="">
      <xdr:nvSpPr>
        <xdr:cNvPr id="2" name="Sourire 1">
          <a:hlinkClick xmlns:r="http://schemas.openxmlformats.org/officeDocument/2006/relationships" r:id="rId1"/>
        </xdr:cNvPr>
        <xdr:cNvSpPr/>
      </xdr:nvSpPr>
      <xdr:spPr>
        <a:xfrm>
          <a:off x="6610350"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11</xdr:col>
      <xdr:colOff>19050</xdr:colOff>
      <xdr:row>1</xdr:row>
      <xdr:rowOff>133350</xdr:rowOff>
    </xdr:from>
    <xdr:to>
      <xdr:col>12</xdr:col>
      <xdr:colOff>447675</xdr:colOff>
      <xdr:row>6</xdr:row>
      <xdr:rowOff>114300</xdr:rowOff>
    </xdr:to>
    <xdr:sp macro="" textlink="">
      <xdr:nvSpPr>
        <xdr:cNvPr id="2" name="Émoticône 1">
          <a:hlinkClick xmlns:r="http://schemas.openxmlformats.org/officeDocument/2006/relationships" r:id="rId1"/>
        </xdr:cNvPr>
        <xdr:cNvSpPr/>
      </xdr:nvSpPr>
      <xdr:spPr>
        <a:xfrm>
          <a:off x="9039225" y="314325"/>
          <a:ext cx="914400" cy="914400"/>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4</xdr:col>
      <xdr:colOff>609600</xdr:colOff>
      <xdr:row>5</xdr:row>
      <xdr:rowOff>57150</xdr:rowOff>
    </xdr:to>
    <xdr:sp macro="" textlink="">
      <xdr:nvSpPr>
        <xdr:cNvPr id="2" name="Sourire 1">
          <a:hlinkClick xmlns:r="http://schemas.openxmlformats.org/officeDocument/2006/relationships" r:id="rId1"/>
        </xdr:cNvPr>
        <xdr:cNvSpPr/>
      </xdr:nvSpPr>
      <xdr:spPr>
        <a:xfrm>
          <a:off x="3895725" y="36195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oneCell">
    <xdr:from>
      <xdr:col>3</xdr:col>
      <xdr:colOff>819150</xdr:colOff>
      <xdr:row>0</xdr:row>
      <xdr:rowOff>114300</xdr:rowOff>
    </xdr:from>
    <xdr:to>
      <xdr:col>3</xdr:col>
      <xdr:colOff>1428750</xdr:colOff>
      <xdr:row>4</xdr:row>
      <xdr:rowOff>9525</xdr:rowOff>
    </xdr:to>
    <xdr:sp macro="" textlink="">
      <xdr:nvSpPr>
        <xdr:cNvPr id="2" name="Sourire 1">
          <a:hlinkClick xmlns:r="http://schemas.openxmlformats.org/officeDocument/2006/relationships" r:id="rId1"/>
        </xdr:cNvPr>
        <xdr:cNvSpPr/>
      </xdr:nvSpPr>
      <xdr:spPr>
        <a:xfrm>
          <a:off x="4124325" y="114300"/>
          <a:ext cx="609600" cy="542925"/>
        </a:xfrm>
        <a:prstGeom prst="smileyFace">
          <a:avLst/>
        </a:prstGeom>
        <a:ln>
          <a:no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11</xdr:col>
      <xdr:colOff>440036</xdr:colOff>
      <xdr:row>2</xdr:row>
      <xdr:rowOff>278946</xdr:rowOff>
    </xdr:from>
    <xdr:to>
      <xdr:col>14</xdr:col>
      <xdr:colOff>962025</xdr:colOff>
      <xdr:row>8</xdr:row>
      <xdr:rowOff>103519</xdr:rowOff>
    </xdr:to>
    <xdr:sp macro="" textlink="">
      <xdr:nvSpPr>
        <xdr:cNvPr id="2" name="Rectangle à coins arrondis 1"/>
        <xdr:cNvSpPr/>
      </xdr:nvSpPr>
      <xdr:spPr>
        <a:xfrm>
          <a:off x="4050011" y="955221"/>
          <a:ext cx="2503189" cy="1215223"/>
        </a:xfrm>
        <a:prstGeom prst="roundRect">
          <a:avLst/>
        </a:prstGeom>
        <a:solidFill>
          <a:srgbClr val="FFFFE5"/>
        </a:solidFill>
        <a:ln w="9525">
          <a:solidFill>
            <a:sysClr val="windowText" lastClr="000000"/>
          </a:solidFill>
        </a:ln>
        <a:effectLst>
          <a:outerShdw blurRad="50800" dist="38100" dir="2700000" algn="tl"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rtlCol="0" anchor="ctr"/>
        <a:lstStyle/>
        <a:p>
          <a:endParaRPr lang="fr-FR"/>
        </a:p>
      </xdr:txBody>
    </xdr:sp>
    <xdr:clientData/>
  </xdr:twoCellAnchor>
  <xdr:twoCellAnchor>
    <xdr:from>
      <xdr:col>11</xdr:col>
      <xdr:colOff>501792</xdr:colOff>
      <xdr:row>2</xdr:row>
      <xdr:rowOff>350122</xdr:rowOff>
    </xdr:from>
    <xdr:to>
      <xdr:col>14</xdr:col>
      <xdr:colOff>809625</xdr:colOff>
      <xdr:row>3</xdr:row>
      <xdr:rowOff>70338</xdr:rowOff>
    </xdr:to>
    <xdr:sp macro="" textlink="$P$5">
      <xdr:nvSpPr>
        <xdr:cNvPr id="3" name="ZoneTexte 2"/>
        <xdr:cNvSpPr txBox="1"/>
      </xdr:nvSpPr>
      <xdr:spPr>
        <a:xfrm>
          <a:off x="4111767" y="1026397"/>
          <a:ext cx="2289033" cy="396491"/>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472DF542-AFE6-4423-8669-F7BAF53844D5}" type="TxLink">
            <a:rPr lang="en-US" sz="1000" b="1" i="0" u="none" strike="noStrike">
              <a:solidFill>
                <a:sysClr val="windowText" lastClr="000000"/>
              </a:solidFill>
              <a:latin typeface="Arial Narrow" pitchFamily="34" charset="0"/>
              <a:cs typeface="Arial"/>
            </a:rPr>
            <a:pPr/>
            <a:t>NOM     DIJOUX LOIC</a:t>
          </a:fld>
          <a:endParaRPr lang="fr-FR" sz="1000">
            <a:solidFill>
              <a:sysClr val="windowText" lastClr="000000"/>
            </a:solidFill>
            <a:latin typeface="Arial Narrow" pitchFamily="34" charset="0"/>
          </a:endParaRPr>
        </a:p>
      </xdr:txBody>
    </xdr:sp>
    <xdr:clientData/>
  </xdr:twoCellAnchor>
  <xdr:twoCellAnchor>
    <xdr:from>
      <xdr:col>11</xdr:col>
      <xdr:colOff>485671</xdr:colOff>
      <xdr:row>2</xdr:row>
      <xdr:rowOff>618290</xdr:rowOff>
    </xdr:from>
    <xdr:to>
      <xdr:col>14</xdr:col>
      <xdr:colOff>876300</xdr:colOff>
      <xdr:row>6</xdr:row>
      <xdr:rowOff>131257</xdr:rowOff>
    </xdr:to>
    <xdr:sp macro="" textlink="$P$6">
      <xdr:nvSpPr>
        <xdr:cNvPr id="4" name="ZoneTexte 3"/>
        <xdr:cNvSpPr txBox="1"/>
      </xdr:nvSpPr>
      <xdr:spPr>
        <a:xfrm>
          <a:off x="4095646" y="1294565"/>
          <a:ext cx="2371829" cy="617867"/>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fld id="{3D49AB80-B7DF-44EE-8249-DF03611DFEFE}" type="TxLink">
            <a:rPr lang="en-US" sz="900" b="1" i="0" u="none" strike="noStrike">
              <a:solidFill>
                <a:sysClr val="windowText" lastClr="000000"/>
              </a:solidFill>
              <a:latin typeface="Arial Narrow" pitchFamily="34" charset="0"/>
            </a:rPr>
            <a:pPr algn="l"/>
            <a:t>ADRESSE : Lotissement MENCIOL BRAS DES CHEVRETTES</a:t>
          </a:fld>
          <a:endParaRPr lang="fr-FR" sz="900" b="1">
            <a:solidFill>
              <a:sysClr val="windowText" lastClr="000000"/>
            </a:solidFill>
            <a:latin typeface="Arial Narrow" pitchFamily="34" charset="0"/>
          </a:endParaRPr>
        </a:p>
      </xdr:txBody>
    </xdr:sp>
    <xdr:clientData/>
  </xdr:twoCellAnchor>
  <xdr:twoCellAnchor>
    <xdr:from>
      <xdr:col>12</xdr:col>
      <xdr:colOff>1779</xdr:colOff>
      <xdr:row>6</xdr:row>
      <xdr:rowOff>59870</xdr:rowOff>
    </xdr:from>
    <xdr:to>
      <xdr:col>14</xdr:col>
      <xdr:colOff>800100</xdr:colOff>
      <xdr:row>8</xdr:row>
      <xdr:rowOff>13083</xdr:rowOff>
    </xdr:to>
    <xdr:sp macro="" textlink="$P$7">
      <xdr:nvSpPr>
        <xdr:cNvPr id="5" name="ZoneTexte 4"/>
        <xdr:cNvSpPr txBox="1"/>
      </xdr:nvSpPr>
      <xdr:spPr>
        <a:xfrm>
          <a:off x="4135629" y="1841045"/>
          <a:ext cx="2255646" cy="238963"/>
        </a:xfrm>
        <a:prstGeom prst="rect">
          <a:avLst/>
        </a:prstGeom>
        <a:solidFill>
          <a:srgbClr val="FFFFE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B27C65AE-0C2B-467F-9973-9F3F52444EEF}" type="TxLink">
            <a:rPr lang="en-US" sz="900" b="1" i="0" u="none" strike="noStrike">
              <a:solidFill>
                <a:srgbClr val="002060"/>
              </a:solidFill>
              <a:latin typeface="Arial Narrow" pitchFamily="34" charset="0"/>
            </a:rPr>
            <a:pPr/>
            <a:t>VILLE  97440 Saint ANDRE</a:t>
          </a:fld>
          <a:endParaRPr lang="fr-FR" sz="900" b="1">
            <a:latin typeface="Arial Narrow" pitchFamily="34" charset="0"/>
          </a:endParaRPr>
        </a:p>
      </xdr:txBody>
    </xdr:sp>
    <xdr:clientData/>
  </xdr:twoCellAnchor>
  <xdr:twoCellAnchor editAs="oneCell">
    <xdr:from>
      <xdr:col>1</xdr:col>
      <xdr:colOff>19050</xdr:colOff>
      <xdr:row>7</xdr:row>
      <xdr:rowOff>133350</xdr:rowOff>
    </xdr:from>
    <xdr:to>
      <xdr:col>1</xdr:col>
      <xdr:colOff>819150</xdr:colOff>
      <xdr:row>8</xdr:row>
      <xdr:rowOff>184742</xdr:rowOff>
    </xdr:to>
    <xdr:sp macro="" textlink="">
      <xdr:nvSpPr>
        <xdr:cNvPr id="6" name="CB_Efface" hidden="1">
          <a:extLst>
            <a:ext uri="{63B3BB69-23CF-44E3-9099-C40C66FF867C}">
              <a14:compatExt xmlns:a14="http://schemas.microsoft.com/office/drawing/2010/main" spid="_x0000_s5160"/>
            </a:ext>
          </a:extLst>
        </xdr:cNvPr>
        <xdr:cNvSpPr/>
      </xdr:nvSpPr>
      <xdr:spPr bwMode="auto">
        <a:xfrm>
          <a:off x="266700" y="2057400"/>
          <a:ext cx="800100" cy="1942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11</xdr:col>
      <xdr:colOff>38100</xdr:colOff>
      <xdr:row>5</xdr:row>
      <xdr:rowOff>47625</xdr:rowOff>
    </xdr:from>
    <xdr:to>
      <xdr:col>11</xdr:col>
      <xdr:colOff>390525</xdr:colOff>
      <xdr:row>8</xdr:row>
      <xdr:rowOff>220854</xdr:rowOff>
    </xdr:to>
    <xdr:sp macro="" textlink="">
      <xdr:nvSpPr>
        <xdr:cNvPr id="7" name="SpinButton1" hidden="1">
          <a:extLst>
            <a:ext uri="{63B3BB69-23CF-44E3-9099-C40C66FF867C}">
              <a14:compatExt xmlns:a14="http://schemas.microsoft.com/office/drawing/2010/main" spid="_x0000_s5163"/>
            </a:ext>
          </a:extLst>
        </xdr:cNvPr>
        <xdr:cNvSpPr/>
      </xdr:nvSpPr>
      <xdr:spPr bwMode="auto">
        <a:xfrm>
          <a:off x="3648075" y="1685925"/>
          <a:ext cx="352425" cy="6018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12</xdr:col>
      <xdr:colOff>381000</xdr:colOff>
      <xdr:row>192</xdr:row>
      <xdr:rowOff>217901</xdr:rowOff>
    </xdr:from>
    <xdr:to>
      <xdr:col>14</xdr:col>
      <xdr:colOff>676274</xdr:colOff>
      <xdr:row>196</xdr:row>
      <xdr:rowOff>133802</xdr:rowOff>
    </xdr:to>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14850" y="38013101"/>
          <a:ext cx="1752599" cy="820776"/>
        </a:xfrm>
        <a:prstGeom prst="rect">
          <a:avLst/>
        </a:prstGeom>
      </xdr:spPr>
    </xdr:pic>
    <xdr:clientData/>
  </xdr:twoCellAnchor>
  <xdr:twoCellAnchor editAs="oneCell">
    <xdr:from>
      <xdr:col>13</xdr:col>
      <xdr:colOff>19050</xdr:colOff>
      <xdr:row>141</xdr:row>
      <xdr:rowOff>190500</xdr:rowOff>
    </xdr:from>
    <xdr:to>
      <xdr:col>14</xdr:col>
      <xdr:colOff>933449</xdr:colOff>
      <xdr:row>146</xdr:row>
      <xdr:rowOff>11151</xdr:rowOff>
    </xdr:to>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26955750"/>
          <a:ext cx="1752599" cy="820776"/>
        </a:xfrm>
        <a:prstGeom prst="rect">
          <a:avLst/>
        </a:prstGeom>
      </xdr:spPr>
    </xdr:pic>
    <xdr:clientData/>
  </xdr:twoCellAnchor>
  <xdr:twoCellAnchor editAs="oneCell">
    <xdr:from>
      <xdr:col>1</xdr:col>
      <xdr:colOff>2295525</xdr:colOff>
      <xdr:row>146</xdr:row>
      <xdr:rowOff>33952</xdr:rowOff>
    </xdr:from>
    <xdr:to>
      <xdr:col>3</xdr:col>
      <xdr:colOff>371475</xdr:colOff>
      <xdr:row>151</xdr:row>
      <xdr:rowOff>104774</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3175" y="27532627"/>
          <a:ext cx="1924050" cy="880447"/>
        </a:xfrm>
        <a:prstGeom prst="rect">
          <a:avLst/>
        </a:prstGeom>
      </xdr:spPr>
    </xdr:pic>
    <xdr:clientData/>
  </xdr:twoCellAnchor>
  <xdr:twoCellAnchor editAs="oneCell">
    <xdr:from>
      <xdr:col>0</xdr:col>
      <xdr:colOff>123823</xdr:colOff>
      <xdr:row>1</xdr:row>
      <xdr:rowOff>9525</xdr:rowOff>
    </xdr:from>
    <xdr:to>
      <xdr:col>1</xdr:col>
      <xdr:colOff>2038350</xdr:colOff>
      <xdr:row>2</xdr:row>
      <xdr:rowOff>628650</xdr:rowOff>
    </xdr:to>
    <xdr:pic>
      <xdr:nvPicPr>
        <xdr:cNvPr id="11" name="Image 10"/>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3823" y="247650"/>
          <a:ext cx="2162177" cy="10572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11</xdr:col>
      <xdr:colOff>447675</xdr:colOff>
      <xdr:row>34</xdr:row>
      <xdr:rowOff>19050</xdr:rowOff>
    </xdr:from>
    <xdr:to>
      <xdr:col>22</xdr:col>
      <xdr:colOff>247650</xdr:colOff>
      <xdr:row>75</xdr:row>
      <xdr:rowOff>0</xdr:rowOff>
    </xdr:to>
    <xdr:sp macro="" textlink="">
      <xdr:nvSpPr>
        <xdr:cNvPr id="2" name="ZoneTexte 1"/>
        <xdr:cNvSpPr txBox="1"/>
      </xdr:nvSpPr>
      <xdr:spPr>
        <a:xfrm>
          <a:off x="8829675" y="6496050"/>
          <a:ext cx="8181975" cy="7791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paritec et le forum,</a:t>
          </a:r>
          <a:br>
            <a:rPr lang="fr-FR"/>
          </a:br>
          <a:r>
            <a:rPr lang="fr-FR"/>
            <a:t>Je répondrais à toutes les questions ça ne me dérange pas et je te comprends.</a:t>
          </a:r>
          <a:br>
            <a:rPr lang="fr-FR"/>
          </a:br>
          <a:r>
            <a:rPr lang="fr-FR"/>
            <a:t>Pour commencer la feuille ("Devis") sert que de présentation (logo, cordonné entreprise entête, pieds de page, récapitulatif des différents poste et échéancier) tout la partie devis s'incrémente dans le tableau("Tab_Devis") et cette incrémentation ce fait grâce au formulaire ("userformBiblio")</a:t>
          </a:r>
          <a:br>
            <a:rPr lang="fr-FR"/>
          </a:br>
          <a:r>
            <a:rPr lang="fr-FR"/>
            <a:t>Fonctionnement :</a:t>
          </a:r>
          <a:br>
            <a:rPr lang="fr-FR"/>
          </a:br>
          <a:r>
            <a:rPr lang="fr-FR"/>
            <a:t>("userformBiblio") s'ouvre en sélectionnant un client sur le formulaire ("FrmClients") et en cliquant sur Devis.</a:t>
          </a:r>
          <a:br>
            <a:rPr lang="fr-FR"/>
          </a:br>
          <a:r>
            <a:rPr lang="fr-FR"/>
            <a:t>la ("combobox1") me sert à sélectionner le corps d'état qui apparaît dans ("listbox1")</a:t>
          </a:r>
          <a:br>
            <a:rPr lang="fr-FR"/>
          </a:br>
          <a:r>
            <a:rPr lang="fr-FR"/>
            <a:t>sur simple click dans ("listbox1) les taches sont envoyer dans les textbox ou des calculs sont faites.</a:t>
          </a:r>
          <a:br>
            <a:rPr lang="fr-FR"/>
          </a:br>
          <a:r>
            <a:rPr lang="fr-FR"/>
            <a:t>Double click dans ("listbox1") renvois la ligne de tache dans ("Tab_Devis") dans la première cellule vide ("colonne2") et ainsi de suite.</a:t>
          </a:r>
          <a:br>
            <a:rPr lang="fr-FR"/>
          </a:br>
          <a:r>
            <a:rPr lang="fr-FR"/>
            <a:t>Les boutons "modifier" "inserligne" "supprimer" "inser S-TT" me sert a modifier en cas d'erreur sur une simple sélection dans ("listbox3")</a:t>
          </a:r>
          <a:br>
            <a:rPr lang="fr-FR"/>
          </a:br>
          <a:r>
            <a:rPr lang="fr-FR"/>
            <a:t>Concernant les sous-totaux, j'ai mis des msgbox pour obligé certaines manipe, car sinon elle ne pourrait s'exécuter. S-TT est aussi lié a une macro pour surligner en jaune, mais je compte revoir cette macro car elle sélection toute la ligne du classeur au lieu de rester dans le tableau ("Tab_Devis")</a:t>
          </a:r>
          <a:br>
            <a:rPr lang="fr-FR"/>
          </a:br>
          <a:r>
            <a:rPr lang="fr-FR"/>
            <a:t>la ("listbox3") renvois les données de ("Tab_Devis")</a:t>
          </a:r>
          <a:br>
            <a:rPr lang="fr-FR"/>
          </a:br>
          <a:r>
            <a:rPr lang="fr-FR"/>
            <a:t>la ("listbox4") pour l'instant ne fait rien a part afficher les données de ("Devis_Estimatif") je comptais mettre en place des calculs rapide dans la partie multipage mais c'est pas encore décidé sur la méthode a utilisé.</a:t>
          </a:r>
          <a:br>
            <a:rPr lang="fr-FR"/>
          </a:br>
          <a:r>
            <a:rPr lang="fr-FR"/>
            <a:t>Le bouton "enregistrer" me sert à remplir certaine données dans ("BD_Client") dans certaines colonnes du ("tableau3") avec des calculs et prenant en compte des information sur ("BD_ville") pour le N° de devis </a:t>
          </a:r>
          <a:br>
            <a:rPr lang="fr-FR"/>
          </a:br>
          <a:r>
            <a:rPr lang="fr-FR"/>
            <a:t>Elle sert aussi à enregistrer une sauvegarde de la feuille "Devis" format ".xls" dans un classeur Excel définit sur mon ordi (chaque feuille porte le nom de N° de Devis) et aussi en format ".pdf" avec mise en pages automatique, dans un dossier sur mon ordi avec choix du mois. </a:t>
          </a:r>
          <a:br>
            <a:rPr lang="fr-FR"/>
          </a:br>
          <a:r>
            <a:rPr lang="fr-FR"/>
            <a:t>Le bouton "imprimer" pour l'instant ne sert à rien.</a:t>
          </a:r>
          <a:br>
            <a:rPr lang="fr-FR"/>
          </a:br>
          <a:r>
            <a:rPr lang="fr-FR"/>
            <a:t>Le bouton sortir sert à cacher ("UserformBiblio") et activer ("BD_Client") j'ai désactivé volontairement la croix rouge de fermeture d'userform, car si je me rappel j'ai fait ça pour obliger à passer par le bouton sortir et évité un bug au niveau du tableau3 ou des N° Devis ou clients, je me souviens plus trop, mais si je l'ai fait, c'était pour contourner un problème auquel je n'avais pas de solution.</a:t>
          </a:r>
          <a:br>
            <a:rPr lang="fr-FR"/>
          </a:br>
          <a:r>
            <a:rPr lang="fr-FR"/>
            <a:t>Pour info </a:t>
          </a:r>
          <a:br>
            <a:rPr lang="fr-FR"/>
          </a:br>
          <a:r>
            <a:rPr lang="fr-FR"/>
            <a:t>Il y a pas mal de label qui sont dans la bande rouge et qui sont alimenter grâce au formulaire ("FrmClients")</a:t>
          </a:r>
          <a:br>
            <a:rPr lang="fr-FR"/>
          </a:br>
          <a:r>
            <a:rPr lang="fr-FR"/>
            <a:t>j'ai cherché a amélioré au fur et à mesure mon formulaire et c'est pour ça qu'il y a des bouton non utilisé, mais je les garde, car je sais qu'ils vont servir à un moment, j'aurais fait le nettoyage une fois finaliser.</a:t>
          </a:r>
          <a:br>
            <a:rPr lang="fr-FR"/>
          </a:br>
          <a:r>
            <a:rPr lang="fr-FR"/>
            <a:t>Le formulaire ("FrmClients") est un simple formulaire de gestion client qui sert a modifier ou a enregistrer des nouveaux client avec comme source ("BD_Client") ("Tableau3") et le N° clients s'incrémente comme le Devis avec des données sur ("BD_Villes"). La partie gestion des étapes n'est pas vraiment judicieuse, car je ne savais pas comment renvoyer la date d'échéance a la bonne ligne donc je suis passé par un filtre, mais qui oblige des manipe en vba pour la remise en forme du ("tableau3"). </a:t>
          </a:r>
          <a:br>
            <a:rPr lang="fr-FR"/>
          </a:br>
          <a:r>
            <a:rPr lang="fr-FR"/>
            <a:t>En suivant ma logique et mon raisonnement, tu comprends vite pourquoi je suis nul en programmation...(QUE DU BRICOLAGE DE CODE)</a:t>
          </a:r>
          <a:br>
            <a:rPr lang="fr-FR"/>
          </a:br>
          <a:r>
            <a:rPr lang="fr-FR"/>
            <a:t>Voilà, je pense avoir fait le tour, mais si j'ai oublié des choses ou si tu veux d'autres infos, je suis open. merci a plus.</a:t>
          </a:r>
          <a:br>
            <a:rPr lang="fr-FR"/>
          </a:br>
          <a:r>
            <a:rPr lang="fr-FR"/>
            <a:t>oui autre chose ("TextBoxRechCode") et ("TextBoxRechLib") ne sont pas opérationnelles, leurs codes dans l'états ne fonctionne pas. ("textbox11")" coefficient" est liée a Matrice mais je préfère te dire par avance que j'ai l’intention de changer car a l'heur actuel la marge s'ajoute directement dans mes feuilles de corps d'états mais j'aimerais que la marge interagisse directement dans ("Devis").</a:t>
          </a:r>
          <a:endParaRPr lang="fr-FR" sz="1100"/>
        </a:p>
      </xdr:txBody>
    </xdr:sp>
    <xdr:clientData/>
  </xdr:twoCellAnchor>
  <xdr:twoCellAnchor>
    <xdr:from>
      <xdr:col>4</xdr:col>
      <xdr:colOff>333375</xdr:colOff>
      <xdr:row>0</xdr:row>
      <xdr:rowOff>85725</xdr:rowOff>
    </xdr:from>
    <xdr:to>
      <xdr:col>11</xdr:col>
      <xdr:colOff>523875</xdr:colOff>
      <xdr:row>22</xdr:row>
      <xdr:rowOff>114300</xdr:rowOff>
    </xdr:to>
    <xdr:sp macro="" textlink="">
      <xdr:nvSpPr>
        <xdr:cNvPr id="3" name="ZoneTexte 2"/>
        <xdr:cNvSpPr txBox="1"/>
      </xdr:nvSpPr>
      <xdr:spPr>
        <a:xfrm>
          <a:off x="3381375" y="85725"/>
          <a:ext cx="5524500" cy="421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a:t>
          </a:r>
          <a:r>
            <a:rPr lang="fr-FR" sz="1400" baseline="0"/>
            <a:t> Ramsapat, le 05/07/2018</a:t>
          </a:r>
        </a:p>
        <a:p>
          <a:r>
            <a:rPr lang="fr-FR" sz="1100">
              <a:solidFill>
                <a:srgbClr val="FF0000"/>
              </a:solidFill>
              <a:effectLst/>
              <a:latin typeface="+mn-lt"/>
              <a:ea typeface="+mn-ea"/>
              <a:cs typeface="+mn-cs"/>
            </a:rPr>
            <a:t>tu dis Reste à voir les deux autres formulaires et rendre opérationnel "Userformbilio" </a:t>
          </a:r>
          <a:endParaRPr lang="fr-FR" sz="1400">
            <a:solidFill>
              <a:srgbClr val="FF0000"/>
            </a:solidFill>
            <a:effectLst/>
            <a:latin typeface="+mn-lt"/>
            <a:ea typeface="+mn-ea"/>
            <a:cs typeface="+mn-cs"/>
          </a:endParaRPr>
        </a:p>
        <a:p>
          <a:r>
            <a:rPr lang="fr-FR" sz="1400">
              <a:solidFill>
                <a:schemeClr val="dk1"/>
              </a:solidFill>
              <a:effectLst/>
              <a:latin typeface="+mn-lt"/>
              <a:ea typeface="+mn-ea"/>
              <a:cs typeface="+mn-cs"/>
            </a:rPr>
            <a:t>Quel</a:t>
          </a:r>
          <a:r>
            <a:rPr lang="fr-FR" sz="1400" baseline="0">
              <a:solidFill>
                <a:schemeClr val="dk1"/>
              </a:solidFill>
              <a:effectLst/>
              <a:latin typeface="+mn-lt"/>
              <a:ea typeface="+mn-ea"/>
              <a:cs typeface="+mn-cs"/>
            </a:rPr>
            <a:t> formulaire??</a:t>
          </a:r>
        </a:p>
        <a:p>
          <a:endParaRPr lang="fr-FR" sz="1400" baseline="0">
            <a:solidFill>
              <a:schemeClr val="dk1"/>
            </a:solidFill>
            <a:effectLst/>
            <a:latin typeface="+mn-lt"/>
            <a:ea typeface="+mn-ea"/>
            <a:cs typeface="+mn-cs"/>
          </a:endParaRPr>
        </a:p>
        <a:p>
          <a:r>
            <a:rPr lang="fr-FR" sz="1400" baseline="0">
              <a:solidFill>
                <a:srgbClr val="0070C0"/>
              </a:solidFill>
              <a:effectLst/>
              <a:latin typeface="+mn-lt"/>
              <a:ea typeface="+mn-ea"/>
              <a:cs typeface="+mn-cs"/>
            </a:rPr>
            <a:t>Bonjour Pat </a:t>
          </a:r>
        </a:p>
        <a:p>
          <a:r>
            <a:rPr lang="fr-FR" sz="1400" baseline="0">
              <a:solidFill>
                <a:srgbClr val="0070C0"/>
              </a:solidFill>
              <a:effectLst/>
              <a:latin typeface="+mn-lt"/>
              <a:ea typeface="+mn-ea"/>
              <a:cs typeface="+mn-cs"/>
            </a:rPr>
            <a:t>bon alors tu cliques frmclient la tu choisis  un client, tu choisis l'étape devis, et dans choisir svp tu as la liste possible tu cliques sur le devis que tu veux et tu cliques charger</a:t>
          </a:r>
        </a:p>
        <a:p>
          <a:r>
            <a:rPr lang="fr-FR" sz="1400" baseline="0">
              <a:solidFill>
                <a:srgbClr val="0070C0"/>
              </a:solidFill>
              <a:effectLst/>
              <a:latin typeface="+mn-lt"/>
              <a:ea typeface="+mn-ea"/>
              <a:cs typeface="+mn-cs"/>
            </a:rPr>
            <a:t>et tu me redis</a:t>
          </a:r>
        </a:p>
        <a:p>
          <a:r>
            <a:rPr lang="fr-FR" sz="1400" baseline="0">
              <a:solidFill>
                <a:srgbClr val="0070C0"/>
              </a:solidFill>
              <a:effectLst/>
              <a:latin typeface="+mn-lt"/>
              <a:ea typeface="+mn-ea"/>
              <a:cs typeface="+mn-cs"/>
            </a:rPr>
            <a:t>a+</a:t>
          </a:r>
        </a:p>
        <a:p>
          <a:r>
            <a:rPr lang="fr-FR" sz="1400" baseline="0">
              <a:solidFill>
                <a:srgbClr val="0070C0"/>
              </a:solidFill>
              <a:effectLst/>
              <a:latin typeface="+mn-lt"/>
              <a:ea typeface="+mn-ea"/>
              <a:cs typeface="+mn-cs"/>
            </a:rPr>
            <a:t>Papou</a:t>
          </a:r>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8</xdr:row>
          <xdr:rowOff>0</xdr:rowOff>
        </xdr:from>
        <xdr:to>
          <xdr:col>4</xdr:col>
          <xdr:colOff>190500</xdr:colOff>
          <xdr:row>10</xdr:row>
          <xdr:rowOff>0</xdr:rowOff>
        </xdr:to>
        <xdr:sp macro="" textlink="">
          <xdr:nvSpPr>
            <xdr:cNvPr id="21505" name="Bt1" hidden="1">
              <a:extLst>
                <a:ext uri="{63B3BB69-23CF-44E3-9099-C40C66FF867C}">
                  <a14:compatExt spid="_x0000_s21505"/>
                </a:ext>
              </a:extLst>
            </xdr:cNvPr>
            <xdr:cNvSpPr/>
          </xdr:nvSpPr>
          <xdr:spPr>
            <a:xfrm>
              <a:off x="0" y="0"/>
              <a:ext cx="0" cy="0"/>
            </a:xfrm>
            <a:prstGeom prst="rect">
              <a:avLst/>
            </a:prstGeom>
          </xdr:spPr>
        </xdr:sp>
        <xdr:clientData/>
      </xdr:twoCellAnchor>
    </mc:Choice>
    <mc:Fallback/>
  </mc:AlternateContent>
  <xdr:twoCellAnchor>
    <xdr:from>
      <xdr:col>11</xdr:col>
      <xdr:colOff>590550</xdr:colOff>
      <xdr:row>3</xdr:row>
      <xdr:rowOff>161925</xdr:rowOff>
    </xdr:from>
    <xdr:to>
      <xdr:col>19</xdr:col>
      <xdr:colOff>447675</xdr:colOff>
      <xdr:row>27</xdr:row>
      <xdr:rowOff>95250</xdr:rowOff>
    </xdr:to>
    <xdr:sp macro="" textlink="">
      <xdr:nvSpPr>
        <xdr:cNvPr id="4" name="ZoneTexte 3"/>
        <xdr:cNvSpPr txBox="1"/>
      </xdr:nvSpPr>
      <xdr:spPr>
        <a:xfrm>
          <a:off x="8972550" y="733425"/>
          <a:ext cx="5953125" cy="450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regardé et c'est exactement ce que je voulais, mais en mieux , </a:t>
          </a:r>
          <a:br>
            <a:rPr lang="fr-FR"/>
          </a:br>
          <a:r>
            <a:rPr lang="fr-FR"/>
            <a:t>Reste à voir les deux autres formulaires et rendre opérationnel "Userformbilio" , car dans l'état actuel elle ne l'es plus et aussi ce problème de format dans les transferts des données.</a:t>
          </a:r>
          <a:br>
            <a:rPr lang="fr-FR"/>
          </a:br>
          <a:r>
            <a:rPr lang="fr-FR"/>
            <a:t>j'ai vidé un peut le fichier, tu verras, j'ai enlevé des feuil ainsi quelque code inutile voir ce joint.</a:t>
          </a:r>
          <a:br>
            <a:rPr lang="fr-FR"/>
          </a:br>
          <a:r>
            <a:rPr lang="fr-FR"/>
            <a:t>Encore merci pour ton aide.</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12</xdr:row>
          <xdr:rowOff>0</xdr:rowOff>
        </xdr:from>
        <xdr:to>
          <xdr:col>4</xdr:col>
          <xdr:colOff>190500</xdr:colOff>
          <xdr:row>14</xdr:row>
          <xdr:rowOff>0</xdr:rowOff>
        </xdr:to>
        <xdr:sp macro="" textlink="">
          <xdr:nvSpPr>
            <xdr:cNvPr id="21506" name="Bt2"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patrick/Desktop/SOREC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ampatrick/AppData/Roaming/Microsoft/AddIns/NbLettre.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
      <sheetName val="OS"/>
      <sheetName val="LETTRE_AUTORISATION"/>
      <sheetName val="LETTRE_APF"/>
      <sheetName val="Tableau_Dy"/>
      <sheetName val="BD_Client"/>
      <sheetName val="Bd_Villes"/>
      <sheetName val="Matrice"/>
      <sheetName val="BD_Devis"/>
      <sheetName val="Devis"/>
      <sheetName val="MAP"/>
      <sheetName val="Bon_Commande"/>
      <sheetName val="C.Horaire"/>
      <sheetName val="FOURNISSEURS"/>
      <sheetName val="Apro.Chantier"/>
      <sheetName val="Temps.U"/>
      <sheetName val="Sous-Enss"/>
      <sheetName val="Etude-Prix"/>
      <sheetName val="Instalation_Chantier"/>
      <sheetName val="APPEL_DE_FONDS"/>
      <sheetName val="FACTURE"/>
      <sheetName val="Feuil1"/>
      <sheetName val="Feuil3"/>
      <sheetName val="SUIVI CLIENT"/>
      <sheetName val="DEVIS_Estimatif"/>
      <sheetName val="INFRA_PLANCHER"/>
      <sheetName val="Feuil2"/>
      <sheetName val="SUPERSTRUCTURE (2)"/>
      <sheetName val="CLOISON &amp; ETANCH"/>
      <sheetName val="CHARP;COUVERT"/>
      <sheetName val="ADATATION"/>
      <sheetName val="REHAUSSE MUR"/>
      <sheetName val="MENUISERIES"/>
      <sheetName val="OPTION"/>
      <sheetName val="DESCRIPTIF DE BASE"/>
      <sheetName val="DESCRIPTIF OPTION (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F5">
            <v>0.05</v>
          </cell>
          <cell r="G5">
            <v>0.05</v>
          </cell>
          <cell r="H5">
            <v>0</v>
          </cell>
          <cell r="J5" t="str">
            <v>20,0%</v>
          </cell>
        </row>
      </sheetData>
      <sheetData sheetId="8" refreshError="1"/>
      <sheetData sheetId="9">
        <row r="46">
          <cell r="P46">
            <v>444618009945439.25</v>
          </cell>
        </row>
        <row r="51">
          <cell r="P51">
            <v>482410540790801.56</v>
          </cell>
        </row>
      </sheetData>
      <sheetData sheetId="10" refreshError="1"/>
      <sheetData sheetId="11" refreshError="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ow r="122">
          <cell r="O122" t="e">
            <v>#REF!</v>
          </cell>
        </row>
        <row r="127">
          <cell r="O127" t="e">
            <v>#REF!</v>
          </cell>
        </row>
      </sheetData>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NbLettre"/>
    </sheetNames>
    <definedNames>
      <definedName name="ConvNumberLetter"/>
    </definedNames>
    <sheetDataSet>
      <sheetData sheetId="0"/>
      <sheetData sheetId="1" refreshError="1"/>
    </sheetDataSet>
  </externalBook>
</externalLink>
</file>

<file path=xl/tables/table1.xml><?xml version="1.0" encoding="utf-8"?>
<table xmlns="http://schemas.openxmlformats.org/spreadsheetml/2006/main" id="1" name="Tab_Devis" displayName="Tab_Devis" ref="B13:P49" headerRowCount="0" totalsRowShown="0" headerRowDxfId="146" dataDxfId="145">
  <tableColumns count="15">
    <tableColumn id="1" name="Colonne1" headerRowDxfId="144" dataDxfId="143"/>
    <tableColumn id="2" name="Colonne2" headerRowDxfId="142" dataDxfId="141"/>
    <tableColumn id="3" name="Colonne3" headerRowDxfId="140" dataDxfId="139"/>
    <tableColumn id="4" name="Colonne4" headerRowDxfId="138" dataDxfId="137"/>
    <tableColumn id="5" name="Colonne5" headerRowDxfId="136" dataDxfId="135"/>
    <tableColumn id="6" name="Colonne6" headerRowDxfId="134" dataDxfId="133"/>
    <tableColumn id="7" name="Colonne7" headerRowDxfId="132" dataDxfId="131"/>
    <tableColumn id="8" name="Colonne8" headerRowDxfId="130" dataDxfId="129"/>
    <tableColumn id="9" name="Colonne9" headerRowDxfId="128" dataDxfId="127"/>
    <tableColumn id="10" name="Colonne10" headerRowDxfId="126" dataDxfId="125"/>
    <tableColumn id="11" name="Colonne11" headerRowDxfId="124" dataDxfId="123"/>
    <tableColumn id="12" name="Colonne12" headerRowDxfId="122" dataDxfId="121"/>
    <tableColumn id="13" name="Colonne13" headerRowDxfId="120" dataDxfId="119"/>
    <tableColumn id="14" name="Colonne14" headerRowDxfId="118" dataDxfId="117"/>
    <tableColumn id="15" name="Colonne15" headerRowDxfId="116" dataDxfId="115"/>
  </tableColumns>
  <tableStyleInfo name="Style de tableau 2" showFirstColumn="0" showLastColumn="0" showRowStripes="0" showColumnStripes="0"/>
</table>
</file>

<file path=xl/tables/table2.xml><?xml version="1.0" encoding="utf-8"?>
<table xmlns="http://schemas.openxmlformats.org/spreadsheetml/2006/main" id="16" name="Tableau9" displayName="Tableau9" ref="A2:H4" headerRowDxfId="114" totalsRowDxfId="111" headerRowBorderDxfId="113" tableBorderDxfId="112" totalsRowBorderDxfId="110">
  <autoFilter ref="A2:H4"/>
  <tableColumns count="8">
    <tableColumn id="1" name="Code" totalsRowLabel="Total" dataDxfId="109" totalsRowDxfId="108">
      <calculatedColumnFormula>'Etude-Prix'!B17</calculatedColumnFormula>
    </tableColumn>
    <tableColumn id="2" name="Libellé" dataDxfId="107" totalsRowDxfId="106">
      <calculatedColumnFormula>'Etude-Prix'!$B$19</calculatedColumnFormula>
    </tableColumn>
    <tableColumn id="3" name="Unité" dataDxfId="105" totalsRowDxfId="104"/>
    <tableColumn id="4" name="Temps unitaire moyen" dataDxfId="103" totalsRowDxfId="102">
      <calculatedColumnFormula>'Etude-Prix'!D23</calculatedColumnFormula>
    </tableColumn>
    <tableColumn id="5" name="Main d'oeuvre" dataDxfId="101" totalsRowDxfId="100" dataCellStyle="Milliers">
      <calculatedColumnFormula>C.Horaire!$C$13</calculatedColumnFormula>
    </tableColumn>
    <tableColumn id="6" name="Matériaux" dataDxfId="99" totalsRowDxfId="98" dataCellStyle="Milliers">
      <calculatedColumnFormula>SUM('Etude-Prix'!F20:F23)</calculatedColumnFormula>
    </tableColumn>
    <tableColumn id="7" name="Prix de revient" dataDxfId="97" totalsRowDxfId="96">
      <calculatedColumnFormula>((E3*D3)+F3)*FDF+(E3*D3)+F3</calculatedColumnFormula>
    </tableColumn>
    <tableColumn id="8" name="Prix de vente hors taxe" totalsRowFunction="sum" dataDxfId="95" totalsRowDxfId="94">
      <calculatedColumnFormula>G3*BENEF+G3</calculatedColumnFormula>
    </tableColumn>
  </tableColumns>
  <tableStyleInfo name="Style de tableau 1" showFirstColumn="0" showLastColumn="0" showRowStripes="0" showColumnStripes="0"/>
</table>
</file>

<file path=xl/tables/table3.xml><?xml version="1.0" encoding="utf-8"?>
<table xmlns="http://schemas.openxmlformats.org/spreadsheetml/2006/main" id="17" name="Tableau10" displayName="Tableau10" ref="A9:H16" totalsRowShown="0" headerRowDxfId="93" dataDxfId="91" headerRowBorderDxfId="92" tableBorderDxfId="90" totalsRowBorderDxfId="89">
  <autoFilter ref="A9:H16"/>
  <tableColumns count="8">
    <tableColumn id="1" name="Code" dataDxfId="88"/>
    <tableColumn id="2" name="Libellé" dataDxfId="87"/>
    <tableColumn id="3" name="Unité" dataDxfId="86"/>
    <tableColumn id="4" name="Temps unitaire moyen" dataDxfId="85"/>
    <tableColumn id="5" name="Main d'oeuvre" dataDxfId="84" dataCellStyle="Milliers">
      <calculatedColumnFormula>C.Horaire!$C$13</calculatedColumnFormula>
    </tableColumn>
    <tableColumn id="6" name="Matériaux" dataDxfId="83"/>
    <tableColumn id="7" name="Prix de revient" dataDxfId="82">
      <calculatedColumnFormula>((E10*D10)+F10)*FDF+(E10*D10)+F10</calculatedColumnFormula>
    </tableColumn>
    <tableColumn id="8" name="Prix de vente hors taxe" dataDxfId="81">
      <calculatedColumnFormula>G10*BENEF+G10</calculatedColumnFormula>
    </tableColumn>
  </tableColumns>
  <tableStyleInfo name="Style de tableau 1" showFirstColumn="0" showLastColumn="0" showRowStripes="0" showColumnStripes="0"/>
</table>
</file>

<file path=xl/tables/table4.xml><?xml version="1.0" encoding="utf-8"?>
<table xmlns="http://schemas.openxmlformats.org/spreadsheetml/2006/main" id="18" name="Tableau11" displayName="Tableau11" ref="A22:H26" totalsRowShown="0" headerRowDxfId="80" headerRowBorderDxfId="79" tableBorderDxfId="78" totalsRowBorderDxfId="77">
  <autoFilter ref="A22:H26"/>
  <tableColumns count="8">
    <tableColumn id="1" name="Code" dataDxfId="76"/>
    <tableColumn id="2" name="Libellé" dataDxfId="75"/>
    <tableColumn id="3" name="Unité" dataDxfId="74"/>
    <tableColumn id="4" name="Temps unitaire moyen" dataDxfId="73"/>
    <tableColumn id="5" name="Main d'oeuvre" dataDxfId="72" dataCellStyle="Milliers">
      <calculatedColumnFormula>C.Horaire!$C$13</calculatedColumnFormula>
    </tableColumn>
    <tableColumn id="6" name="Matériaux" dataDxfId="71" dataCellStyle="Milliers"/>
    <tableColumn id="7" name="Prix de revient" dataDxfId="70">
      <calculatedColumnFormula>((E23*D23)+F23)*FDF+(E23*D23)+F23</calculatedColumnFormula>
    </tableColumn>
    <tableColumn id="8" name="Prix de vente hors taxe" dataDxfId="69">
      <calculatedColumnFormula>G23*BENEF+G23</calculatedColumnFormula>
    </tableColumn>
  </tableColumns>
  <tableStyleInfo name="Style de tableau 1" showFirstColumn="0" showLastColumn="0" showRowStripes="1" showColumnStripes="0"/>
</table>
</file>

<file path=xl/tables/table5.xml><?xml version="1.0" encoding="utf-8"?>
<table xmlns="http://schemas.openxmlformats.org/spreadsheetml/2006/main" id="19" name="Tableau12" displayName="Tableau12" ref="A32:H40" totalsRowShown="0" dataDxfId="68">
  <autoFilter ref="A32:H40"/>
  <tableColumns count="8">
    <tableColumn id="1" name="Code" dataDxfId="67"/>
    <tableColumn id="2" name="Libellé" dataDxfId="66"/>
    <tableColumn id="3" name="Unité" dataDxfId="65"/>
    <tableColumn id="4" name="Temps unitaire moyen" dataDxfId="64"/>
    <tableColumn id="5" name="Main d'oeuvre" dataDxfId="63" dataCellStyle="Milliers">
      <calculatedColumnFormula>C.Horaire!$C$13</calculatedColumnFormula>
    </tableColumn>
    <tableColumn id="6" name="Matériaux" dataDxfId="62"/>
    <tableColumn id="7" name="Prix de revient" dataDxfId="61">
      <calculatedColumnFormula>((E33*D33)+F33)*FDF+(E33*D33)+F33</calculatedColumnFormula>
    </tableColumn>
    <tableColumn id="8" name="Prix de vente hors taxe" dataDxfId="60">
      <calculatedColumnFormula>G33*BENEF+G33</calculatedColumnFormula>
    </tableColumn>
  </tableColumns>
  <tableStyleInfo name="Style de tableau 4" showFirstColumn="0" showLastColumn="0" showRowStripes="1" showColumnStripes="0"/>
</table>
</file>

<file path=xl/tables/table6.xml><?xml version="1.0" encoding="utf-8"?>
<table xmlns="http://schemas.openxmlformats.org/spreadsheetml/2006/main" id="20" name="Tableau13" displayName="Tableau13" ref="A47:H58" totalsRowShown="0" dataDxfId="59">
  <autoFilter ref="A47:H58"/>
  <tableColumns count="8">
    <tableColumn id="1" name="Code" dataDxfId="58"/>
    <tableColumn id="2" name="Libellé" dataDxfId="57"/>
    <tableColumn id="3" name="Unité" dataDxfId="56"/>
    <tableColumn id="4" name="Temps unitaire moyen" dataDxfId="55"/>
    <tableColumn id="5" name="Main d'oeuvre" dataDxfId="54" dataCellStyle="Milliers">
      <calculatedColumnFormula>C.Horaire!$C$13</calculatedColumnFormula>
    </tableColumn>
    <tableColumn id="6" name="Matériaux" dataDxfId="53"/>
    <tableColumn id="7" name="Prix de revient" dataDxfId="52">
      <calculatedColumnFormula>((E48*D48)+F48)*FDF+(E48*D48)+F48</calculatedColumnFormula>
    </tableColumn>
    <tableColumn id="8" name="Prix de vente hors taxe" dataDxfId="51">
      <calculatedColumnFormula>G48*BENEF+G48</calculatedColumnFormula>
    </tableColumn>
  </tableColumns>
  <tableStyleInfo name="Style de tableau 4" showFirstColumn="0" showLastColumn="0" showRowStripes="0" showColumnStripes="0"/>
</table>
</file>

<file path=xl/tables/table7.xml><?xml version="1.0" encoding="utf-8"?>
<table xmlns="http://schemas.openxmlformats.org/spreadsheetml/2006/main" id="21" name="Tableau14" displayName="Tableau14" ref="A64:H66" totalsRowShown="0">
  <autoFilter ref="A64:H66"/>
  <tableColumns count="8">
    <tableColumn id="1" name="Code" dataDxfId="50">
      <calculatedColumnFormula>'Etude-Prix'!$B$363</calculatedColumnFormula>
    </tableColumn>
    <tableColumn id="2" name="Libellé">
      <calculatedColumnFormula>'Etude-Prix'!$B$364</calculatedColumnFormula>
    </tableColumn>
    <tableColumn id="3" name="Unité" dataDxfId="49"/>
    <tableColumn id="4" name="Temps unitaire moyen">
      <calculatedColumnFormula>'Etude-Prix'!$D$367</calculatedColumnFormula>
    </tableColumn>
    <tableColumn id="5" name="Main d'oeuvre" dataDxfId="48" dataCellStyle="Milliers">
      <calculatedColumnFormula>C.Horaire!$C$13</calculatedColumnFormula>
    </tableColumn>
    <tableColumn id="6" name="Matériaux" dataDxfId="47" dataCellStyle="Milliers">
      <calculatedColumnFormula>SUM('Etude-Prix'!$F$366)</calculatedColumnFormula>
    </tableColumn>
    <tableColumn id="7" name="Prix de revient" dataDxfId="46">
      <calculatedColumnFormula>((E65*D65)+F65)*FDF+(E65*D65)+F65</calculatedColumnFormula>
    </tableColumn>
    <tableColumn id="8" name="Prix de vente hors taxe" dataDxfId="45">
      <calculatedColumnFormula>G65*BENEF+G65</calculatedColumnFormula>
    </tableColumn>
  </tableColumns>
  <tableStyleInfo name="Style de tableau 4" showFirstColumn="0" showLastColumn="0" showRowStripes="0" showColumnStripes="0"/>
</table>
</file>

<file path=xl/tables/table8.xml><?xml version="1.0" encoding="utf-8"?>
<table xmlns="http://schemas.openxmlformats.org/spreadsheetml/2006/main" id="22" name="Tableau15" displayName="Tableau15" ref="A72:H75" totalsRowShown="0">
  <autoFilter ref="A72:H75"/>
  <tableColumns count="8">
    <tableColumn id="1" name="Code" dataDxfId="44"/>
    <tableColumn id="2" name="Libellé"/>
    <tableColumn id="3" name="Unité" dataDxfId="43"/>
    <tableColumn id="4" name="Temps unitaire moyen"/>
    <tableColumn id="5" name="Main d'oeuvre"/>
    <tableColumn id="6" name="Matériaux" dataDxfId="42" dataCellStyle="Milliers"/>
    <tableColumn id="7" name="Prix de revient" dataDxfId="41"/>
    <tableColumn id="8" name="Prix de vente hors taxe" dataDxfId="40"/>
  </tableColumns>
  <tableStyleInfo name="Style de tableau 4" showFirstColumn="0" showLastColumn="0" showRowStripes="0" showColumnStripes="0"/>
</table>
</file>

<file path=xl/tables/table9.xml><?xml version="1.0" encoding="utf-8"?>
<table xmlns="http://schemas.openxmlformats.org/spreadsheetml/2006/main" id="23" name="Tableau16" displayName="Tableau16" ref="A79:H83" totalsRowShown="0">
  <autoFilter ref="A79:H83"/>
  <tableColumns count="8">
    <tableColumn id="1" name="Code" dataDxfId="39"/>
    <tableColumn id="2" name="Libellé"/>
    <tableColumn id="3" name="Unité" dataDxfId="38"/>
    <tableColumn id="4" name="Temps unitaire moyen"/>
    <tableColumn id="5" name="Main d'oeuvre" dataDxfId="37" dataCellStyle="Milliers">
      <calculatedColumnFormula>C.Horaire!$C$13</calculatedColumnFormula>
    </tableColumn>
    <tableColumn id="6" name="Matériaux"/>
    <tableColumn id="7" name="Prix de revient" dataDxfId="36">
      <calculatedColumnFormula>((E80*D80)+F80)*FDF+(E80*D80)+F80</calculatedColumnFormula>
    </tableColumn>
    <tableColumn id="8" name="Prix de vente hors taxe" dataDxfId="35">
      <calculatedColumnFormula>G80*BENEF+G80</calculatedColumnFormula>
    </tableColumn>
  </tableColumns>
  <tableStyleInfo name="Style de tableau 4" showFirstColumn="0" showLastColumn="0" showRowStripes="0" showColumnStripes="0"/>
</table>
</file>

<file path=xl/tables/table10.xml><?xml version="1.0" encoding="utf-8"?>
<table xmlns="http://schemas.openxmlformats.org/spreadsheetml/2006/main" id="24" name="Tableau17" displayName="Tableau17" ref="A89:H94" totalsRowShown="0" dataDxfId="34">
  <autoFilter ref="A89:H94"/>
  <tableColumns count="8">
    <tableColumn id="1" name="Code" dataDxfId="33"/>
    <tableColumn id="2" name="Libellé" dataDxfId="32"/>
    <tableColumn id="3" name="Unité" dataDxfId="31"/>
    <tableColumn id="4" name="Temps unitaire moyen" dataDxfId="30"/>
    <tableColumn id="5" name="Main d'oeuvre" dataDxfId="29" dataCellStyle="Milliers">
      <calculatedColumnFormula>C.Horaire!$C$13</calculatedColumnFormula>
    </tableColumn>
    <tableColumn id="6" name="Matériaux" dataDxfId="28"/>
    <tableColumn id="7" name="Prix de revient" dataDxfId="27">
      <calculatedColumnFormula>((E90*D90)+F90)*FDF+(E90*D90)+F90</calculatedColumnFormula>
    </tableColumn>
    <tableColumn id="8" name="Prix de vente hors taxe" dataDxfId="26">
      <calculatedColumnFormula>G90*BENEF+G90</calculatedColumnFormula>
    </tableColumn>
  </tableColumns>
  <tableStyleInfo name="Style de tableau 4" showFirstColumn="0" showLastColumn="0" showRowStripes="0" showColumnStripes="0"/>
</table>
</file>

<file path=xl/tables/table11.xml><?xml version="1.0" encoding="utf-8"?>
<table xmlns="http://schemas.openxmlformats.org/spreadsheetml/2006/main" id="25" name="Tableau18" displayName="Tableau18" ref="A98:H99" totalsRowShown="0">
  <autoFilter ref="A98:H99"/>
  <tableColumns count="8">
    <tableColumn id="1" name="Code" dataDxfId="25">
      <calculatedColumnFormula>'Etude-Prix'!$B$422</calculatedColumnFormula>
    </tableColumn>
    <tableColumn id="2" name="Libellé" dataDxfId="24">
      <calculatedColumnFormula>'Etude-Prix'!$B$476</calculatedColumnFormula>
    </tableColumn>
    <tableColumn id="3" name="Unité" dataDxfId="23"/>
    <tableColumn id="4" name="Temps unitaire moyen" dataDxfId="22">
      <calculatedColumnFormula>'Etude-Prix'!$D$484</calculatedColumnFormula>
    </tableColumn>
    <tableColumn id="5" name="Main d'oeuvre" dataDxfId="21" dataCellStyle="Milliers">
      <calculatedColumnFormula>C.Horaire!$C$13</calculatedColumnFormula>
    </tableColumn>
    <tableColumn id="6" name="Matériaux" dataDxfId="20" dataCellStyle="Milliers">
      <calculatedColumnFormula>SUM('Etude-Prix'!$F$478:$F$483)</calculatedColumnFormula>
    </tableColumn>
    <tableColumn id="7" name="Prix de revient" dataDxfId="19">
      <calculatedColumnFormula>((E99*D99)+F99)*FDF+(E99*D99)+F99</calculatedColumnFormula>
    </tableColumn>
    <tableColumn id="8" name="Prix de vente hors taxe" dataDxfId="18">
      <calculatedColumnFormula>G99*BENEF+G99</calculatedColumnFormula>
    </tableColumn>
  </tableColumns>
  <tableStyleInfo name="Style de tableau 4" showFirstColumn="0" showLastColumn="0" showRowStripes="0" showColumnStripes="0"/>
</table>
</file>

<file path=xl/tables/table12.xml><?xml version="1.0" encoding="utf-8"?>
<table xmlns="http://schemas.openxmlformats.org/spreadsheetml/2006/main" id="26" name="Tableau20" displayName="Tableau20" ref="A125:H128" totalsRowShown="0">
  <autoFilter ref="A125:H128"/>
  <tableColumns count="8">
    <tableColumn id="1" name="Code" dataDxfId="17"/>
    <tableColumn id="2" name="Libellé"/>
    <tableColumn id="3" name="Unité" dataDxfId="16"/>
    <tableColumn id="4" name="Temps unitaire moyen"/>
    <tableColumn id="5" name="Main d'oeuvre" dataDxfId="15" dataCellStyle="Milliers">
      <calculatedColumnFormula>C.Horaire!$C$13</calculatedColumnFormula>
    </tableColumn>
    <tableColumn id="6" name="Matériaux"/>
    <tableColumn id="7" name="Prix de revient" dataDxfId="14">
      <calculatedColumnFormula>((E126*D126)+F126)*FDF+(E126*D126)+F126</calculatedColumnFormula>
    </tableColumn>
    <tableColumn id="8" name="Prix de vente hors taxe" dataDxfId="13">
      <calculatedColumnFormula>G126*BENEF+G126</calculatedColumnFormula>
    </tableColumn>
  </tableColumns>
  <tableStyleInfo name="Style de tableau 4" showFirstColumn="0" showLastColumn="0" showRowStripes="0" showColumnStripes="0"/>
</table>
</file>

<file path=xl/tables/table13.xml><?xml version="1.0" encoding="utf-8"?>
<table xmlns="http://schemas.openxmlformats.org/spreadsheetml/2006/main" id="27" name="Tableau19" displayName="Tableau19" ref="A105:H120" totalsRowShown="0">
  <autoFilter ref="A105:H120"/>
  <tableColumns count="8">
    <tableColumn id="1" name="Code" dataDxfId="12"/>
    <tableColumn id="2" name="Libellé" dataDxfId="11"/>
    <tableColumn id="3" name="Unité" dataDxfId="10"/>
    <tableColumn id="4" name="Temps unitaire moyen" dataDxfId="9"/>
    <tableColumn id="5" name="Main d'oeuvre" dataDxfId="8" dataCellStyle="Milliers">
      <calculatedColumnFormula>C.Horaire!$C$13</calculatedColumnFormula>
    </tableColumn>
    <tableColumn id="6" name="Matériaux" dataDxfId="7" dataCellStyle="Milliers"/>
    <tableColumn id="7" name="Prix de revient" dataDxfId="6">
      <calculatedColumnFormula>((E106*D106)+F106)*FDF+(E106*D106)+F106</calculatedColumnFormula>
    </tableColumn>
    <tableColumn id="8" name="Prix de vente hors taxe" dataDxfId="5">
      <calculatedColumnFormula>G106*BENEF+G106</calculatedColumnFormula>
    </tableColumn>
  </tableColumns>
  <tableStyleInfo name="Style de tableau 4"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image" Target="../media/image4.png"/><Relationship Id="rId1" Type="http://schemas.openxmlformats.org/officeDocument/2006/relationships/printerSettings" Target="../printerSettings/printerSettings12.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4.vml"/><Relationship Id="rId1" Type="http://schemas.openxmlformats.org/officeDocument/2006/relationships/drawing" Target="../drawings/drawing9.xml"/><Relationship Id="rId6" Type="http://schemas.openxmlformats.org/officeDocument/2006/relationships/image" Target="../media/image8.emf"/><Relationship Id="rId5" Type="http://schemas.openxmlformats.org/officeDocument/2006/relationships/control" Target="../activeX/activeX2.xml"/><Relationship Id="rId4" Type="http://schemas.openxmlformats.org/officeDocument/2006/relationships/image" Target="../media/image7.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E1048523"/>
  <sheetViews>
    <sheetView zoomScale="75" zoomScaleNormal="75" workbookViewId="0">
      <selection activeCell="A6" sqref="A6:P6"/>
    </sheetView>
  </sheetViews>
  <sheetFormatPr baseColWidth="10" defaultRowHeight="16.5"/>
  <cols>
    <col min="1" max="4" width="11.7109375" style="68" customWidth="1"/>
    <col min="5" max="5" width="11.7109375" style="805" customWidth="1"/>
    <col min="6" max="16" width="11.7109375" style="68" customWidth="1"/>
    <col min="21" max="21" width="5.28515625" customWidth="1"/>
    <col min="58" max="16384" width="11.42578125" style="68"/>
  </cols>
  <sheetData>
    <row r="1" spans="1:16">
      <c r="A1" s="1173" t="s">
        <v>1264</v>
      </c>
      <c r="B1" s="1174" t="s">
        <v>1025</v>
      </c>
      <c r="C1" s="1174" t="s">
        <v>1367</v>
      </c>
      <c r="D1" s="1174" t="s">
        <v>268</v>
      </c>
      <c r="E1" s="1174" t="s">
        <v>1027</v>
      </c>
      <c r="F1" s="1174" t="s">
        <v>1026</v>
      </c>
      <c r="G1" s="1174" t="s">
        <v>1210</v>
      </c>
      <c r="H1" s="1174" t="s">
        <v>1211</v>
      </c>
      <c r="I1" s="1174" t="s">
        <v>1028</v>
      </c>
      <c r="J1" s="1174" t="s">
        <v>1368</v>
      </c>
      <c r="K1" s="1174" t="s">
        <v>1212</v>
      </c>
      <c r="L1" s="1174" t="s">
        <v>1029</v>
      </c>
      <c r="M1" s="1174" t="s">
        <v>1030</v>
      </c>
      <c r="N1" s="1174" t="s">
        <v>1213</v>
      </c>
      <c r="O1" s="1174" t="s">
        <v>1214</v>
      </c>
      <c r="P1" s="1174" t="s">
        <v>1216</v>
      </c>
    </row>
    <row r="2" spans="1:16">
      <c r="A2" s="1175" t="s">
        <v>1265</v>
      </c>
      <c r="B2" s="1176" t="s">
        <v>1236</v>
      </c>
      <c r="C2" s="1176" t="s">
        <v>1237</v>
      </c>
      <c r="D2" s="1176" t="s">
        <v>1238</v>
      </c>
      <c r="E2" s="1177">
        <v>97400</v>
      </c>
      <c r="F2" s="1176" t="s">
        <v>948</v>
      </c>
      <c r="G2" s="1176">
        <v>693826382</v>
      </c>
      <c r="H2" s="1176" t="s">
        <v>1239</v>
      </c>
      <c r="I2" s="1176" t="s">
        <v>1240</v>
      </c>
      <c r="J2" s="1176" t="s">
        <v>948</v>
      </c>
      <c r="K2" s="1176" t="s">
        <v>1241</v>
      </c>
      <c r="L2" s="1176">
        <v>540</v>
      </c>
      <c r="M2" s="1176" t="s">
        <v>1266</v>
      </c>
      <c r="N2" s="1178">
        <v>42907</v>
      </c>
      <c r="O2" s="1176" t="s">
        <v>1222</v>
      </c>
      <c r="P2" s="1176" t="s">
        <v>1269</v>
      </c>
    </row>
    <row r="3" spans="1:16">
      <c r="A3" s="1179" t="s">
        <v>1242</v>
      </c>
      <c r="B3" s="1180" t="s">
        <v>1243</v>
      </c>
      <c r="C3" s="1181" t="s">
        <v>1244</v>
      </c>
      <c r="D3" s="1181" t="s">
        <v>1268</v>
      </c>
      <c r="E3" s="1182">
        <v>97460</v>
      </c>
      <c r="F3" s="1181" t="s">
        <v>982</v>
      </c>
      <c r="G3" s="1181">
        <v>692589547</v>
      </c>
      <c r="H3" s="1181" t="s">
        <v>1245</v>
      </c>
      <c r="I3" s="1181" t="s">
        <v>1246</v>
      </c>
      <c r="J3" s="1181" t="s">
        <v>950</v>
      </c>
      <c r="K3" s="1181" t="s">
        <v>1247</v>
      </c>
      <c r="L3" s="1181">
        <v>400</v>
      </c>
      <c r="M3" s="1181" t="s">
        <v>1267</v>
      </c>
      <c r="N3" s="1183">
        <v>42542</v>
      </c>
      <c r="O3" s="1181" t="s">
        <v>1228</v>
      </c>
      <c r="P3" s="1181"/>
    </row>
    <row r="4" spans="1:16">
      <c r="A4" s="1184" t="s">
        <v>1263</v>
      </c>
      <c r="B4" s="1176" t="s">
        <v>1248</v>
      </c>
      <c r="C4" s="1176" t="s">
        <v>1249</v>
      </c>
      <c r="D4" s="1176" t="s">
        <v>1238</v>
      </c>
      <c r="E4" s="1177">
        <v>97440</v>
      </c>
      <c r="F4" s="1176" t="s">
        <v>978</v>
      </c>
      <c r="G4" s="1177">
        <v>692156074</v>
      </c>
      <c r="H4" s="1176" t="s">
        <v>1250</v>
      </c>
      <c r="I4" s="1176" t="s">
        <v>1251</v>
      </c>
      <c r="J4" s="1176" t="s">
        <v>1252</v>
      </c>
      <c r="K4" s="1176" t="s">
        <v>1254</v>
      </c>
      <c r="L4" s="1177">
        <v>500</v>
      </c>
      <c r="M4" s="1176" t="s">
        <v>1253</v>
      </c>
      <c r="N4" s="1178">
        <v>43141</v>
      </c>
      <c r="O4" s="1176" t="s">
        <v>1225</v>
      </c>
      <c r="P4" s="1176" t="s">
        <v>944</v>
      </c>
    </row>
    <row r="5" spans="1:16">
      <c r="A5" s="1179" t="s">
        <v>1318</v>
      </c>
      <c r="B5" s="1181" t="s">
        <v>1256</v>
      </c>
      <c r="C5" s="1181" t="s">
        <v>1257</v>
      </c>
      <c r="D5" s="1181" t="s">
        <v>1255</v>
      </c>
      <c r="E5" s="1182">
        <v>97450</v>
      </c>
      <c r="F5" s="1181" t="s">
        <v>981</v>
      </c>
      <c r="G5" s="1182">
        <v>692727287</v>
      </c>
      <c r="H5" s="1181" t="s">
        <v>1258</v>
      </c>
      <c r="I5" s="1181" t="s">
        <v>1259</v>
      </c>
      <c r="J5" s="1181" t="s">
        <v>975</v>
      </c>
      <c r="K5" s="1181" t="s">
        <v>1260</v>
      </c>
      <c r="L5" s="1181">
        <v>600</v>
      </c>
      <c r="M5" s="1181" t="s">
        <v>1261</v>
      </c>
      <c r="N5" s="1183">
        <v>41812</v>
      </c>
      <c r="O5" s="1181" t="s">
        <v>1228</v>
      </c>
      <c r="P5" s="1181" t="s">
        <v>944</v>
      </c>
    </row>
    <row r="6" spans="1:16">
      <c r="A6" s="1184" t="s">
        <v>1312</v>
      </c>
      <c r="B6" s="1176" t="s">
        <v>1274</v>
      </c>
      <c r="C6" s="1176" t="s">
        <v>1275</v>
      </c>
      <c r="D6" s="1176" t="s">
        <v>1276</v>
      </c>
      <c r="E6" s="1177">
        <v>97450</v>
      </c>
      <c r="F6" s="1176" t="s">
        <v>981</v>
      </c>
      <c r="G6" s="1176">
        <v>693584612</v>
      </c>
      <c r="H6" s="1176" t="s">
        <v>1277</v>
      </c>
      <c r="I6" s="1176" t="s">
        <v>1278</v>
      </c>
      <c r="J6" s="1176" t="s">
        <v>982</v>
      </c>
      <c r="K6" s="1176" t="s">
        <v>1279</v>
      </c>
      <c r="L6" s="1176">
        <v>600</v>
      </c>
      <c r="M6" s="1176" t="s">
        <v>1280</v>
      </c>
      <c r="N6" s="1178">
        <v>42492</v>
      </c>
      <c r="O6" s="1176" t="s">
        <v>1224</v>
      </c>
      <c r="P6" s="1176"/>
    </row>
    <row r="7" spans="1:16">
      <c r="A7" s="1179" t="s">
        <v>1294</v>
      </c>
      <c r="B7" s="1181" t="s">
        <v>1236</v>
      </c>
      <c r="C7" s="1181" t="s">
        <v>1281</v>
      </c>
      <c r="D7" s="1181" t="s">
        <v>1282</v>
      </c>
      <c r="E7" s="1182">
        <v>97440</v>
      </c>
      <c r="F7" s="1181" t="s">
        <v>978</v>
      </c>
      <c r="G7" s="1182">
        <v>692747641</v>
      </c>
      <c r="H7" s="1181" t="s">
        <v>1283</v>
      </c>
      <c r="I7" s="1181" t="s">
        <v>1284</v>
      </c>
      <c r="J7" s="1181" t="s">
        <v>972</v>
      </c>
      <c r="K7" s="1180" t="s">
        <v>1285</v>
      </c>
      <c r="L7" s="1180">
        <v>650</v>
      </c>
      <c r="M7" s="1181" t="s">
        <v>1286</v>
      </c>
      <c r="N7" s="1183">
        <v>43079</v>
      </c>
      <c r="O7" s="1181" t="s">
        <v>1224</v>
      </c>
      <c r="P7" s="1181" t="s">
        <v>1331</v>
      </c>
    </row>
    <row r="8" spans="1:16">
      <c r="A8" s="1184" t="s">
        <v>1293</v>
      </c>
      <c r="B8" s="1176" t="s">
        <v>1287</v>
      </c>
      <c r="C8" s="1176" t="s">
        <v>1288</v>
      </c>
      <c r="D8" s="1176" t="s">
        <v>1289</v>
      </c>
      <c r="E8" s="1177">
        <v>97440</v>
      </c>
      <c r="F8" s="1176" t="s">
        <v>978</v>
      </c>
      <c r="G8" s="1177">
        <v>692727283</v>
      </c>
      <c r="H8" s="1176" t="s">
        <v>1292</v>
      </c>
      <c r="I8" s="1176" t="s">
        <v>1290</v>
      </c>
      <c r="J8" s="1176" t="s">
        <v>978</v>
      </c>
      <c r="K8" s="1176" t="s">
        <v>1291</v>
      </c>
      <c r="L8" s="1177">
        <v>750</v>
      </c>
      <c r="M8" s="1176" t="s">
        <v>1274</v>
      </c>
      <c r="N8" s="1178">
        <v>43006</v>
      </c>
      <c r="O8" s="1176" t="s">
        <v>1223</v>
      </c>
      <c r="P8" s="1176" t="s">
        <v>1330</v>
      </c>
    </row>
    <row r="9" spans="1:16">
      <c r="A9" s="1179" t="s">
        <v>1319</v>
      </c>
      <c r="B9" s="1181" t="s">
        <v>1295</v>
      </c>
      <c r="C9" s="1181" t="s">
        <v>1296</v>
      </c>
      <c r="D9" s="1181" t="s">
        <v>1297</v>
      </c>
      <c r="E9" s="1182">
        <v>97460</v>
      </c>
      <c r="F9" s="1181" t="s">
        <v>982</v>
      </c>
      <c r="G9" s="1182">
        <v>698452531</v>
      </c>
      <c r="H9" s="1181" t="s">
        <v>1298</v>
      </c>
      <c r="I9" s="1181" t="s">
        <v>1299</v>
      </c>
      <c r="J9" s="1181" t="s">
        <v>949</v>
      </c>
      <c r="K9" s="1181" t="s">
        <v>1300</v>
      </c>
      <c r="L9" s="1182">
        <v>252</v>
      </c>
      <c r="M9" s="1181" t="s">
        <v>1301</v>
      </c>
      <c r="N9" s="1183">
        <v>43242</v>
      </c>
      <c r="O9" s="1181" t="s">
        <v>1222</v>
      </c>
      <c r="P9" s="1181" t="s">
        <v>1317</v>
      </c>
    </row>
    <row r="10" spans="1:16">
      <c r="A10" s="1184" t="s">
        <v>1307</v>
      </c>
      <c r="B10" s="1176" t="s">
        <v>1248</v>
      </c>
      <c r="C10" s="1176" t="s">
        <v>1302</v>
      </c>
      <c r="D10" s="1176" t="s">
        <v>1306</v>
      </c>
      <c r="E10" s="1177">
        <v>97410</v>
      </c>
      <c r="F10" s="1176" t="s">
        <v>1365</v>
      </c>
      <c r="G10" s="1176">
        <v>692156073</v>
      </c>
      <c r="H10" s="1176" t="s">
        <v>1303</v>
      </c>
      <c r="I10" s="1176">
        <v>753951</v>
      </c>
      <c r="J10" s="1176" t="s">
        <v>958</v>
      </c>
      <c r="K10" s="1176" t="s">
        <v>1304</v>
      </c>
      <c r="L10" s="1176">
        <v>1000</v>
      </c>
      <c r="M10" s="1176" t="s">
        <v>1305</v>
      </c>
      <c r="N10" s="1178">
        <v>43309</v>
      </c>
      <c r="O10" s="1176" t="s">
        <v>1224</v>
      </c>
      <c r="P10" s="1176" t="s">
        <v>1314</v>
      </c>
    </row>
    <row r="11" spans="1:16">
      <c r="A11" s="1179" t="s">
        <v>1320</v>
      </c>
      <c r="B11" s="1181" t="s">
        <v>1248</v>
      </c>
      <c r="C11" s="1181" t="s">
        <v>1281</v>
      </c>
      <c r="D11" s="1181" t="s">
        <v>1308</v>
      </c>
      <c r="E11" s="1182">
        <v>97450</v>
      </c>
      <c r="F11" s="1181" t="s">
        <v>981</v>
      </c>
      <c r="G11" s="1181">
        <v>692303136</v>
      </c>
      <c r="H11" s="1181" t="s">
        <v>1309</v>
      </c>
      <c r="I11" s="1181">
        <v>6927430</v>
      </c>
      <c r="J11" s="1181" t="s">
        <v>958</v>
      </c>
      <c r="K11" s="1180" t="s">
        <v>1310</v>
      </c>
      <c r="L11" s="1180">
        <v>500</v>
      </c>
      <c r="M11" s="1181" t="s">
        <v>1311</v>
      </c>
      <c r="N11" s="1183">
        <v>43309</v>
      </c>
      <c r="O11" s="1181" t="s">
        <v>1224</v>
      </c>
      <c r="P11" s="1181" t="s">
        <v>1315</v>
      </c>
    </row>
    <row r="12" spans="1:16">
      <c r="A12" s="1184" t="s">
        <v>1353</v>
      </c>
      <c r="B12" s="1176" t="s">
        <v>1248</v>
      </c>
      <c r="C12" s="1176" t="s">
        <v>1302</v>
      </c>
      <c r="D12" s="1176">
        <v>6874</v>
      </c>
      <c r="E12" s="1177">
        <v>97440</v>
      </c>
      <c r="F12" s="1176" t="s">
        <v>1238</v>
      </c>
      <c r="G12" s="1176">
        <v>6927430</v>
      </c>
      <c r="H12" s="1176" t="s">
        <v>1332</v>
      </c>
      <c r="I12" s="1176">
        <v>500</v>
      </c>
      <c r="J12" s="1176" t="s">
        <v>949</v>
      </c>
      <c r="K12" s="1176" t="s">
        <v>1333</v>
      </c>
      <c r="L12" s="1176">
        <v>852</v>
      </c>
      <c r="M12" s="1176" t="s">
        <v>1334</v>
      </c>
      <c r="N12" s="1178" t="s">
        <v>1335</v>
      </c>
      <c r="O12" s="1176" t="s">
        <v>1228</v>
      </c>
      <c r="P12" s="1176" t="s">
        <v>1337</v>
      </c>
    </row>
    <row r="13" spans="1:16">
      <c r="A13" s="1169" t="s">
        <v>1354</v>
      </c>
      <c r="B13" s="1171" t="s">
        <v>1355</v>
      </c>
      <c r="C13" s="1171" t="s">
        <v>1356</v>
      </c>
      <c r="D13" s="1171"/>
      <c r="E13" s="1172"/>
      <c r="F13" s="1171" t="s">
        <v>1366</v>
      </c>
      <c r="G13" s="1171"/>
      <c r="H13" s="1171"/>
      <c r="I13" s="1171" t="s">
        <v>1357</v>
      </c>
      <c r="J13" s="1171" t="s">
        <v>978</v>
      </c>
      <c r="K13" s="1170"/>
      <c r="L13" s="1170"/>
      <c r="M13" s="1171"/>
      <c r="N13" s="1171"/>
      <c r="O13" s="1171"/>
      <c r="P13" s="1171"/>
    </row>
    <row r="14" spans="1:16">
      <c r="A14" s="754"/>
      <c r="B14" s="754"/>
      <c r="C14" s="754"/>
      <c r="D14" s="754"/>
      <c r="E14" s="806"/>
      <c r="F14" s="754"/>
      <c r="G14" s="754"/>
      <c r="H14" s="754"/>
      <c r="I14" s="754"/>
      <c r="J14" s="754"/>
      <c r="K14" s="754"/>
      <c r="L14" s="754"/>
      <c r="M14" s="754"/>
      <c r="N14" s="754"/>
      <c r="O14" s="754"/>
      <c r="P14" s="754"/>
    </row>
    <row r="1048523" spans="16:16">
      <c r="P1048523" s="753"/>
    </row>
  </sheetData>
  <sortState ref="A1:P7">
    <sortCondition ref="A2"/>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S43"/>
  <sheetViews>
    <sheetView showGridLines="0" topLeftCell="B1" workbookViewId="0">
      <selection activeCell="R10" sqref="R10"/>
    </sheetView>
  </sheetViews>
  <sheetFormatPr baseColWidth="10" defaultRowHeight="12.75"/>
  <cols>
    <col min="1" max="16384" width="11.42578125" style="70"/>
  </cols>
  <sheetData>
    <row r="1" spans="1:19">
      <c r="A1" s="130" t="s">
        <v>987</v>
      </c>
      <c r="B1" s="130" t="s">
        <v>988</v>
      </c>
      <c r="D1" s="70" t="s">
        <v>1324</v>
      </c>
      <c r="H1" s="70" t="s">
        <v>1326</v>
      </c>
      <c r="I1" s="70" t="s">
        <v>1234</v>
      </c>
      <c r="J1" s="130" t="s">
        <v>1001</v>
      </c>
      <c r="K1" s="130"/>
      <c r="L1" s="1034" t="s">
        <v>1262</v>
      </c>
      <c r="M1" s="1034"/>
      <c r="N1" s="70" t="s">
        <v>1235</v>
      </c>
      <c r="O1" s="1033" t="s">
        <v>1233</v>
      </c>
      <c r="P1" s="1033"/>
      <c r="R1" s="70" t="s">
        <v>1447</v>
      </c>
    </row>
    <row r="2" spans="1:19">
      <c r="A2" s="131">
        <v>97400</v>
      </c>
      <c r="B2" s="131" t="s">
        <v>948</v>
      </c>
      <c r="D2" s="70" t="s">
        <v>1321</v>
      </c>
      <c r="E2" s="70" t="s">
        <v>1344</v>
      </c>
      <c r="F2" s="131" t="s">
        <v>945</v>
      </c>
      <c r="G2" s="131" t="s">
        <v>1431</v>
      </c>
      <c r="H2" s="70">
        <v>0</v>
      </c>
      <c r="I2" s="70">
        <v>0</v>
      </c>
      <c r="J2" s="807">
        <v>1</v>
      </c>
      <c r="K2" s="132">
        <v>0.2</v>
      </c>
      <c r="L2" s="70">
        <v>1</v>
      </c>
      <c r="M2" s="130" t="s">
        <v>1230</v>
      </c>
      <c r="N2" s="70">
        <v>0</v>
      </c>
      <c r="O2" s="807">
        <v>1</v>
      </c>
      <c r="P2" s="808">
        <v>0.2</v>
      </c>
      <c r="R2" s="130" t="s">
        <v>1222</v>
      </c>
    </row>
    <row r="3" spans="1:19">
      <c r="A3" s="131">
        <v>97410</v>
      </c>
      <c r="B3" s="131" t="s">
        <v>949</v>
      </c>
      <c r="D3" s="70" t="s">
        <v>1322</v>
      </c>
      <c r="E3" s="70" t="s">
        <v>1345</v>
      </c>
      <c r="F3" s="131" t="s">
        <v>267</v>
      </c>
      <c r="G3" s="131" t="s">
        <v>1432</v>
      </c>
      <c r="H3" s="70">
        <v>1</v>
      </c>
      <c r="I3" s="70">
        <v>93</v>
      </c>
      <c r="J3" s="807">
        <v>2</v>
      </c>
      <c r="K3" s="132">
        <v>0.4</v>
      </c>
      <c r="L3" s="70">
        <v>2</v>
      </c>
      <c r="M3" s="130" t="s">
        <v>864</v>
      </c>
      <c r="N3" s="70">
        <v>107</v>
      </c>
      <c r="O3" s="807">
        <v>2</v>
      </c>
      <c r="P3" s="808">
        <v>0.6</v>
      </c>
      <c r="R3" s="130" t="s">
        <v>1223</v>
      </c>
    </row>
    <row r="4" spans="1:19">
      <c r="A4" s="131">
        <v>97411</v>
      </c>
      <c r="B4" s="131" t="s">
        <v>950</v>
      </c>
      <c r="D4" s="70" t="s">
        <v>1323</v>
      </c>
      <c r="E4" s="70" t="s">
        <v>1346</v>
      </c>
      <c r="F4" s="131" t="s">
        <v>943</v>
      </c>
      <c r="G4" s="131" t="s">
        <v>1433</v>
      </c>
      <c r="J4" s="807">
        <v>3</v>
      </c>
      <c r="K4" s="132">
        <v>0.2</v>
      </c>
      <c r="L4" s="70">
        <v>4</v>
      </c>
      <c r="M4" s="130" t="s">
        <v>1231</v>
      </c>
      <c r="O4" s="807">
        <v>3</v>
      </c>
      <c r="P4" s="808">
        <v>0.8</v>
      </c>
      <c r="R4" s="130" t="s">
        <v>1224</v>
      </c>
      <c r="S4" s="70" t="s">
        <v>1446</v>
      </c>
    </row>
    <row r="5" spans="1:19">
      <c r="A5" s="131">
        <v>97412</v>
      </c>
      <c r="B5" s="131" t="s">
        <v>951</v>
      </c>
      <c r="D5" s="70" t="s">
        <v>1325</v>
      </c>
      <c r="E5" s="70" t="s">
        <v>1347</v>
      </c>
      <c r="F5" s="131" t="s">
        <v>910</v>
      </c>
      <c r="G5" s="131" t="s">
        <v>1434</v>
      </c>
      <c r="J5" s="807">
        <v>4</v>
      </c>
      <c r="K5" s="132">
        <v>0.15</v>
      </c>
      <c r="L5" s="70">
        <v>6</v>
      </c>
      <c r="M5" s="130" t="s">
        <v>1232</v>
      </c>
      <c r="O5" s="807">
        <v>4</v>
      </c>
      <c r="P5" s="808">
        <v>0.95</v>
      </c>
      <c r="R5" s="130" t="s">
        <v>1225</v>
      </c>
    </row>
    <row r="6" spans="1:19">
      <c r="A6" s="131">
        <v>97413</v>
      </c>
      <c r="B6" s="131" t="s">
        <v>952</v>
      </c>
      <c r="F6" s="131" t="s">
        <v>911</v>
      </c>
      <c r="G6" s="131" t="s">
        <v>1435</v>
      </c>
      <c r="J6" s="807">
        <v>5</v>
      </c>
      <c r="K6" s="132">
        <v>0.05</v>
      </c>
      <c r="O6" s="807">
        <v>5</v>
      </c>
      <c r="P6" s="808">
        <v>1</v>
      </c>
      <c r="R6" s="130" t="s">
        <v>1228</v>
      </c>
    </row>
    <row r="7" spans="1:19">
      <c r="A7" s="131">
        <v>97414</v>
      </c>
      <c r="B7" s="131" t="s">
        <v>953</v>
      </c>
      <c r="F7" s="131" t="s">
        <v>939</v>
      </c>
      <c r="G7" s="131" t="s">
        <v>1436</v>
      </c>
      <c r="J7" s="133"/>
      <c r="K7" s="131"/>
      <c r="R7" s="130" t="s">
        <v>1209</v>
      </c>
    </row>
    <row r="8" spans="1:19">
      <c r="A8" s="131">
        <v>97416</v>
      </c>
      <c r="B8" s="131" t="s">
        <v>954</v>
      </c>
      <c r="F8" s="131" t="s">
        <v>940</v>
      </c>
      <c r="G8" s="131" t="s">
        <v>1437</v>
      </c>
      <c r="J8" s="134">
        <v>4</v>
      </c>
      <c r="K8" s="132">
        <f>IF(Nbr_Ech="","",VLOOKUP(Nbr_Ech,ECHEAN,2,0))</f>
        <v>0.15</v>
      </c>
      <c r="R8" s="130" t="s">
        <v>1229</v>
      </c>
    </row>
    <row r="9" spans="1:19">
      <c r="A9" s="131">
        <v>97417</v>
      </c>
      <c r="B9" s="131" t="s">
        <v>955</v>
      </c>
      <c r="F9" s="131" t="s">
        <v>941</v>
      </c>
      <c r="G9" s="131" t="s">
        <v>1438</v>
      </c>
      <c r="R9" s="130" t="s">
        <v>1226</v>
      </c>
    </row>
    <row r="10" spans="1:19">
      <c r="A10" s="131"/>
      <c r="B10" s="131" t="s">
        <v>956</v>
      </c>
      <c r="F10" s="131" t="s">
        <v>942</v>
      </c>
      <c r="G10" s="131" t="s">
        <v>1439</v>
      </c>
      <c r="R10" s="130" t="s">
        <v>1227</v>
      </c>
    </row>
    <row r="11" spans="1:19">
      <c r="A11" s="131">
        <v>97419</v>
      </c>
      <c r="B11" s="131" t="s">
        <v>957</v>
      </c>
      <c r="F11" s="131" t="s">
        <v>1034</v>
      </c>
      <c r="G11" s="131" t="s">
        <v>1440</v>
      </c>
    </row>
    <row r="12" spans="1:19">
      <c r="A12" s="131">
        <v>97420</v>
      </c>
      <c r="B12" s="131" t="s">
        <v>958</v>
      </c>
      <c r="F12" s="131" t="s">
        <v>1082</v>
      </c>
      <c r="G12" s="131" t="s">
        <v>1441</v>
      </c>
    </row>
    <row r="13" spans="1:19">
      <c r="A13" s="131">
        <v>97421</v>
      </c>
      <c r="B13" s="131" t="s">
        <v>959</v>
      </c>
      <c r="C13" s="385"/>
      <c r="F13" s="131" t="s">
        <v>1084</v>
      </c>
      <c r="G13" s="131" t="s">
        <v>1442</v>
      </c>
    </row>
    <row r="14" spans="1:19">
      <c r="A14" s="131">
        <v>97422</v>
      </c>
      <c r="B14" s="131" t="s">
        <v>960</v>
      </c>
      <c r="C14" s="385"/>
      <c r="F14" s="131"/>
      <c r="G14" s="131"/>
    </row>
    <row r="15" spans="1:19">
      <c r="A15" s="131">
        <v>97423</v>
      </c>
      <c r="B15" s="131" t="s">
        <v>961</v>
      </c>
      <c r="C15" s="385"/>
    </row>
    <row r="16" spans="1:19">
      <c r="A16" s="131">
        <v>97424</v>
      </c>
      <c r="B16" s="131" t="s">
        <v>962</v>
      </c>
      <c r="C16" s="385"/>
    </row>
    <row r="17" spans="1:3" ht="17.25" customHeight="1">
      <c r="A17" s="131">
        <v>97425</v>
      </c>
      <c r="B17" s="131" t="s">
        <v>963</v>
      </c>
      <c r="C17" s="385"/>
    </row>
    <row r="18" spans="1:3">
      <c r="A18" s="131">
        <v>97426</v>
      </c>
      <c r="B18" s="131" t="s">
        <v>964</v>
      </c>
      <c r="C18" s="385"/>
    </row>
    <row r="19" spans="1:3">
      <c r="A19" s="131">
        <v>97427</v>
      </c>
      <c r="B19" s="131" t="s">
        <v>965</v>
      </c>
      <c r="C19" s="385"/>
    </row>
    <row r="20" spans="1:3">
      <c r="A20" s="131">
        <v>97428</v>
      </c>
      <c r="B20" s="131" t="s">
        <v>966</v>
      </c>
      <c r="C20" s="385"/>
    </row>
    <row r="21" spans="1:3">
      <c r="A21" s="131">
        <v>97429</v>
      </c>
      <c r="B21" s="131" t="s">
        <v>967</v>
      </c>
      <c r="C21" s="385"/>
    </row>
    <row r="22" spans="1:3">
      <c r="A22" s="131">
        <v>97430</v>
      </c>
      <c r="B22" s="131" t="s">
        <v>968</v>
      </c>
      <c r="C22" s="385"/>
    </row>
    <row r="23" spans="1:3">
      <c r="A23" s="131">
        <v>97431</v>
      </c>
      <c r="B23" s="131" t="s">
        <v>969</v>
      </c>
      <c r="C23" s="385"/>
    </row>
    <row r="24" spans="1:3">
      <c r="A24" s="131">
        <v>97432</v>
      </c>
      <c r="B24" s="131" t="s">
        <v>970</v>
      </c>
      <c r="C24" s="385"/>
    </row>
    <row r="25" spans="1:3">
      <c r="A25" s="131">
        <v>97433</v>
      </c>
      <c r="B25" s="131" t="s">
        <v>971</v>
      </c>
      <c r="C25" s="385"/>
    </row>
    <row r="26" spans="1:3">
      <c r="A26" s="131">
        <v>97434</v>
      </c>
      <c r="B26" s="131" t="s">
        <v>972</v>
      </c>
      <c r="C26" s="385"/>
    </row>
    <row r="27" spans="1:3">
      <c r="A27" s="131">
        <v>97435</v>
      </c>
      <c r="B27" s="131" t="s">
        <v>973</v>
      </c>
      <c r="C27" s="385"/>
    </row>
    <row r="28" spans="1:3">
      <c r="A28" s="131">
        <v>97436</v>
      </c>
      <c r="B28" s="131" t="s">
        <v>974</v>
      </c>
      <c r="C28" s="385"/>
    </row>
    <row r="29" spans="1:3">
      <c r="A29" s="131">
        <v>97437</v>
      </c>
      <c r="B29" s="131" t="s">
        <v>975</v>
      </c>
      <c r="C29" s="385"/>
    </row>
    <row r="30" spans="1:3">
      <c r="A30" s="131">
        <v>97438</v>
      </c>
      <c r="B30" s="131" t="s">
        <v>976</v>
      </c>
      <c r="C30" s="385"/>
    </row>
    <row r="31" spans="1:3">
      <c r="A31" s="131">
        <v>97439</v>
      </c>
      <c r="B31" s="131" t="s">
        <v>977</v>
      </c>
      <c r="C31" s="385"/>
    </row>
    <row r="32" spans="1:3">
      <c r="A32" s="131">
        <v>97440</v>
      </c>
      <c r="B32" s="131" t="s">
        <v>978</v>
      </c>
      <c r="C32" s="385"/>
    </row>
    <row r="33" spans="1:3">
      <c r="A33" s="131">
        <v>97441</v>
      </c>
      <c r="B33" s="131" t="s">
        <v>979</v>
      </c>
      <c r="C33" s="385"/>
    </row>
    <row r="34" spans="1:3">
      <c r="A34" s="131">
        <v>97442</v>
      </c>
      <c r="B34" s="131" t="s">
        <v>980</v>
      </c>
      <c r="C34" s="385"/>
    </row>
    <row r="35" spans="1:3">
      <c r="A35" s="131">
        <v>97450</v>
      </c>
      <c r="B35" s="131" t="s">
        <v>981</v>
      </c>
      <c r="C35" s="385"/>
    </row>
    <row r="36" spans="1:3">
      <c r="A36" s="131">
        <v>97460</v>
      </c>
      <c r="B36" s="131" t="s">
        <v>982</v>
      </c>
      <c r="C36" s="385"/>
    </row>
    <row r="37" spans="1:3">
      <c r="A37" s="131">
        <v>97470</v>
      </c>
      <c r="B37" s="131" t="s">
        <v>983</v>
      </c>
      <c r="C37" s="385"/>
    </row>
    <row r="38" spans="1:3">
      <c r="A38" s="131">
        <v>97480</v>
      </c>
      <c r="B38" s="131" t="s">
        <v>984</v>
      </c>
      <c r="C38" s="385"/>
    </row>
    <row r="39" spans="1:3">
      <c r="A39" s="131">
        <v>97490</v>
      </c>
      <c r="B39" s="131" t="s">
        <v>985</v>
      </c>
      <c r="C39" s="385"/>
    </row>
    <row r="40" spans="1:3">
      <c r="A40" s="131"/>
      <c r="B40" s="131"/>
    </row>
    <row r="41" spans="1:3">
      <c r="A41" s="131"/>
      <c r="B41" s="131"/>
    </row>
    <row r="42" spans="1:3">
      <c r="A42" s="131"/>
      <c r="B42" s="131"/>
    </row>
    <row r="43" spans="1:3">
      <c r="A43" s="131"/>
      <c r="B43" s="131"/>
    </row>
  </sheetData>
  <mergeCells count="2">
    <mergeCell ref="O1:P1"/>
    <mergeCell ref="L1:M1"/>
  </mergeCells>
  <pageMargins left="0.7" right="0.7" top="0.75" bottom="0.75" header="0.3" footer="0.3"/>
  <pageSetup paperSize="1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XEJ175"/>
  <sheetViews>
    <sheetView showGridLines="0" zoomScale="75" workbookViewId="0"/>
  </sheetViews>
  <sheetFormatPr baseColWidth="10" defaultRowHeight="16.5"/>
  <cols>
    <col min="1" max="1" width="8" style="677" customWidth="1"/>
    <col min="2" max="2" width="15" style="68" customWidth="1"/>
    <col min="3" max="3" width="9.28515625" style="68" customWidth="1"/>
    <col min="4" max="4" width="8" style="68" customWidth="1"/>
    <col min="5" max="5" width="24" style="109" customWidth="1"/>
    <col min="6" max="6" width="23.5703125" style="109" customWidth="1"/>
    <col min="7" max="7" width="24.140625" style="109" customWidth="1"/>
    <col min="8" max="8" width="25.140625" style="109" customWidth="1"/>
    <col min="9" max="9" width="23.140625" style="109" customWidth="1"/>
    <col min="10" max="10" width="22.42578125" style="109" customWidth="1"/>
    <col min="11" max="11" width="9.140625" style="68" customWidth="1"/>
    <col min="12" max="13" width="13.7109375" style="68" customWidth="1"/>
    <col min="14" max="14" width="10.85546875" style="677" customWidth="1"/>
    <col min="15" max="656" width="0" style="68" hidden="1" customWidth="1"/>
    <col min="657" max="677" width="11.42578125" style="68" hidden="1" customWidth="1"/>
    <col min="678" max="1245" width="0" style="68" hidden="1" customWidth="1"/>
    <col min="1246" max="1266" width="11.42578125" style="68" hidden="1" customWidth="1"/>
    <col min="1267" max="2900" width="0" style="68" hidden="1" customWidth="1"/>
    <col min="2901" max="2921" width="11.42578125" style="68" hidden="1" customWidth="1"/>
    <col min="2922" max="3489" width="0" style="68" hidden="1" customWidth="1"/>
    <col min="3490" max="3510" width="11.42578125" style="68" hidden="1" customWidth="1"/>
    <col min="3511" max="5144" width="0" style="68" hidden="1" customWidth="1"/>
    <col min="5145" max="5165" width="11.42578125" style="68" hidden="1" customWidth="1"/>
    <col min="5166" max="5733" width="0" style="68" hidden="1" customWidth="1"/>
    <col min="5734" max="5754" width="11.42578125" style="68" hidden="1" customWidth="1"/>
    <col min="5755" max="7388" width="0" style="68" hidden="1" customWidth="1"/>
    <col min="7389" max="7409" width="11.42578125" style="68" hidden="1" customWidth="1"/>
    <col min="7410" max="7977" width="0" style="68" hidden="1" customWidth="1"/>
    <col min="7978" max="7998" width="11.42578125" style="68" hidden="1" customWidth="1"/>
    <col min="7999" max="9632" width="0" style="68" hidden="1" customWidth="1"/>
    <col min="9633" max="9653" width="11.42578125" style="68" hidden="1" customWidth="1"/>
    <col min="9654" max="10221" width="0" style="68" hidden="1" customWidth="1"/>
    <col min="10222" max="10242" width="11.42578125" style="68" hidden="1" customWidth="1"/>
    <col min="10243" max="11876" width="0" style="68" hidden="1" customWidth="1"/>
    <col min="11877" max="11897" width="11.42578125" style="68" hidden="1" customWidth="1"/>
    <col min="11898" max="12465" width="0" style="68" hidden="1" customWidth="1"/>
    <col min="12466" max="12486" width="11.42578125" style="68" hidden="1" customWidth="1"/>
    <col min="12487" max="14120" width="0" style="68" hidden="1" customWidth="1"/>
    <col min="14121" max="14141" width="11.42578125" style="68" hidden="1" customWidth="1"/>
    <col min="14142" max="14709" width="0" style="68" hidden="1" customWidth="1"/>
    <col min="14710" max="14730" width="11.42578125" style="68" hidden="1" customWidth="1"/>
    <col min="14731" max="16364" width="0" style="68" hidden="1" customWidth="1"/>
    <col min="16365" max="16384" width="11.42578125" style="68" hidden="1" customWidth="1"/>
  </cols>
  <sheetData>
    <row r="1" spans="2:13" ht="45" customHeight="1">
      <c r="B1" s="108"/>
      <c r="C1" s="108"/>
      <c r="D1" s="108"/>
      <c r="K1" s="108"/>
      <c r="L1" s="108"/>
      <c r="M1" s="108"/>
    </row>
    <row r="2" spans="2:13" ht="28.5" customHeight="1">
      <c r="B2" s="108"/>
      <c r="C2" s="108"/>
      <c r="D2" s="108"/>
      <c r="E2" s="1044" t="s">
        <v>8</v>
      </c>
      <c r="F2" s="1049" t="s">
        <v>194</v>
      </c>
      <c r="G2" s="1050"/>
      <c r="H2" s="1051" t="s">
        <v>9</v>
      </c>
      <c r="I2" s="1052"/>
      <c r="J2" s="1035" t="s">
        <v>10</v>
      </c>
      <c r="K2" s="108"/>
      <c r="L2" s="108"/>
      <c r="M2" s="108"/>
    </row>
    <row r="3" spans="2:13" ht="25.5" customHeight="1">
      <c r="B3" s="108"/>
      <c r="C3" s="108"/>
      <c r="D3" s="108"/>
      <c r="E3" s="1045"/>
      <c r="F3" s="1046" t="s">
        <v>195</v>
      </c>
      <c r="G3" s="1048" t="s">
        <v>196</v>
      </c>
      <c r="H3" s="110" t="s">
        <v>197</v>
      </c>
      <c r="I3" s="111" t="s">
        <v>198</v>
      </c>
      <c r="J3" s="1036"/>
      <c r="K3" s="108"/>
      <c r="L3" s="108"/>
      <c r="M3" s="108"/>
    </row>
    <row r="4" spans="2:13" ht="26.25" customHeight="1">
      <c r="B4" s="108"/>
      <c r="C4" s="108"/>
      <c r="D4" s="108"/>
      <c r="E4" s="1045"/>
      <c r="F4" s="1047"/>
      <c r="G4" s="1036"/>
      <c r="H4" s="112" t="s">
        <v>199</v>
      </c>
      <c r="I4" s="113" t="s">
        <v>199</v>
      </c>
      <c r="J4" s="1036"/>
      <c r="K4" s="108"/>
      <c r="L4" s="108"/>
      <c r="M4" s="108"/>
    </row>
    <row r="5" spans="2:13" ht="36" customHeight="1">
      <c r="B5" s="108"/>
      <c r="C5" s="108"/>
      <c r="D5" s="108"/>
      <c r="E5" s="114">
        <f>C.Horaire!C13</f>
        <v>21.021161699999997</v>
      </c>
      <c r="F5" s="115">
        <v>0.05</v>
      </c>
      <c r="G5" s="116">
        <v>0.05</v>
      </c>
      <c r="H5" s="115">
        <v>0</v>
      </c>
      <c r="I5" s="116">
        <v>0</v>
      </c>
      <c r="J5" s="117" t="s">
        <v>1215</v>
      </c>
      <c r="K5" s="108"/>
      <c r="L5" s="108"/>
      <c r="M5" s="108"/>
    </row>
    <row r="6" spans="2:13">
      <c r="B6" s="108"/>
      <c r="C6" s="108"/>
      <c r="D6" s="108"/>
      <c r="E6" s="118"/>
      <c r="F6" s="118"/>
      <c r="G6" s="118"/>
      <c r="H6" s="118"/>
      <c r="I6" s="118"/>
      <c r="J6" s="118"/>
      <c r="K6" s="108"/>
      <c r="L6" s="108"/>
      <c r="M6" s="108"/>
    </row>
    <row r="7" spans="2:13" ht="21.75" customHeight="1">
      <c r="B7" s="108"/>
      <c r="C7" s="108"/>
      <c r="D7" s="119"/>
      <c r="E7" s="1043"/>
      <c r="F7" s="1043"/>
      <c r="G7" s="1043"/>
      <c r="H7" s="1039"/>
      <c r="I7" s="1039"/>
      <c r="J7" s="1039"/>
      <c r="K7" s="108"/>
      <c r="L7" s="108"/>
      <c r="M7" s="108"/>
    </row>
    <row r="8" spans="2:13" ht="18">
      <c r="B8" s="108"/>
      <c r="C8" s="108"/>
      <c r="D8" s="119"/>
      <c r="E8" s="120"/>
      <c r="F8" s="755"/>
      <c r="G8" s="121"/>
      <c r="H8" s="1040"/>
      <c r="I8" s="1041"/>
      <c r="J8" s="1041"/>
      <c r="K8" s="108"/>
      <c r="L8" s="108"/>
      <c r="M8" s="108"/>
    </row>
    <row r="9" spans="2:13" ht="18">
      <c r="B9" s="108"/>
      <c r="C9" s="108"/>
      <c r="D9" s="119"/>
      <c r="E9" s="120"/>
      <c r="F9" s="1055"/>
      <c r="G9" s="1055"/>
      <c r="H9" s="1040"/>
      <c r="I9" s="1041"/>
      <c r="J9" s="1041"/>
      <c r="K9" s="108"/>
      <c r="L9" s="108"/>
      <c r="M9" s="108"/>
    </row>
    <row r="10" spans="2:13" ht="18">
      <c r="B10" s="108"/>
      <c r="C10" s="108"/>
      <c r="D10" s="119"/>
      <c r="E10" s="120"/>
      <c r="F10" s="1055"/>
      <c r="G10" s="1055"/>
      <c r="H10" s="1038"/>
      <c r="I10" s="1038"/>
      <c r="J10" s="1038"/>
      <c r="K10" s="108"/>
      <c r="L10" s="108"/>
      <c r="M10" s="108"/>
    </row>
    <row r="11" spans="2:13" ht="18">
      <c r="B11" s="108"/>
      <c r="C11" s="108"/>
      <c r="D11" s="108"/>
      <c r="E11" s="121"/>
      <c r="F11" s="1054"/>
      <c r="G11" s="1054"/>
      <c r="H11" s="1038"/>
      <c r="I11" s="1038"/>
      <c r="J11" s="1038"/>
      <c r="K11" s="108"/>
      <c r="L11" s="108"/>
      <c r="M11" s="108"/>
    </row>
    <row r="12" spans="2:13">
      <c r="B12" s="108"/>
      <c r="C12" s="108"/>
      <c r="D12" s="108"/>
      <c r="E12" s="118"/>
      <c r="F12" s="118"/>
      <c r="G12" s="118"/>
      <c r="H12" s="118"/>
      <c r="I12" s="118"/>
      <c r="J12" s="118"/>
      <c r="K12" s="108"/>
      <c r="L12" s="108"/>
      <c r="M12" s="108"/>
    </row>
    <row r="13" spans="2:13" ht="32.25" customHeight="1">
      <c r="B13" s="108"/>
      <c r="C13" s="108"/>
      <c r="D13" s="108"/>
      <c r="E13" s="766"/>
      <c r="F13" s="766"/>
      <c r="G13" s="766"/>
      <c r="H13" s="766"/>
      <c r="I13" s="766"/>
      <c r="J13" s="767"/>
      <c r="K13" s="108"/>
      <c r="L13" s="108"/>
      <c r="M13" s="108"/>
    </row>
    <row r="14" spans="2:13" ht="30.75" customHeight="1">
      <c r="B14" s="108"/>
      <c r="C14" s="108"/>
      <c r="D14" s="108"/>
      <c r="E14" s="768"/>
      <c r="F14" s="768"/>
      <c r="G14" s="768"/>
      <c r="H14" s="768"/>
      <c r="I14" s="768"/>
      <c r="J14" s="768"/>
      <c r="K14" s="108"/>
      <c r="L14" s="108"/>
      <c r="M14" s="108"/>
    </row>
    <row r="15" spans="2:13">
      <c r="B15" s="108"/>
      <c r="C15" s="108"/>
      <c r="D15" s="108"/>
      <c r="K15" s="108"/>
      <c r="L15" s="108"/>
      <c r="M15" s="108"/>
    </row>
    <row r="16" spans="2:13">
      <c r="B16" s="108"/>
      <c r="C16" s="108"/>
      <c r="D16" s="108"/>
      <c r="E16" s="1042"/>
      <c r="F16" s="1042"/>
      <c r="G16" s="1042"/>
      <c r="H16" s="1042"/>
      <c r="I16" s="1042"/>
      <c r="J16" s="1042"/>
      <c r="K16" s="108"/>
      <c r="L16" s="108"/>
      <c r="M16" s="108"/>
    </row>
    <row r="17" spans="2:13">
      <c r="B17" s="108"/>
      <c r="C17" s="108"/>
      <c r="D17" s="108"/>
      <c r="E17" s="122"/>
      <c r="F17" s="122"/>
      <c r="K17" s="108"/>
      <c r="L17" s="108"/>
      <c r="M17" s="108"/>
    </row>
    <row r="18" spans="2:13">
      <c r="B18" s="108"/>
      <c r="C18" s="108"/>
      <c r="D18" s="123"/>
      <c r="E18" s="124"/>
      <c r="F18" s="769"/>
      <c r="G18" s="125"/>
      <c r="H18" s="126"/>
      <c r="I18" s="126"/>
      <c r="J18" s="126"/>
      <c r="K18" s="126"/>
      <c r="L18" s="108"/>
      <c r="M18" s="108"/>
    </row>
    <row r="19" spans="2:13">
      <c r="B19" s="108"/>
      <c r="C19" s="108"/>
      <c r="D19" s="123"/>
      <c r="E19" s="770"/>
      <c r="F19" s="1053"/>
      <c r="G19" s="1053"/>
      <c r="H19" s="126"/>
      <c r="I19" s="1037"/>
      <c r="J19" s="1037"/>
      <c r="K19" s="126"/>
      <c r="L19" s="108"/>
      <c r="M19" s="108"/>
    </row>
    <row r="20" spans="2:13">
      <c r="B20" s="108"/>
      <c r="C20" s="108"/>
      <c r="D20" s="123"/>
      <c r="E20" s="770"/>
      <c r="F20" s="125"/>
      <c r="G20" s="125"/>
      <c r="H20" s="126"/>
      <c r="I20" s="1037"/>
      <c r="J20" s="1037"/>
      <c r="K20" s="126"/>
      <c r="L20" s="108"/>
      <c r="M20" s="108"/>
    </row>
    <row r="21" spans="2:13">
      <c r="B21" s="108"/>
      <c r="C21" s="108"/>
      <c r="D21" s="108"/>
      <c r="E21" s="127"/>
      <c r="F21" s="128"/>
      <c r="G21" s="129"/>
      <c r="H21" s="129"/>
      <c r="I21" s="129"/>
      <c r="J21" s="129"/>
      <c r="K21" s="108"/>
      <c r="L21" s="108"/>
      <c r="M21" s="108"/>
    </row>
    <row r="22" spans="2:13">
      <c r="B22" s="108"/>
      <c r="C22" s="108"/>
      <c r="D22" s="108"/>
      <c r="E22" s="127"/>
      <c r="F22" s="128"/>
      <c r="G22" s="129"/>
      <c r="H22" s="129"/>
      <c r="I22" s="129"/>
      <c r="J22" s="129"/>
      <c r="K22" s="108"/>
      <c r="L22" s="108"/>
      <c r="M22" s="108"/>
    </row>
    <row r="23" spans="2:13">
      <c r="B23" s="108"/>
      <c r="C23" s="108"/>
      <c r="D23" s="108"/>
      <c r="E23" s="127"/>
      <c r="F23" s="128"/>
      <c r="G23" s="129"/>
      <c r="H23" s="129"/>
      <c r="I23" s="129"/>
      <c r="J23" s="129"/>
      <c r="K23" s="108"/>
      <c r="L23" s="108"/>
      <c r="M23" s="108"/>
    </row>
    <row r="24" spans="2:13">
      <c r="B24" s="108"/>
      <c r="C24" s="108"/>
      <c r="D24" s="108"/>
      <c r="E24" s="127"/>
      <c r="F24" s="128"/>
      <c r="G24" s="129"/>
      <c r="H24" s="129"/>
      <c r="I24" s="129"/>
      <c r="J24" s="129"/>
      <c r="K24" s="108"/>
      <c r="L24" s="108"/>
      <c r="M24" s="108"/>
    </row>
    <row r="25" spans="2:13">
      <c r="B25" s="108"/>
      <c r="C25" s="108"/>
      <c r="D25" s="108"/>
      <c r="E25" s="127"/>
      <c r="F25" s="128"/>
      <c r="G25" s="129"/>
      <c r="H25" s="129"/>
      <c r="I25" s="129"/>
      <c r="J25" s="129"/>
      <c r="K25" s="108"/>
      <c r="L25" s="108"/>
      <c r="M25" s="108"/>
    </row>
    <row r="26" spans="2:13">
      <c r="B26" s="108"/>
      <c r="C26" s="108"/>
      <c r="D26" s="108"/>
      <c r="E26" s="127"/>
      <c r="F26" s="128"/>
      <c r="G26" s="129"/>
      <c r="H26" s="129"/>
      <c r="I26" s="129"/>
      <c r="J26" s="129"/>
      <c r="K26" s="108"/>
      <c r="L26" s="108"/>
      <c r="M26" s="108"/>
    </row>
    <row r="27" spans="2:13">
      <c r="B27" s="108"/>
      <c r="C27" s="108"/>
      <c r="D27" s="108"/>
      <c r="E27" s="127"/>
      <c r="F27" s="128"/>
      <c r="G27" s="129"/>
      <c r="H27" s="129"/>
      <c r="I27" s="129"/>
      <c r="J27" s="129"/>
      <c r="K27" s="108"/>
      <c r="L27" s="108"/>
      <c r="M27" s="108"/>
    </row>
    <row r="28" spans="2:13">
      <c r="B28" s="108"/>
      <c r="C28" s="108"/>
      <c r="D28" s="108"/>
      <c r="E28" s="127"/>
      <c r="F28" s="128"/>
      <c r="G28" s="129"/>
      <c r="H28" s="129"/>
      <c r="I28" s="129"/>
      <c r="J28" s="129"/>
      <c r="K28" s="108"/>
      <c r="L28" s="108"/>
      <c r="M28" s="108"/>
    </row>
    <row r="29" spans="2:13" s="677" customFormat="1">
      <c r="E29" s="678"/>
      <c r="F29" s="679"/>
      <c r="G29" s="680"/>
      <c r="H29" s="680"/>
      <c r="I29" s="680"/>
      <c r="J29" s="680"/>
    </row>
    <row r="30" spans="2:13" s="677" customFormat="1">
      <c r="F30" s="678"/>
      <c r="G30" s="679"/>
      <c r="H30" s="680"/>
      <c r="I30" s="680"/>
      <c r="J30" s="680"/>
      <c r="K30" s="680"/>
    </row>
    <row r="31" spans="2:13" s="677" customFormat="1">
      <c r="F31" s="678"/>
      <c r="G31" s="679"/>
      <c r="H31" s="680"/>
      <c r="I31" s="680"/>
      <c r="J31" s="680"/>
      <c r="K31" s="680"/>
    </row>
    <row r="32" spans="2:13" s="677" customFormat="1">
      <c r="F32" s="678"/>
      <c r="G32" s="679"/>
      <c r="H32" s="680"/>
      <c r="I32" s="680"/>
      <c r="J32" s="680"/>
      <c r="K32" s="680"/>
    </row>
    <row r="33" spans="5:11" s="677" customFormat="1">
      <c r="F33" s="678"/>
      <c r="G33" s="679"/>
      <c r="H33" s="680"/>
      <c r="I33" s="680"/>
      <c r="J33" s="680"/>
      <c r="K33" s="680"/>
    </row>
    <row r="34" spans="5:11" s="677" customFormat="1">
      <c r="F34" s="678"/>
      <c r="G34" s="679"/>
      <c r="H34" s="680"/>
      <c r="I34" s="680"/>
      <c r="J34" s="680"/>
      <c r="K34" s="680"/>
    </row>
    <row r="35" spans="5:11" s="677" customFormat="1">
      <c r="F35" s="678"/>
      <c r="G35" s="679"/>
      <c r="H35" s="680"/>
      <c r="I35" s="680"/>
      <c r="J35" s="680"/>
      <c r="K35" s="680"/>
    </row>
    <row r="36" spans="5:11" s="677" customFormat="1">
      <c r="F36" s="678"/>
      <c r="G36" s="679"/>
      <c r="H36" s="680"/>
      <c r="I36" s="680"/>
      <c r="J36" s="680"/>
      <c r="K36" s="680"/>
    </row>
    <row r="37" spans="5:11" s="677" customFormat="1">
      <c r="E37" s="678"/>
      <c r="F37" s="679"/>
      <c r="G37" s="680"/>
      <c r="H37" s="680"/>
      <c r="I37" s="680"/>
      <c r="J37" s="680"/>
    </row>
    <row r="38" spans="5:11" s="677" customFormat="1">
      <c r="E38" s="678"/>
      <c r="F38" s="679"/>
      <c r="G38" s="680"/>
      <c r="H38" s="680"/>
      <c r="I38" s="680"/>
      <c r="J38" s="680"/>
    </row>
    <row r="39" spans="5:11" s="677" customFormat="1">
      <c r="E39" s="678"/>
      <c r="F39" s="679"/>
      <c r="G39" s="680"/>
      <c r="H39" s="680"/>
      <c r="I39" s="680"/>
      <c r="J39" s="680"/>
    </row>
    <row r="40" spans="5:11" s="677" customFormat="1">
      <c r="E40" s="678"/>
      <c r="F40" s="679"/>
      <c r="G40" s="680"/>
      <c r="H40" s="680"/>
      <c r="I40" s="680"/>
      <c r="J40" s="680"/>
    </row>
    <row r="41" spans="5:11" s="677" customFormat="1">
      <c r="E41" s="678"/>
      <c r="F41" s="679"/>
      <c r="G41" s="680"/>
      <c r="H41" s="680"/>
      <c r="I41" s="680"/>
      <c r="J41" s="680"/>
    </row>
    <row r="42" spans="5:11" s="677" customFormat="1">
      <c r="E42" s="678"/>
      <c r="F42" s="679"/>
      <c r="G42" s="680"/>
      <c r="H42" s="680"/>
      <c r="I42" s="680"/>
      <c r="J42" s="680"/>
    </row>
    <row r="43" spans="5:11" s="677" customFormat="1">
      <c r="E43" s="681"/>
      <c r="F43" s="681"/>
      <c r="G43" s="681"/>
      <c r="H43" s="681"/>
      <c r="I43" s="681"/>
      <c r="J43" s="681"/>
    </row>
    <row r="44" spans="5:11" s="677" customFormat="1">
      <c r="E44" s="681"/>
      <c r="F44" s="681"/>
      <c r="G44" s="681"/>
      <c r="H44" s="681"/>
      <c r="I44" s="681"/>
      <c r="J44" s="681"/>
    </row>
    <row r="45" spans="5:11" s="677" customFormat="1">
      <c r="E45" s="681"/>
      <c r="F45" s="681"/>
      <c r="G45" s="681"/>
      <c r="H45" s="681"/>
      <c r="I45" s="681"/>
      <c r="J45" s="681"/>
    </row>
    <row r="46" spans="5:11" s="677" customFormat="1">
      <c r="E46" s="681"/>
      <c r="F46" s="681"/>
      <c r="G46" s="681"/>
      <c r="H46" s="681"/>
      <c r="I46" s="681"/>
      <c r="J46" s="681"/>
    </row>
    <row r="47" spans="5:11" s="677" customFormat="1">
      <c r="E47" s="681"/>
      <c r="F47" s="681"/>
      <c r="G47" s="681"/>
      <c r="H47" s="681"/>
      <c r="I47" s="681"/>
      <c r="J47" s="681"/>
    </row>
    <row r="48" spans="5:11" s="677" customFormat="1">
      <c r="E48" s="681"/>
      <c r="F48" s="681"/>
      <c r="G48" s="681"/>
      <c r="H48" s="681"/>
      <c r="I48" s="681"/>
      <c r="J48" s="681"/>
    </row>
    <row r="49" spans="5:10" s="677" customFormat="1">
      <c r="E49" s="681"/>
      <c r="F49" s="681"/>
      <c r="G49" s="681"/>
      <c r="H49" s="681"/>
      <c r="I49" s="681"/>
      <c r="J49" s="681"/>
    </row>
    <row r="50" spans="5:10" s="677" customFormat="1">
      <c r="E50" s="681"/>
      <c r="F50" s="681"/>
      <c r="G50" s="681"/>
      <c r="H50" s="681"/>
      <c r="I50" s="681"/>
      <c r="J50" s="681"/>
    </row>
    <row r="51" spans="5:10" s="677" customFormat="1">
      <c r="E51" s="681"/>
      <c r="F51" s="681"/>
      <c r="G51" s="681"/>
      <c r="H51" s="681"/>
      <c r="I51" s="681"/>
      <c r="J51" s="681"/>
    </row>
    <row r="52" spans="5:10" s="677" customFormat="1">
      <c r="E52" s="681"/>
      <c r="F52" s="681"/>
      <c r="G52" s="681"/>
      <c r="H52" s="681"/>
      <c r="I52" s="681"/>
      <c r="J52" s="681"/>
    </row>
    <row r="53" spans="5:10" s="677" customFormat="1">
      <c r="E53" s="681"/>
      <c r="F53" s="681"/>
      <c r="G53" s="681"/>
      <c r="H53" s="681"/>
      <c r="I53" s="681"/>
      <c r="J53" s="681"/>
    </row>
    <row r="54" spans="5:10" s="677" customFormat="1">
      <c r="E54" s="681"/>
      <c r="F54" s="681"/>
      <c r="G54" s="681"/>
      <c r="H54" s="681"/>
      <c r="I54" s="681"/>
      <c r="J54" s="681"/>
    </row>
    <row r="55" spans="5:10" s="677" customFormat="1">
      <c r="E55" s="681"/>
      <c r="F55" s="681"/>
      <c r="G55" s="681"/>
      <c r="H55" s="681"/>
      <c r="I55" s="681"/>
      <c r="J55" s="681"/>
    </row>
    <row r="56" spans="5:10" s="677" customFormat="1">
      <c r="E56" s="681"/>
      <c r="F56" s="681"/>
      <c r="G56" s="681"/>
      <c r="H56" s="681"/>
      <c r="I56" s="681"/>
      <c r="J56" s="681"/>
    </row>
    <row r="57" spans="5:10" s="677" customFormat="1">
      <c r="E57" s="681"/>
      <c r="F57" s="681"/>
      <c r="G57" s="681"/>
      <c r="H57" s="681"/>
      <c r="I57" s="681"/>
      <c r="J57" s="681"/>
    </row>
    <row r="58" spans="5:10" s="677" customFormat="1">
      <c r="E58" s="681"/>
      <c r="F58" s="681"/>
      <c r="G58" s="681"/>
      <c r="H58" s="681"/>
      <c r="I58" s="681"/>
      <c r="J58" s="681"/>
    </row>
    <row r="59" spans="5:10" s="677" customFormat="1">
      <c r="E59" s="681"/>
      <c r="F59" s="681"/>
      <c r="G59" s="681"/>
      <c r="H59" s="681"/>
      <c r="I59" s="681"/>
      <c r="J59" s="681"/>
    </row>
    <row r="60" spans="5:10" s="677" customFormat="1">
      <c r="E60" s="681"/>
      <c r="F60" s="681"/>
      <c r="G60" s="681"/>
      <c r="H60" s="681"/>
      <c r="I60" s="681"/>
      <c r="J60" s="681"/>
    </row>
    <row r="61" spans="5:10" s="677" customFormat="1">
      <c r="E61" s="681"/>
      <c r="F61" s="681"/>
      <c r="G61" s="681"/>
      <c r="H61" s="681"/>
      <c r="I61" s="681"/>
      <c r="J61" s="681"/>
    </row>
    <row r="62" spans="5:10" s="677" customFormat="1">
      <c r="E62" s="681"/>
      <c r="F62" s="681"/>
      <c r="G62" s="681"/>
      <c r="H62" s="681"/>
      <c r="I62" s="681"/>
      <c r="J62" s="681"/>
    </row>
    <row r="63" spans="5:10" s="677" customFormat="1">
      <c r="E63" s="681"/>
      <c r="F63" s="681"/>
      <c r="G63" s="681"/>
      <c r="H63" s="681"/>
      <c r="I63" s="681"/>
      <c r="J63" s="681"/>
    </row>
    <row r="64" spans="5:10" s="677" customFormat="1">
      <c r="E64" s="681"/>
      <c r="F64" s="681"/>
      <c r="G64" s="681"/>
      <c r="H64" s="681"/>
      <c r="I64" s="681"/>
      <c r="J64" s="681"/>
    </row>
    <row r="65" spans="5:10" s="677" customFormat="1">
      <c r="E65" s="681"/>
      <c r="F65" s="681"/>
      <c r="G65" s="681"/>
      <c r="H65" s="681"/>
      <c r="I65" s="681"/>
      <c r="J65" s="681"/>
    </row>
    <row r="66" spans="5:10" s="677" customFormat="1">
      <c r="E66" s="681"/>
      <c r="F66" s="681"/>
      <c r="G66" s="681"/>
      <c r="H66" s="681"/>
      <c r="I66" s="681"/>
      <c r="J66" s="681"/>
    </row>
    <row r="67" spans="5:10" s="677" customFormat="1">
      <c r="E67" s="681"/>
      <c r="F67" s="681"/>
      <c r="G67" s="681"/>
      <c r="H67" s="681"/>
      <c r="I67" s="681"/>
      <c r="J67" s="681"/>
    </row>
    <row r="68" spans="5:10" s="677" customFormat="1">
      <c r="E68" s="681"/>
      <c r="F68" s="681"/>
      <c r="G68" s="681"/>
      <c r="H68" s="681"/>
      <c r="I68" s="681"/>
      <c r="J68" s="681"/>
    </row>
    <row r="69" spans="5:10" s="677" customFormat="1">
      <c r="E69" s="681"/>
      <c r="F69" s="681"/>
      <c r="G69" s="681"/>
      <c r="H69" s="681"/>
      <c r="I69" s="681"/>
      <c r="J69" s="681"/>
    </row>
    <row r="70" spans="5:10" s="677" customFormat="1">
      <c r="E70" s="681"/>
      <c r="F70" s="681"/>
      <c r="G70" s="681"/>
      <c r="H70" s="681"/>
      <c r="I70" s="681"/>
      <c r="J70" s="681"/>
    </row>
    <row r="71" spans="5:10" s="677" customFormat="1">
      <c r="E71" s="681"/>
      <c r="F71" s="681"/>
      <c r="G71" s="681"/>
      <c r="H71" s="681"/>
      <c r="I71" s="681"/>
      <c r="J71" s="681"/>
    </row>
    <row r="72" spans="5:10" s="677" customFormat="1">
      <c r="E72" s="681"/>
      <c r="F72" s="681"/>
      <c r="G72" s="681"/>
      <c r="H72" s="681"/>
      <c r="I72" s="681"/>
      <c r="J72" s="681"/>
    </row>
    <row r="73" spans="5:10" s="677" customFormat="1">
      <c r="E73" s="681"/>
      <c r="F73" s="681"/>
      <c r="G73" s="681"/>
      <c r="H73" s="681"/>
      <c r="I73" s="681"/>
      <c r="J73" s="681"/>
    </row>
    <row r="74" spans="5:10" s="677" customFormat="1">
      <c r="E74" s="681"/>
      <c r="F74" s="681"/>
      <c r="G74" s="681"/>
      <c r="H74" s="681"/>
      <c r="I74" s="681"/>
      <c r="J74" s="681"/>
    </row>
    <row r="75" spans="5:10" s="677" customFormat="1">
      <c r="E75" s="681"/>
      <c r="F75" s="681"/>
      <c r="G75" s="681"/>
      <c r="H75" s="681"/>
      <c r="I75" s="681"/>
      <c r="J75" s="681"/>
    </row>
    <row r="76" spans="5:10" s="677" customFormat="1">
      <c r="E76" s="681"/>
      <c r="F76" s="681"/>
      <c r="G76" s="681"/>
      <c r="H76" s="681"/>
      <c r="I76" s="681"/>
      <c r="J76" s="681"/>
    </row>
    <row r="77" spans="5:10" s="677" customFormat="1">
      <c r="E77" s="681"/>
      <c r="F77" s="681"/>
      <c r="G77" s="681"/>
      <c r="H77" s="681"/>
      <c r="I77" s="681"/>
      <c r="J77" s="681"/>
    </row>
    <row r="78" spans="5:10" s="677" customFormat="1">
      <c r="E78" s="681"/>
      <c r="F78" s="681"/>
      <c r="G78" s="681"/>
      <c r="H78" s="681"/>
      <c r="I78" s="681"/>
      <c r="J78" s="681"/>
    </row>
    <row r="79" spans="5:10" s="677" customFormat="1">
      <c r="E79" s="681"/>
      <c r="F79" s="681"/>
      <c r="G79" s="681"/>
      <c r="H79" s="681"/>
      <c r="I79" s="681"/>
      <c r="J79" s="681"/>
    </row>
    <row r="80" spans="5:10" s="677" customFormat="1">
      <c r="E80" s="681"/>
      <c r="F80" s="681"/>
      <c r="G80" s="681"/>
      <c r="H80" s="681"/>
      <c r="I80" s="681"/>
      <c r="J80" s="681"/>
    </row>
    <row r="81" spans="5:10" s="677" customFormat="1">
      <c r="E81" s="681"/>
      <c r="F81" s="681"/>
      <c r="G81" s="681"/>
      <c r="H81" s="681"/>
      <c r="I81" s="681"/>
      <c r="J81" s="681"/>
    </row>
    <row r="82" spans="5:10" s="677" customFormat="1">
      <c r="E82" s="681"/>
      <c r="F82" s="681"/>
      <c r="G82" s="681"/>
      <c r="H82" s="681"/>
      <c r="I82" s="681"/>
      <c r="J82" s="681"/>
    </row>
    <row r="83" spans="5:10" s="677" customFormat="1">
      <c r="E83" s="681"/>
      <c r="F83" s="681"/>
      <c r="G83" s="681"/>
      <c r="H83" s="681"/>
      <c r="I83" s="681"/>
      <c r="J83" s="681"/>
    </row>
    <row r="84" spans="5:10" s="677" customFormat="1">
      <c r="E84" s="681"/>
      <c r="F84" s="681"/>
      <c r="G84" s="681"/>
      <c r="H84" s="681"/>
      <c r="I84" s="681"/>
      <c r="J84" s="681"/>
    </row>
    <row r="85" spans="5:10" s="677" customFormat="1">
      <c r="E85" s="681"/>
      <c r="F85" s="681"/>
      <c r="G85" s="681"/>
      <c r="H85" s="681"/>
      <c r="I85" s="681"/>
      <c r="J85" s="681"/>
    </row>
    <row r="86" spans="5:10" s="677" customFormat="1">
      <c r="E86" s="681"/>
      <c r="F86" s="681"/>
      <c r="G86" s="681"/>
      <c r="H86" s="681"/>
      <c r="I86" s="681"/>
      <c r="J86" s="681"/>
    </row>
    <row r="87" spans="5:10" s="677" customFormat="1">
      <c r="E87" s="681"/>
      <c r="F87" s="681"/>
      <c r="G87" s="681"/>
      <c r="H87" s="681"/>
      <c r="I87" s="681"/>
      <c r="J87" s="681"/>
    </row>
    <row r="88" spans="5:10" s="677" customFormat="1">
      <c r="E88" s="681"/>
      <c r="F88" s="681"/>
      <c r="G88" s="681"/>
      <c r="H88" s="681"/>
      <c r="I88" s="681"/>
      <c r="J88" s="681"/>
    </row>
    <row r="89" spans="5:10" s="677" customFormat="1">
      <c r="E89" s="681"/>
      <c r="F89" s="681"/>
      <c r="G89" s="681"/>
      <c r="H89" s="681"/>
      <c r="I89" s="681"/>
      <c r="J89" s="681"/>
    </row>
    <row r="90" spans="5:10" s="677" customFormat="1">
      <c r="E90" s="681"/>
      <c r="F90" s="681"/>
      <c r="G90" s="681"/>
      <c r="H90" s="681"/>
      <c r="I90" s="681"/>
      <c r="J90" s="681"/>
    </row>
    <row r="91" spans="5:10" s="677" customFormat="1">
      <c r="E91" s="681"/>
      <c r="F91" s="681"/>
      <c r="G91" s="681"/>
      <c r="H91" s="681"/>
      <c r="I91" s="681"/>
      <c r="J91" s="681"/>
    </row>
    <row r="92" spans="5:10" s="677" customFormat="1">
      <c r="E92" s="681"/>
      <c r="F92" s="681"/>
      <c r="G92" s="681"/>
      <c r="H92" s="681"/>
      <c r="I92" s="681"/>
      <c r="J92" s="681"/>
    </row>
    <row r="93" spans="5:10" s="677" customFormat="1">
      <c r="E93" s="681"/>
      <c r="F93" s="681"/>
      <c r="G93" s="681"/>
      <c r="H93" s="681"/>
      <c r="I93" s="681"/>
      <c r="J93" s="681"/>
    </row>
    <row r="94" spans="5:10" s="677" customFormat="1">
      <c r="E94" s="681"/>
      <c r="F94" s="681"/>
      <c r="G94" s="681"/>
      <c r="H94" s="681"/>
      <c r="I94" s="681"/>
      <c r="J94" s="681"/>
    </row>
    <row r="95" spans="5:10" s="677" customFormat="1">
      <c r="E95" s="681"/>
      <c r="F95" s="681"/>
      <c r="G95" s="681"/>
      <c r="H95" s="681"/>
      <c r="I95" s="681"/>
      <c r="J95" s="681"/>
    </row>
    <row r="96" spans="5:10" s="677" customFormat="1">
      <c r="E96" s="681"/>
      <c r="F96" s="681"/>
      <c r="G96" s="681"/>
      <c r="H96" s="681"/>
      <c r="I96" s="681"/>
      <c r="J96" s="681"/>
    </row>
    <row r="97" spans="5:10" s="677" customFormat="1">
      <c r="E97" s="681"/>
      <c r="F97" s="681"/>
      <c r="G97" s="681"/>
      <c r="H97" s="681"/>
      <c r="I97" s="681"/>
      <c r="J97" s="681"/>
    </row>
    <row r="98" spans="5:10" s="677" customFormat="1">
      <c r="E98" s="681"/>
      <c r="F98" s="681"/>
      <c r="G98" s="681"/>
      <c r="H98" s="681"/>
      <c r="I98" s="681"/>
      <c r="J98" s="681"/>
    </row>
    <row r="99" spans="5:10" s="677" customFormat="1">
      <c r="E99" s="681"/>
      <c r="F99" s="681"/>
      <c r="G99" s="681"/>
      <c r="H99" s="681"/>
      <c r="I99" s="681"/>
      <c r="J99" s="681"/>
    </row>
    <row r="100" spans="5:10" s="677" customFormat="1">
      <c r="E100" s="681"/>
      <c r="F100" s="681"/>
      <c r="G100" s="681"/>
      <c r="H100" s="681"/>
      <c r="I100" s="681"/>
      <c r="J100" s="681"/>
    </row>
    <row r="101" spans="5:10" s="677" customFormat="1">
      <c r="E101" s="681"/>
      <c r="F101" s="681"/>
      <c r="G101" s="681"/>
      <c r="H101" s="681"/>
      <c r="I101" s="681"/>
      <c r="J101" s="681"/>
    </row>
    <row r="102" spans="5:10" s="677" customFormat="1">
      <c r="E102" s="681"/>
      <c r="F102" s="681"/>
      <c r="G102" s="681"/>
      <c r="H102" s="681"/>
      <c r="I102" s="681"/>
      <c r="J102" s="681"/>
    </row>
    <row r="103" spans="5:10" s="677" customFormat="1">
      <c r="E103" s="681"/>
      <c r="F103" s="681"/>
      <c r="G103" s="681"/>
      <c r="H103" s="681"/>
      <c r="I103" s="681"/>
      <c r="J103" s="681"/>
    </row>
    <row r="104" spans="5:10" s="677" customFormat="1">
      <c r="E104" s="681"/>
      <c r="F104" s="681"/>
      <c r="G104" s="681"/>
      <c r="H104" s="681"/>
      <c r="I104" s="681"/>
      <c r="J104" s="681"/>
    </row>
    <row r="105" spans="5:10" s="677" customFormat="1">
      <c r="E105" s="681"/>
      <c r="F105" s="681"/>
      <c r="G105" s="681"/>
      <c r="H105" s="681"/>
      <c r="I105" s="681"/>
      <c r="J105" s="681"/>
    </row>
    <row r="106" spans="5:10" s="677" customFormat="1">
      <c r="E106" s="681"/>
      <c r="F106" s="681"/>
      <c r="G106" s="681"/>
      <c r="H106" s="681"/>
      <c r="I106" s="681"/>
      <c r="J106" s="681"/>
    </row>
    <row r="107" spans="5:10" s="677" customFormat="1">
      <c r="E107" s="681"/>
      <c r="F107" s="681"/>
      <c r="G107" s="681"/>
      <c r="H107" s="681"/>
      <c r="I107" s="681"/>
      <c r="J107" s="681"/>
    </row>
    <row r="108" spans="5:10" s="677" customFormat="1">
      <c r="E108" s="681"/>
      <c r="F108" s="681"/>
      <c r="G108" s="681"/>
      <c r="H108" s="681"/>
      <c r="I108" s="681"/>
      <c r="J108" s="681"/>
    </row>
    <row r="109" spans="5:10" s="677" customFormat="1">
      <c r="E109" s="681"/>
      <c r="F109" s="681"/>
      <c r="G109" s="681"/>
      <c r="H109" s="681"/>
      <c r="I109" s="681"/>
      <c r="J109" s="681"/>
    </row>
    <row r="110" spans="5:10" s="677" customFormat="1">
      <c r="E110" s="681"/>
      <c r="F110" s="681"/>
      <c r="G110" s="681"/>
      <c r="H110" s="681"/>
      <c r="I110" s="681"/>
      <c r="J110" s="681"/>
    </row>
    <row r="111" spans="5:10" s="677" customFormat="1">
      <c r="E111" s="681"/>
      <c r="F111" s="681"/>
      <c r="G111" s="681"/>
      <c r="H111" s="681"/>
      <c r="I111" s="681"/>
      <c r="J111" s="681"/>
    </row>
    <row r="112" spans="5:10" s="677" customFormat="1">
      <c r="E112" s="681"/>
      <c r="F112" s="681"/>
      <c r="G112" s="681"/>
      <c r="H112" s="681"/>
      <c r="I112" s="681"/>
      <c r="J112" s="681"/>
    </row>
    <row r="113" spans="5:10" s="677" customFormat="1">
      <c r="E113" s="681"/>
      <c r="F113" s="681"/>
      <c r="G113" s="681"/>
      <c r="H113" s="681"/>
      <c r="I113" s="681"/>
      <c r="J113" s="681"/>
    </row>
    <row r="114" spans="5:10" s="677" customFormat="1">
      <c r="E114" s="681"/>
      <c r="F114" s="681"/>
      <c r="G114" s="681"/>
      <c r="H114" s="681"/>
      <c r="I114" s="681"/>
      <c r="J114" s="681"/>
    </row>
    <row r="115" spans="5:10" s="677" customFormat="1">
      <c r="E115" s="681"/>
      <c r="F115" s="681"/>
      <c r="G115" s="681"/>
      <c r="H115" s="681"/>
      <c r="I115" s="681"/>
      <c r="J115" s="681"/>
    </row>
    <row r="116" spans="5:10" s="677" customFormat="1">
      <c r="E116" s="681"/>
      <c r="F116" s="681"/>
      <c r="G116" s="681"/>
      <c r="H116" s="681"/>
      <c r="I116" s="681"/>
      <c r="J116" s="681"/>
    </row>
    <row r="117" spans="5:10" s="677" customFormat="1">
      <c r="E117" s="681"/>
      <c r="F117" s="681"/>
      <c r="G117" s="681"/>
      <c r="H117" s="681"/>
      <c r="I117" s="681"/>
      <c r="J117" s="681"/>
    </row>
    <row r="118" spans="5:10" s="677" customFormat="1">
      <c r="E118" s="681"/>
      <c r="F118" s="681"/>
      <c r="G118" s="681"/>
      <c r="H118" s="681"/>
      <c r="I118" s="681"/>
      <c r="J118" s="681"/>
    </row>
    <row r="119" spans="5:10" s="677" customFormat="1">
      <c r="E119" s="681"/>
      <c r="F119" s="681"/>
      <c r="G119" s="681"/>
      <c r="H119" s="681"/>
      <c r="I119" s="681"/>
      <c r="J119" s="681"/>
    </row>
    <row r="120" spans="5:10" s="677" customFormat="1">
      <c r="E120" s="681"/>
      <c r="F120" s="681"/>
      <c r="G120" s="681"/>
      <c r="H120" s="681"/>
      <c r="I120" s="681"/>
      <c r="J120" s="681"/>
    </row>
    <row r="121" spans="5:10" s="677" customFormat="1">
      <c r="E121" s="681"/>
      <c r="F121" s="681"/>
      <c r="G121" s="681"/>
      <c r="H121" s="681"/>
      <c r="I121" s="681"/>
      <c r="J121" s="681"/>
    </row>
    <row r="122" spans="5:10" s="677" customFormat="1">
      <c r="E122" s="681"/>
      <c r="F122" s="681"/>
      <c r="G122" s="681"/>
      <c r="H122" s="681"/>
      <c r="I122" s="681"/>
      <c r="J122" s="681"/>
    </row>
    <row r="123" spans="5:10" s="677" customFormat="1">
      <c r="E123" s="681"/>
      <c r="F123" s="681"/>
      <c r="G123" s="681"/>
      <c r="H123" s="681"/>
      <c r="I123" s="681"/>
      <c r="J123" s="681"/>
    </row>
    <row r="124" spans="5:10" s="677" customFormat="1">
      <c r="E124" s="681"/>
      <c r="F124" s="681"/>
      <c r="G124" s="681"/>
      <c r="H124" s="681"/>
      <c r="I124" s="681"/>
      <c r="J124" s="681"/>
    </row>
    <row r="125" spans="5:10" s="677" customFormat="1">
      <c r="E125" s="681"/>
      <c r="F125" s="681"/>
      <c r="G125" s="681"/>
      <c r="H125" s="681"/>
      <c r="I125" s="681"/>
      <c r="J125" s="681"/>
    </row>
    <row r="126" spans="5:10" s="677" customFormat="1">
      <c r="E126" s="681"/>
      <c r="F126" s="681"/>
      <c r="G126" s="681"/>
      <c r="H126" s="681"/>
      <c r="I126" s="681"/>
      <c r="J126" s="681"/>
    </row>
    <row r="127" spans="5:10" s="677" customFormat="1">
      <c r="E127" s="681"/>
      <c r="F127" s="681"/>
      <c r="G127" s="681"/>
      <c r="H127" s="681"/>
      <c r="I127" s="681"/>
      <c r="J127" s="681"/>
    </row>
    <row r="128" spans="5:10" s="677" customFormat="1">
      <c r="E128" s="681"/>
      <c r="F128" s="681"/>
      <c r="G128" s="681"/>
      <c r="H128" s="681"/>
      <c r="I128" s="681"/>
      <c r="J128" s="681"/>
    </row>
    <row r="129" spans="5:10" s="677" customFormat="1">
      <c r="E129" s="681"/>
      <c r="F129" s="681"/>
      <c r="G129" s="681"/>
      <c r="H129" s="681"/>
      <c r="I129" s="681"/>
      <c r="J129" s="681"/>
    </row>
    <row r="130" spans="5:10" s="677" customFormat="1">
      <c r="E130" s="681"/>
      <c r="F130" s="681"/>
      <c r="G130" s="681"/>
      <c r="H130" s="681"/>
      <c r="I130" s="681"/>
      <c r="J130" s="681"/>
    </row>
    <row r="131" spans="5:10" s="677" customFormat="1">
      <c r="E131" s="681"/>
      <c r="F131" s="681"/>
      <c r="G131" s="681"/>
      <c r="H131" s="681"/>
      <c r="I131" s="681"/>
      <c r="J131" s="681"/>
    </row>
    <row r="132" spans="5:10" s="677" customFormat="1">
      <c r="E132" s="681"/>
      <c r="F132" s="681"/>
      <c r="G132" s="681"/>
      <c r="H132" s="681"/>
      <c r="I132" s="681"/>
      <c r="J132" s="681"/>
    </row>
    <row r="133" spans="5:10" s="677" customFormat="1">
      <c r="E133" s="681"/>
      <c r="F133" s="681"/>
      <c r="G133" s="681"/>
      <c r="H133" s="681"/>
      <c r="I133" s="681"/>
      <c r="J133" s="681"/>
    </row>
    <row r="134" spans="5:10" s="677" customFormat="1">
      <c r="E134" s="681"/>
      <c r="F134" s="681"/>
      <c r="G134" s="681"/>
      <c r="H134" s="681"/>
      <c r="I134" s="681"/>
      <c r="J134" s="681"/>
    </row>
    <row r="135" spans="5:10" s="677" customFormat="1">
      <c r="E135" s="681"/>
      <c r="F135" s="681"/>
      <c r="G135" s="681"/>
      <c r="H135" s="681"/>
      <c r="I135" s="681"/>
      <c r="J135" s="681"/>
    </row>
    <row r="136" spans="5:10" s="677" customFormat="1">
      <c r="E136" s="681"/>
      <c r="F136" s="681"/>
      <c r="G136" s="681"/>
      <c r="H136" s="681"/>
      <c r="I136" s="681"/>
      <c r="J136" s="681"/>
    </row>
    <row r="137" spans="5:10" s="677" customFormat="1">
      <c r="E137" s="681"/>
      <c r="F137" s="681"/>
      <c r="G137" s="681"/>
      <c r="H137" s="681"/>
      <c r="I137" s="681"/>
      <c r="J137" s="681"/>
    </row>
    <row r="138" spans="5:10" s="677" customFormat="1">
      <c r="E138" s="681"/>
      <c r="F138" s="681"/>
      <c r="G138" s="681"/>
      <c r="H138" s="681"/>
      <c r="I138" s="681"/>
      <c r="J138" s="681"/>
    </row>
    <row r="139" spans="5:10" s="677" customFormat="1">
      <c r="E139" s="681"/>
      <c r="F139" s="681"/>
      <c r="G139" s="681"/>
      <c r="H139" s="681"/>
      <c r="I139" s="681"/>
      <c r="J139" s="681"/>
    </row>
    <row r="140" spans="5:10" s="677" customFormat="1">
      <c r="E140" s="681"/>
      <c r="F140" s="681"/>
      <c r="G140" s="681"/>
      <c r="H140" s="681"/>
      <c r="I140" s="681"/>
      <c r="J140" s="681"/>
    </row>
    <row r="141" spans="5:10" s="677" customFormat="1">
      <c r="E141" s="681"/>
      <c r="F141" s="681"/>
      <c r="G141" s="681"/>
      <c r="H141" s="681"/>
      <c r="I141" s="681"/>
      <c r="J141" s="681"/>
    </row>
    <row r="142" spans="5:10" s="677" customFormat="1">
      <c r="E142" s="681"/>
      <c r="F142" s="681"/>
      <c r="G142" s="681"/>
      <c r="H142" s="681"/>
      <c r="I142" s="681"/>
      <c r="J142" s="681"/>
    </row>
    <row r="143" spans="5:10" s="677" customFormat="1">
      <c r="E143" s="681"/>
      <c r="F143" s="681"/>
      <c r="G143" s="681"/>
      <c r="H143" s="681"/>
      <c r="I143" s="681"/>
      <c r="J143" s="681"/>
    </row>
    <row r="144" spans="5:10" s="677" customFormat="1">
      <c r="E144" s="681"/>
      <c r="F144" s="681"/>
      <c r="G144" s="681"/>
      <c r="H144" s="681"/>
      <c r="I144" s="681"/>
      <c r="J144" s="681"/>
    </row>
    <row r="145" spans="5:10" s="677" customFormat="1">
      <c r="E145" s="681"/>
      <c r="F145" s="681"/>
      <c r="G145" s="681"/>
      <c r="H145" s="681"/>
      <c r="I145" s="681"/>
      <c r="J145" s="681"/>
    </row>
    <row r="146" spans="5:10" s="677" customFormat="1">
      <c r="E146" s="681"/>
      <c r="F146" s="681"/>
      <c r="G146" s="681"/>
      <c r="H146" s="681"/>
      <c r="I146" s="681"/>
      <c r="J146" s="681"/>
    </row>
    <row r="147" spans="5:10" s="677" customFormat="1">
      <c r="E147" s="681"/>
      <c r="F147" s="681"/>
      <c r="G147" s="681"/>
      <c r="H147" s="681"/>
      <c r="I147" s="681"/>
      <c r="J147" s="681"/>
    </row>
    <row r="148" spans="5:10" s="677" customFormat="1">
      <c r="E148" s="681"/>
      <c r="F148" s="681"/>
      <c r="G148" s="681"/>
      <c r="H148" s="681"/>
      <c r="I148" s="681"/>
      <c r="J148" s="681"/>
    </row>
    <row r="149" spans="5:10" s="677" customFormat="1">
      <c r="E149" s="681"/>
      <c r="F149" s="681"/>
      <c r="G149" s="681"/>
      <c r="H149" s="681"/>
      <c r="I149" s="681"/>
      <c r="J149" s="681"/>
    </row>
    <row r="150" spans="5:10" s="677" customFormat="1">
      <c r="E150" s="681"/>
      <c r="F150" s="681"/>
      <c r="G150" s="681"/>
      <c r="H150" s="681"/>
      <c r="I150" s="681"/>
      <c r="J150" s="681"/>
    </row>
    <row r="151" spans="5:10" s="677" customFormat="1">
      <c r="E151" s="681"/>
      <c r="F151" s="681"/>
      <c r="G151" s="681"/>
      <c r="H151" s="681"/>
      <c r="I151" s="681"/>
      <c r="J151" s="681"/>
    </row>
    <row r="152" spans="5:10" s="677" customFormat="1">
      <c r="E152" s="681"/>
      <c r="F152" s="681"/>
      <c r="G152" s="681"/>
      <c r="H152" s="681"/>
      <c r="I152" s="681"/>
      <c r="J152" s="681"/>
    </row>
    <row r="153" spans="5:10" s="677" customFormat="1">
      <c r="E153" s="681"/>
      <c r="F153" s="681"/>
      <c r="G153" s="681"/>
      <c r="H153" s="681"/>
      <c r="I153" s="681"/>
      <c r="J153" s="681"/>
    </row>
    <row r="154" spans="5:10" s="677" customFormat="1">
      <c r="E154" s="681"/>
      <c r="F154" s="681"/>
      <c r="G154" s="681"/>
      <c r="H154" s="681"/>
      <c r="I154" s="681"/>
      <c r="J154" s="681"/>
    </row>
    <row r="155" spans="5:10" s="677" customFormat="1">
      <c r="E155" s="681"/>
      <c r="F155" s="681"/>
      <c r="G155" s="681"/>
      <c r="H155" s="681"/>
      <c r="I155" s="681"/>
      <c r="J155" s="681"/>
    </row>
    <row r="156" spans="5:10" s="677" customFormat="1">
      <c r="E156" s="681"/>
      <c r="F156" s="681"/>
      <c r="G156" s="681"/>
      <c r="H156" s="681"/>
      <c r="I156" s="681"/>
      <c r="J156" s="681"/>
    </row>
    <row r="157" spans="5:10" s="677" customFormat="1">
      <c r="E157" s="681"/>
      <c r="F157" s="681"/>
      <c r="G157" s="681"/>
      <c r="H157" s="681"/>
      <c r="I157" s="681"/>
      <c r="J157" s="681"/>
    </row>
    <row r="158" spans="5:10" s="677" customFormat="1">
      <c r="E158" s="681"/>
      <c r="F158" s="681"/>
      <c r="G158" s="681"/>
      <c r="H158" s="681"/>
      <c r="I158" s="681"/>
      <c r="J158" s="681"/>
    </row>
    <row r="159" spans="5:10" s="677" customFormat="1">
      <c r="E159" s="681"/>
      <c r="F159" s="681"/>
      <c r="G159" s="681"/>
      <c r="H159" s="681"/>
      <c r="I159" s="681"/>
      <c r="J159" s="681"/>
    </row>
    <row r="160" spans="5:10" s="677" customFormat="1">
      <c r="E160" s="681"/>
      <c r="F160" s="681"/>
      <c r="G160" s="681"/>
      <c r="H160" s="681"/>
      <c r="I160" s="681"/>
      <c r="J160" s="681"/>
    </row>
    <row r="161" spans="5:10" s="677" customFormat="1">
      <c r="E161" s="681"/>
      <c r="F161" s="681"/>
      <c r="G161" s="681"/>
      <c r="H161" s="681"/>
      <c r="I161" s="681"/>
      <c r="J161" s="681"/>
    </row>
    <row r="162" spans="5:10" s="677" customFormat="1">
      <c r="E162" s="681"/>
      <c r="F162" s="681"/>
      <c r="G162" s="681"/>
      <c r="H162" s="681"/>
      <c r="I162" s="681"/>
      <c r="J162" s="681"/>
    </row>
    <row r="163" spans="5:10" s="677" customFormat="1">
      <c r="E163" s="681"/>
      <c r="F163" s="681"/>
      <c r="G163" s="681"/>
      <c r="H163" s="681"/>
      <c r="I163" s="681"/>
      <c r="J163" s="681"/>
    </row>
    <row r="164" spans="5:10" s="677" customFormat="1">
      <c r="E164" s="681"/>
      <c r="F164" s="681"/>
      <c r="G164" s="681"/>
      <c r="H164" s="681"/>
      <c r="I164" s="681"/>
      <c r="J164" s="681"/>
    </row>
    <row r="165" spans="5:10" s="677" customFormat="1">
      <c r="E165" s="681"/>
      <c r="F165" s="681"/>
      <c r="G165" s="681"/>
      <c r="H165" s="681"/>
      <c r="I165" s="681"/>
      <c r="J165" s="681"/>
    </row>
    <row r="166" spans="5:10" s="677" customFormat="1">
      <c r="E166" s="681"/>
      <c r="F166" s="681"/>
      <c r="G166" s="681"/>
      <c r="H166" s="681"/>
      <c r="I166" s="681"/>
      <c r="J166" s="681"/>
    </row>
    <row r="167" spans="5:10" s="677" customFormat="1">
      <c r="E167" s="681"/>
      <c r="F167" s="681"/>
      <c r="G167" s="681"/>
      <c r="H167" s="681"/>
      <c r="I167" s="681"/>
      <c r="J167" s="681"/>
    </row>
    <row r="168" spans="5:10" s="677" customFormat="1">
      <c r="E168" s="681"/>
      <c r="F168" s="681"/>
      <c r="G168" s="681"/>
      <c r="H168" s="681"/>
      <c r="I168" s="681"/>
      <c r="J168" s="681"/>
    </row>
    <row r="169" spans="5:10" s="677" customFormat="1">
      <c r="E169" s="681"/>
      <c r="F169" s="681"/>
      <c r="G169" s="681"/>
      <c r="H169" s="681"/>
      <c r="I169" s="681"/>
      <c r="J169" s="681"/>
    </row>
    <row r="170" spans="5:10" s="677" customFormat="1">
      <c r="E170" s="681"/>
      <c r="F170" s="681"/>
      <c r="G170" s="681"/>
      <c r="H170" s="681"/>
      <c r="I170" s="681"/>
      <c r="J170" s="681"/>
    </row>
    <row r="171" spans="5:10" s="677" customFormat="1">
      <c r="E171" s="681"/>
      <c r="F171" s="681"/>
      <c r="G171" s="681"/>
      <c r="H171" s="681"/>
      <c r="I171" s="681"/>
      <c r="J171" s="681"/>
    </row>
    <row r="172" spans="5:10" s="677" customFormat="1">
      <c r="E172" s="681"/>
      <c r="F172" s="681"/>
      <c r="G172" s="681"/>
      <c r="H172" s="681"/>
      <c r="I172" s="681"/>
      <c r="J172" s="681"/>
    </row>
    <row r="173" spans="5:10" s="677" customFormat="1">
      <c r="E173" s="681"/>
      <c r="F173" s="681"/>
      <c r="G173" s="681"/>
      <c r="H173" s="681"/>
      <c r="I173" s="681"/>
      <c r="J173" s="681"/>
    </row>
    <row r="174" spans="5:10" s="677" customFormat="1">
      <c r="E174" s="681"/>
      <c r="F174" s="681"/>
      <c r="G174" s="681"/>
      <c r="H174" s="681"/>
      <c r="I174" s="681"/>
      <c r="J174" s="681"/>
    </row>
    <row r="175" spans="5:10" s="677" customFormat="1">
      <c r="E175" s="681"/>
      <c r="F175" s="681"/>
      <c r="G175" s="681"/>
      <c r="H175" s="681"/>
      <c r="I175" s="681"/>
      <c r="J175" s="681"/>
    </row>
  </sheetData>
  <mergeCells count="21">
    <mergeCell ref="F19:G19"/>
    <mergeCell ref="I19:I20"/>
    <mergeCell ref="F11:G11"/>
    <mergeCell ref="F10:G10"/>
    <mergeCell ref="F9:G9"/>
    <mergeCell ref="J2:J4"/>
    <mergeCell ref="J19:J20"/>
    <mergeCell ref="J10:J11"/>
    <mergeCell ref="I10:I11"/>
    <mergeCell ref="H7:J7"/>
    <mergeCell ref="H8:H9"/>
    <mergeCell ref="I8:I9"/>
    <mergeCell ref="J8:J9"/>
    <mergeCell ref="E16:J16"/>
    <mergeCell ref="E7:G7"/>
    <mergeCell ref="E2:E4"/>
    <mergeCell ref="F3:F4"/>
    <mergeCell ref="G3:G4"/>
    <mergeCell ref="F2:G2"/>
    <mergeCell ref="H10:H11"/>
    <mergeCell ref="H2:I2"/>
  </mergeCells>
  <phoneticPr fontId="1" type="noConversion"/>
  <pageMargins left="0.78740157499999996" right="0.78740157499999996" top="0.984251969" bottom="0.984251969" header="0.4921259845" footer="0.4921259845"/>
  <pageSetup paperSize="13" orientation="portrait" r:id="rId1"/>
  <headerFooter alignWithMargins="0"/>
  <drawing r:id="rId2"/>
  <pictur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R5"/>
  <sheetViews>
    <sheetView workbookViewId="0">
      <selection activeCell="E16" sqref="E16"/>
    </sheetView>
  </sheetViews>
  <sheetFormatPr baseColWidth="10" defaultRowHeight="15"/>
  <cols>
    <col min="1" max="1" width="13.5703125" bestFit="1" customWidth="1"/>
    <col min="17" max="17" width="15.5703125" customWidth="1"/>
  </cols>
  <sheetData>
    <row r="1" spans="1:18" ht="16.5">
      <c r="A1" s="1186" t="s">
        <v>1445</v>
      </c>
      <c r="B1" s="1185" t="s">
        <v>1264</v>
      </c>
      <c r="C1" s="1174" t="s">
        <v>1025</v>
      </c>
      <c r="D1" s="1174" t="s">
        <v>1367</v>
      </c>
      <c r="E1" s="1174" t="s">
        <v>268</v>
      </c>
      <c r="F1" s="1174" t="s">
        <v>1027</v>
      </c>
      <c r="G1" s="1174" t="s">
        <v>1026</v>
      </c>
      <c r="H1" s="1174" t="s">
        <v>1210</v>
      </c>
      <c r="I1" s="1174" t="s">
        <v>1211</v>
      </c>
      <c r="J1" s="1174" t="s">
        <v>1028</v>
      </c>
      <c r="K1" s="1174" t="s">
        <v>1368</v>
      </c>
      <c r="L1" s="1174" t="s">
        <v>1212</v>
      </c>
      <c r="M1" s="1174" t="s">
        <v>1029</v>
      </c>
      <c r="N1" s="1174" t="s">
        <v>1030</v>
      </c>
      <c r="O1" s="1174" t="s">
        <v>1213</v>
      </c>
      <c r="P1" s="1174" t="s">
        <v>1214</v>
      </c>
      <c r="Q1" s="1174" t="s">
        <v>1216</v>
      </c>
    </row>
    <row r="2" spans="1:18" ht="16.5">
      <c r="A2" s="945" t="s">
        <v>1316</v>
      </c>
      <c r="B2" s="945" t="s">
        <v>1318</v>
      </c>
      <c r="C2" s="1179" t="s">
        <v>1318</v>
      </c>
      <c r="D2" s="1181" t="s">
        <v>1256</v>
      </c>
      <c r="E2" s="1181" t="s">
        <v>1257</v>
      </c>
      <c r="F2" s="1181" t="s">
        <v>1255</v>
      </c>
      <c r="G2" s="1182">
        <v>97450</v>
      </c>
      <c r="H2" s="1181" t="s">
        <v>981</v>
      </c>
      <c r="I2" s="1182">
        <v>692727287</v>
      </c>
      <c r="J2" s="1181" t="s">
        <v>1258</v>
      </c>
      <c r="K2" s="1181" t="s">
        <v>1259</v>
      </c>
      <c r="L2" s="1181" t="s">
        <v>975</v>
      </c>
      <c r="M2" s="1181" t="s">
        <v>1260</v>
      </c>
      <c r="N2" s="1181">
        <v>600</v>
      </c>
      <c r="O2" s="1181" t="s">
        <v>1261</v>
      </c>
      <c r="P2" s="1183">
        <v>41812</v>
      </c>
      <c r="Q2" s="1181" t="s">
        <v>1228</v>
      </c>
      <c r="R2" s="1181" t="s">
        <v>944</v>
      </c>
    </row>
    <row r="3" spans="1:18" ht="16.5">
      <c r="A3" s="945" t="s">
        <v>1271</v>
      </c>
      <c r="B3" s="1175" t="s">
        <v>1265</v>
      </c>
      <c r="C3" s="1176" t="s">
        <v>1236</v>
      </c>
      <c r="D3" s="1176" t="s">
        <v>1237</v>
      </c>
      <c r="E3" s="1176" t="s">
        <v>1238</v>
      </c>
      <c r="F3" s="1177">
        <v>97400</v>
      </c>
      <c r="G3" s="1176" t="s">
        <v>948</v>
      </c>
      <c r="H3" s="1176">
        <v>693826382</v>
      </c>
      <c r="I3" s="1176" t="s">
        <v>1239</v>
      </c>
      <c r="J3" s="1176" t="s">
        <v>1240</v>
      </c>
      <c r="K3" s="1176" t="s">
        <v>948</v>
      </c>
      <c r="L3" s="1176" t="s">
        <v>1241</v>
      </c>
      <c r="M3" s="1176">
        <v>540</v>
      </c>
      <c r="N3" s="1176" t="s">
        <v>1266</v>
      </c>
      <c r="O3" s="1178">
        <v>42907</v>
      </c>
      <c r="P3" s="1176" t="s">
        <v>1222</v>
      </c>
      <c r="Q3" s="1176" t="s">
        <v>1269</v>
      </c>
    </row>
    <row r="4" spans="1:18" ht="16.5">
      <c r="A4" s="945" t="s">
        <v>1273</v>
      </c>
      <c r="B4" s="1179" t="s">
        <v>1242</v>
      </c>
      <c r="C4" s="1180" t="s">
        <v>1243</v>
      </c>
      <c r="D4" s="1181" t="s">
        <v>1244</v>
      </c>
      <c r="E4" s="1181" t="s">
        <v>1268</v>
      </c>
      <c r="F4" s="1182">
        <v>97460</v>
      </c>
      <c r="G4" s="1181" t="s">
        <v>982</v>
      </c>
      <c r="H4" s="1181">
        <v>692589547</v>
      </c>
      <c r="I4" s="1181" t="s">
        <v>1245</v>
      </c>
      <c r="J4" s="1181" t="s">
        <v>1246</v>
      </c>
      <c r="K4" s="1181" t="s">
        <v>950</v>
      </c>
      <c r="L4" s="1181" t="s">
        <v>1247</v>
      </c>
      <c r="M4" s="1181">
        <v>400</v>
      </c>
      <c r="N4" s="1181" t="s">
        <v>1267</v>
      </c>
      <c r="O4" s="1183">
        <v>42542</v>
      </c>
      <c r="P4" s="1181" t="s">
        <v>1228</v>
      </c>
      <c r="Q4" s="1181"/>
    </row>
    <row r="5" spans="1:18" ht="16.5">
      <c r="A5" s="945" t="s">
        <v>1313</v>
      </c>
      <c r="B5" s="1184" t="s">
        <v>1312</v>
      </c>
      <c r="C5" s="1176" t="s">
        <v>1274</v>
      </c>
      <c r="D5" s="1176" t="s">
        <v>1275</v>
      </c>
      <c r="E5" s="1176" t="s">
        <v>1276</v>
      </c>
      <c r="F5" s="1177">
        <v>97450</v>
      </c>
      <c r="G5" s="1176" t="s">
        <v>981</v>
      </c>
      <c r="H5" s="1176">
        <v>693584612</v>
      </c>
      <c r="I5" s="1176" t="s">
        <v>1277</v>
      </c>
      <c r="J5" s="1176" t="s">
        <v>1278</v>
      </c>
      <c r="K5" s="1176" t="s">
        <v>982</v>
      </c>
      <c r="L5" s="1176" t="s">
        <v>1279</v>
      </c>
      <c r="M5" s="1176">
        <v>600</v>
      </c>
      <c r="N5" s="1176" t="s">
        <v>1280</v>
      </c>
      <c r="O5" s="1178">
        <v>42492</v>
      </c>
      <c r="P5" s="1176" t="s">
        <v>1224</v>
      </c>
      <c r="Q5" s="117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Q89"/>
  <sheetViews>
    <sheetView workbookViewId="0">
      <pane ySplit="2" topLeftCell="A66" activePane="bottomLeft" state="frozen"/>
      <selection pane="bottomLeft" activeCell="A13" sqref="A13:B13"/>
    </sheetView>
  </sheetViews>
  <sheetFormatPr baseColWidth="10" defaultRowHeight="15"/>
  <cols>
    <col min="1" max="2" width="11.42578125" style="945"/>
    <col min="3" max="3" width="11.42578125" style="946"/>
    <col min="4" max="4" width="73.42578125" style="945" customWidth="1"/>
    <col min="5" max="5" width="11.5703125" style="946" customWidth="1"/>
    <col min="6" max="12" width="11.5703125" style="945" customWidth="1"/>
    <col min="13" max="16" width="12.5703125" style="945" customWidth="1"/>
    <col min="17" max="16384" width="11.42578125" style="945"/>
  </cols>
  <sheetData>
    <row r="1" spans="1:17" s="940" customFormat="1" ht="13.5">
      <c r="A1" s="1056" t="s">
        <v>1264</v>
      </c>
      <c r="B1" s="1056" t="s">
        <v>1217</v>
      </c>
      <c r="C1" s="1062" t="s">
        <v>912</v>
      </c>
      <c r="D1" s="1064" t="s">
        <v>1005</v>
      </c>
      <c r="E1" s="1066" t="s">
        <v>0</v>
      </c>
      <c r="F1" s="1066" t="s">
        <v>5</v>
      </c>
      <c r="G1" s="1060" t="s">
        <v>1004</v>
      </c>
      <c r="H1" s="1060"/>
      <c r="I1" s="1060"/>
      <c r="J1" s="1060" t="s">
        <v>1002</v>
      </c>
      <c r="K1" s="1060"/>
      <c r="L1" s="1058" t="s">
        <v>3</v>
      </c>
      <c r="M1" s="1060" t="s">
        <v>4</v>
      </c>
      <c r="N1" s="1060"/>
      <c r="O1" s="1058" t="s">
        <v>3</v>
      </c>
      <c r="P1" s="1060" t="s">
        <v>1003</v>
      </c>
      <c r="Q1" s="1061"/>
    </row>
    <row r="2" spans="1:17" s="940" customFormat="1" ht="27">
      <c r="A2" s="1057"/>
      <c r="B2" s="1057"/>
      <c r="C2" s="1063"/>
      <c r="D2" s="1065"/>
      <c r="E2" s="1067"/>
      <c r="F2" s="1067"/>
      <c r="G2" s="941" t="s">
        <v>1208</v>
      </c>
      <c r="H2" s="942" t="s">
        <v>6</v>
      </c>
      <c r="I2" s="941" t="s">
        <v>1207</v>
      </c>
      <c r="J2" s="941" t="s">
        <v>1205</v>
      </c>
      <c r="K2" s="941" t="s">
        <v>1206</v>
      </c>
      <c r="L2" s="1059"/>
      <c r="M2" s="943" t="s">
        <v>7</v>
      </c>
      <c r="N2" s="943" t="s">
        <v>986</v>
      </c>
      <c r="O2" s="1059"/>
      <c r="P2" s="941" t="s">
        <v>1</v>
      </c>
      <c r="Q2" s="944" t="s">
        <v>2</v>
      </c>
    </row>
    <row r="3" spans="1:17">
      <c r="A3" s="945" t="s">
        <v>1265</v>
      </c>
      <c r="B3" s="945" t="s">
        <v>1271</v>
      </c>
      <c r="C3" s="946">
        <v>16</v>
      </c>
      <c r="D3" s="945" t="s">
        <v>237</v>
      </c>
      <c r="E3" s="946" t="s">
        <v>67</v>
      </c>
      <c r="F3" s="945">
        <v>10</v>
      </c>
      <c r="G3" s="945">
        <v>34.072200000000002</v>
      </c>
      <c r="I3" s="945">
        <v>340.72199999999998</v>
      </c>
      <c r="J3" s="945">
        <v>0.2</v>
      </c>
      <c r="K3" s="945">
        <v>2</v>
      </c>
      <c r="M3" s="945">
        <v>42.042400000000001</v>
      </c>
      <c r="N3" s="945">
        <v>401.90300000000002</v>
      </c>
      <c r="P3" s="945">
        <v>50.237900000000003</v>
      </c>
      <c r="Q3" s="945">
        <v>502.37900000000002</v>
      </c>
    </row>
    <row r="4" spans="1:17">
      <c r="A4" s="945" t="s">
        <v>1265</v>
      </c>
      <c r="B4" s="945" t="s">
        <v>1271</v>
      </c>
      <c r="C4" s="946">
        <v>16</v>
      </c>
      <c r="D4" s="945" t="s">
        <v>237</v>
      </c>
      <c r="E4" s="946" t="s">
        <v>67</v>
      </c>
      <c r="F4" s="945">
        <v>14</v>
      </c>
      <c r="G4" s="945">
        <v>34.072200000000002</v>
      </c>
      <c r="I4" s="945">
        <v>477.01080000000002</v>
      </c>
      <c r="J4" s="945">
        <v>0.2</v>
      </c>
      <c r="K4" s="945">
        <v>2.8</v>
      </c>
      <c r="M4" s="945">
        <v>58.859360000000002</v>
      </c>
      <c r="N4" s="945">
        <v>562.66420000000005</v>
      </c>
      <c r="P4" s="945">
        <v>48.228400000000001</v>
      </c>
      <c r="Q4" s="945">
        <v>675.19759999999997</v>
      </c>
    </row>
    <row r="5" spans="1:17">
      <c r="A5" s="945" t="s">
        <v>1265</v>
      </c>
      <c r="B5" s="945" t="s">
        <v>1271</v>
      </c>
      <c r="C5" s="946">
        <v>14</v>
      </c>
      <c r="D5" s="945" t="s">
        <v>235</v>
      </c>
      <c r="E5" s="946" t="s">
        <v>43</v>
      </c>
      <c r="F5" s="945">
        <v>60</v>
      </c>
      <c r="G5" s="945">
        <v>32.549999999999997</v>
      </c>
      <c r="I5" s="945">
        <v>1953</v>
      </c>
      <c r="J5" s="945">
        <v>0.75</v>
      </c>
      <c r="K5" s="945">
        <v>45</v>
      </c>
      <c r="M5" s="945">
        <v>945.95399999999995</v>
      </c>
      <c r="N5" s="945">
        <v>3043.902</v>
      </c>
      <c r="P5" s="945">
        <v>60.878</v>
      </c>
      <c r="Q5" s="945">
        <v>3652.68</v>
      </c>
    </row>
    <row r="6" spans="1:17">
      <c r="A6" s="945" t="s">
        <v>1265</v>
      </c>
      <c r="B6" s="945" t="s">
        <v>1271</v>
      </c>
      <c r="C6" s="946">
        <v>16</v>
      </c>
      <c r="D6" s="945" t="s">
        <v>237</v>
      </c>
      <c r="E6" s="946" t="s">
        <v>67</v>
      </c>
      <c r="F6" s="945">
        <v>20</v>
      </c>
      <c r="G6" s="945">
        <v>34.072200000000002</v>
      </c>
      <c r="I6" s="945">
        <v>1250.4680000000001</v>
      </c>
      <c r="J6" s="945">
        <v>0.2</v>
      </c>
      <c r="K6" s="945">
        <v>57.1</v>
      </c>
      <c r="M6" s="945">
        <v>1200.31052</v>
      </c>
      <c r="N6" s="945">
        <v>2573.3159999999998</v>
      </c>
      <c r="P6" s="945">
        <v>48.228400000000001</v>
      </c>
      <c r="Q6" s="945">
        <v>3087.9780000000001</v>
      </c>
    </row>
    <row r="7" spans="1:17">
      <c r="A7" s="945" t="s">
        <v>1265</v>
      </c>
      <c r="B7" s="945" t="s">
        <v>1271</v>
      </c>
      <c r="C7" s="946">
        <v>9.1</v>
      </c>
      <c r="D7" s="945" t="s">
        <v>285</v>
      </c>
      <c r="E7" s="946" t="s">
        <v>59</v>
      </c>
      <c r="F7" s="945">
        <v>1</v>
      </c>
      <c r="G7" s="945">
        <v>10.145099999999999</v>
      </c>
      <c r="I7" s="945">
        <v>2029.02</v>
      </c>
      <c r="J7" s="945">
        <v>0.45</v>
      </c>
      <c r="K7" s="945">
        <v>90</v>
      </c>
      <c r="M7" s="945">
        <v>1891.9079999999999</v>
      </c>
      <c r="N7" s="945">
        <v>4116.9799999999996</v>
      </c>
      <c r="P7" s="945">
        <v>24.701799999999999</v>
      </c>
      <c r="Q7" s="945">
        <v>4940.3599999999997</v>
      </c>
    </row>
    <row r="8" spans="1:17">
      <c r="A8" s="945" t="s">
        <v>1265</v>
      </c>
      <c r="B8" s="945" t="s">
        <v>1271</v>
      </c>
      <c r="C8" s="946">
        <v>14</v>
      </c>
      <c r="D8" s="945" t="s">
        <v>235</v>
      </c>
      <c r="E8" s="946" t="s">
        <v>43</v>
      </c>
      <c r="F8" s="945">
        <v>20</v>
      </c>
      <c r="G8" s="945">
        <v>32.549999999999997</v>
      </c>
      <c r="I8" s="945">
        <v>651</v>
      </c>
      <c r="J8" s="945">
        <v>0.75</v>
      </c>
      <c r="K8" s="945">
        <v>15</v>
      </c>
      <c r="M8" s="945">
        <v>315.31799999999998</v>
      </c>
      <c r="N8" s="945">
        <v>1014.634</v>
      </c>
      <c r="P8" s="945">
        <v>60.878</v>
      </c>
      <c r="Q8" s="945">
        <v>1217.56</v>
      </c>
    </row>
    <row r="9" spans="1:17">
      <c r="A9" s="945" t="s">
        <v>1265</v>
      </c>
      <c r="B9" s="945" t="s">
        <v>1271</v>
      </c>
      <c r="C9" s="946" t="s">
        <v>2</v>
      </c>
      <c r="D9" s="945" t="s">
        <v>989</v>
      </c>
      <c r="Q9" s="945">
        <v>15276.1546</v>
      </c>
    </row>
    <row r="10" spans="1:17">
      <c r="A10" s="945" t="s">
        <v>1265</v>
      </c>
      <c r="B10" s="945" t="s">
        <v>1271</v>
      </c>
      <c r="C10" s="946">
        <v>30.1</v>
      </c>
      <c r="D10" s="945" t="s">
        <v>263</v>
      </c>
      <c r="E10" s="946" t="s">
        <v>67</v>
      </c>
      <c r="F10" s="945">
        <v>10</v>
      </c>
      <c r="G10" s="945">
        <v>62.523400000000002</v>
      </c>
      <c r="I10" s="945">
        <v>625.23400000000004</v>
      </c>
      <c r="J10" s="945">
        <v>2.855</v>
      </c>
      <c r="K10" s="945">
        <v>28.55</v>
      </c>
      <c r="M10" s="945">
        <v>600.15526</v>
      </c>
      <c r="N10" s="945">
        <v>1286.6579999999999</v>
      </c>
      <c r="P10" s="945">
        <v>154.3989</v>
      </c>
      <c r="Q10" s="945">
        <v>1543.989</v>
      </c>
    </row>
    <row r="11" spans="1:17">
      <c r="A11" s="945" t="s">
        <v>1242</v>
      </c>
      <c r="B11" s="945" t="s">
        <v>1273</v>
      </c>
      <c r="C11" s="946">
        <v>16</v>
      </c>
      <c r="D11" s="945" t="s">
        <v>237</v>
      </c>
      <c r="E11" s="946" t="s">
        <v>67</v>
      </c>
      <c r="F11" s="945">
        <v>20</v>
      </c>
      <c r="G11" s="945">
        <v>34.072200000000002</v>
      </c>
      <c r="I11" s="945">
        <v>651</v>
      </c>
      <c r="J11" s="945">
        <v>0.2</v>
      </c>
      <c r="K11" s="945">
        <v>15</v>
      </c>
      <c r="M11" s="945">
        <v>315.31799999999998</v>
      </c>
      <c r="N11" s="945">
        <v>1014.634</v>
      </c>
      <c r="P11" s="945">
        <v>48.228400000000001</v>
      </c>
      <c r="Q11" s="945">
        <v>1217.56</v>
      </c>
    </row>
    <row r="12" spans="1:17">
      <c r="A12" s="945" t="s">
        <v>1242</v>
      </c>
      <c r="B12" s="945" t="s">
        <v>1273</v>
      </c>
      <c r="C12" s="946">
        <v>30.2</v>
      </c>
      <c r="D12" s="945" t="s">
        <v>1175</v>
      </c>
      <c r="E12" s="946" t="s">
        <v>43</v>
      </c>
      <c r="F12" s="945">
        <v>100</v>
      </c>
      <c r="G12" s="945">
        <v>136.13040000000001</v>
      </c>
      <c r="I12" s="945">
        <v>651</v>
      </c>
      <c r="J12" s="945">
        <v>6</v>
      </c>
      <c r="K12" s="945">
        <v>15</v>
      </c>
      <c r="M12" s="945">
        <v>315.31799999999998</v>
      </c>
      <c r="N12" s="945">
        <v>1014.634</v>
      </c>
      <c r="P12" s="945">
        <v>330.4443</v>
      </c>
      <c r="Q12" s="945">
        <v>1217.56</v>
      </c>
    </row>
    <row r="13" spans="1:17">
      <c r="A13" s="945" t="s">
        <v>1312</v>
      </c>
      <c r="B13" s="945" t="s">
        <v>1313</v>
      </c>
      <c r="C13" s="946">
        <v>14</v>
      </c>
      <c r="D13" s="945" t="s">
        <v>235</v>
      </c>
      <c r="E13" s="946" t="s">
        <v>43</v>
      </c>
      <c r="F13" s="945">
        <v>20</v>
      </c>
      <c r="G13" s="945">
        <v>32.549999999999997</v>
      </c>
      <c r="I13" s="945">
        <v>651</v>
      </c>
      <c r="J13" s="945">
        <v>0.75</v>
      </c>
      <c r="K13" s="945">
        <v>15</v>
      </c>
      <c r="M13" s="945">
        <v>315.31799999999998</v>
      </c>
      <c r="N13" s="945">
        <v>1014.634</v>
      </c>
      <c r="P13" s="945">
        <v>60.878</v>
      </c>
      <c r="Q13" s="945">
        <v>1217.56</v>
      </c>
    </row>
    <row r="14" spans="1:17">
      <c r="A14" s="945" t="s">
        <v>1312</v>
      </c>
      <c r="B14" s="945" t="s">
        <v>1313</v>
      </c>
      <c r="C14" s="946" t="s">
        <v>2</v>
      </c>
      <c r="D14" s="945" t="s">
        <v>989</v>
      </c>
      <c r="Q14" s="945">
        <v>15276.1546</v>
      </c>
    </row>
    <row r="15" spans="1:17">
      <c r="A15" s="945" t="s">
        <v>1312</v>
      </c>
      <c r="B15" s="945" t="s">
        <v>1313</v>
      </c>
      <c r="C15" s="946">
        <v>30.1</v>
      </c>
      <c r="D15" s="945" t="s">
        <v>263</v>
      </c>
      <c r="E15" s="946" t="s">
        <v>67</v>
      </c>
      <c r="F15" s="945">
        <v>10</v>
      </c>
      <c r="G15" s="945">
        <v>62.523400000000002</v>
      </c>
      <c r="I15" s="945">
        <v>625.23400000000004</v>
      </c>
      <c r="J15" s="945">
        <v>2.855</v>
      </c>
      <c r="K15" s="945">
        <v>28.55</v>
      </c>
      <c r="M15" s="945">
        <v>600.15526</v>
      </c>
      <c r="N15" s="945">
        <v>1286.6579999999999</v>
      </c>
      <c r="P15" s="945">
        <v>154.3989</v>
      </c>
      <c r="Q15" s="945">
        <v>1543.989</v>
      </c>
    </row>
    <row r="16" spans="1:17">
      <c r="A16" s="945" t="s">
        <v>1312</v>
      </c>
      <c r="B16" s="945" t="s">
        <v>1313</v>
      </c>
      <c r="C16" s="946">
        <v>14</v>
      </c>
      <c r="D16" s="945" t="s">
        <v>235</v>
      </c>
      <c r="E16" s="946" t="s">
        <v>43</v>
      </c>
      <c r="F16" s="945">
        <v>1</v>
      </c>
      <c r="G16" s="945">
        <v>32.549999999999997</v>
      </c>
      <c r="I16" s="945">
        <v>32.549999999999997</v>
      </c>
      <c r="J16" s="945">
        <v>0.75</v>
      </c>
      <c r="K16" s="945">
        <v>0.75</v>
      </c>
      <c r="M16" s="945">
        <v>15.7659</v>
      </c>
      <c r="N16" s="945">
        <v>50.731699999999996</v>
      </c>
      <c r="P16" s="945">
        <v>60.878</v>
      </c>
      <c r="Q16" s="945">
        <v>60.878</v>
      </c>
    </row>
    <row r="17" spans="1:17">
      <c r="A17" s="945" t="s">
        <v>1312</v>
      </c>
      <c r="B17" s="945" t="s">
        <v>1313</v>
      </c>
      <c r="C17" s="946">
        <v>30.2</v>
      </c>
      <c r="D17" s="945" t="s">
        <v>1175</v>
      </c>
      <c r="E17" s="946" t="s">
        <v>43</v>
      </c>
      <c r="F17" s="945">
        <v>10</v>
      </c>
      <c r="G17" s="945">
        <v>136.13040000000001</v>
      </c>
      <c r="I17" s="945">
        <v>625.23400000000004</v>
      </c>
      <c r="J17" s="945">
        <v>6</v>
      </c>
      <c r="K17" s="945">
        <v>28.55</v>
      </c>
      <c r="M17" s="945">
        <v>600.15526</v>
      </c>
      <c r="N17" s="945">
        <v>1286.6579999999999</v>
      </c>
      <c r="P17" s="945">
        <v>330.4443</v>
      </c>
      <c r="Q17" s="945">
        <v>1543.989</v>
      </c>
    </row>
    <row r="18" spans="1:17">
      <c r="A18" s="945" t="s">
        <v>1312</v>
      </c>
      <c r="B18" s="945" t="s">
        <v>1313</v>
      </c>
      <c r="C18" s="946">
        <v>14</v>
      </c>
      <c r="D18" s="945" t="s">
        <v>235</v>
      </c>
      <c r="E18" s="946" t="s">
        <v>43</v>
      </c>
      <c r="F18" s="945">
        <v>241</v>
      </c>
      <c r="G18" s="945">
        <v>32.549999999999997</v>
      </c>
      <c r="I18" s="945">
        <v>7844.55</v>
      </c>
      <c r="J18" s="945">
        <v>0.75</v>
      </c>
      <c r="K18" s="945">
        <v>180.75</v>
      </c>
      <c r="M18" s="945">
        <v>3799.5819000000001</v>
      </c>
      <c r="N18" s="945">
        <v>12226.3397</v>
      </c>
      <c r="P18" s="945">
        <v>60.878</v>
      </c>
      <c r="Q18" s="945">
        <v>14671.598</v>
      </c>
    </row>
    <row r="19" spans="1:17">
      <c r="A19" s="945" t="s">
        <v>1312</v>
      </c>
      <c r="B19" s="945" t="s">
        <v>1313</v>
      </c>
      <c r="C19" s="946">
        <v>15.1</v>
      </c>
      <c r="D19" s="945" t="s">
        <v>168</v>
      </c>
      <c r="E19" s="946" t="s">
        <v>67</v>
      </c>
      <c r="F19" s="945">
        <v>20</v>
      </c>
      <c r="G19" s="945">
        <v>10.5</v>
      </c>
      <c r="I19" s="945">
        <v>210</v>
      </c>
      <c r="J19" s="945">
        <v>0.25</v>
      </c>
      <c r="K19" s="945">
        <v>5</v>
      </c>
      <c r="M19" s="945">
        <v>105.10599999999999</v>
      </c>
      <c r="N19" s="945">
        <v>330.86200000000002</v>
      </c>
      <c r="P19" s="945">
        <v>19.851700000000001</v>
      </c>
      <c r="Q19" s="945">
        <v>397.03399999999999</v>
      </c>
    </row>
    <row r="20" spans="1:17">
      <c r="A20" s="945" t="s">
        <v>1312</v>
      </c>
      <c r="B20" s="945" t="s">
        <v>1313</v>
      </c>
      <c r="C20" s="946">
        <v>30.1</v>
      </c>
      <c r="D20" s="945" t="s">
        <v>263</v>
      </c>
      <c r="E20" s="946" t="s">
        <v>67</v>
      </c>
      <c r="F20" s="945">
        <v>2</v>
      </c>
      <c r="G20" s="945">
        <v>62.523400000000002</v>
      </c>
      <c r="I20" s="945">
        <v>125.0468</v>
      </c>
      <c r="J20" s="945">
        <v>2.855</v>
      </c>
      <c r="K20" s="945">
        <v>5.71</v>
      </c>
      <c r="M20" s="945">
        <v>120.031052</v>
      </c>
      <c r="N20" s="945">
        <v>257.33159999999998</v>
      </c>
      <c r="P20" s="945">
        <v>154.3989</v>
      </c>
      <c r="Q20" s="945">
        <v>308.7978</v>
      </c>
    </row>
    <row r="21" spans="1:17">
      <c r="A21" s="945" t="s">
        <v>1312</v>
      </c>
      <c r="B21" s="945" t="s">
        <v>1313</v>
      </c>
      <c r="C21" s="946">
        <v>14</v>
      </c>
      <c r="D21" s="945" t="s">
        <v>235</v>
      </c>
      <c r="E21" s="946" t="s">
        <v>43</v>
      </c>
      <c r="F21" s="945">
        <v>10</v>
      </c>
      <c r="G21" s="945">
        <v>32.549999999999997</v>
      </c>
      <c r="I21" s="945">
        <v>325.5</v>
      </c>
      <c r="J21" s="945">
        <v>0.75</v>
      </c>
      <c r="K21" s="945">
        <v>7.5</v>
      </c>
      <c r="M21" s="945">
        <v>157.65899999999999</v>
      </c>
      <c r="N21" s="945">
        <v>507.31700000000001</v>
      </c>
      <c r="P21" s="945">
        <v>60.878</v>
      </c>
      <c r="Q21" s="945">
        <v>608.78</v>
      </c>
    </row>
    <row r="22" spans="1:17">
      <c r="A22" s="945" t="s">
        <v>1312</v>
      </c>
      <c r="B22" s="945" t="s">
        <v>1313</v>
      </c>
      <c r="C22" s="946">
        <v>30.1</v>
      </c>
      <c r="D22" s="945" t="s">
        <v>263</v>
      </c>
      <c r="E22" s="946" t="s">
        <v>67</v>
      </c>
      <c r="F22" s="945">
        <v>12</v>
      </c>
      <c r="G22" s="945">
        <v>62.523400000000002</v>
      </c>
      <c r="I22" s="945">
        <v>750.2808</v>
      </c>
      <c r="J22" s="945">
        <v>2.855</v>
      </c>
      <c r="K22" s="945">
        <v>34.26</v>
      </c>
      <c r="M22" s="945">
        <v>720.18631200000004</v>
      </c>
      <c r="N22" s="945">
        <v>1543.9896000000001</v>
      </c>
      <c r="P22" s="945">
        <v>154.3989</v>
      </c>
      <c r="Q22" s="945">
        <v>1852.7868000000001</v>
      </c>
    </row>
    <row r="23" spans="1:17">
      <c r="A23" s="945" t="s">
        <v>1312</v>
      </c>
      <c r="B23" s="945" t="s">
        <v>1313</v>
      </c>
      <c r="C23" s="946">
        <v>16</v>
      </c>
      <c r="D23" s="945" t="s">
        <v>237</v>
      </c>
      <c r="E23" s="946" t="s">
        <v>67</v>
      </c>
      <c r="F23" s="945">
        <v>20</v>
      </c>
      <c r="G23" s="945">
        <v>34.072200000000002</v>
      </c>
      <c r="I23" s="945">
        <v>651</v>
      </c>
      <c r="J23" s="945">
        <v>0.2</v>
      </c>
      <c r="K23" s="945">
        <v>15</v>
      </c>
      <c r="M23" s="945">
        <v>315.31799999999998</v>
      </c>
      <c r="N23" s="945">
        <v>1014.634</v>
      </c>
      <c r="P23" s="945">
        <v>48.228400000000001</v>
      </c>
      <c r="Q23" s="945">
        <v>1217.56</v>
      </c>
    </row>
    <row r="24" spans="1:17">
      <c r="A24" s="945" t="s">
        <v>1312</v>
      </c>
      <c r="B24" s="945" t="s">
        <v>1313</v>
      </c>
      <c r="C24" s="946">
        <v>30.2</v>
      </c>
      <c r="D24" s="945" t="s">
        <v>1175</v>
      </c>
      <c r="E24" s="946" t="s">
        <v>43</v>
      </c>
      <c r="F24" s="945">
        <v>100</v>
      </c>
      <c r="G24" s="945">
        <v>136.13040000000001</v>
      </c>
      <c r="I24" s="945">
        <v>651</v>
      </c>
      <c r="J24" s="945">
        <v>6</v>
      </c>
      <c r="K24" s="945">
        <v>15</v>
      </c>
      <c r="M24" s="945">
        <v>315.31799999999998</v>
      </c>
      <c r="N24" s="945">
        <v>1014.634</v>
      </c>
      <c r="P24" s="945">
        <v>330.4443</v>
      </c>
      <c r="Q24" s="945">
        <v>1217.56</v>
      </c>
    </row>
    <row r="25" spans="1:17">
      <c r="A25" s="945" t="s">
        <v>1312</v>
      </c>
      <c r="B25" s="945" t="s">
        <v>1313</v>
      </c>
      <c r="C25" s="946" t="s">
        <v>2</v>
      </c>
      <c r="Q25" s="945">
        <v>2435.12</v>
      </c>
    </row>
    <row r="26" spans="1:17">
      <c r="A26" s="945" t="s">
        <v>1312</v>
      </c>
      <c r="B26" s="945" t="s">
        <v>1313</v>
      </c>
      <c r="C26" s="946">
        <v>30.1</v>
      </c>
      <c r="D26" s="945" t="s">
        <v>263</v>
      </c>
      <c r="E26" s="946" t="s">
        <v>67</v>
      </c>
      <c r="F26" s="945">
        <v>10</v>
      </c>
      <c r="G26" s="945">
        <v>62.523400000000002</v>
      </c>
      <c r="I26" s="945">
        <v>325.5</v>
      </c>
      <c r="J26" s="945">
        <v>2.855</v>
      </c>
      <c r="K26" s="945">
        <v>7.5</v>
      </c>
      <c r="M26" s="945">
        <v>157.65899999999999</v>
      </c>
      <c r="N26" s="945">
        <v>507.31700000000001</v>
      </c>
      <c r="P26" s="945">
        <v>154.3989</v>
      </c>
      <c r="Q26" s="945">
        <v>608.78</v>
      </c>
    </row>
    <row r="27" spans="1:17">
      <c r="A27" s="945" t="s">
        <v>1312</v>
      </c>
      <c r="B27" s="945" t="s">
        <v>1313</v>
      </c>
      <c r="C27" s="946">
        <v>30.1</v>
      </c>
      <c r="D27" s="945" t="s">
        <v>263</v>
      </c>
      <c r="E27" s="946" t="s">
        <v>67</v>
      </c>
      <c r="F27" s="945">
        <v>20</v>
      </c>
      <c r="G27" s="945">
        <v>62.523400000000002</v>
      </c>
      <c r="I27" s="945">
        <v>1250.4680000000001</v>
      </c>
      <c r="J27" s="945">
        <v>2.855</v>
      </c>
      <c r="K27" s="945">
        <v>57.1</v>
      </c>
      <c r="M27" s="945">
        <v>1200.31052</v>
      </c>
      <c r="N27" s="945">
        <v>2573.3159999999998</v>
      </c>
      <c r="P27" s="945">
        <v>154.3989</v>
      </c>
      <c r="Q27" s="945">
        <v>3087.9780000000001</v>
      </c>
    </row>
    <row r="28" spans="1:17">
      <c r="A28" s="945" t="s">
        <v>1312</v>
      </c>
      <c r="B28" s="945" t="s">
        <v>1313</v>
      </c>
      <c r="C28" s="946">
        <v>10.000999999999999</v>
      </c>
      <c r="D28" s="945" t="s">
        <v>1090</v>
      </c>
      <c r="E28" s="946" t="s">
        <v>50</v>
      </c>
      <c r="F28" s="945">
        <v>50</v>
      </c>
      <c r="G28" s="945">
        <v>0</v>
      </c>
      <c r="I28" s="945">
        <v>0</v>
      </c>
      <c r="J28" s="945">
        <v>1.3</v>
      </c>
      <c r="K28" s="945">
        <v>65</v>
      </c>
      <c r="M28" s="945">
        <v>1366.3779999999999</v>
      </c>
      <c r="N28" s="945">
        <v>9450</v>
      </c>
      <c r="P28" s="945">
        <v>226.8</v>
      </c>
      <c r="Q28" s="945">
        <v>11340</v>
      </c>
    </row>
    <row r="29" spans="1:17">
      <c r="A29" s="945" t="s">
        <v>1312</v>
      </c>
      <c r="B29" s="945" t="s">
        <v>1313</v>
      </c>
      <c r="C29" s="946">
        <v>18.600000000000001</v>
      </c>
      <c r="D29" s="945" t="s">
        <v>244</v>
      </c>
      <c r="E29" s="946" t="s">
        <v>67</v>
      </c>
      <c r="F29" s="945">
        <v>10</v>
      </c>
      <c r="G29" s="945">
        <v>40.762999999999998</v>
      </c>
      <c r="I29" s="945">
        <v>407.63</v>
      </c>
      <c r="J29" s="945">
        <v>1.1499999999999999</v>
      </c>
      <c r="K29" s="945">
        <v>11.5</v>
      </c>
      <c r="M29" s="945">
        <v>241.74379999999999</v>
      </c>
      <c r="N29" s="945">
        <v>681.84199999999998</v>
      </c>
      <c r="P29" s="945">
        <v>81.820999999999998</v>
      </c>
      <c r="Q29" s="945">
        <v>818.21</v>
      </c>
    </row>
    <row r="30" spans="1:17">
      <c r="A30" s="945" t="s">
        <v>1312</v>
      </c>
      <c r="B30" s="945" t="s">
        <v>1313</v>
      </c>
      <c r="C30" s="946" t="s">
        <v>2</v>
      </c>
      <c r="Q30" s="945">
        <v>17549.477999999999</v>
      </c>
    </row>
    <row r="31" spans="1:17">
      <c r="A31" s="945" t="s">
        <v>1242</v>
      </c>
      <c r="B31" s="945" t="s">
        <v>1273</v>
      </c>
      <c r="C31" s="946">
        <v>16</v>
      </c>
      <c r="D31" s="945" t="s">
        <v>237</v>
      </c>
      <c r="E31" s="946" t="s">
        <v>67</v>
      </c>
      <c r="F31" s="945">
        <v>10</v>
      </c>
      <c r="G31" s="945">
        <v>34.072200000000002</v>
      </c>
      <c r="I31" s="945">
        <v>340.72199999999998</v>
      </c>
      <c r="J31" s="945">
        <v>0.2</v>
      </c>
      <c r="K31" s="945">
        <v>2</v>
      </c>
      <c r="M31" s="945">
        <v>42.042400000000001</v>
      </c>
      <c r="N31" s="945">
        <v>401.90300000000002</v>
      </c>
      <c r="P31" s="945">
        <v>50.237900000000003</v>
      </c>
      <c r="Q31" s="945">
        <v>502.37900000000002</v>
      </c>
    </row>
    <row r="32" spans="1:17">
      <c r="A32" s="945" t="s">
        <v>1242</v>
      </c>
      <c r="B32" s="945" t="s">
        <v>1273</v>
      </c>
      <c r="C32" s="946">
        <v>16</v>
      </c>
      <c r="D32" s="945" t="s">
        <v>237</v>
      </c>
      <c r="E32" s="946" t="s">
        <v>67</v>
      </c>
      <c r="F32" s="945">
        <v>14</v>
      </c>
      <c r="G32" s="945">
        <v>34.072200000000002</v>
      </c>
      <c r="I32" s="945">
        <v>477.01080000000002</v>
      </c>
      <c r="J32" s="945">
        <v>0.2</v>
      </c>
      <c r="K32" s="945">
        <v>2.8</v>
      </c>
      <c r="M32" s="945">
        <v>58.859360000000002</v>
      </c>
      <c r="N32" s="945">
        <v>562.66420000000005</v>
      </c>
      <c r="P32" s="945">
        <v>48.228400000000001</v>
      </c>
      <c r="Q32" s="945">
        <v>675.19759999999997</v>
      </c>
    </row>
    <row r="33" spans="1:17">
      <c r="A33" s="945" t="s">
        <v>1242</v>
      </c>
      <c r="B33" s="945" t="s">
        <v>1273</v>
      </c>
      <c r="C33" s="946">
        <v>14</v>
      </c>
      <c r="D33" s="945" t="s">
        <v>235</v>
      </c>
      <c r="E33" s="946" t="s">
        <v>43</v>
      </c>
      <c r="F33" s="945">
        <v>60</v>
      </c>
      <c r="G33" s="945">
        <v>32.549999999999997</v>
      </c>
      <c r="I33" s="945">
        <v>1953</v>
      </c>
      <c r="J33" s="945">
        <v>0.75</v>
      </c>
      <c r="K33" s="945">
        <v>45</v>
      </c>
      <c r="M33" s="945">
        <v>945.95399999999995</v>
      </c>
      <c r="N33" s="945">
        <v>3043.902</v>
      </c>
      <c r="P33" s="945">
        <v>60.878</v>
      </c>
      <c r="Q33" s="945">
        <v>3652.68</v>
      </c>
    </row>
    <row r="34" spans="1:17">
      <c r="A34" s="945" t="s">
        <v>1242</v>
      </c>
      <c r="B34" s="945" t="s">
        <v>1273</v>
      </c>
      <c r="C34" s="946">
        <v>16</v>
      </c>
      <c r="D34" s="945" t="s">
        <v>237</v>
      </c>
      <c r="E34" s="946" t="s">
        <v>67</v>
      </c>
      <c r="F34" s="945">
        <v>20</v>
      </c>
      <c r="G34" s="945">
        <v>34.072200000000002</v>
      </c>
      <c r="I34" s="945">
        <v>1250.4680000000001</v>
      </c>
      <c r="J34" s="945">
        <v>0.2</v>
      </c>
      <c r="K34" s="945">
        <v>57.1</v>
      </c>
      <c r="M34" s="945">
        <v>1200.31052</v>
      </c>
      <c r="N34" s="945">
        <v>2573.3159999999998</v>
      </c>
      <c r="P34" s="945">
        <v>48.228400000000001</v>
      </c>
      <c r="Q34" s="945">
        <v>3087.9780000000001</v>
      </c>
    </row>
    <row r="35" spans="1:17">
      <c r="A35" s="945" t="s">
        <v>1242</v>
      </c>
      <c r="B35" s="945" t="s">
        <v>1273</v>
      </c>
      <c r="C35" s="946">
        <v>9.1</v>
      </c>
      <c r="D35" s="945" t="s">
        <v>285</v>
      </c>
      <c r="E35" s="946" t="s">
        <v>59</v>
      </c>
      <c r="F35" s="945">
        <v>1</v>
      </c>
      <c r="G35" s="945">
        <v>10.145099999999999</v>
      </c>
      <c r="I35" s="945">
        <v>2029.02</v>
      </c>
      <c r="J35" s="945">
        <v>0.45</v>
      </c>
      <c r="K35" s="945">
        <v>90</v>
      </c>
      <c r="M35" s="945">
        <v>1891.9079999999999</v>
      </c>
      <c r="N35" s="945">
        <v>4116.9799999999996</v>
      </c>
      <c r="P35" s="945">
        <v>24.701799999999999</v>
      </c>
      <c r="Q35" s="945">
        <v>4940.3599999999997</v>
      </c>
    </row>
    <row r="36" spans="1:17">
      <c r="A36" s="945" t="s">
        <v>1242</v>
      </c>
      <c r="B36" s="945" t="s">
        <v>1273</v>
      </c>
      <c r="C36" s="946">
        <v>14</v>
      </c>
      <c r="D36" s="945" t="s">
        <v>235</v>
      </c>
      <c r="E36" s="946" t="s">
        <v>43</v>
      </c>
      <c r="F36" s="945">
        <v>20</v>
      </c>
      <c r="G36" s="945">
        <v>32.549999999999997</v>
      </c>
      <c r="I36" s="945">
        <v>651</v>
      </c>
      <c r="J36" s="945">
        <v>0.75</v>
      </c>
      <c r="K36" s="945">
        <v>15</v>
      </c>
      <c r="M36" s="945">
        <v>315.31799999999998</v>
      </c>
      <c r="N36" s="945">
        <v>1014.634</v>
      </c>
      <c r="P36" s="945">
        <v>60.878</v>
      </c>
      <c r="Q36" s="945">
        <v>1217.56</v>
      </c>
    </row>
    <row r="37" spans="1:17">
      <c r="A37" s="945" t="s">
        <v>1242</v>
      </c>
      <c r="B37" s="945" t="s">
        <v>1273</v>
      </c>
      <c r="C37" s="946" t="s">
        <v>2</v>
      </c>
      <c r="D37" s="945" t="s">
        <v>989</v>
      </c>
      <c r="Q37" s="945">
        <v>15276.1546</v>
      </c>
    </row>
    <row r="38" spans="1:17">
      <c r="A38" s="945" t="s">
        <v>1242</v>
      </c>
      <c r="B38" s="945" t="s">
        <v>1273</v>
      </c>
      <c r="C38" s="946">
        <v>30.1</v>
      </c>
      <c r="D38" s="945" t="s">
        <v>263</v>
      </c>
      <c r="E38" s="946" t="s">
        <v>67</v>
      </c>
      <c r="F38" s="945">
        <v>10</v>
      </c>
      <c r="G38" s="945">
        <v>62.523400000000002</v>
      </c>
      <c r="I38" s="945">
        <v>625.23400000000004</v>
      </c>
      <c r="J38" s="945">
        <v>2.855</v>
      </c>
      <c r="K38" s="945">
        <v>28.55</v>
      </c>
      <c r="M38" s="945">
        <v>600.15526</v>
      </c>
      <c r="N38" s="945">
        <v>1286.6579999999999</v>
      </c>
      <c r="P38" s="945">
        <v>154.3989</v>
      </c>
      <c r="Q38" s="945">
        <v>1543.989</v>
      </c>
    </row>
    <row r="39" spans="1:17">
      <c r="A39" s="945" t="s">
        <v>1242</v>
      </c>
      <c r="B39" s="945" t="s">
        <v>1273</v>
      </c>
      <c r="C39" s="946">
        <v>14</v>
      </c>
      <c r="D39" s="945" t="s">
        <v>235</v>
      </c>
      <c r="E39" s="946" t="s">
        <v>43</v>
      </c>
      <c r="F39" s="945">
        <v>1</v>
      </c>
      <c r="G39" s="945">
        <v>32.549999999999997</v>
      </c>
      <c r="I39" s="945">
        <v>32.549999999999997</v>
      </c>
      <c r="J39" s="945">
        <v>0.75</v>
      </c>
      <c r="K39" s="945">
        <v>0.75</v>
      </c>
      <c r="M39" s="945">
        <v>15.7659</v>
      </c>
      <c r="N39" s="945">
        <v>50.731699999999996</v>
      </c>
      <c r="P39" s="945">
        <v>60.878</v>
      </c>
      <c r="Q39" s="945">
        <v>60.878</v>
      </c>
    </row>
    <row r="40" spans="1:17">
      <c r="A40" s="945" t="s">
        <v>1242</v>
      </c>
      <c r="B40" s="945" t="s">
        <v>1273</v>
      </c>
      <c r="C40" s="946">
        <v>30.2</v>
      </c>
      <c r="D40" s="945" t="s">
        <v>1175</v>
      </c>
      <c r="E40" s="946" t="s">
        <v>43</v>
      </c>
      <c r="F40" s="945">
        <v>10</v>
      </c>
      <c r="G40" s="945">
        <v>136.13040000000001</v>
      </c>
      <c r="I40" s="945">
        <v>625.23400000000004</v>
      </c>
      <c r="J40" s="945">
        <v>6</v>
      </c>
      <c r="K40" s="945">
        <v>28.55</v>
      </c>
      <c r="M40" s="945">
        <v>600.15526</v>
      </c>
      <c r="N40" s="945">
        <v>1286.6579999999999</v>
      </c>
      <c r="P40" s="945">
        <v>330.4443</v>
      </c>
      <c r="Q40" s="945">
        <v>1543.989</v>
      </c>
    </row>
    <row r="41" spans="1:17">
      <c r="A41" s="945" t="s">
        <v>1242</v>
      </c>
      <c r="B41" s="945" t="s">
        <v>1273</v>
      </c>
      <c r="C41" s="946">
        <v>14</v>
      </c>
      <c r="D41" s="945" t="s">
        <v>235</v>
      </c>
      <c r="E41" s="946" t="s">
        <v>43</v>
      </c>
      <c r="F41" s="945">
        <v>241</v>
      </c>
      <c r="G41" s="945">
        <v>32.549999999999997</v>
      </c>
      <c r="I41" s="945">
        <v>7844.55</v>
      </c>
      <c r="J41" s="945">
        <v>0.75</v>
      </c>
      <c r="K41" s="945">
        <v>180.75</v>
      </c>
      <c r="M41" s="945">
        <v>3799.5819000000001</v>
      </c>
      <c r="N41" s="945">
        <v>12226.3397</v>
      </c>
      <c r="P41" s="945">
        <v>60.878</v>
      </c>
      <c r="Q41" s="945">
        <v>14671.598</v>
      </c>
    </row>
    <row r="42" spans="1:17">
      <c r="A42" s="945" t="s">
        <v>1242</v>
      </c>
      <c r="B42" s="945" t="s">
        <v>1273</v>
      </c>
      <c r="C42" s="946">
        <v>15.1</v>
      </c>
      <c r="D42" s="945" t="s">
        <v>168</v>
      </c>
      <c r="E42" s="946" t="s">
        <v>67</v>
      </c>
      <c r="F42" s="945">
        <v>20</v>
      </c>
      <c r="G42" s="945">
        <v>10.5</v>
      </c>
      <c r="I42" s="945">
        <v>210</v>
      </c>
      <c r="J42" s="945">
        <v>0.25</v>
      </c>
      <c r="K42" s="945">
        <v>5</v>
      </c>
      <c r="M42" s="945">
        <v>105.10599999999999</v>
      </c>
      <c r="N42" s="945">
        <v>330.86200000000002</v>
      </c>
      <c r="P42" s="945">
        <v>19.851700000000001</v>
      </c>
      <c r="Q42" s="945">
        <v>397.03399999999999</v>
      </c>
    </row>
    <row r="43" spans="1:17">
      <c r="A43" s="945" t="s">
        <v>1242</v>
      </c>
      <c r="B43" s="945" t="s">
        <v>1273</v>
      </c>
      <c r="C43" s="946">
        <v>30.1</v>
      </c>
      <c r="D43" s="945" t="s">
        <v>263</v>
      </c>
      <c r="E43" s="946" t="s">
        <v>67</v>
      </c>
      <c r="F43" s="945">
        <v>2</v>
      </c>
      <c r="G43" s="945">
        <v>62.523400000000002</v>
      </c>
      <c r="I43" s="945">
        <v>125.0468</v>
      </c>
      <c r="J43" s="945">
        <v>2.855</v>
      </c>
      <c r="K43" s="945">
        <v>5.71</v>
      </c>
      <c r="M43" s="945">
        <v>120.031052</v>
      </c>
      <c r="N43" s="945">
        <v>257.33159999999998</v>
      </c>
      <c r="P43" s="945">
        <v>154.3989</v>
      </c>
      <c r="Q43" s="945">
        <v>308.7978</v>
      </c>
    </row>
    <row r="44" spans="1:17">
      <c r="A44" s="945" t="s">
        <v>1242</v>
      </c>
      <c r="B44" s="945" t="s">
        <v>1273</v>
      </c>
      <c r="C44" s="946">
        <v>14</v>
      </c>
      <c r="D44" s="945" t="s">
        <v>235</v>
      </c>
      <c r="E44" s="946" t="s">
        <v>43</v>
      </c>
      <c r="F44" s="945">
        <v>10</v>
      </c>
      <c r="G44" s="945">
        <v>32.549999999999997</v>
      </c>
      <c r="I44" s="945">
        <v>325.5</v>
      </c>
      <c r="J44" s="945">
        <v>0.75</v>
      </c>
      <c r="K44" s="945">
        <v>7.5</v>
      </c>
      <c r="M44" s="945">
        <v>157.65899999999999</v>
      </c>
      <c r="N44" s="945">
        <v>507.31700000000001</v>
      </c>
      <c r="P44" s="945">
        <v>60.878</v>
      </c>
      <c r="Q44" s="945">
        <v>608.78</v>
      </c>
    </row>
    <row r="45" spans="1:17">
      <c r="A45" s="945" t="s">
        <v>1242</v>
      </c>
      <c r="B45" s="945" t="s">
        <v>1273</v>
      </c>
      <c r="C45" s="946">
        <v>30.1</v>
      </c>
      <c r="D45" s="945" t="s">
        <v>263</v>
      </c>
      <c r="E45" s="946" t="s">
        <v>67</v>
      </c>
      <c r="F45" s="945">
        <v>12</v>
      </c>
      <c r="G45" s="945">
        <v>62.523400000000002</v>
      </c>
      <c r="I45" s="945">
        <v>750.2808</v>
      </c>
      <c r="J45" s="945">
        <v>2.855</v>
      </c>
      <c r="K45" s="945">
        <v>34.26</v>
      </c>
      <c r="M45" s="945">
        <v>720.18631200000004</v>
      </c>
      <c r="N45" s="945">
        <v>1543.9896000000001</v>
      </c>
      <c r="P45" s="945">
        <v>154.3989</v>
      </c>
      <c r="Q45" s="945">
        <v>1852.7868000000001</v>
      </c>
    </row>
    <row r="46" spans="1:17">
      <c r="A46" s="945" t="s">
        <v>1242</v>
      </c>
      <c r="B46" s="945" t="s">
        <v>1273</v>
      </c>
      <c r="C46" s="946">
        <v>16</v>
      </c>
      <c r="D46" s="945" t="s">
        <v>237</v>
      </c>
      <c r="E46" s="946" t="s">
        <v>67</v>
      </c>
      <c r="F46" s="945">
        <v>20</v>
      </c>
      <c r="G46" s="945">
        <v>34.072200000000002</v>
      </c>
      <c r="I46" s="945">
        <v>651</v>
      </c>
      <c r="J46" s="945">
        <v>0.2</v>
      </c>
      <c r="K46" s="945">
        <v>15</v>
      </c>
      <c r="M46" s="945">
        <v>315.31799999999998</v>
      </c>
      <c r="N46" s="945">
        <v>1014.634</v>
      </c>
      <c r="P46" s="945">
        <v>48.228400000000001</v>
      </c>
      <c r="Q46" s="945">
        <v>1217.56</v>
      </c>
    </row>
    <row r="47" spans="1:17">
      <c r="A47" s="945" t="s">
        <v>1242</v>
      </c>
      <c r="B47" s="945" t="s">
        <v>1273</v>
      </c>
      <c r="C47" s="946">
        <v>30.2</v>
      </c>
      <c r="D47" s="945" t="s">
        <v>1175</v>
      </c>
      <c r="E47" s="946" t="s">
        <v>43</v>
      </c>
      <c r="F47" s="945">
        <v>100</v>
      </c>
      <c r="G47" s="945">
        <v>136.13040000000001</v>
      </c>
      <c r="I47" s="945">
        <v>651</v>
      </c>
      <c r="J47" s="945">
        <v>6</v>
      </c>
      <c r="K47" s="945">
        <v>15</v>
      </c>
      <c r="M47" s="945">
        <v>315.31799999999998</v>
      </c>
      <c r="N47" s="945">
        <v>1014.634</v>
      </c>
      <c r="P47" s="945">
        <v>330.4443</v>
      </c>
      <c r="Q47" s="945">
        <v>1217.56</v>
      </c>
    </row>
    <row r="48" spans="1:17">
      <c r="A48" s="945" t="s">
        <v>1242</v>
      </c>
      <c r="B48" s="945" t="s">
        <v>1273</v>
      </c>
      <c r="C48" s="946" t="s">
        <v>2</v>
      </c>
      <c r="Q48" s="945">
        <v>2435.12</v>
      </c>
    </row>
    <row r="49" spans="1:17">
      <c r="A49" s="945" t="s">
        <v>1242</v>
      </c>
      <c r="B49" s="945" t="s">
        <v>1273</v>
      </c>
      <c r="C49" s="946">
        <v>30.1</v>
      </c>
      <c r="D49" s="945" t="s">
        <v>263</v>
      </c>
      <c r="E49" s="946" t="s">
        <v>67</v>
      </c>
      <c r="F49" s="945">
        <v>10</v>
      </c>
      <c r="G49" s="945">
        <v>62.523400000000002</v>
      </c>
      <c r="I49" s="945">
        <v>325.5</v>
      </c>
      <c r="J49" s="945">
        <v>2.855</v>
      </c>
      <c r="K49" s="945">
        <v>7.5</v>
      </c>
      <c r="M49" s="945">
        <v>157.65899999999999</v>
      </c>
      <c r="N49" s="945">
        <v>507.31700000000001</v>
      </c>
      <c r="P49" s="945">
        <v>154.3989</v>
      </c>
      <c r="Q49" s="945">
        <v>608.78</v>
      </c>
    </row>
    <row r="50" spans="1:17">
      <c r="A50" s="945" t="s">
        <v>1242</v>
      </c>
      <c r="B50" s="945" t="s">
        <v>1273</v>
      </c>
      <c r="C50" s="946">
        <v>30.1</v>
      </c>
      <c r="D50" s="945" t="s">
        <v>263</v>
      </c>
      <c r="E50" s="946" t="s">
        <v>67</v>
      </c>
      <c r="F50" s="945">
        <v>20</v>
      </c>
      <c r="G50" s="945">
        <v>62.523400000000002</v>
      </c>
      <c r="I50" s="945">
        <v>1250.4680000000001</v>
      </c>
      <c r="J50" s="945">
        <v>2.855</v>
      </c>
      <c r="K50" s="945">
        <v>57.1</v>
      </c>
      <c r="M50" s="945">
        <v>1200.31052</v>
      </c>
      <c r="N50" s="945">
        <v>2573.3159999999998</v>
      </c>
      <c r="P50" s="945">
        <v>154.3989</v>
      </c>
      <c r="Q50" s="945">
        <v>3087.9780000000001</v>
      </c>
    </row>
    <row r="51" spans="1:17">
      <c r="A51" s="945" t="s">
        <v>1242</v>
      </c>
      <c r="B51" s="945" t="s">
        <v>1273</v>
      </c>
      <c r="C51" s="946">
        <v>16</v>
      </c>
      <c r="D51" s="945" t="s">
        <v>1381</v>
      </c>
      <c r="E51" s="946" t="s">
        <v>1379</v>
      </c>
      <c r="F51" s="945">
        <v>10</v>
      </c>
      <c r="G51" s="945">
        <v>340722</v>
      </c>
      <c r="H51" s="945" t="s">
        <v>1372</v>
      </c>
      <c r="I51" s="945">
        <v>340722</v>
      </c>
      <c r="J51" s="945" t="s">
        <v>1382</v>
      </c>
      <c r="K51" s="945">
        <v>2</v>
      </c>
      <c r="L51" s="945" t="s">
        <v>1372</v>
      </c>
      <c r="M51" s="945">
        <v>420424</v>
      </c>
      <c r="N51" s="945">
        <v>401903</v>
      </c>
      <c r="O51" s="945" t="s">
        <v>1372</v>
      </c>
      <c r="P51" s="945">
        <v>502379</v>
      </c>
      <c r="Q51" s="945">
        <v>502379</v>
      </c>
    </row>
    <row r="52" spans="1:17">
      <c r="A52" s="945" t="s">
        <v>1242</v>
      </c>
      <c r="B52" s="945" t="s">
        <v>1273</v>
      </c>
      <c r="C52" s="946">
        <v>16</v>
      </c>
      <c r="D52" s="945" t="s">
        <v>1381</v>
      </c>
      <c r="E52" s="946" t="s">
        <v>1379</v>
      </c>
      <c r="F52" s="945">
        <v>14</v>
      </c>
      <c r="G52" s="945">
        <v>340722</v>
      </c>
      <c r="H52" s="945" t="s">
        <v>1372</v>
      </c>
      <c r="I52" s="945">
        <v>4770108</v>
      </c>
      <c r="J52" s="945" t="s">
        <v>1382</v>
      </c>
      <c r="K52" s="945" t="s">
        <v>1384</v>
      </c>
      <c r="L52" s="945" t="s">
        <v>1372</v>
      </c>
      <c r="M52" s="945">
        <v>5885936</v>
      </c>
      <c r="N52" s="945">
        <v>5626642</v>
      </c>
      <c r="O52" s="945" t="s">
        <v>1372</v>
      </c>
      <c r="P52" s="945">
        <v>482284</v>
      </c>
      <c r="Q52" s="945">
        <v>6751976</v>
      </c>
    </row>
    <row r="53" spans="1:17">
      <c r="A53" s="945" t="s">
        <v>1242</v>
      </c>
      <c r="B53" s="945" t="s">
        <v>1273</v>
      </c>
      <c r="C53" s="946">
        <v>14</v>
      </c>
      <c r="D53" s="945" t="s">
        <v>1369</v>
      </c>
      <c r="E53" s="946" t="s">
        <v>1370</v>
      </c>
      <c r="F53" s="945">
        <v>60</v>
      </c>
      <c r="G53" s="945" t="s">
        <v>1371</v>
      </c>
      <c r="H53" s="945" t="s">
        <v>1372</v>
      </c>
      <c r="I53" s="945">
        <v>1953</v>
      </c>
      <c r="J53" s="945" t="s">
        <v>1373</v>
      </c>
      <c r="K53" s="945">
        <v>45</v>
      </c>
      <c r="L53" s="945" t="s">
        <v>1372</v>
      </c>
      <c r="M53" s="945">
        <v>945954</v>
      </c>
      <c r="N53" s="945">
        <v>3043902</v>
      </c>
      <c r="O53" s="945" t="s">
        <v>1372</v>
      </c>
      <c r="P53" s="945">
        <v>60878</v>
      </c>
      <c r="Q53" s="945" t="s">
        <v>1385</v>
      </c>
    </row>
    <row r="54" spans="1:17">
      <c r="A54" s="945" t="s">
        <v>1242</v>
      </c>
      <c r="B54" s="945" t="s">
        <v>1273</v>
      </c>
      <c r="C54" s="946">
        <v>16</v>
      </c>
      <c r="D54" s="945" t="s">
        <v>1381</v>
      </c>
      <c r="E54" s="946" t="s">
        <v>1379</v>
      </c>
      <c r="F54" s="945">
        <v>20</v>
      </c>
      <c r="G54" s="945">
        <v>340722</v>
      </c>
      <c r="H54" s="945" t="s">
        <v>1372</v>
      </c>
      <c r="I54" s="945">
        <v>1250468</v>
      </c>
      <c r="J54" s="945" t="s">
        <v>1382</v>
      </c>
      <c r="K54" s="945" t="s">
        <v>1383</v>
      </c>
      <c r="L54" s="945" t="s">
        <v>1372</v>
      </c>
      <c r="M54" s="945">
        <v>120031052</v>
      </c>
      <c r="N54" s="945">
        <v>2573316</v>
      </c>
      <c r="O54" s="945" t="s">
        <v>1372</v>
      </c>
      <c r="P54" s="945">
        <v>482284</v>
      </c>
      <c r="Q54" s="945">
        <v>3087978</v>
      </c>
    </row>
    <row r="55" spans="1:17">
      <c r="A55" s="945" t="s">
        <v>1242</v>
      </c>
      <c r="B55" s="945" t="s">
        <v>1273</v>
      </c>
      <c r="C55" s="946" t="s">
        <v>1386</v>
      </c>
      <c r="D55" s="945" t="s">
        <v>1387</v>
      </c>
      <c r="E55" s="946" t="s">
        <v>1388</v>
      </c>
      <c r="F55" s="945">
        <v>1</v>
      </c>
      <c r="G55" s="945">
        <v>101451</v>
      </c>
      <c r="H55" s="945" t="s">
        <v>1372</v>
      </c>
      <c r="I55" s="945" t="s">
        <v>1389</v>
      </c>
      <c r="J55" s="945" t="s">
        <v>1390</v>
      </c>
      <c r="K55" s="945">
        <v>90</v>
      </c>
      <c r="L55" s="945" t="s">
        <v>1372</v>
      </c>
      <c r="M55" s="945">
        <v>1891908</v>
      </c>
      <c r="N55" s="945" t="s">
        <v>1391</v>
      </c>
      <c r="O55" s="945" t="s">
        <v>1372</v>
      </c>
      <c r="P55" s="945">
        <v>247018</v>
      </c>
      <c r="Q55" s="945" t="s">
        <v>1392</v>
      </c>
    </row>
    <row r="56" spans="1:17">
      <c r="A56" s="945" t="s">
        <v>1242</v>
      </c>
      <c r="B56" s="945" t="s">
        <v>1273</v>
      </c>
      <c r="C56" s="946">
        <v>14</v>
      </c>
      <c r="D56" s="945" t="s">
        <v>1369</v>
      </c>
      <c r="E56" s="946" t="s">
        <v>1370</v>
      </c>
      <c r="F56" s="945">
        <v>20</v>
      </c>
      <c r="G56" s="945" t="s">
        <v>1371</v>
      </c>
      <c r="H56" s="945" t="s">
        <v>1372</v>
      </c>
      <c r="I56" s="945">
        <v>651</v>
      </c>
      <c r="J56" s="945" t="s">
        <v>1373</v>
      </c>
      <c r="K56" s="945">
        <v>15</v>
      </c>
      <c r="L56" s="945" t="s">
        <v>1372</v>
      </c>
      <c r="M56" s="945">
        <v>315318</v>
      </c>
      <c r="N56" s="945">
        <v>1014634</v>
      </c>
      <c r="O56" s="945" t="s">
        <v>1372</v>
      </c>
      <c r="P56" s="945">
        <v>60878</v>
      </c>
      <c r="Q56" s="945" t="s">
        <v>1374</v>
      </c>
    </row>
    <row r="57" spans="1:17">
      <c r="A57" s="945" t="s">
        <v>1242</v>
      </c>
      <c r="B57" s="945" t="s">
        <v>1273</v>
      </c>
      <c r="C57" s="946" t="s">
        <v>1375</v>
      </c>
      <c r="D57" s="945" t="s">
        <v>1376</v>
      </c>
      <c r="E57" s="946" t="s">
        <v>1372</v>
      </c>
      <c r="F57" s="945" t="s">
        <v>1372</v>
      </c>
      <c r="G57" s="945" t="s">
        <v>1372</v>
      </c>
      <c r="H57" s="945" t="s">
        <v>1372</v>
      </c>
      <c r="I57" s="945" t="s">
        <v>1372</v>
      </c>
      <c r="J57" s="945" t="s">
        <v>1372</v>
      </c>
      <c r="K57" s="945" t="s">
        <v>1372</v>
      </c>
      <c r="L57" s="945" t="s">
        <v>1372</v>
      </c>
      <c r="M57" s="945" t="s">
        <v>1372</v>
      </c>
      <c r="N57" s="945" t="s">
        <v>1372</v>
      </c>
      <c r="O57" s="945" t="s">
        <v>1372</v>
      </c>
      <c r="P57" s="945" t="s">
        <v>1372</v>
      </c>
      <c r="Q57" s="945">
        <v>152761546</v>
      </c>
    </row>
    <row r="58" spans="1:17">
      <c r="A58" s="945" t="s">
        <v>1242</v>
      </c>
      <c r="B58" s="945" t="s">
        <v>1273</v>
      </c>
      <c r="C58" s="946" t="s">
        <v>1377</v>
      </c>
      <c r="D58" s="945" t="s">
        <v>1378</v>
      </c>
      <c r="E58" s="946" t="s">
        <v>1379</v>
      </c>
      <c r="F58" s="945">
        <v>10</v>
      </c>
      <c r="G58" s="945">
        <v>625234</v>
      </c>
      <c r="H58" s="945" t="s">
        <v>1372</v>
      </c>
      <c r="I58" s="945">
        <v>625234</v>
      </c>
      <c r="J58" s="945">
        <v>2855</v>
      </c>
      <c r="K58" s="945" t="s">
        <v>1380</v>
      </c>
      <c r="L58" s="945" t="s">
        <v>1372</v>
      </c>
      <c r="M58" s="945">
        <v>60015526</v>
      </c>
      <c r="N58" s="945">
        <v>1286658</v>
      </c>
      <c r="O58" s="945" t="s">
        <v>1372</v>
      </c>
      <c r="P58" s="945">
        <v>1543989</v>
      </c>
      <c r="Q58" s="945">
        <v>1543989</v>
      </c>
    </row>
    <row r="59" spans="1:17">
      <c r="A59" s="945" t="s">
        <v>1318</v>
      </c>
      <c r="B59" s="945" t="s">
        <v>1316</v>
      </c>
      <c r="C59" s="946">
        <v>16</v>
      </c>
      <c r="D59" s="945" t="s">
        <v>1381</v>
      </c>
      <c r="E59" s="946" t="s">
        <v>1379</v>
      </c>
      <c r="F59" s="945">
        <v>20</v>
      </c>
      <c r="G59" s="945">
        <v>340722</v>
      </c>
      <c r="H59" s="945" t="s">
        <v>1372</v>
      </c>
      <c r="I59" s="945">
        <v>651</v>
      </c>
      <c r="J59" s="945" t="s">
        <v>1382</v>
      </c>
      <c r="K59" s="945">
        <v>15</v>
      </c>
      <c r="L59" s="945" t="s">
        <v>1372</v>
      </c>
      <c r="M59" s="945">
        <v>315318</v>
      </c>
      <c r="N59" s="945">
        <v>1014634</v>
      </c>
      <c r="O59" s="945" t="s">
        <v>1372</v>
      </c>
      <c r="P59" s="945">
        <v>482284</v>
      </c>
      <c r="Q59" s="945" t="s">
        <v>1374</v>
      </c>
    </row>
    <row r="60" spans="1:17">
      <c r="A60" s="945" t="s">
        <v>1318</v>
      </c>
      <c r="B60" s="945" t="s">
        <v>1316</v>
      </c>
      <c r="C60" s="946" t="s">
        <v>1393</v>
      </c>
      <c r="D60" s="945" t="s">
        <v>1394</v>
      </c>
      <c r="E60" s="946" t="s">
        <v>1370</v>
      </c>
      <c r="F60" s="945">
        <v>100</v>
      </c>
      <c r="G60" s="945">
        <v>1361304</v>
      </c>
      <c r="H60" s="945" t="s">
        <v>1372</v>
      </c>
      <c r="I60" s="945">
        <v>651</v>
      </c>
      <c r="J60" s="945">
        <v>6</v>
      </c>
      <c r="K60" s="945">
        <v>15</v>
      </c>
      <c r="L60" s="945" t="s">
        <v>1372</v>
      </c>
      <c r="M60" s="945">
        <v>315318</v>
      </c>
      <c r="N60" s="945">
        <v>1014634</v>
      </c>
      <c r="O60" s="945" t="s">
        <v>1372</v>
      </c>
      <c r="P60" s="945">
        <v>3304443</v>
      </c>
      <c r="Q60" s="945" t="s">
        <v>1374</v>
      </c>
    </row>
    <row r="61" spans="1:17">
      <c r="A61" s="945" t="s">
        <v>1318</v>
      </c>
      <c r="B61" s="945" t="s">
        <v>1316</v>
      </c>
      <c r="C61" s="946">
        <v>16</v>
      </c>
      <c r="D61" s="945" t="s">
        <v>1381</v>
      </c>
      <c r="E61" s="946" t="s">
        <v>1379</v>
      </c>
      <c r="F61" s="945">
        <v>10</v>
      </c>
      <c r="G61" s="945">
        <v>340722</v>
      </c>
      <c r="H61" s="945" t="s">
        <v>1372</v>
      </c>
      <c r="I61" s="945">
        <v>340722</v>
      </c>
      <c r="J61" s="945" t="s">
        <v>1382</v>
      </c>
      <c r="K61" s="945">
        <v>2</v>
      </c>
      <c r="L61" s="945" t="s">
        <v>1372</v>
      </c>
      <c r="M61" s="945">
        <v>420424</v>
      </c>
      <c r="N61" s="945">
        <v>401903</v>
      </c>
      <c r="O61" s="945" t="s">
        <v>1372</v>
      </c>
      <c r="P61" s="945">
        <v>502379</v>
      </c>
      <c r="Q61" s="945">
        <v>502379</v>
      </c>
    </row>
    <row r="62" spans="1:17">
      <c r="A62" s="945" t="s">
        <v>1318</v>
      </c>
      <c r="B62" s="945" t="s">
        <v>1316</v>
      </c>
      <c r="C62" s="946">
        <v>16</v>
      </c>
      <c r="D62" s="945" t="s">
        <v>1381</v>
      </c>
      <c r="E62" s="946" t="s">
        <v>1379</v>
      </c>
      <c r="F62" s="945">
        <v>14</v>
      </c>
      <c r="G62" s="945">
        <v>340722</v>
      </c>
      <c r="H62" s="945" t="s">
        <v>1372</v>
      </c>
      <c r="I62" s="945">
        <v>4770108</v>
      </c>
      <c r="J62" s="945" t="s">
        <v>1382</v>
      </c>
      <c r="K62" s="945" t="s">
        <v>1384</v>
      </c>
      <c r="L62" s="945" t="s">
        <v>1372</v>
      </c>
      <c r="M62" s="945">
        <v>5885936</v>
      </c>
      <c r="N62" s="945">
        <v>5626642</v>
      </c>
      <c r="O62" s="945" t="s">
        <v>1372</v>
      </c>
      <c r="P62" s="945">
        <v>482284</v>
      </c>
      <c r="Q62" s="945">
        <v>6751976</v>
      </c>
    </row>
    <row r="63" spans="1:17">
      <c r="A63" s="945" t="s">
        <v>1318</v>
      </c>
      <c r="B63" s="945" t="s">
        <v>1316</v>
      </c>
      <c r="C63" s="946">
        <v>14</v>
      </c>
      <c r="D63" s="945" t="s">
        <v>1369</v>
      </c>
      <c r="E63" s="946" t="s">
        <v>1370</v>
      </c>
      <c r="F63" s="945">
        <v>60</v>
      </c>
      <c r="G63" s="945" t="s">
        <v>1371</v>
      </c>
      <c r="H63" s="945" t="s">
        <v>1372</v>
      </c>
      <c r="I63" s="945">
        <v>1953</v>
      </c>
      <c r="J63" s="945" t="s">
        <v>1373</v>
      </c>
      <c r="K63" s="945">
        <v>45</v>
      </c>
      <c r="L63" s="945" t="s">
        <v>1372</v>
      </c>
      <c r="M63" s="945">
        <v>945954</v>
      </c>
      <c r="N63" s="945">
        <v>3043902</v>
      </c>
      <c r="O63" s="945" t="s">
        <v>1372</v>
      </c>
      <c r="P63" s="945">
        <v>60878</v>
      </c>
      <c r="Q63" s="945" t="s">
        <v>1385</v>
      </c>
    </row>
    <row r="64" spans="1:17">
      <c r="A64" s="945" t="s">
        <v>1318</v>
      </c>
      <c r="B64" s="945" t="s">
        <v>1316</v>
      </c>
      <c r="C64" s="946">
        <v>16</v>
      </c>
      <c r="D64" s="945" t="s">
        <v>1381</v>
      </c>
      <c r="E64" s="946" t="s">
        <v>1379</v>
      </c>
      <c r="F64" s="945">
        <v>20</v>
      </c>
      <c r="G64" s="945">
        <v>340722</v>
      </c>
      <c r="H64" s="945" t="s">
        <v>1372</v>
      </c>
      <c r="I64" s="945">
        <v>1250468</v>
      </c>
      <c r="J64" s="945" t="s">
        <v>1382</v>
      </c>
      <c r="K64" s="945" t="s">
        <v>1383</v>
      </c>
      <c r="L64" s="945" t="s">
        <v>1372</v>
      </c>
      <c r="M64" s="945">
        <v>120031052</v>
      </c>
      <c r="N64" s="945">
        <v>2573316</v>
      </c>
      <c r="O64" s="945" t="s">
        <v>1372</v>
      </c>
      <c r="P64" s="945">
        <v>482284</v>
      </c>
      <c r="Q64" s="945">
        <v>3087978</v>
      </c>
    </row>
    <row r="65" spans="1:17">
      <c r="A65" s="945" t="s">
        <v>1318</v>
      </c>
      <c r="B65" s="945" t="s">
        <v>1316</v>
      </c>
      <c r="C65" s="946" t="s">
        <v>1386</v>
      </c>
      <c r="D65" s="945" t="s">
        <v>1387</v>
      </c>
      <c r="E65" s="946" t="s">
        <v>1388</v>
      </c>
      <c r="F65" s="945">
        <v>1</v>
      </c>
      <c r="G65" s="945">
        <v>101451</v>
      </c>
      <c r="H65" s="945" t="s">
        <v>1372</v>
      </c>
      <c r="I65" s="945" t="s">
        <v>1389</v>
      </c>
      <c r="J65" s="945" t="s">
        <v>1390</v>
      </c>
      <c r="K65" s="945">
        <v>90</v>
      </c>
      <c r="L65" s="945" t="s">
        <v>1372</v>
      </c>
      <c r="M65" s="945">
        <v>1891908</v>
      </c>
      <c r="N65" s="945" t="s">
        <v>1391</v>
      </c>
      <c r="O65" s="945" t="s">
        <v>1372</v>
      </c>
      <c r="P65" s="945">
        <v>247018</v>
      </c>
      <c r="Q65" s="945" t="s">
        <v>1392</v>
      </c>
    </row>
    <row r="66" spans="1:17">
      <c r="A66" s="945" t="s">
        <v>1318</v>
      </c>
      <c r="B66" s="945" t="s">
        <v>1316</v>
      </c>
      <c r="C66" s="946">
        <v>14</v>
      </c>
      <c r="D66" s="945" t="s">
        <v>1369</v>
      </c>
      <c r="E66" s="946" t="s">
        <v>1370</v>
      </c>
      <c r="F66" s="945">
        <v>20</v>
      </c>
      <c r="G66" s="945" t="s">
        <v>1371</v>
      </c>
      <c r="H66" s="945" t="s">
        <v>1372</v>
      </c>
      <c r="I66" s="945">
        <v>651</v>
      </c>
      <c r="J66" s="945" t="s">
        <v>1373</v>
      </c>
      <c r="K66" s="945">
        <v>15</v>
      </c>
      <c r="L66" s="945" t="s">
        <v>1372</v>
      </c>
      <c r="M66" s="945">
        <v>315318</v>
      </c>
      <c r="N66" s="945">
        <v>1014634</v>
      </c>
      <c r="O66" s="945" t="s">
        <v>1372</v>
      </c>
      <c r="P66" s="945">
        <v>60878</v>
      </c>
      <c r="Q66" s="945" t="s">
        <v>1374</v>
      </c>
    </row>
    <row r="67" spans="1:17">
      <c r="A67" s="945" t="s">
        <v>1318</v>
      </c>
      <c r="B67" s="945" t="s">
        <v>1316</v>
      </c>
      <c r="C67" s="946" t="s">
        <v>1375</v>
      </c>
      <c r="D67" s="945" t="s">
        <v>1376</v>
      </c>
      <c r="E67" s="946" t="s">
        <v>1372</v>
      </c>
      <c r="F67" s="945" t="s">
        <v>1372</v>
      </c>
      <c r="G67" s="945" t="s">
        <v>1372</v>
      </c>
      <c r="H67" s="945" t="s">
        <v>1372</v>
      </c>
      <c r="I67" s="945" t="s">
        <v>1372</v>
      </c>
      <c r="J67" s="945" t="s">
        <v>1372</v>
      </c>
      <c r="K67" s="945" t="s">
        <v>1372</v>
      </c>
      <c r="L67" s="945" t="s">
        <v>1372</v>
      </c>
      <c r="M67" s="945" t="s">
        <v>1372</v>
      </c>
      <c r="N67" s="945" t="s">
        <v>1372</v>
      </c>
      <c r="O67" s="945" t="s">
        <v>1372</v>
      </c>
      <c r="P67" s="945" t="s">
        <v>1372</v>
      </c>
      <c r="Q67" s="945">
        <v>152761546</v>
      </c>
    </row>
    <row r="68" spans="1:17">
      <c r="A68" s="945" t="s">
        <v>1318</v>
      </c>
      <c r="B68" s="945" t="s">
        <v>1316</v>
      </c>
      <c r="C68" s="946" t="s">
        <v>1377</v>
      </c>
      <c r="D68" s="945" t="s">
        <v>1378</v>
      </c>
      <c r="E68" s="946" t="s">
        <v>1379</v>
      </c>
      <c r="F68" s="945">
        <v>10</v>
      </c>
      <c r="G68" s="945">
        <v>625234</v>
      </c>
      <c r="H68" s="945" t="s">
        <v>1372</v>
      </c>
      <c r="I68" s="945">
        <v>625234</v>
      </c>
      <c r="J68" s="945">
        <v>2855</v>
      </c>
      <c r="K68" s="945" t="s">
        <v>1380</v>
      </c>
      <c r="L68" s="945" t="s">
        <v>1372</v>
      </c>
      <c r="M68" s="945">
        <v>60015526</v>
      </c>
      <c r="N68" s="945">
        <v>1286658</v>
      </c>
      <c r="O68" s="945" t="s">
        <v>1372</v>
      </c>
      <c r="P68" s="945">
        <v>1543989</v>
      </c>
      <c r="Q68" s="945">
        <v>1543989</v>
      </c>
    </row>
    <row r="69" spans="1:17">
      <c r="A69" s="945" t="s">
        <v>1318</v>
      </c>
      <c r="B69" s="945" t="s">
        <v>1316</v>
      </c>
      <c r="C69" s="946">
        <v>14</v>
      </c>
      <c r="D69" s="945" t="s">
        <v>1369</v>
      </c>
      <c r="E69" s="946" t="s">
        <v>1370</v>
      </c>
      <c r="F69" s="945">
        <v>1</v>
      </c>
      <c r="G69" s="945" t="s">
        <v>1371</v>
      </c>
      <c r="H69" s="945" t="s">
        <v>1372</v>
      </c>
      <c r="I69" s="945" t="s">
        <v>1371</v>
      </c>
      <c r="J69" s="945" t="s">
        <v>1373</v>
      </c>
      <c r="K69" s="945" t="s">
        <v>1373</v>
      </c>
      <c r="L69" s="945" t="s">
        <v>1372</v>
      </c>
      <c r="M69" s="945">
        <v>157659</v>
      </c>
      <c r="N69" s="945">
        <v>507317</v>
      </c>
      <c r="O69" s="945" t="s">
        <v>1372</v>
      </c>
      <c r="P69" s="945">
        <v>60878</v>
      </c>
      <c r="Q69" s="945">
        <v>60878</v>
      </c>
    </row>
    <row r="70" spans="1:17">
      <c r="A70" s="945" t="s">
        <v>1318</v>
      </c>
      <c r="B70" s="945" t="s">
        <v>1316</v>
      </c>
      <c r="C70" s="946" t="s">
        <v>1393</v>
      </c>
      <c r="D70" s="945" t="s">
        <v>1394</v>
      </c>
      <c r="E70" s="946" t="s">
        <v>1370</v>
      </c>
      <c r="F70" s="945">
        <v>10</v>
      </c>
      <c r="G70" s="945">
        <v>1361304</v>
      </c>
      <c r="H70" s="945" t="s">
        <v>1372</v>
      </c>
      <c r="I70" s="945">
        <v>625234</v>
      </c>
      <c r="J70" s="945">
        <v>6</v>
      </c>
      <c r="K70" s="945" t="s">
        <v>1380</v>
      </c>
      <c r="L70" s="945" t="s">
        <v>1372</v>
      </c>
      <c r="M70" s="945">
        <v>60015526</v>
      </c>
      <c r="N70" s="945">
        <v>1286658</v>
      </c>
      <c r="O70" s="945" t="s">
        <v>1372</v>
      </c>
      <c r="P70" s="945">
        <v>3304443</v>
      </c>
      <c r="Q70" s="945">
        <v>1543989</v>
      </c>
    </row>
    <row r="71" spans="1:17">
      <c r="A71" s="945" t="s">
        <v>1318</v>
      </c>
      <c r="B71" s="945" t="s">
        <v>1316</v>
      </c>
      <c r="C71" s="946">
        <v>14</v>
      </c>
      <c r="D71" s="945" t="s">
        <v>1369</v>
      </c>
      <c r="E71" s="946" t="s">
        <v>1370</v>
      </c>
      <c r="F71" s="945">
        <v>241</v>
      </c>
      <c r="G71" s="945" t="s">
        <v>1371</v>
      </c>
      <c r="H71" s="945" t="s">
        <v>1372</v>
      </c>
      <c r="I71" s="945" t="s">
        <v>1395</v>
      </c>
      <c r="J71" s="945" t="s">
        <v>1373</v>
      </c>
      <c r="K71" s="945" t="s">
        <v>1396</v>
      </c>
      <c r="L71" s="945" t="s">
        <v>1372</v>
      </c>
      <c r="M71" s="945">
        <v>37995819</v>
      </c>
      <c r="N71" s="945">
        <v>122263397</v>
      </c>
      <c r="O71" s="945" t="s">
        <v>1372</v>
      </c>
      <c r="P71" s="945">
        <v>60878</v>
      </c>
      <c r="Q71" s="945">
        <v>14671598</v>
      </c>
    </row>
    <row r="72" spans="1:17">
      <c r="A72" s="945" t="s">
        <v>1318</v>
      </c>
      <c r="B72" s="945" t="s">
        <v>1316</v>
      </c>
      <c r="C72" s="946" t="s">
        <v>1397</v>
      </c>
      <c r="D72" s="945" t="s">
        <v>1398</v>
      </c>
      <c r="E72" s="946" t="s">
        <v>1379</v>
      </c>
      <c r="F72" s="945">
        <v>20</v>
      </c>
      <c r="G72" s="945" t="s">
        <v>1399</v>
      </c>
      <c r="H72" s="945" t="s">
        <v>1372</v>
      </c>
      <c r="I72" s="945">
        <v>210</v>
      </c>
      <c r="J72" s="945" t="s">
        <v>1400</v>
      </c>
      <c r="K72" s="945">
        <v>5</v>
      </c>
      <c r="L72" s="945" t="s">
        <v>1372</v>
      </c>
      <c r="M72" s="945">
        <v>105106</v>
      </c>
      <c r="N72" s="945">
        <v>330862</v>
      </c>
      <c r="O72" s="945" t="s">
        <v>1372</v>
      </c>
      <c r="P72" s="945">
        <v>198517</v>
      </c>
      <c r="Q72" s="945">
        <v>397034</v>
      </c>
    </row>
    <row r="73" spans="1:17">
      <c r="A73" s="945" t="s">
        <v>1318</v>
      </c>
      <c r="B73" s="945" t="s">
        <v>1316</v>
      </c>
      <c r="C73" s="946" t="s">
        <v>1377</v>
      </c>
      <c r="D73" s="945" t="s">
        <v>1378</v>
      </c>
      <c r="E73" s="946" t="s">
        <v>1379</v>
      </c>
      <c r="F73" s="945">
        <v>2</v>
      </c>
      <c r="G73" s="945">
        <v>625234</v>
      </c>
      <c r="H73" s="945" t="s">
        <v>1372</v>
      </c>
      <c r="I73" s="945">
        <v>1250468</v>
      </c>
      <c r="J73" s="945">
        <v>2855</v>
      </c>
      <c r="K73" s="945" t="s">
        <v>1401</v>
      </c>
      <c r="L73" s="945" t="s">
        <v>1372</v>
      </c>
      <c r="M73" s="945">
        <v>120031052</v>
      </c>
      <c r="N73" s="945">
        <v>2573316</v>
      </c>
      <c r="O73" s="945" t="s">
        <v>1372</v>
      </c>
      <c r="P73" s="945">
        <v>1543989</v>
      </c>
      <c r="Q73" s="945">
        <v>3087978</v>
      </c>
    </row>
    <row r="74" spans="1:17">
      <c r="A74" s="945" t="s">
        <v>1318</v>
      </c>
      <c r="B74" s="945" t="s">
        <v>1316</v>
      </c>
      <c r="C74" s="946">
        <v>14</v>
      </c>
      <c r="D74" s="945" t="s">
        <v>1369</v>
      </c>
      <c r="E74" s="946" t="s">
        <v>1370</v>
      </c>
      <c r="F74" s="945">
        <v>10</v>
      </c>
      <c r="G74" s="945" t="s">
        <v>1371</v>
      </c>
      <c r="H74" s="945" t="s">
        <v>1372</v>
      </c>
      <c r="I74" s="945" t="s">
        <v>1402</v>
      </c>
      <c r="J74" s="945" t="s">
        <v>1373</v>
      </c>
      <c r="K74" s="945" t="s">
        <v>1403</v>
      </c>
      <c r="L74" s="945" t="s">
        <v>1372</v>
      </c>
      <c r="M74" s="945">
        <v>157659</v>
      </c>
      <c r="N74" s="945">
        <v>507317</v>
      </c>
      <c r="O74" s="945" t="s">
        <v>1372</v>
      </c>
      <c r="P74" s="945">
        <v>60878</v>
      </c>
      <c r="Q74" s="945" t="s">
        <v>1404</v>
      </c>
    </row>
    <row r="75" spans="1:17">
      <c r="A75" s="945" t="s">
        <v>1318</v>
      </c>
      <c r="B75" s="945" t="s">
        <v>1316</v>
      </c>
      <c r="C75" s="946" t="s">
        <v>1377</v>
      </c>
      <c r="D75" s="945" t="s">
        <v>1378</v>
      </c>
      <c r="E75" s="946" t="s">
        <v>1379</v>
      </c>
      <c r="F75" s="945">
        <v>12</v>
      </c>
      <c r="G75" s="945">
        <v>625234</v>
      </c>
      <c r="H75" s="945" t="s">
        <v>1372</v>
      </c>
      <c r="I75" s="945">
        <v>7502808</v>
      </c>
      <c r="J75" s="945">
        <v>2855</v>
      </c>
      <c r="K75" s="945" t="s">
        <v>1405</v>
      </c>
      <c r="L75" s="945" t="s">
        <v>1372</v>
      </c>
      <c r="M75" s="945">
        <v>720186312</v>
      </c>
      <c r="N75" s="945">
        <v>15439896</v>
      </c>
      <c r="O75" s="945" t="s">
        <v>1372</v>
      </c>
      <c r="P75" s="945">
        <v>1543989</v>
      </c>
      <c r="Q75" s="945">
        <v>18527868</v>
      </c>
    </row>
    <row r="76" spans="1:17">
      <c r="A76" s="945" t="s">
        <v>1318</v>
      </c>
      <c r="B76" s="945" t="s">
        <v>1316</v>
      </c>
      <c r="C76" s="946">
        <v>16</v>
      </c>
      <c r="D76" s="945" t="s">
        <v>1381</v>
      </c>
      <c r="E76" s="946" t="s">
        <v>1379</v>
      </c>
      <c r="F76" s="945">
        <v>20</v>
      </c>
      <c r="G76" s="945">
        <v>340722</v>
      </c>
      <c r="H76" s="945" t="s">
        <v>1372</v>
      </c>
      <c r="I76" s="945">
        <v>651</v>
      </c>
      <c r="J76" s="945" t="s">
        <v>1382</v>
      </c>
      <c r="K76" s="945">
        <v>15</v>
      </c>
      <c r="L76" s="945" t="s">
        <v>1372</v>
      </c>
      <c r="M76" s="945">
        <v>315318</v>
      </c>
      <c r="N76" s="945">
        <v>1014634</v>
      </c>
      <c r="O76" s="945" t="s">
        <v>1372</v>
      </c>
      <c r="P76" s="945">
        <v>482284</v>
      </c>
      <c r="Q76" s="945" t="s">
        <v>1374</v>
      </c>
    </row>
    <row r="77" spans="1:17">
      <c r="A77" s="945" t="s">
        <v>1318</v>
      </c>
      <c r="B77" s="945" t="s">
        <v>1316</v>
      </c>
      <c r="C77" s="946" t="s">
        <v>1393</v>
      </c>
      <c r="D77" s="945" t="s">
        <v>1394</v>
      </c>
      <c r="E77" s="946" t="s">
        <v>1370</v>
      </c>
      <c r="F77" s="945">
        <v>100</v>
      </c>
      <c r="G77" s="945">
        <v>1361304</v>
      </c>
      <c r="H77" s="945" t="s">
        <v>1372</v>
      </c>
      <c r="I77" s="945">
        <v>651</v>
      </c>
      <c r="J77" s="945">
        <v>6</v>
      </c>
      <c r="K77" s="945">
        <v>15</v>
      </c>
      <c r="L77" s="945" t="s">
        <v>1372</v>
      </c>
      <c r="M77" s="945">
        <v>315318</v>
      </c>
      <c r="N77" s="945">
        <v>1014634</v>
      </c>
      <c r="O77" s="945" t="s">
        <v>1372</v>
      </c>
      <c r="P77" s="945">
        <v>3304443</v>
      </c>
      <c r="Q77" s="945" t="s">
        <v>1374</v>
      </c>
    </row>
    <row r="78" spans="1:17">
      <c r="A78" s="945" t="s">
        <v>1318</v>
      </c>
      <c r="B78" s="945" t="s">
        <v>1316</v>
      </c>
      <c r="C78" s="946" t="s">
        <v>1375</v>
      </c>
      <c r="D78" s="945" t="s">
        <v>1372</v>
      </c>
      <c r="E78" s="946" t="s">
        <v>1372</v>
      </c>
      <c r="F78" s="945" t="s">
        <v>1372</v>
      </c>
      <c r="G78" s="945" t="s">
        <v>1372</v>
      </c>
      <c r="H78" s="945" t="s">
        <v>1372</v>
      </c>
      <c r="I78" s="945" t="s">
        <v>1372</v>
      </c>
      <c r="J78" s="945" t="s">
        <v>1372</v>
      </c>
      <c r="K78" s="945" t="s">
        <v>1372</v>
      </c>
      <c r="L78" s="945" t="s">
        <v>1372</v>
      </c>
      <c r="M78" s="945" t="s">
        <v>1372</v>
      </c>
      <c r="N78" s="945" t="s">
        <v>1372</v>
      </c>
      <c r="O78" s="945" t="s">
        <v>1372</v>
      </c>
      <c r="P78" s="945" t="s">
        <v>1372</v>
      </c>
      <c r="Q78" s="945" t="s">
        <v>1406</v>
      </c>
    </row>
    <row r="79" spans="1:17">
      <c r="A79" s="945" t="s">
        <v>1318</v>
      </c>
      <c r="B79" s="945" t="s">
        <v>1316</v>
      </c>
      <c r="C79" s="946" t="s">
        <v>1377</v>
      </c>
      <c r="D79" s="945" t="s">
        <v>1378</v>
      </c>
      <c r="E79" s="946" t="s">
        <v>1379</v>
      </c>
      <c r="F79" s="945">
        <v>10</v>
      </c>
      <c r="G79" s="945">
        <v>625234</v>
      </c>
      <c r="H79" s="945" t="s">
        <v>1372</v>
      </c>
      <c r="I79" s="945" t="s">
        <v>1402</v>
      </c>
      <c r="J79" s="945">
        <v>2855</v>
      </c>
      <c r="K79" s="945" t="s">
        <v>1403</v>
      </c>
      <c r="L79" s="945" t="s">
        <v>1372</v>
      </c>
      <c r="M79" s="945">
        <v>157659</v>
      </c>
      <c r="N79" s="945">
        <v>507317</v>
      </c>
      <c r="O79" s="945" t="s">
        <v>1372</v>
      </c>
      <c r="P79" s="945">
        <v>1543989</v>
      </c>
      <c r="Q79" s="945" t="s">
        <v>1404</v>
      </c>
    </row>
    <row r="80" spans="1:17">
      <c r="A80" s="945" t="s">
        <v>1318</v>
      </c>
      <c r="B80" s="945" t="s">
        <v>1316</v>
      </c>
      <c r="C80" s="946" t="s">
        <v>1377</v>
      </c>
      <c r="D80" s="945" t="s">
        <v>1378</v>
      </c>
      <c r="E80" s="946" t="s">
        <v>1379</v>
      </c>
      <c r="F80" s="945">
        <v>20</v>
      </c>
      <c r="G80" s="945">
        <v>625234</v>
      </c>
      <c r="H80" s="945" t="s">
        <v>1372</v>
      </c>
      <c r="I80" s="945">
        <v>1250468</v>
      </c>
      <c r="J80" s="945">
        <v>2855</v>
      </c>
      <c r="K80" s="945" t="s">
        <v>1383</v>
      </c>
      <c r="L80" s="945" t="s">
        <v>1372</v>
      </c>
      <c r="M80" s="945">
        <v>120031052</v>
      </c>
      <c r="N80" s="945">
        <v>2573316</v>
      </c>
      <c r="O80" s="945" t="s">
        <v>1372</v>
      </c>
      <c r="P80" s="945">
        <v>1543989</v>
      </c>
      <c r="Q80" s="945">
        <v>3087978</v>
      </c>
    </row>
    <row r="81" spans="1:17">
      <c r="A81" s="945" t="s">
        <v>1318</v>
      </c>
      <c r="B81" s="945" t="s">
        <v>1316</v>
      </c>
      <c r="C81" s="946">
        <v>16</v>
      </c>
      <c r="D81" s="945" t="s">
        <v>1407</v>
      </c>
      <c r="E81" s="946" t="s">
        <v>1408</v>
      </c>
      <c r="F81" s="945">
        <v>10</v>
      </c>
      <c r="G81" s="945">
        <v>340722</v>
      </c>
      <c r="H81" s="945" t="s">
        <v>1409</v>
      </c>
      <c r="I81" s="945">
        <v>340722</v>
      </c>
      <c r="J81" s="945" t="s">
        <v>1410</v>
      </c>
      <c r="K81" s="945">
        <v>2</v>
      </c>
      <c r="L81" s="945" t="s">
        <v>1409</v>
      </c>
      <c r="M81" s="945">
        <v>420424</v>
      </c>
      <c r="N81" s="945">
        <v>401903</v>
      </c>
      <c r="O81" s="945" t="s">
        <v>1409</v>
      </c>
      <c r="P81" s="945">
        <v>502379</v>
      </c>
      <c r="Q81" s="945">
        <v>502379</v>
      </c>
    </row>
    <row r="82" spans="1:17">
      <c r="A82" s="945" t="s">
        <v>1318</v>
      </c>
      <c r="B82" s="945" t="s">
        <v>1316</v>
      </c>
      <c r="C82" s="946">
        <v>16</v>
      </c>
      <c r="D82" s="945" t="s">
        <v>1407</v>
      </c>
      <c r="E82" s="946" t="s">
        <v>1408</v>
      </c>
      <c r="F82" s="945">
        <v>14</v>
      </c>
      <c r="G82" s="945">
        <v>340722</v>
      </c>
      <c r="H82" s="945" t="s">
        <v>1409</v>
      </c>
      <c r="I82" s="945">
        <v>4770108</v>
      </c>
      <c r="J82" s="945" t="s">
        <v>1410</v>
      </c>
      <c r="K82" s="945" t="s">
        <v>1411</v>
      </c>
      <c r="L82" s="945" t="s">
        <v>1409</v>
      </c>
      <c r="M82" s="945">
        <v>5885936</v>
      </c>
      <c r="N82" s="945">
        <v>5626642</v>
      </c>
      <c r="O82" s="945" t="s">
        <v>1409</v>
      </c>
      <c r="P82" s="945">
        <v>482284</v>
      </c>
      <c r="Q82" s="945">
        <v>6751976</v>
      </c>
    </row>
    <row r="83" spans="1:17">
      <c r="A83" s="945" t="s">
        <v>1318</v>
      </c>
      <c r="B83" s="945" t="s">
        <v>1316</v>
      </c>
      <c r="C83" s="946">
        <v>14</v>
      </c>
      <c r="D83" s="945" t="s">
        <v>1412</v>
      </c>
      <c r="E83" s="946" t="s">
        <v>1413</v>
      </c>
      <c r="F83" s="945">
        <v>60</v>
      </c>
      <c r="G83" s="945" t="s">
        <v>1414</v>
      </c>
      <c r="H83" s="945" t="s">
        <v>1409</v>
      </c>
      <c r="I83" s="945">
        <v>1953</v>
      </c>
      <c r="J83" s="945" t="s">
        <v>1415</v>
      </c>
      <c r="K83" s="945">
        <v>45</v>
      </c>
      <c r="L83" s="945" t="s">
        <v>1409</v>
      </c>
      <c r="M83" s="945">
        <v>945954</v>
      </c>
      <c r="N83" s="945">
        <v>3043902</v>
      </c>
      <c r="O83" s="945" t="s">
        <v>1409</v>
      </c>
      <c r="P83" s="945">
        <v>60878</v>
      </c>
      <c r="Q83" s="945" t="s">
        <v>1416</v>
      </c>
    </row>
    <row r="84" spans="1:17">
      <c r="A84" s="945" t="s">
        <v>1318</v>
      </c>
      <c r="B84" s="945" t="s">
        <v>1316</v>
      </c>
      <c r="C84" s="946">
        <v>16</v>
      </c>
      <c r="D84" s="945" t="s">
        <v>1407</v>
      </c>
      <c r="E84" s="946" t="s">
        <v>1408</v>
      </c>
      <c r="F84" s="945">
        <v>20</v>
      </c>
      <c r="G84" s="945">
        <v>340722</v>
      </c>
      <c r="H84" s="945" t="s">
        <v>1409</v>
      </c>
      <c r="I84" s="945">
        <v>1250468</v>
      </c>
      <c r="J84" s="945" t="s">
        <v>1410</v>
      </c>
      <c r="K84" s="945" t="s">
        <v>1417</v>
      </c>
      <c r="L84" s="945" t="s">
        <v>1409</v>
      </c>
      <c r="M84" s="945">
        <v>120031052</v>
      </c>
      <c r="N84" s="945">
        <v>2573316</v>
      </c>
      <c r="O84" s="945" t="s">
        <v>1409</v>
      </c>
      <c r="P84" s="945">
        <v>482284</v>
      </c>
      <c r="Q84" s="945">
        <v>3087978</v>
      </c>
    </row>
    <row r="85" spans="1:17">
      <c r="A85" s="945" t="s">
        <v>1318</v>
      </c>
      <c r="B85" s="945" t="s">
        <v>1316</v>
      </c>
      <c r="C85" s="946" t="s">
        <v>1418</v>
      </c>
      <c r="D85" s="945" t="s">
        <v>1419</v>
      </c>
      <c r="E85" s="946" t="s">
        <v>1420</v>
      </c>
      <c r="F85" s="945">
        <v>1</v>
      </c>
      <c r="G85" s="945">
        <v>101451</v>
      </c>
      <c r="H85" s="945" t="s">
        <v>1409</v>
      </c>
      <c r="I85" s="945" t="s">
        <v>1421</v>
      </c>
      <c r="J85" s="945" t="s">
        <v>1422</v>
      </c>
      <c r="K85" s="945">
        <v>90</v>
      </c>
      <c r="L85" s="945" t="s">
        <v>1409</v>
      </c>
      <c r="M85" s="945">
        <v>1891908</v>
      </c>
      <c r="N85" s="945" t="s">
        <v>1423</v>
      </c>
      <c r="O85" s="945" t="s">
        <v>1409</v>
      </c>
      <c r="P85" s="945">
        <v>247018</v>
      </c>
      <c r="Q85" s="945" t="s">
        <v>1424</v>
      </c>
    </row>
    <row r="86" spans="1:17">
      <c r="A86" s="945" t="s">
        <v>1318</v>
      </c>
      <c r="B86" s="945" t="s">
        <v>1316</v>
      </c>
      <c r="C86" s="946">
        <v>14</v>
      </c>
      <c r="D86" s="945" t="s">
        <v>1412</v>
      </c>
      <c r="E86" s="946" t="s">
        <v>1413</v>
      </c>
      <c r="F86" s="945">
        <v>20</v>
      </c>
      <c r="G86" s="945" t="s">
        <v>1414</v>
      </c>
      <c r="H86" s="945" t="s">
        <v>1409</v>
      </c>
      <c r="I86" s="945">
        <v>651</v>
      </c>
      <c r="J86" s="945" t="s">
        <v>1415</v>
      </c>
      <c r="K86" s="945">
        <v>15</v>
      </c>
      <c r="L86" s="945" t="s">
        <v>1409</v>
      </c>
      <c r="M86" s="945">
        <v>315318</v>
      </c>
      <c r="N86" s="945">
        <v>1014634</v>
      </c>
      <c r="O86" s="945" t="s">
        <v>1409</v>
      </c>
      <c r="P86" s="945">
        <v>60878</v>
      </c>
      <c r="Q86" s="945" t="s">
        <v>1425</v>
      </c>
    </row>
    <row r="87" spans="1:17">
      <c r="A87" s="945" t="s">
        <v>1318</v>
      </c>
      <c r="B87" s="945" t="s">
        <v>1316</v>
      </c>
      <c r="C87" s="946" t="s">
        <v>1426</v>
      </c>
      <c r="D87" s="945" t="s">
        <v>1427</v>
      </c>
      <c r="E87" s="946" t="s">
        <v>1409</v>
      </c>
      <c r="F87" s="945" t="s">
        <v>1409</v>
      </c>
      <c r="G87" s="945" t="s">
        <v>1409</v>
      </c>
      <c r="H87" s="945" t="s">
        <v>1409</v>
      </c>
      <c r="I87" s="945" t="s">
        <v>1409</v>
      </c>
      <c r="J87" s="945" t="s">
        <v>1409</v>
      </c>
      <c r="K87" s="945" t="s">
        <v>1409</v>
      </c>
      <c r="L87" s="945" t="s">
        <v>1409</v>
      </c>
      <c r="M87" s="945" t="s">
        <v>1409</v>
      </c>
      <c r="N87" s="945" t="s">
        <v>1409</v>
      </c>
      <c r="O87" s="945" t="s">
        <v>1409</v>
      </c>
      <c r="P87" s="945" t="s">
        <v>1409</v>
      </c>
      <c r="Q87" s="945">
        <v>152761546</v>
      </c>
    </row>
    <row r="88" spans="1:17">
      <c r="A88" s="945" t="s">
        <v>1318</v>
      </c>
      <c r="B88" s="945" t="s">
        <v>1316</v>
      </c>
      <c r="C88" s="946" t="s">
        <v>1428</v>
      </c>
      <c r="D88" s="945" t="s">
        <v>1429</v>
      </c>
      <c r="E88" s="946" t="s">
        <v>1408</v>
      </c>
      <c r="F88" s="945">
        <v>10</v>
      </c>
      <c r="G88" s="945">
        <v>625234</v>
      </c>
      <c r="H88" s="945" t="s">
        <v>1409</v>
      </c>
      <c r="I88" s="945">
        <v>625234</v>
      </c>
      <c r="J88" s="945">
        <v>2855</v>
      </c>
      <c r="K88" s="945" t="s">
        <v>1430</v>
      </c>
      <c r="L88" s="945" t="s">
        <v>1409</v>
      </c>
      <c r="M88" s="945">
        <v>60015526</v>
      </c>
      <c r="N88" s="945">
        <v>1286658</v>
      </c>
      <c r="O88" s="945" t="s">
        <v>1409</v>
      </c>
      <c r="P88" s="945">
        <v>1543989</v>
      </c>
      <c r="Q88" s="945">
        <v>1543989</v>
      </c>
    </row>
    <row r="89" spans="1:17">
      <c r="A89" s="945" t="s">
        <v>1318</v>
      </c>
      <c r="B89" s="945" t="s">
        <v>1316</v>
      </c>
      <c r="C89" s="946" t="s">
        <v>1372</v>
      </c>
      <c r="D89" s="945" t="s">
        <v>1372</v>
      </c>
      <c r="E89" s="946" t="s">
        <v>1372</v>
      </c>
      <c r="F89" s="945" t="s">
        <v>1372</v>
      </c>
      <c r="G89" s="945" t="s">
        <v>1372</v>
      </c>
      <c r="H89" s="945" t="s">
        <v>1372</v>
      </c>
      <c r="I89" s="945" t="s">
        <v>1372</v>
      </c>
      <c r="J89" s="945" t="s">
        <v>1372</v>
      </c>
      <c r="K89" s="945" t="s">
        <v>1372</v>
      </c>
      <c r="L89" s="945" t="s">
        <v>1372</v>
      </c>
      <c r="M89" s="945" t="s">
        <v>1372</v>
      </c>
      <c r="N89" s="945" t="s">
        <v>1372</v>
      </c>
      <c r="O89" s="945" t="s">
        <v>1372</v>
      </c>
      <c r="P89" s="945" t="s">
        <v>1372</v>
      </c>
      <c r="Q89" s="945" t="s">
        <v>1372</v>
      </c>
    </row>
  </sheetData>
  <mergeCells count="12">
    <mergeCell ref="A1:A2"/>
    <mergeCell ref="L1:L2"/>
    <mergeCell ref="M1:N1"/>
    <mergeCell ref="O1:O2"/>
    <mergeCell ref="P1:Q1"/>
    <mergeCell ref="B1:B2"/>
    <mergeCell ref="C1:C2"/>
    <mergeCell ref="D1:D2"/>
    <mergeCell ref="E1:E2"/>
    <mergeCell ref="F1:F2"/>
    <mergeCell ref="G1:I1"/>
    <mergeCell ref="J1:K1"/>
  </mergeCells>
  <pageMargins left="0.7" right="0.7" top="0.75" bottom="0.75" header="0.3" footer="0.3"/>
  <pageSetup paperSize="9" orientation="portrait"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3"/>
    <pageSetUpPr fitToPage="1"/>
  </sheetPr>
  <dimension ref="B1:P124"/>
  <sheetViews>
    <sheetView showGridLines="0" zoomScale="90" zoomScaleNormal="90" workbookViewId="0">
      <pane ySplit="12" topLeftCell="A22" activePane="bottomLeft" state="frozen"/>
      <selection activeCell="J11" sqref="J11:J12"/>
      <selection pane="bottomLeft" activeCell="K3" sqref="K3"/>
    </sheetView>
  </sheetViews>
  <sheetFormatPr baseColWidth="10" defaultColWidth="3.7109375" defaultRowHeight="13.5"/>
  <cols>
    <col min="1" max="1" width="3.5703125" style="32" customWidth="1"/>
    <col min="2" max="2" width="6.28515625" style="765" customWidth="1"/>
    <col min="3" max="3" width="49.42578125" style="804" customWidth="1"/>
    <col min="4" max="4" width="10.140625" style="66" customWidth="1"/>
    <col min="5" max="5" width="10" style="67" customWidth="1"/>
    <col min="6" max="6" width="13.7109375" style="42" customWidth="1"/>
    <col min="7" max="7" width="10" style="42" customWidth="1"/>
    <col min="8" max="8" width="15.28515625" style="42" customWidth="1"/>
    <col min="9" max="10" width="10" style="42" customWidth="1"/>
    <col min="11" max="11" width="4.28515625" style="42" customWidth="1"/>
    <col min="12" max="12" width="14.28515625" style="42" customWidth="1"/>
    <col min="13" max="13" width="15.42578125" style="42" customWidth="1"/>
    <col min="14" max="14" width="3.7109375" style="42" customWidth="1"/>
    <col min="15" max="15" width="12.42578125" style="42" customWidth="1"/>
    <col min="16" max="16" width="12.7109375" style="824" customWidth="1"/>
    <col min="17" max="16384" width="3.7109375" style="32"/>
  </cols>
  <sheetData>
    <row r="1" spans="2:16">
      <c r="B1" s="771"/>
      <c r="C1" s="785"/>
      <c r="D1" s="839"/>
      <c r="E1" s="840" t="s">
        <v>1272</v>
      </c>
      <c r="F1" s="772"/>
      <c r="G1" s="772"/>
      <c r="H1" s="772"/>
      <c r="I1" s="772"/>
      <c r="J1" s="772"/>
      <c r="K1" s="772"/>
      <c r="L1" s="772"/>
      <c r="M1" s="773"/>
      <c r="N1" s="838"/>
      <c r="O1" s="1071">
        <f ca="1" xml:space="preserve"> NOW()</f>
        <v>43286.414675810185</v>
      </c>
      <c r="P1" s="1072"/>
    </row>
    <row r="2" spans="2:16" ht="33.75">
      <c r="B2" s="842"/>
      <c r="C2" s="867" t="s">
        <v>1102</v>
      </c>
      <c r="D2" s="866"/>
      <c r="E2" s="865"/>
      <c r="F2" s="843"/>
      <c r="G2" s="843"/>
      <c r="H2" s="843"/>
      <c r="I2" s="843"/>
      <c r="J2" s="843"/>
      <c r="K2" s="843"/>
      <c r="L2" s="843"/>
      <c r="M2" s="843"/>
      <c r="N2" s="843"/>
      <c r="O2" s="843"/>
      <c r="P2" s="844"/>
    </row>
    <row r="3" spans="2:16" ht="77.25" customHeight="1">
      <c r="B3" s="774"/>
      <c r="C3" s="786"/>
      <c r="D3" s="858" t="s">
        <v>1218</v>
      </c>
      <c r="E3" s="853" t="s">
        <v>1265</v>
      </c>
      <c r="F3" s="860"/>
      <c r="G3" s="35"/>
      <c r="H3" s="35"/>
      <c r="I3" s="35"/>
      <c r="J3" s="35"/>
      <c r="K3" s="35"/>
      <c r="L3" s="35"/>
      <c r="M3" s="35"/>
      <c r="N3" s="35"/>
      <c r="O3" s="35"/>
      <c r="P3" s="809"/>
    </row>
    <row r="4" spans="2:16">
      <c r="B4" s="775"/>
      <c r="C4" s="862" t="s">
        <v>1037</v>
      </c>
      <c r="D4" s="859" t="s">
        <v>1221</v>
      </c>
      <c r="E4" s="854" t="s">
        <v>1336</v>
      </c>
      <c r="F4" s="860"/>
      <c r="G4" s="35"/>
      <c r="H4" s="35"/>
      <c r="I4" s="35"/>
      <c r="J4" s="35"/>
      <c r="K4" s="35"/>
      <c r="L4" s="35"/>
      <c r="M4" s="35"/>
      <c r="N4" s="35"/>
      <c r="O4" s="35"/>
      <c r="P4" s="809"/>
    </row>
    <row r="5" spans="2:16">
      <c r="B5" s="776"/>
      <c r="C5" s="863" t="s">
        <v>1035</v>
      </c>
      <c r="D5" s="858" t="s">
        <v>1219</v>
      </c>
      <c r="E5" s="855" t="s">
        <v>1443</v>
      </c>
      <c r="F5" s="861"/>
      <c r="G5" s="35"/>
      <c r="H5" s="35"/>
      <c r="I5" s="35"/>
      <c r="J5" s="35"/>
      <c r="K5" s="35"/>
      <c r="L5" s="35"/>
      <c r="M5" s="828"/>
      <c r="N5" s="35"/>
      <c r="O5" s="36"/>
      <c r="P5" s="810"/>
    </row>
    <row r="6" spans="2:16">
      <c r="B6" s="776"/>
      <c r="C6" s="864" t="s">
        <v>1036</v>
      </c>
      <c r="D6" s="858" t="s">
        <v>947</v>
      </c>
      <c r="E6" s="855" t="s">
        <v>1238</v>
      </c>
      <c r="F6" s="861"/>
      <c r="G6" s="35"/>
      <c r="H6" s="35"/>
      <c r="I6" s="35"/>
      <c r="J6" s="35"/>
      <c r="K6" s="35"/>
      <c r="L6" s="35"/>
      <c r="M6" s="923"/>
      <c r="N6" s="35"/>
      <c r="O6" s="37"/>
      <c r="P6" s="810"/>
    </row>
    <row r="7" spans="2:16">
      <c r="B7" s="776"/>
      <c r="C7" s="863" t="s">
        <v>1094</v>
      </c>
      <c r="D7" s="858" t="s">
        <v>1220</v>
      </c>
      <c r="E7" s="855" t="s">
        <v>1444</v>
      </c>
      <c r="F7" s="861"/>
      <c r="G7" s="35"/>
      <c r="H7" s="35"/>
      <c r="I7" s="35"/>
      <c r="J7" s="35"/>
      <c r="K7" s="35"/>
      <c r="L7" s="35"/>
      <c r="M7" s="35"/>
      <c r="N7" s="35"/>
      <c r="O7" s="37"/>
      <c r="P7" s="810"/>
    </row>
    <row r="8" spans="2:16">
      <c r="B8" s="776"/>
      <c r="C8" s="863" t="s">
        <v>1093</v>
      </c>
      <c r="D8" s="856"/>
      <c r="E8" s="857"/>
      <c r="F8" s="35"/>
      <c r="G8" s="35"/>
      <c r="H8" s="35"/>
      <c r="I8" s="35"/>
      <c r="J8" s="35"/>
      <c r="K8" s="35"/>
      <c r="L8" s="35"/>
      <c r="M8" s="35"/>
      <c r="N8" s="35"/>
      <c r="O8" s="38"/>
      <c r="P8" s="810"/>
    </row>
    <row r="9" spans="2:16" ht="38.25" customHeight="1">
      <c r="B9" s="841" t="s">
        <v>1270</v>
      </c>
      <c r="C9" s="787"/>
      <c r="D9" s="33"/>
      <c r="E9" s="34"/>
      <c r="F9" s="35"/>
      <c r="G9" s="35"/>
      <c r="H9" s="35"/>
      <c r="I9" s="35"/>
      <c r="J9" s="35"/>
      <c r="K9" s="35"/>
      <c r="L9" s="924"/>
      <c r="M9" s="35"/>
      <c r="N9" s="35"/>
      <c r="O9" s="38"/>
      <c r="P9" s="810"/>
    </row>
    <row r="10" spans="2:16" ht="7.5" customHeight="1">
      <c r="B10" s="779"/>
      <c r="C10" s="788" t="s">
        <v>20</v>
      </c>
      <c r="D10" s="777"/>
      <c r="E10" s="778"/>
      <c r="F10" s="845"/>
      <c r="G10" s="845"/>
      <c r="H10" s="845"/>
      <c r="I10" s="845"/>
      <c r="J10" s="845"/>
      <c r="K10" s="845"/>
      <c r="L10" s="845"/>
      <c r="M10" s="845"/>
      <c r="N10" s="845"/>
      <c r="O10" s="846"/>
      <c r="P10" s="847"/>
    </row>
    <row r="11" spans="2:16" s="751" customFormat="1">
      <c r="B11" s="1074" t="s">
        <v>912</v>
      </c>
      <c r="C11" s="1076" t="s">
        <v>1005</v>
      </c>
      <c r="D11" s="1078" t="s">
        <v>0</v>
      </c>
      <c r="E11" s="1080" t="s">
        <v>5</v>
      </c>
      <c r="F11" s="1073" t="s">
        <v>1004</v>
      </c>
      <c r="G11" s="1073"/>
      <c r="H11" s="1073"/>
      <c r="I11" s="1073" t="s">
        <v>1002</v>
      </c>
      <c r="J11" s="1073"/>
      <c r="K11" s="1083" t="s">
        <v>3</v>
      </c>
      <c r="L11" s="1073" t="s">
        <v>4</v>
      </c>
      <c r="M11" s="1073"/>
      <c r="N11" s="1083" t="s">
        <v>3</v>
      </c>
      <c r="O11" s="1073" t="s">
        <v>1003</v>
      </c>
      <c r="P11" s="1082"/>
    </row>
    <row r="12" spans="2:16" s="751" customFormat="1">
      <c r="B12" s="1075"/>
      <c r="C12" s="1077"/>
      <c r="D12" s="1079"/>
      <c r="E12" s="1081"/>
      <c r="F12" s="848" t="s">
        <v>1208</v>
      </c>
      <c r="G12" s="849" t="s">
        <v>6</v>
      </c>
      <c r="H12" s="848" t="s">
        <v>1207</v>
      </c>
      <c r="I12" s="848" t="s">
        <v>1205</v>
      </c>
      <c r="J12" s="848" t="s">
        <v>1206</v>
      </c>
      <c r="K12" s="1084"/>
      <c r="L12" s="850" t="s">
        <v>7</v>
      </c>
      <c r="M12" s="851" t="s">
        <v>986</v>
      </c>
      <c r="N12" s="1084"/>
      <c r="O12" s="848" t="s">
        <v>1</v>
      </c>
      <c r="P12" s="852" t="s">
        <v>2</v>
      </c>
    </row>
    <row r="13" spans="2:16" s="42" customFormat="1" ht="27">
      <c r="B13" s="947">
        <v>16</v>
      </c>
      <c r="C13" s="948" t="s">
        <v>1381</v>
      </c>
      <c r="D13" s="949" t="s">
        <v>1379</v>
      </c>
      <c r="E13" s="950">
        <v>20</v>
      </c>
      <c r="F13" s="951">
        <v>340722</v>
      </c>
      <c r="G13" s="952" t="s">
        <v>1372</v>
      </c>
      <c r="H13" s="953">
        <v>651</v>
      </c>
      <c r="I13" s="954" t="s">
        <v>1382</v>
      </c>
      <c r="J13" s="955">
        <v>15</v>
      </c>
      <c r="K13" s="956" t="s">
        <v>1372</v>
      </c>
      <c r="L13" s="953">
        <v>315318</v>
      </c>
      <c r="M13" s="953">
        <v>1014634</v>
      </c>
      <c r="N13" s="957" t="s">
        <v>1372</v>
      </c>
      <c r="O13" s="953">
        <v>482284</v>
      </c>
      <c r="P13" s="958" t="s">
        <v>1374</v>
      </c>
    </row>
    <row r="14" spans="2:16" s="42" customFormat="1" ht="27">
      <c r="B14" s="947" t="s">
        <v>1393</v>
      </c>
      <c r="C14" s="948" t="s">
        <v>1394</v>
      </c>
      <c r="D14" s="949" t="s">
        <v>1370</v>
      </c>
      <c r="E14" s="950">
        <v>100</v>
      </c>
      <c r="F14" s="951">
        <v>1361304</v>
      </c>
      <c r="G14" s="952" t="s">
        <v>1372</v>
      </c>
      <c r="H14" s="953">
        <v>651</v>
      </c>
      <c r="I14" s="954">
        <v>6</v>
      </c>
      <c r="J14" s="955">
        <v>15</v>
      </c>
      <c r="K14" s="956" t="s">
        <v>1372</v>
      </c>
      <c r="L14" s="953">
        <v>315318</v>
      </c>
      <c r="M14" s="953">
        <v>1014634</v>
      </c>
      <c r="N14" s="957" t="s">
        <v>1372</v>
      </c>
      <c r="O14" s="953">
        <v>3304443</v>
      </c>
      <c r="P14" s="958" t="s">
        <v>1374</v>
      </c>
    </row>
    <row r="15" spans="2:16" s="42" customFormat="1" ht="27">
      <c r="B15" s="947">
        <v>16</v>
      </c>
      <c r="C15" s="948" t="s">
        <v>1381</v>
      </c>
      <c r="D15" s="949" t="s">
        <v>1379</v>
      </c>
      <c r="E15" s="950">
        <v>10</v>
      </c>
      <c r="F15" s="951">
        <v>340722</v>
      </c>
      <c r="G15" s="952" t="s">
        <v>1372</v>
      </c>
      <c r="H15" s="953">
        <v>340722</v>
      </c>
      <c r="I15" s="954" t="s">
        <v>1382</v>
      </c>
      <c r="J15" s="955">
        <v>2</v>
      </c>
      <c r="K15" s="956" t="s">
        <v>1372</v>
      </c>
      <c r="L15" s="953">
        <v>420424</v>
      </c>
      <c r="M15" s="953">
        <v>401903</v>
      </c>
      <c r="N15" s="957" t="s">
        <v>1372</v>
      </c>
      <c r="O15" s="953">
        <v>502379</v>
      </c>
      <c r="P15" s="958">
        <v>502379</v>
      </c>
    </row>
    <row r="16" spans="2:16" s="42" customFormat="1" ht="27">
      <c r="B16" s="947">
        <v>16</v>
      </c>
      <c r="C16" s="948" t="s">
        <v>1381</v>
      </c>
      <c r="D16" s="949" t="s">
        <v>1379</v>
      </c>
      <c r="E16" s="950">
        <v>14</v>
      </c>
      <c r="F16" s="951">
        <v>340722</v>
      </c>
      <c r="G16" s="952" t="s">
        <v>1372</v>
      </c>
      <c r="H16" s="953">
        <v>4770108</v>
      </c>
      <c r="I16" s="954" t="s">
        <v>1382</v>
      </c>
      <c r="J16" s="955" t="s">
        <v>1384</v>
      </c>
      <c r="K16" s="956" t="s">
        <v>1372</v>
      </c>
      <c r="L16" s="953">
        <v>5885936</v>
      </c>
      <c r="M16" s="953">
        <v>5626642</v>
      </c>
      <c r="N16" s="957" t="s">
        <v>1372</v>
      </c>
      <c r="O16" s="953">
        <v>482284</v>
      </c>
      <c r="P16" s="958">
        <v>6751976</v>
      </c>
    </row>
    <row r="17" spans="2:16" s="42" customFormat="1" ht="27">
      <c r="B17" s="947">
        <v>14</v>
      </c>
      <c r="C17" s="948" t="s">
        <v>1369</v>
      </c>
      <c r="D17" s="949" t="s">
        <v>1370</v>
      </c>
      <c r="E17" s="950">
        <v>60</v>
      </c>
      <c r="F17" s="951" t="s">
        <v>1371</v>
      </c>
      <c r="G17" s="952" t="s">
        <v>1372</v>
      </c>
      <c r="H17" s="953">
        <v>1953</v>
      </c>
      <c r="I17" s="954" t="s">
        <v>1373</v>
      </c>
      <c r="J17" s="955">
        <v>45</v>
      </c>
      <c r="K17" s="956" t="s">
        <v>1372</v>
      </c>
      <c r="L17" s="953">
        <v>945954</v>
      </c>
      <c r="M17" s="953">
        <v>3043902</v>
      </c>
      <c r="N17" s="957" t="s">
        <v>1372</v>
      </c>
      <c r="O17" s="953">
        <v>60878</v>
      </c>
      <c r="P17" s="958" t="s">
        <v>1385</v>
      </c>
    </row>
    <row r="18" spans="2:16" s="42" customFormat="1" ht="27">
      <c r="B18" s="947">
        <v>16</v>
      </c>
      <c r="C18" s="948" t="s">
        <v>1381</v>
      </c>
      <c r="D18" s="949" t="s">
        <v>1379</v>
      </c>
      <c r="E18" s="950"/>
      <c r="F18" s="951">
        <v>340722</v>
      </c>
      <c r="G18" s="952" t="s">
        <v>1372</v>
      </c>
      <c r="H18" s="953">
        <v>1250468</v>
      </c>
      <c r="I18" s="954" t="s">
        <v>1382</v>
      </c>
      <c r="J18" s="955" t="s">
        <v>1383</v>
      </c>
      <c r="K18" s="956" t="s">
        <v>1372</v>
      </c>
      <c r="L18" s="953">
        <v>120031052</v>
      </c>
      <c r="M18" s="953">
        <v>2573316</v>
      </c>
      <c r="N18" s="957" t="s">
        <v>1372</v>
      </c>
      <c r="O18" s="953">
        <v>482284</v>
      </c>
      <c r="P18" s="958">
        <v>3087978</v>
      </c>
    </row>
    <row r="19" spans="2:16" s="42" customFormat="1" ht="27">
      <c r="B19" s="947" t="s">
        <v>236</v>
      </c>
      <c r="C19" s="948" t="s">
        <v>235</v>
      </c>
      <c r="D19" s="949" t="s">
        <v>43</v>
      </c>
      <c r="E19" s="950">
        <v>1</v>
      </c>
      <c r="F19" s="951">
        <v>32.549999999999997</v>
      </c>
      <c r="G19" s="952"/>
      <c r="H19" s="953">
        <v>32.549999999999997</v>
      </c>
      <c r="I19" s="954">
        <v>0.75</v>
      </c>
      <c r="J19" s="955">
        <v>0.75</v>
      </c>
      <c r="K19" s="956"/>
      <c r="L19" s="953">
        <v>15.7659</v>
      </c>
      <c r="M19" s="953">
        <v>50.731699999999996</v>
      </c>
      <c r="N19" s="957"/>
      <c r="O19" s="953">
        <v>60.878</v>
      </c>
      <c r="P19" s="958">
        <v>60.878</v>
      </c>
    </row>
    <row r="20" spans="2:16" s="42" customFormat="1">
      <c r="B20" s="947" t="s">
        <v>1386</v>
      </c>
      <c r="C20" s="948" t="s">
        <v>1387</v>
      </c>
      <c r="D20" s="949" t="s">
        <v>1388</v>
      </c>
      <c r="E20" s="950">
        <v>1</v>
      </c>
      <c r="F20" s="951">
        <v>101451</v>
      </c>
      <c r="G20" s="952" t="s">
        <v>1372</v>
      </c>
      <c r="H20" s="953" t="s">
        <v>1389</v>
      </c>
      <c r="I20" s="954" t="s">
        <v>1390</v>
      </c>
      <c r="J20" s="955">
        <v>90</v>
      </c>
      <c r="K20" s="956" t="s">
        <v>1372</v>
      </c>
      <c r="L20" s="953">
        <v>1891908</v>
      </c>
      <c r="M20" s="953" t="s">
        <v>1391</v>
      </c>
      <c r="N20" s="957" t="s">
        <v>1372</v>
      </c>
      <c r="O20" s="953">
        <v>247018</v>
      </c>
      <c r="P20" s="958" t="s">
        <v>1392</v>
      </c>
    </row>
    <row r="21" spans="2:16" s="42" customFormat="1" ht="27">
      <c r="B21" s="947">
        <v>14</v>
      </c>
      <c r="C21" s="948" t="s">
        <v>1369</v>
      </c>
      <c r="D21" s="949" t="s">
        <v>1370</v>
      </c>
      <c r="E21" s="950">
        <v>20</v>
      </c>
      <c r="F21" s="951" t="s">
        <v>1371</v>
      </c>
      <c r="G21" s="952" t="s">
        <v>1372</v>
      </c>
      <c r="H21" s="953">
        <v>651</v>
      </c>
      <c r="I21" s="954" t="s">
        <v>1373</v>
      </c>
      <c r="J21" s="955">
        <v>15</v>
      </c>
      <c r="K21" s="956" t="s">
        <v>1372</v>
      </c>
      <c r="L21" s="953">
        <v>315318</v>
      </c>
      <c r="M21" s="953">
        <v>1014634</v>
      </c>
      <c r="N21" s="957" t="s">
        <v>1372</v>
      </c>
      <c r="O21" s="953">
        <v>60878</v>
      </c>
      <c r="P21" s="958" t="s">
        <v>1374</v>
      </c>
    </row>
    <row r="22" spans="2:16" s="42" customFormat="1" ht="27">
      <c r="B22" s="947" t="s">
        <v>264</v>
      </c>
      <c r="C22" s="948" t="s">
        <v>263</v>
      </c>
      <c r="D22" s="949" t="s">
        <v>67</v>
      </c>
      <c r="E22" s="950">
        <v>2</v>
      </c>
      <c r="F22" s="951">
        <v>62.523400000000002</v>
      </c>
      <c r="G22" s="952"/>
      <c r="H22" s="953">
        <v>125.0468</v>
      </c>
      <c r="I22" s="954">
        <v>2.855</v>
      </c>
      <c r="J22" s="955">
        <v>5.71</v>
      </c>
      <c r="K22" s="956"/>
      <c r="L22" s="953">
        <v>120.031052</v>
      </c>
      <c r="M22" s="953">
        <v>257.33159999999998</v>
      </c>
      <c r="N22" s="957"/>
      <c r="O22" s="953">
        <v>154.3989</v>
      </c>
      <c r="P22" s="958">
        <v>308.7978</v>
      </c>
    </row>
    <row r="23" spans="2:16" s="42" customFormat="1">
      <c r="B23" s="947" t="s">
        <v>1375</v>
      </c>
      <c r="C23" s="948" t="s">
        <v>1376</v>
      </c>
      <c r="D23" s="949" t="s">
        <v>1372</v>
      </c>
      <c r="E23" s="950"/>
      <c r="F23" s="951" t="s">
        <v>1372</v>
      </c>
      <c r="G23" s="952" t="s">
        <v>1372</v>
      </c>
      <c r="H23" s="953" t="s">
        <v>1372</v>
      </c>
      <c r="I23" s="954" t="s">
        <v>1372</v>
      </c>
      <c r="J23" s="955" t="s">
        <v>1372</v>
      </c>
      <c r="K23" s="956" t="s">
        <v>1372</v>
      </c>
      <c r="L23" s="953" t="s">
        <v>1372</v>
      </c>
      <c r="M23" s="953" t="s">
        <v>1372</v>
      </c>
      <c r="N23" s="957" t="s">
        <v>1372</v>
      </c>
      <c r="O23" s="953" t="s">
        <v>1372</v>
      </c>
      <c r="P23" s="958">
        <v>152761546</v>
      </c>
    </row>
    <row r="24" spans="2:16" s="42" customFormat="1" ht="27">
      <c r="B24" s="947" t="s">
        <v>1377</v>
      </c>
      <c r="C24" s="948" t="s">
        <v>1378</v>
      </c>
      <c r="D24" s="949" t="s">
        <v>1379</v>
      </c>
      <c r="E24" s="950">
        <v>10</v>
      </c>
      <c r="F24" s="951">
        <v>625234</v>
      </c>
      <c r="G24" s="952" t="s">
        <v>1372</v>
      </c>
      <c r="H24" s="953">
        <v>625234</v>
      </c>
      <c r="I24" s="954">
        <v>2855</v>
      </c>
      <c r="J24" s="955" t="s">
        <v>1380</v>
      </c>
      <c r="K24" s="956" t="s">
        <v>1372</v>
      </c>
      <c r="L24" s="953">
        <v>60015526</v>
      </c>
      <c r="M24" s="953">
        <v>1286658</v>
      </c>
      <c r="N24" s="957" t="s">
        <v>1372</v>
      </c>
      <c r="O24" s="953">
        <v>1543989</v>
      </c>
      <c r="P24" s="958">
        <v>1543989</v>
      </c>
    </row>
    <row r="25" spans="2:16" s="42" customFormat="1" ht="27">
      <c r="B25" s="947">
        <v>14</v>
      </c>
      <c r="C25" s="948" t="s">
        <v>1369</v>
      </c>
      <c r="D25" s="949" t="s">
        <v>1370</v>
      </c>
      <c r="E25" s="950">
        <v>1</v>
      </c>
      <c r="F25" s="951" t="s">
        <v>1371</v>
      </c>
      <c r="G25" s="952" t="s">
        <v>1372</v>
      </c>
      <c r="H25" s="953" t="s">
        <v>1371</v>
      </c>
      <c r="I25" s="954" t="s">
        <v>1373</v>
      </c>
      <c r="J25" s="955" t="s">
        <v>1373</v>
      </c>
      <c r="K25" s="956" t="s">
        <v>1372</v>
      </c>
      <c r="L25" s="953">
        <v>157659</v>
      </c>
      <c r="M25" s="953">
        <v>507317</v>
      </c>
      <c r="N25" s="957" t="s">
        <v>1372</v>
      </c>
      <c r="O25" s="953">
        <v>60878</v>
      </c>
      <c r="P25" s="958">
        <v>60878</v>
      </c>
    </row>
    <row r="26" spans="2:16" s="42" customFormat="1" ht="27">
      <c r="B26" s="947" t="s">
        <v>1393</v>
      </c>
      <c r="C26" s="948" t="s">
        <v>1394</v>
      </c>
      <c r="D26" s="949" t="s">
        <v>1370</v>
      </c>
      <c r="E26" s="950">
        <v>10</v>
      </c>
      <c r="F26" s="951">
        <v>1361304</v>
      </c>
      <c r="G26" s="952" t="s">
        <v>1372</v>
      </c>
      <c r="H26" s="953">
        <v>625234</v>
      </c>
      <c r="I26" s="954">
        <v>6</v>
      </c>
      <c r="J26" s="955" t="s">
        <v>1380</v>
      </c>
      <c r="K26" s="956" t="s">
        <v>1372</v>
      </c>
      <c r="L26" s="953">
        <v>60015526</v>
      </c>
      <c r="M26" s="953">
        <v>1286658</v>
      </c>
      <c r="N26" s="957" t="s">
        <v>1372</v>
      </c>
      <c r="O26" s="953">
        <v>3304443</v>
      </c>
      <c r="P26" s="958">
        <v>1543989</v>
      </c>
    </row>
    <row r="27" spans="2:16" s="42" customFormat="1" ht="27">
      <c r="B27" s="947">
        <v>14</v>
      </c>
      <c r="C27" s="948" t="s">
        <v>1369</v>
      </c>
      <c r="D27" s="949" t="s">
        <v>1370</v>
      </c>
      <c r="E27" s="950">
        <v>241</v>
      </c>
      <c r="F27" s="951" t="s">
        <v>1371</v>
      </c>
      <c r="G27" s="952" t="s">
        <v>1372</v>
      </c>
      <c r="H27" s="953" t="s">
        <v>1395</v>
      </c>
      <c r="I27" s="954" t="s">
        <v>1373</v>
      </c>
      <c r="J27" s="955" t="s">
        <v>1396</v>
      </c>
      <c r="K27" s="956" t="s">
        <v>1372</v>
      </c>
      <c r="L27" s="953">
        <v>37995819</v>
      </c>
      <c r="M27" s="953">
        <v>122263397</v>
      </c>
      <c r="N27" s="957" t="s">
        <v>1372</v>
      </c>
      <c r="O27" s="953">
        <v>60878</v>
      </c>
      <c r="P27" s="958">
        <v>14671598</v>
      </c>
    </row>
    <row r="28" spans="2:16" s="42" customFormat="1">
      <c r="B28" s="947" t="s">
        <v>1397</v>
      </c>
      <c r="C28" s="948" t="s">
        <v>1398</v>
      </c>
      <c r="D28" s="949" t="s">
        <v>1379</v>
      </c>
      <c r="E28" s="950">
        <v>20</v>
      </c>
      <c r="F28" s="951" t="s">
        <v>1399</v>
      </c>
      <c r="G28" s="952" t="s">
        <v>1372</v>
      </c>
      <c r="H28" s="953">
        <v>210</v>
      </c>
      <c r="I28" s="954" t="s">
        <v>1400</v>
      </c>
      <c r="J28" s="955">
        <v>5</v>
      </c>
      <c r="K28" s="956" t="s">
        <v>1372</v>
      </c>
      <c r="L28" s="953">
        <v>105106</v>
      </c>
      <c r="M28" s="953">
        <v>330862</v>
      </c>
      <c r="N28" s="957" t="s">
        <v>1372</v>
      </c>
      <c r="O28" s="953">
        <v>198517</v>
      </c>
      <c r="P28" s="958">
        <v>397034</v>
      </c>
    </row>
    <row r="29" spans="2:16" s="42" customFormat="1" ht="27">
      <c r="B29" s="947" t="s">
        <v>1377</v>
      </c>
      <c r="C29" s="948" t="s">
        <v>1378</v>
      </c>
      <c r="D29" s="949" t="s">
        <v>1379</v>
      </c>
      <c r="E29" s="950">
        <v>2</v>
      </c>
      <c r="F29" s="951">
        <v>625234</v>
      </c>
      <c r="G29" s="952" t="s">
        <v>1372</v>
      </c>
      <c r="H29" s="953">
        <v>1250468</v>
      </c>
      <c r="I29" s="954">
        <v>2855</v>
      </c>
      <c r="J29" s="955" t="s">
        <v>1401</v>
      </c>
      <c r="K29" s="956" t="s">
        <v>1372</v>
      </c>
      <c r="L29" s="953">
        <v>120031052</v>
      </c>
      <c r="M29" s="953">
        <v>2573316</v>
      </c>
      <c r="N29" s="957" t="s">
        <v>1372</v>
      </c>
      <c r="O29" s="953">
        <v>1543989</v>
      </c>
      <c r="P29" s="958">
        <v>3087978</v>
      </c>
    </row>
    <row r="30" spans="2:16" s="42" customFormat="1" ht="27">
      <c r="B30" s="947">
        <v>14</v>
      </c>
      <c r="C30" s="948" t="s">
        <v>1369</v>
      </c>
      <c r="D30" s="949" t="s">
        <v>1370</v>
      </c>
      <c r="E30" s="950">
        <v>10</v>
      </c>
      <c r="F30" s="951" t="s">
        <v>1371</v>
      </c>
      <c r="G30" s="952" t="s">
        <v>1372</v>
      </c>
      <c r="H30" s="953" t="s">
        <v>1402</v>
      </c>
      <c r="I30" s="954" t="s">
        <v>1373</v>
      </c>
      <c r="J30" s="955" t="s">
        <v>1403</v>
      </c>
      <c r="K30" s="956" t="s">
        <v>1372</v>
      </c>
      <c r="L30" s="953">
        <v>157659</v>
      </c>
      <c r="M30" s="953">
        <v>507317</v>
      </c>
      <c r="N30" s="957" t="s">
        <v>1372</v>
      </c>
      <c r="O30" s="953">
        <v>60878</v>
      </c>
      <c r="P30" s="958" t="s">
        <v>1404</v>
      </c>
    </row>
    <row r="31" spans="2:16" s="42" customFormat="1" ht="27">
      <c r="B31" s="947" t="s">
        <v>1377</v>
      </c>
      <c r="C31" s="948" t="s">
        <v>1378</v>
      </c>
      <c r="D31" s="949" t="s">
        <v>1379</v>
      </c>
      <c r="E31" s="950">
        <v>12</v>
      </c>
      <c r="F31" s="951">
        <v>625234</v>
      </c>
      <c r="G31" s="952" t="s">
        <v>1372</v>
      </c>
      <c r="H31" s="953">
        <v>7502808</v>
      </c>
      <c r="I31" s="954">
        <v>2855</v>
      </c>
      <c r="J31" s="955" t="s">
        <v>1405</v>
      </c>
      <c r="K31" s="956" t="s">
        <v>1372</v>
      </c>
      <c r="L31" s="953">
        <v>720186312</v>
      </c>
      <c r="M31" s="953">
        <v>15439896</v>
      </c>
      <c r="N31" s="957" t="s">
        <v>1372</v>
      </c>
      <c r="O31" s="953">
        <v>1543989</v>
      </c>
      <c r="P31" s="958">
        <v>18527868</v>
      </c>
    </row>
    <row r="32" spans="2:16" s="42" customFormat="1" ht="27">
      <c r="B32" s="947">
        <v>16</v>
      </c>
      <c r="C32" s="948" t="s">
        <v>1381</v>
      </c>
      <c r="D32" s="949" t="s">
        <v>1379</v>
      </c>
      <c r="E32" s="950">
        <v>20</v>
      </c>
      <c r="F32" s="951">
        <v>340722</v>
      </c>
      <c r="G32" s="952" t="s">
        <v>1372</v>
      </c>
      <c r="H32" s="953">
        <v>651</v>
      </c>
      <c r="I32" s="954" t="s">
        <v>1382</v>
      </c>
      <c r="J32" s="955">
        <v>15</v>
      </c>
      <c r="K32" s="956" t="s">
        <v>1372</v>
      </c>
      <c r="L32" s="953">
        <v>315318</v>
      </c>
      <c r="M32" s="953">
        <v>1014634</v>
      </c>
      <c r="N32" s="957" t="s">
        <v>1372</v>
      </c>
      <c r="O32" s="953">
        <v>482284</v>
      </c>
      <c r="P32" s="958" t="s">
        <v>1374</v>
      </c>
    </row>
    <row r="33" spans="2:16" s="42" customFormat="1" ht="27">
      <c r="B33" s="947" t="s">
        <v>1393</v>
      </c>
      <c r="C33" s="948" t="s">
        <v>1394</v>
      </c>
      <c r="D33" s="949" t="s">
        <v>1370</v>
      </c>
      <c r="E33" s="950">
        <v>100</v>
      </c>
      <c r="F33" s="951">
        <v>1361304</v>
      </c>
      <c r="G33" s="952" t="s">
        <v>1372</v>
      </c>
      <c r="H33" s="953">
        <v>651</v>
      </c>
      <c r="I33" s="954">
        <v>6</v>
      </c>
      <c r="J33" s="955">
        <v>15</v>
      </c>
      <c r="K33" s="956" t="s">
        <v>1372</v>
      </c>
      <c r="L33" s="953">
        <v>315318</v>
      </c>
      <c r="M33" s="953">
        <v>1014634</v>
      </c>
      <c r="N33" s="957" t="s">
        <v>1372</v>
      </c>
      <c r="O33" s="953">
        <v>3304443</v>
      </c>
      <c r="P33" s="958" t="s">
        <v>1374</v>
      </c>
    </row>
    <row r="34" spans="2:16" s="42" customFormat="1">
      <c r="B34" s="947" t="s">
        <v>1375</v>
      </c>
      <c r="C34" s="948" t="s">
        <v>1372</v>
      </c>
      <c r="D34" s="949" t="s">
        <v>1372</v>
      </c>
      <c r="E34" s="950" t="s">
        <v>1372</v>
      </c>
      <c r="F34" s="951" t="s">
        <v>1372</v>
      </c>
      <c r="G34" s="952" t="s">
        <v>1372</v>
      </c>
      <c r="H34" s="953" t="s">
        <v>1372</v>
      </c>
      <c r="I34" s="954" t="s">
        <v>1372</v>
      </c>
      <c r="J34" s="955" t="s">
        <v>1372</v>
      </c>
      <c r="K34" s="956" t="s">
        <v>1372</v>
      </c>
      <c r="L34" s="953" t="s">
        <v>1372</v>
      </c>
      <c r="M34" s="953" t="s">
        <v>1372</v>
      </c>
      <c r="N34" s="957" t="s">
        <v>1372</v>
      </c>
      <c r="O34" s="953" t="s">
        <v>1372</v>
      </c>
      <c r="P34" s="958" t="s">
        <v>1406</v>
      </c>
    </row>
    <row r="35" spans="2:16" s="42" customFormat="1" ht="27">
      <c r="B35" s="947" t="s">
        <v>1377</v>
      </c>
      <c r="C35" s="948" t="s">
        <v>1378</v>
      </c>
      <c r="D35" s="949" t="s">
        <v>1379</v>
      </c>
      <c r="E35" s="950">
        <v>10</v>
      </c>
      <c r="F35" s="951">
        <v>625234</v>
      </c>
      <c r="G35" s="952" t="s">
        <v>1372</v>
      </c>
      <c r="H35" s="953" t="s">
        <v>1402</v>
      </c>
      <c r="I35" s="954">
        <v>2855</v>
      </c>
      <c r="J35" s="955" t="s">
        <v>1403</v>
      </c>
      <c r="K35" s="956" t="s">
        <v>1372</v>
      </c>
      <c r="L35" s="953">
        <v>157659</v>
      </c>
      <c r="M35" s="953">
        <v>507317</v>
      </c>
      <c r="N35" s="957" t="s">
        <v>1372</v>
      </c>
      <c r="O35" s="953">
        <v>1543989</v>
      </c>
      <c r="P35" s="958" t="s">
        <v>1404</v>
      </c>
    </row>
    <row r="36" spans="2:16" s="42" customFormat="1" ht="27">
      <c r="B36" s="947" t="s">
        <v>1377</v>
      </c>
      <c r="C36" s="948" t="s">
        <v>1378</v>
      </c>
      <c r="D36" s="949" t="s">
        <v>1379</v>
      </c>
      <c r="E36" s="950">
        <v>20</v>
      </c>
      <c r="F36" s="951">
        <v>625234</v>
      </c>
      <c r="G36" s="952" t="s">
        <v>1372</v>
      </c>
      <c r="H36" s="953">
        <v>1250468</v>
      </c>
      <c r="I36" s="954">
        <v>2855</v>
      </c>
      <c r="J36" s="955" t="s">
        <v>1383</v>
      </c>
      <c r="K36" s="956" t="s">
        <v>1372</v>
      </c>
      <c r="L36" s="953">
        <v>120031052</v>
      </c>
      <c r="M36" s="953">
        <v>2573316</v>
      </c>
      <c r="N36" s="957" t="s">
        <v>1372</v>
      </c>
      <c r="O36" s="953">
        <v>1543989</v>
      </c>
      <c r="P36" s="958">
        <v>3087978</v>
      </c>
    </row>
    <row r="37" spans="2:16" s="42" customFormat="1" ht="27">
      <c r="B37" s="947">
        <v>16</v>
      </c>
      <c r="C37" s="948" t="s">
        <v>1407</v>
      </c>
      <c r="D37" s="949" t="s">
        <v>1408</v>
      </c>
      <c r="E37" s="950">
        <v>10</v>
      </c>
      <c r="F37" s="951">
        <v>340722</v>
      </c>
      <c r="G37" s="952" t="s">
        <v>1409</v>
      </c>
      <c r="H37" s="953">
        <v>340722</v>
      </c>
      <c r="I37" s="954" t="s">
        <v>1410</v>
      </c>
      <c r="J37" s="955">
        <v>2</v>
      </c>
      <c r="K37" s="956" t="s">
        <v>1409</v>
      </c>
      <c r="L37" s="953">
        <v>420424</v>
      </c>
      <c r="M37" s="953">
        <v>401903</v>
      </c>
      <c r="N37" s="957" t="s">
        <v>1409</v>
      </c>
      <c r="O37" s="953">
        <v>502379</v>
      </c>
      <c r="P37" s="958">
        <v>502379</v>
      </c>
    </row>
    <row r="38" spans="2:16" s="42" customFormat="1" ht="27">
      <c r="B38" s="947">
        <v>16</v>
      </c>
      <c r="C38" s="948" t="s">
        <v>1407</v>
      </c>
      <c r="D38" s="949" t="s">
        <v>1408</v>
      </c>
      <c r="E38" s="950">
        <v>14</v>
      </c>
      <c r="F38" s="951">
        <v>340722</v>
      </c>
      <c r="G38" s="952" t="s">
        <v>1409</v>
      </c>
      <c r="H38" s="953">
        <v>4770108</v>
      </c>
      <c r="I38" s="954" t="s">
        <v>1410</v>
      </c>
      <c r="J38" s="955" t="s">
        <v>1411</v>
      </c>
      <c r="K38" s="956" t="s">
        <v>1409</v>
      </c>
      <c r="L38" s="953">
        <v>5885936</v>
      </c>
      <c r="M38" s="953">
        <v>5626642</v>
      </c>
      <c r="N38" s="957" t="s">
        <v>1409</v>
      </c>
      <c r="O38" s="953">
        <v>482284</v>
      </c>
      <c r="P38" s="958">
        <v>6751976</v>
      </c>
    </row>
    <row r="39" spans="2:16" s="42" customFormat="1" ht="27">
      <c r="B39" s="947">
        <v>14</v>
      </c>
      <c r="C39" s="948" t="s">
        <v>1412</v>
      </c>
      <c r="D39" s="949" t="s">
        <v>1413</v>
      </c>
      <c r="E39" s="950">
        <v>60</v>
      </c>
      <c r="F39" s="951" t="s">
        <v>1414</v>
      </c>
      <c r="G39" s="952" t="s">
        <v>1409</v>
      </c>
      <c r="H39" s="953">
        <v>1953</v>
      </c>
      <c r="I39" s="954" t="s">
        <v>1415</v>
      </c>
      <c r="J39" s="955">
        <v>45</v>
      </c>
      <c r="K39" s="956" t="s">
        <v>1409</v>
      </c>
      <c r="L39" s="953">
        <v>945954</v>
      </c>
      <c r="M39" s="953">
        <v>3043902</v>
      </c>
      <c r="N39" s="957" t="s">
        <v>1409</v>
      </c>
      <c r="O39" s="953">
        <v>60878</v>
      </c>
      <c r="P39" s="958" t="s">
        <v>1416</v>
      </c>
    </row>
    <row r="40" spans="2:16" s="42" customFormat="1" ht="27">
      <c r="B40" s="947">
        <v>16</v>
      </c>
      <c r="C40" s="948" t="s">
        <v>1407</v>
      </c>
      <c r="D40" s="949" t="s">
        <v>1408</v>
      </c>
      <c r="E40" s="950">
        <v>20</v>
      </c>
      <c r="F40" s="951">
        <v>340722</v>
      </c>
      <c r="G40" s="952" t="s">
        <v>1409</v>
      </c>
      <c r="H40" s="953">
        <v>1250468</v>
      </c>
      <c r="I40" s="954" t="s">
        <v>1410</v>
      </c>
      <c r="J40" s="955" t="s">
        <v>1417</v>
      </c>
      <c r="K40" s="956" t="s">
        <v>1409</v>
      </c>
      <c r="L40" s="953">
        <v>120031052</v>
      </c>
      <c r="M40" s="953">
        <v>2573316</v>
      </c>
      <c r="N40" s="957" t="s">
        <v>1409</v>
      </c>
      <c r="O40" s="953">
        <v>482284</v>
      </c>
      <c r="P40" s="958">
        <v>3087978</v>
      </c>
    </row>
    <row r="41" spans="2:16">
      <c r="B41" s="947" t="s">
        <v>1418</v>
      </c>
      <c r="C41" s="948" t="s">
        <v>1419</v>
      </c>
      <c r="D41" s="949" t="s">
        <v>1420</v>
      </c>
      <c r="E41" s="950">
        <v>1</v>
      </c>
      <c r="F41" s="951">
        <v>101451</v>
      </c>
      <c r="G41" s="952" t="s">
        <v>1409</v>
      </c>
      <c r="H41" s="953" t="s">
        <v>1421</v>
      </c>
      <c r="I41" s="954" t="s">
        <v>1422</v>
      </c>
      <c r="J41" s="955">
        <v>90</v>
      </c>
      <c r="K41" s="956" t="s">
        <v>1409</v>
      </c>
      <c r="L41" s="953">
        <v>1891908</v>
      </c>
      <c r="M41" s="953" t="s">
        <v>1423</v>
      </c>
      <c r="N41" s="957" t="s">
        <v>1409</v>
      </c>
      <c r="O41" s="953">
        <v>247018</v>
      </c>
      <c r="P41" s="958" t="s">
        <v>1424</v>
      </c>
    </row>
    <row r="42" spans="2:16" ht="27">
      <c r="B42" s="947">
        <v>14</v>
      </c>
      <c r="C42" s="948" t="s">
        <v>1412</v>
      </c>
      <c r="D42" s="949" t="s">
        <v>1413</v>
      </c>
      <c r="E42" s="950">
        <v>20</v>
      </c>
      <c r="F42" s="951" t="s">
        <v>1414</v>
      </c>
      <c r="G42" s="952" t="s">
        <v>1409</v>
      </c>
      <c r="H42" s="953">
        <v>651</v>
      </c>
      <c r="I42" s="954" t="s">
        <v>1415</v>
      </c>
      <c r="J42" s="955">
        <v>15</v>
      </c>
      <c r="K42" s="956" t="s">
        <v>1409</v>
      </c>
      <c r="L42" s="953">
        <v>315318</v>
      </c>
      <c r="M42" s="953">
        <v>1014634</v>
      </c>
      <c r="N42" s="957" t="s">
        <v>1409</v>
      </c>
      <c r="O42" s="953">
        <v>60878</v>
      </c>
      <c r="P42" s="958" t="s">
        <v>1425</v>
      </c>
    </row>
    <row r="43" spans="2:16">
      <c r="B43" s="947" t="s">
        <v>1426</v>
      </c>
      <c r="C43" s="948" t="s">
        <v>1427</v>
      </c>
      <c r="D43" s="949" t="s">
        <v>1409</v>
      </c>
      <c r="E43" s="950" t="s">
        <v>1409</v>
      </c>
      <c r="F43" s="951" t="s">
        <v>1409</v>
      </c>
      <c r="G43" s="952" t="s">
        <v>1409</v>
      </c>
      <c r="H43" s="953" t="s">
        <v>1409</v>
      </c>
      <c r="I43" s="954" t="s">
        <v>1409</v>
      </c>
      <c r="J43" s="955" t="s">
        <v>1409</v>
      </c>
      <c r="K43" s="956" t="s">
        <v>1409</v>
      </c>
      <c r="L43" s="953" t="s">
        <v>1409</v>
      </c>
      <c r="M43" s="953" t="s">
        <v>1409</v>
      </c>
      <c r="N43" s="957" t="s">
        <v>1409</v>
      </c>
      <c r="O43" s="953" t="s">
        <v>1409</v>
      </c>
      <c r="P43" s="958">
        <v>152761546</v>
      </c>
    </row>
    <row r="44" spans="2:16" ht="27">
      <c r="B44" s="947" t="s">
        <v>1428</v>
      </c>
      <c r="C44" s="948" t="s">
        <v>1429</v>
      </c>
      <c r="D44" s="949" t="s">
        <v>1408</v>
      </c>
      <c r="E44" s="950">
        <v>10</v>
      </c>
      <c r="F44" s="951">
        <v>625234</v>
      </c>
      <c r="G44" s="952" t="s">
        <v>1409</v>
      </c>
      <c r="H44" s="953">
        <v>625234</v>
      </c>
      <c r="I44" s="954">
        <v>2855</v>
      </c>
      <c r="J44" s="955" t="s">
        <v>1430</v>
      </c>
      <c r="K44" s="956" t="s">
        <v>1409</v>
      </c>
      <c r="L44" s="953">
        <v>60015526</v>
      </c>
      <c r="M44" s="953">
        <v>1286658</v>
      </c>
      <c r="N44" s="957" t="s">
        <v>1409</v>
      </c>
      <c r="O44" s="953">
        <v>1543989</v>
      </c>
      <c r="P44" s="958">
        <v>1543989</v>
      </c>
    </row>
    <row r="45" spans="2:16" ht="27">
      <c r="B45" s="947" t="s">
        <v>238</v>
      </c>
      <c r="C45" s="948" t="s">
        <v>237</v>
      </c>
      <c r="D45" s="949" t="s">
        <v>67</v>
      </c>
      <c r="E45" s="950">
        <v>3</v>
      </c>
      <c r="F45" s="951">
        <v>34.072200000000002</v>
      </c>
      <c r="G45" s="952"/>
      <c r="H45" s="953">
        <v>102.2166</v>
      </c>
      <c r="I45" s="954">
        <v>0.2</v>
      </c>
      <c r="J45" s="955">
        <v>0.6</v>
      </c>
      <c r="K45" s="956"/>
      <c r="L45" s="953">
        <v>12.612719999999999</v>
      </c>
      <c r="M45" s="953">
        <v>120.57089999999999</v>
      </c>
      <c r="N45" s="957"/>
      <c r="O45" s="953">
        <v>48.228400000000001</v>
      </c>
      <c r="P45" s="958">
        <v>144.68520000000001</v>
      </c>
    </row>
    <row r="46" spans="2:16">
      <c r="B46" s="947"/>
      <c r="C46" s="948"/>
      <c r="D46" s="949"/>
      <c r="E46" s="950"/>
      <c r="F46" s="951"/>
      <c r="G46" s="952"/>
      <c r="H46" s="953"/>
      <c r="I46" s="954"/>
      <c r="J46" s="955"/>
      <c r="K46" s="956"/>
      <c r="L46" s="953"/>
      <c r="M46" s="953"/>
      <c r="N46" s="957"/>
      <c r="O46" s="953"/>
      <c r="P46" s="958"/>
    </row>
    <row r="47" spans="2:16">
      <c r="B47" s="947"/>
      <c r="C47" s="948"/>
      <c r="D47" s="949"/>
      <c r="E47" s="950"/>
      <c r="F47" s="951"/>
      <c r="G47" s="952"/>
      <c r="H47" s="953"/>
      <c r="I47" s="954"/>
      <c r="J47" s="955"/>
      <c r="K47" s="956"/>
      <c r="L47" s="953"/>
      <c r="M47" s="953"/>
      <c r="N47" s="957"/>
      <c r="O47" s="953"/>
      <c r="P47" s="958"/>
    </row>
    <row r="48" spans="2:16">
      <c r="B48" s="947"/>
      <c r="C48" s="948"/>
      <c r="D48" s="949"/>
      <c r="E48" s="950"/>
      <c r="F48" s="951"/>
      <c r="G48" s="952"/>
      <c r="H48" s="953"/>
      <c r="I48" s="954"/>
      <c r="J48" s="955"/>
      <c r="K48" s="956"/>
      <c r="L48" s="953"/>
      <c r="M48" s="953"/>
      <c r="N48" s="957"/>
      <c r="O48" s="953"/>
      <c r="P48" s="958"/>
    </row>
    <row r="49" spans="2:16">
      <c r="B49" s="947"/>
      <c r="C49" s="948"/>
      <c r="D49" s="949"/>
      <c r="E49" s="950"/>
      <c r="F49" s="951"/>
      <c r="G49" s="952"/>
      <c r="H49" s="953"/>
      <c r="I49" s="954"/>
      <c r="J49" s="955"/>
      <c r="K49" s="956"/>
      <c r="L49" s="953"/>
      <c r="M49" s="953"/>
      <c r="N49" s="957"/>
      <c r="O49" s="953"/>
      <c r="P49" s="958"/>
    </row>
    <row r="50" spans="2:16" ht="15.75">
      <c r="B50" s="884"/>
      <c r="C50" s="885" t="str">
        <f>IF($B$2="DEVIS","Total HT ….","Total TTC")</f>
        <v>Total TTC</v>
      </c>
      <c r="D50" s="886"/>
      <c r="E50" s="887"/>
      <c r="F50" s="886"/>
      <c r="G50" s="888">
        <f>$O$254</f>
        <v>0</v>
      </c>
      <c r="H50" s="889">
        <f>SUM(H13:H49)</f>
        <v>24610323.8134</v>
      </c>
      <c r="I50" s="889"/>
      <c r="J50" s="890">
        <f>SUM(J13:J49)</f>
        <v>376.06000000000006</v>
      </c>
      <c r="K50" s="889"/>
      <c r="L50" s="889" t="e">
        <f>SUM(#REF!)</f>
        <v>#REF!</v>
      </c>
      <c r="M50" s="889">
        <f>SUM(M13:M49)</f>
        <v>177942470.63420001</v>
      </c>
      <c r="N50" s="889"/>
      <c r="O50" s="889">
        <f>SUM(Tab_Devis[[#All],[Colonne14]])</f>
        <v>24194687.5053</v>
      </c>
      <c r="P50" s="891">
        <f>SUM(P13:P49)</f>
        <v>370673573.36099994</v>
      </c>
    </row>
    <row r="51" spans="2:16">
      <c r="B51" s="780"/>
      <c r="C51" s="789"/>
      <c r="D51" s="39"/>
      <c r="E51" s="835"/>
      <c r="F51" s="836"/>
      <c r="G51" s="836"/>
      <c r="H51" s="836"/>
      <c r="I51" s="836"/>
      <c r="J51" s="836"/>
      <c r="K51" s="836"/>
      <c r="L51" s="836"/>
      <c r="M51" s="836"/>
      <c r="N51" s="836"/>
      <c r="O51" s="837"/>
      <c r="P51" s="811"/>
    </row>
    <row r="52" spans="2:16">
      <c r="B52" s="781"/>
      <c r="C52" s="790"/>
      <c r="D52" s="782"/>
      <c r="E52" s="682"/>
      <c r="F52" s="683"/>
      <c r="G52" s="683"/>
      <c r="H52" s="683"/>
      <c r="I52" s="683"/>
      <c r="J52" s="683"/>
      <c r="K52" s="683"/>
      <c r="L52" s="683"/>
      <c r="M52" s="827"/>
      <c r="N52" s="683"/>
      <c r="O52" s="752">
        <v>8.5000000000000006E-2</v>
      </c>
      <c r="P52" s="812">
        <f>Prix_VHT*O52</f>
        <v>31507253.735684998</v>
      </c>
    </row>
    <row r="53" spans="2:16">
      <c r="B53" s="781"/>
      <c r="C53" s="791"/>
      <c r="D53" s="40"/>
      <c r="E53" s="829"/>
      <c r="F53" s="830"/>
      <c r="G53" s="830"/>
      <c r="H53" s="830"/>
      <c r="I53" s="830"/>
      <c r="J53" s="830"/>
      <c r="K53" s="830"/>
      <c r="L53" s="830"/>
      <c r="M53" s="830"/>
      <c r="N53" s="830"/>
      <c r="O53" s="831"/>
      <c r="P53" s="813">
        <f>Prix_VHT+P52</f>
        <v>402180827.09668493</v>
      </c>
    </row>
    <row r="54" spans="2:16">
      <c r="B54" s="781"/>
      <c r="C54" s="790"/>
      <c r="D54" s="41"/>
      <c r="E54" s="684"/>
      <c r="F54" s="685"/>
      <c r="G54" s="686"/>
      <c r="H54" s="686"/>
      <c r="I54" s="686"/>
      <c r="J54" s="686"/>
      <c r="K54" s="686"/>
      <c r="L54" s="686"/>
      <c r="M54" s="686"/>
      <c r="N54" s="686"/>
      <c r="O54" s="687">
        <v>0</v>
      </c>
      <c r="P54" s="814">
        <f>$P$51*$O$54</f>
        <v>0</v>
      </c>
    </row>
    <row r="55" spans="2:16" ht="15.75">
      <c r="B55" s="783"/>
      <c r="C55" s="792" t="str">
        <f>IF(B2="Devis","Devis valable 2 mois","")</f>
        <v/>
      </c>
      <c r="D55" s="784"/>
      <c r="E55" s="832" t="str">
        <f>IF($B$2="DEVIS","Total TTC","NET à PAYER")</f>
        <v>NET à PAYER</v>
      </c>
      <c r="F55" s="833"/>
      <c r="G55" s="833"/>
      <c r="H55" s="833"/>
      <c r="I55" s="833"/>
      <c r="J55" s="833"/>
      <c r="K55" s="833"/>
      <c r="L55" s="833"/>
      <c r="M55" s="833"/>
      <c r="N55" s="833"/>
      <c r="O55" s="834"/>
      <c r="P55" s="815">
        <f>$P$53-P54</f>
        <v>402180827.09668493</v>
      </c>
    </row>
    <row r="56" spans="2:16">
      <c r="B56" s="756"/>
      <c r="C56" s="793"/>
      <c r="D56" s="33"/>
      <c r="E56" s="34"/>
      <c r="F56" s="35"/>
      <c r="G56" s="35"/>
      <c r="H56" s="35"/>
      <c r="I56" s="35"/>
      <c r="J56" s="35"/>
      <c r="K56" s="35"/>
      <c r="L56" s="35"/>
      <c r="M56" s="35"/>
      <c r="N56" s="35"/>
      <c r="O56" s="35"/>
      <c r="P56" s="816"/>
    </row>
    <row r="57" spans="2:16">
      <c r="B57" s="756"/>
      <c r="C57" s="793"/>
      <c r="D57" s="33"/>
      <c r="E57" s="34"/>
      <c r="F57" s="35"/>
      <c r="G57" s="35"/>
      <c r="H57" s="35"/>
      <c r="I57" s="35"/>
      <c r="J57" s="35"/>
      <c r="K57" s="35"/>
      <c r="L57" s="35"/>
      <c r="M57" s="35"/>
      <c r="N57" s="35"/>
      <c r="O57" s="35"/>
      <c r="P57" s="816"/>
    </row>
    <row r="58" spans="2:16">
      <c r="B58" s="756"/>
      <c r="C58" s="794" t="s">
        <v>271</v>
      </c>
      <c r="D58" s="33"/>
      <c r="E58" s="34"/>
      <c r="F58" s="35"/>
      <c r="G58" s="35"/>
      <c r="H58" s="35"/>
      <c r="I58" s="35"/>
      <c r="J58" s="35"/>
      <c r="K58" s="35"/>
      <c r="L58" s="35"/>
      <c r="M58" s="35"/>
      <c r="N58" s="35"/>
      <c r="O58" s="35"/>
      <c r="P58" s="816"/>
    </row>
    <row r="59" spans="2:16" ht="15.75">
      <c r="B59" s="756"/>
      <c r="C59" s="795" t="e">
        <f ca="1">[2]!ConvNumberLetter(PVente,1,0)</f>
        <v>#NAME?</v>
      </c>
      <c r="D59" s="33"/>
      <c r="E59" s="34"/>
      <c r="F59" s="35"/>
      <c r="G59" s="35"/>
      <c r="H59" s="35"/>
      <c r="I59" s="35"/>
      <c r="J59" s="35"/>
      <c r="K59" s="35"/>
      <c r="L59" s="35"/>
      <c r="M59" s="35"/>
      <c r="N59" s="35"/>
      <c r="O59" s="35"/>
      <c r="P59" s="816"/>
    </row>
    <row r="60" spans="2:16">
      <c r="B60" s="756"/>
      <c r="C60" s="793"/>
      <c r="D60" s="33"/>
      <c r="E60" s="34"/>
      <c r="F60" s="35"/>
      <c r="G60" s="35"/>
      <c r="H60" s="35"/>
      <c r="I60" s="35"/>
      <c r="J60" s="35"/>
      <c r="K60" s="35"/>
      <c r="L60" s="35"/>
      <c r="M60" s="35"/>
      <c r="N60" s="35"/>
      <c r="O60" s="35"/>
      <c r="P60" s="816"/>
    </row>
    <row r="61" spans="2:16">
      <c r="B61" s="756"/>
      <c r="C61" s="793"/>
      <c r="D61" s="33"/>
      <c r="E61" s="34"/>
      <c r="F61" s="35"/>
      <c r="G61" s="35"/>
      <c r="H61" s="35"/>
      <c r="I61" s="35"/>
      <c r="J61" s="35"/>
      <c r="K61" s="35"/>
      <c r="L61" s="35"/>
      <c r="M61" s="35"/>
      <c r="N61" s="35"/>
      <c r="O61" s="35"/>
      <c r="P61" s="816"/>
    </row>
    <row r="62" spans="2:16">
      <c r="B62" s="757"/>
      <c r="C62" s="796" t="s">
        <v>995</v>
      </c>
      <c r="D62" s="688"/>
      <c r="E62" s="689"/>
      <c r="F62" s="690"/>
      <c r="G62" s="691"/>
      <c r="H62" s="692"/>
      <c r="I62" s="692"/>
      <c r="J62" s="692"/>
      <c r="K62" s="692"/>
      <c r="L62" s="692"/>
      <c r="M62" s="692"/>
      <c r="N62" s="692"/>
      <c r="O62" s="693" t="s">
        <v>120</v>
      </c>
      <c r="P62" s="817" t="s">
        <v>1097</v>
      </c>
    </row>
    <row r="63" spans="2:16">
      <c r="B63" s="758"/>
      <c r="C63" s="797" t="s">
        <v>996</v>
      </c>
      <c r="D63" s="43"/>
      <c r="E63" s="44"/>
      <c r="F63" s="45"/>
      <c r="G63" s="46"/>
      <c r="H63" s="47"/>
      <c r="I63" s="47"/>
      <c r="J63" s="47"/>
      <c r="K63" s="47"/>
      <c r="L63" s="47"/>
      <c r="M63" s="47"/>
      <c r="N63" s="47"/>
      <c r="O63" s="694">
        <v>0.2</v>
      </c>
      <c r="P63" s="818">
        <f>PVente*$O$63</f>
        <v>80436165.41933699</v>
      </c>
    </row>
    <row r="64" spans="2:16">
      <c r="B64" s="759"/>
      <c r="C64" s="798" t="s">
        <v>997</v>
      </c>
      <c r="D64" s="48"/>
      <c r="E64" s="49"/>
      <c r="F64" s="50"/>
      <c r="G64" s="51"/>
      <c r="H64" s="51"/>
      <c r="I64" s="51"/>
      <c r="J64" s="51"/>
      <c r="K64" s="51"/>
      <c r="L64" s="51"/>
      <c r="M64" s="51"/>
      <c r="N64" s="51"/>
      <c r="O64" s="695">
        <v>0.4</v>
      </c>
      <c r="P64" s="819">
        <f>PVente*$O$64</f>
        <v>160872330.83867398</v>
      </c>
    </row>
    <row r="65" spans="2:16" ht="35.25" customHeight="1">
      <c r="B65" s="759"/>
      <c r="C65" s="798" t="s">
        <v>998</v>
      </c>
      <c r="D65" s="48"/>
      <c r="E65" s="49"/>
      <c r="F65" s="50"/>
      <c r="G65" s="51"/>
      <c r="H65" s="51"/>
      <c r="I65" s="51"/>
      <c r="J65" s="51"/>
      <c r="K65" s="51"/>
      <c r="L65" s="51"/>
      <c r="M65" s="51"/>
      <c r="N65" s="51"/>
      <c r="O65" s="695">
        <v>0.2</v>
      </c>
      <c r="P65" s="819">
        <f>PVente*$O$65</f>
        <v>80436165.41933699</v>
      </c>
    </row>
    <row r="66" spans="2:16">
      <c r="B66" s="759"/>
      <c r="C66" s="798" t="s">
        <v>999</v>
      </c>
      <c r="D66" s="48"/>
      <c r="E66" s="49"/>
      <c r="F66" s="50"/>
      <c r="G66" s="51"/>
      <c r="H66" s="51"/>
      <c r="I66" s="51"/>
      <c r="J66" s="51"/>
      <c r="K66" s="51"/>
      <c r="L66" s="51"/>
      <c r="M66" s="51"/>
      <c r="N66" s="51"/>
      <c r="O66" s="695">
        <v>0.15</v>
      </c>
      <c r="P66" s="819">
        <f>PVente*$O$66</f>
        <v>60327124.064502738</v>
      </c>
    </row>
    <row r="67" spans="2:16">
      <c r="B67" s="760"/>
      <c r="C67" s="799" t="s">
        <v>1000</v>
      </c>
      <c r="D67" s="52"/>
      <c r="E67" s="53"/>
      <c r="F67" s="54"/>
      <c r="G67" s="55"/>
      <c r="H67" s="55"/>
      <c r="I67" s="55"/>
      <c r="J67" s="55"/>
      <c r="K67" s="55"/>
      <c r="L67" s="55"/>
      <c r="M67" s="55"/>
      <c r="N67" s="55"/>
      <c r="O67" s="696">
        <v>0.05</v>
      </c>
      <c r="P67" s="820">
        <f>PVente*$O$67</f>
        <v>20109041.354834247</v>
      </c>
    </row>
    <row r="68" spans="2:16">
      <c r="B68" s="756"/>
      <c r="C68" s="793"/>
      <c r="D68" s="33"/>
      <c r="E68" s="35"/>
      <c r="F68" s="35"/>
      <c r="G68" s="35"/>
      <c r="H68" s="35"/>
      <c r="I68" s="35"/>
      <c r="J68" s="35"/>
      <c r="K68" s="35"/>
      <c r="L68" s="35"/>
      <c r="M68" s="35"/>
      <c r="N68" s="35"/>
      <c r="O68" s="35"/>
      <c r="P68" s="816"/>
    </row>
    <row r="69" spans="2:16">
      <c r="B69" s="761"/>
      <c r="C69" s="793"/>
      <c r="D69" s="57"/>
      <c r="E69" s="58"/>
      <c r="F69" s="56"/>
      <c r="G69" s="56"/>
      <c r="H69" s="56"/>
      <c r="I69" s="56"/>
      <c r="J69" s="56"/>
      <c r="K69" s="56"/>
      <c r="L69" s="56"/>
      <c r="M69" s="56"/>
      <c r="N69" s="56"/>
      <c r="O69" s="56"/>
      <c r="P69" s="821"/>
    </row>
    <row r="70" spans="2:16" ht="16.5">
      <c r="B70" s="761"/>
      <c r="C70" s="800" t="s">
        <v>274</v>
      </c>
      <c r="D70" s="60"/>
      <c r="E70" s="61"/>
      <c r="F70" s="62"/>
      <c r="G70" s="62"/>
      <c r="H70" s="62"/>
      <c r="I70" s="62"/>
      <c r="J70" s="62"/>
      <c r="K70" s="62"/>
      <c r="L70" s="62"/>
      <c r="M70" s="62"/>
      <c r="N70" s="62"/>
      <c r="O70" s="59" t="s">
        <v>270</v>
      </c>
      <c r="P70" s="822"/>
    </row>
    <row r="71" spans="2:16">
      <c r="B71" s="762"/>
      <c r="C71" s="801"/>
      <c r="D71" s="64"/>
      <c r="E71" s="825"/>
      <c r="F71" s="63"/>
      <c r="G71" s="63"/>
      <c r="H71" s="63"/>
      <c r="I71" s="63"/>
      <c r="J71" s="63"/>
      <c r="K71" s="63"/>
      <c r="L71" s="63"/>
      <c r="M71" s="63"/>
      <c r="N71" s="63"/>
      <c r="O71" s="63"/>
      <c r="P71" s="823"/>
    </row>
    <row r="72" spans="2:16">
      <c r="B72" s="762"/>
      <c r="C72" s="801"/>
      <c r="D72" s="64"/>
      <c r="E72" s="826"/>
      <c r="F72" s="63"/>
      <c r="G72" s="63"/>
      <c r="H72" s="63"/>
      <c r="I72" s="63"/>
      <c r="J72" s="63"/>
      <c r="K72" s="63"/>
      <c r="L72" s="63"/>
      <c r="M72" s="63"/>
      <c r="N72" s="63"/>
      <c r="O72" s="63"/>
      <c r="P72" s="823"/>
    </row>
    <row r="73" spans="2:16">
      <c r="B73" s="762"/>
      <c r="C73" s="802"/>
      <c r="D73" s="64"/>
      <c r="E73" s="825"/>
      <c r="F73" s="63"/>
      <c r="G73" s="63"/>
      <c r="H73" s="63"/>
      <c r="I73" s="63"/>
      <c r="J73" s="63"/>
      <c r="K73" s="63"/>
      <c r="L73" s="63"/>
      <c r="M73" s="63"/>
      <c r="N73" s="63"/>
      <c r="O73" s="63"/>
      <c r="P73" s="823"/>
    </row>
    <row r="74" spans="2:16">
      <c r="B74" s="763"/>
      <c r="C74" s="801"/>
      <c r="D74" s="64"/>
      <c r="E74" s="825"/>
      <c r="F74" s="63"/>
      <c r="G74" s="63"/>
      <c r="H74" s="63"/>
      <c r="I74" s="63"/>
      <c r="J74" s="63"/>
      <c r="K74" s="63"/>
      <c r="L74" s="63"/>
      <c r="M74" s="63"/>
      <c r="N74" s="63"/>
      <c r="O74" s="63"/>
      <c r="P74" s="823"/>
    </row>
    <row r="75" spans="2:16">
      <c r="B75" s="764"/>
      <c r="C75" s="803"/>
      <c r="D75" s="64"/>
      <c r="E75" s="825"/>
      <c r="F75" s="63"/>
      <c r="G75" s="63"/>
      <c r="H75" s="63"/>
      <c r="I75" s="63"/>
      <c r="J75" s="63"/>
      <c r="K75" s="63"/>
      <c r="L75" s="63"/>
      <c r="M75" s="63"/>
      <c r="N75" s="63"/>
      <c r="O75" s="63"/>
      <c r="P75" s="823"/>
    </row>
    <row r="76" spans="2:16">
      <c r="B76" s="762"/>
      <c r="C76" s="801"/>
      <c r="D76" s="64"/>
      <c r="E76" s="825"/>
      <c r="F76" s="63"/>
      <c r="G76" s="63"/>
      <c r="H76" s="63"/>
      <c r="I76" s="63"/>
      <c r="J76" s="63"/>
      <c r="K76" s="63"/>
      <c r="L76" s="63"/>
      <c r="M76" s="63"/>
      <c r="N76" s="63"/>
      <c r="O76" s="63"/>
      <c r="P76" s="823"/>
    </row>
    <row r="77" spans="2:16">
      <c r="B77" s="762"/>
      <c r="C77" s="801"/>
      <c r="D77" s="64"/>
      <c r="E77" s="65"/>
      <c r="F77" s="63"/>
      <c r="G77" s="63"/>
      <c r="H77" s="63"/>
      <c r="I77" s="63"/>
      <c r="J77" s="63"/>
      <c r="K77" s="63"/>
      <c r="L77" s="63"/>
      <c r="M77" s="63"/>
      <c r="N77" s="63"/>
      <c r="O77" s="63"/>
      <c r="P77" s="823"/>
    </row>
    <row r="78" spans="2:16">
      <c r="B78" s="30" t="s">
        <v>1037</v>
      </c>
      <c r="C78" s="506"/>
      <c r="D78" s="506"/>
      <c r="E78" s="506"/>
      <c r="F78" s="506"/>
      <c r="G78" s="506"/>
      <c r="H78" s="506"/>
      <c r="I78" s="506"/>
      <c r="J78" s="506"/>
      <c r="K78" s="506"/>
      <c r="L78" s="506"/>
      <c r="M78" s="19"/>
      <c r="N78" s="401"/>
      <c r="O78" s="18"/>
      <c r="P78" s="507"/>
    </row>
    <row r="79" spans="2:16">
      <c r="B79" s="30" t="s">
        <v>1035</v>
      </c>
      <c r="C79" s="506"/>
      <c r="D79" s="506"/>
      <c r="E79" s="506"/>
      <c r="F79" s="506"/>
      <c r="G79" s="506"/>
      <c r="H79" s="506"/>
      <c r="I79" s="506"/>
      <c r="J79" s="506"/>
      <c r="K79" s="506"/>
      <c r="L79" s="506"/>
      <c r="M79" s="19"/>
      <c r="N79" s="401"/>
      <c r="O79" s="18"/>
      <c r="P79" s="507"/>
    </row>
    <row r="80" spans="2:16">
      <c r="B80" s="31" t="s">
        <v>1177</v>
      </c>
      <c r="C80" s="506"/>
      <c r="D80" s="506"/>
      <c r="E80" s="506"/>
      <c r="F80" s="506"/>
      <c r="G80" s="506"/>
      <c r="H80" s="506"/>
      <c r="I80" s="506"/>
      <c r="J80" s="506"/>
      <c r="K80" s="506"/>
      <c r="L80" s="506"/>
      <c r="M80" s="19"/>
      <c r="N80" s="401"/>
      <c r="O80" s="18"/>
      <c r="P80" s="19"/>
    </row>
    <row r="81" spans="2:16">
      <c r="B81" s="30" t="s">
        <v>1094</v>
      </c>
      <c r="C81" s="506"/>
      <c r="D81" s="506"/>
      <c r="E81" s="506"/>
      <c r="F81" s="506"/>
      <c r="G81" s="506"/>
      <c r="H81" s="506"/>
      <c r="I81" s="506"/>
      <c r="J81" s="506"/>
      <c r="K81" s="506"/>
      <c r="L81" s="506"/>
      <c r="M81" s="413"/>
      <c r="N81" s="401"/>
      <c r="O81" s="18"/>
      <c r="P81" s="402"/>
    </row>
    <row r="82" spans="2:16">
      <c r="B82" s="30" t="s">
        <v>1093</v>
      </c>
      <c r="C82" s="506"/>
      <c r="D82" s="506"/>
      <c r="E82" s="506"/>
      <c r="F82" s="506"/>
      <c r="G82" s="506"/>
      <c r="H82" s="506"/>
      <c r="I82" s="506"/>
      <c r="J82" s="506"/>
      <c r="K82" s="506"/>
      <c r="L82" s="506"/>
      <c r="M82" s="413"/>
      <c r="N82" s="401"/>
      <c r="O82" s="18"/>
      <c r="P82" s="402"/>
    </row>
    <row r="83" spans="2:16">
      <c r="B83" s="14"/>
      <c r="C83" s="508"/>
      <c r="D83" s="508"/>
      <c r="E83" s="508"/>
      <c r="F83" s="508"/>
      <c r="G83" s="508"/>
      <c r="H83" s="508"/>
      <c r="I83" s="508"/>
      <c r="J83" s="508"/>
      <c r="K83" s="508"/>
      <c r="L83" s="508"/>
      <c r="M83" s="413"/>
      <c r="N83" s="401"/>
      <c r="O83" s="18"/>
      <c r="P83" s="402"/>
    </row>
    <row r="84" spans="2:16">
      <c r="B84" s="1068" t="s">
        <v>1155</v>
      </c>
      <c r="C84" s="1069"/>
      <c r="D84" s="1069"/>
      <c r="E84" s="1069"/>
      <c r="F84" s="1069"/>
      <c r="G84" s="1069"/>
      <c r="H84" s="1069"/>
      <c r="I84" s="1069"/>
      <c r="J84" s="1069"/>
      <c r="K84" s="1069"/>
      <c r="L84" s="1069"/>
      <c r="M84" s="1069"/>
      <c r="N84" s="1069"/>
      <c r="O84" s="1069"/>
      <c r="P84" s="1070"/>
    </row>
    <row r="85" spans="2:16">
      <c r="B85" s="369"/>
      <c r="C85" s="509"/>
      <c r="D85" s="509"/>
      <c r="E85" s="509"/>
      <c r="F85" s="509"/>
      <c r="G85" s="509"/>
      <c r="H85" s="509"/>
      <c r="I85" s="509"/>
      <c r="J85" s="509"/>
      <c r="K85" s="509"/>
      <c r="L85" s="509"/>
      <c r="M85" s="370"/>
      <c r="N85" s="416"/>
      <c r="O85" s="369"/>
      <c r="P85" s="371"/>
    </row>
    <row r="86" spans="2:16">
      <c r="B86" s="510"/>
      <c r="C86" s="511" t="s">
        <v>1156</v>
      </c>
      <c r="D86" s="511"/>
      <c r="E86" s="511"/>
      <c r="F86" s="511"/>
      <c r="G86" s="511"/>
      <c r="H86" s="511"/>
      <c r="I86" s="511"/>
      <c r="J86" s="511"/>
      <c r="K86" s="511"/>
      <c r="L86" s="511"/>
      <c r="M86" s="512"/>
      <c r="N86" s="513"/>
      <c r="O86" s="514"/>
      <c r="P86" s="515"/>
    </row>
    <row r="87" spans="2:16">
      <c r="B87" s="18"/>
      <c r="C87" s="478"/>
      <c r="D87" s="478"/>
      <c r="E87" s="478"/>
      <c r="F87" s="478"/>
      <c r="G87" s="478"/>
      <c r="H87" s="478"/>
      <c r="I87" s="478"/>
      <c r="J87" s="478"/>
      <c r="K87" s="478"/>
      <c r="L87" s="478"/>
      <c r="M87" s="413"/>
      <c r="N87" s="401"/>
      <c r="O87" s="18"/>
      <c r="P87" s="402"/>
    </row>
    <row r="88" spans="2:16">
      <c r="B88" s="516"/>
      <c r="C88" s="20" t="s">
        <v>989</v>
      </c>
      <c r="D88" s="931"/>
      <c r="E88" s="931"/>
      <c r="F88" s="931"/>
      <c r="G88" s="931"/>
      <c r="H88" s="931"/>
      <c r="I88" s="931"/>
      <c r="J88" s="931"/>
      <c r="K88" s="931"/>
      <c r="L88" s="931"/>
      <c r="M88" s="517"/>
      <c r="N88" s="518"/>
      <c r="O88" s="519"/>
      <c r="P88" s="21"/>
    </row>
    <row r="89" spans="2:16">
      <c r="B89" s="520"/>
      <c r="C89" s="521" t="s">
        <v>1085</v>
      </c>
      <c r="D89" s="932"/>
      <c r="E89" s="932"/>
      <c r="F89" s="932"/>
      <c r="G89" s="932"/>
      <c r="H89" s="932"/>
      <c r="I89" s="932"/>
      <c r="J89" s="932"/>
      <c r="K89" s="932"/>
      <c r="L89" s="932"/>
      <c r="M89" s="522"/>
      <c r="N89" s="523"/>
      <c r="O89" s="524"/>
      <c r="P89" s="22"/>
    </row>
    <row r="90" spans="2:16">
      <c r="B90" s="520"/>
      <c r="C90" s="525" t="s">
        <v>152</v>
      </c>
      <c r="D90" s="933"/>
      <c r="E90" s="933"/>
      <c r="F90" s="933"/>
      <c r="G90" s="933"/>
      <c r="H90" s="933"/>
      <c r="I90" s="933"/>
      <c r="J90" s="933"/>
      <c r="K90" s="933"/>
      <c r="L90" s="933"/>
      <c r="M90" s="522"/>
      <c r="N90" s="523"/>
      <c r="O90" s="524"/>
      <c r="P90" s="22"/>
    </row>
    <row r="91" spans="2:16">
      <c r="B91" s="520"/>
      <c r="C91" s="525" t="s">
        <v>991</v>
      </c>
      <c r="D91" s="933"/>
      <c r="E91" s="933"/>
      <c r="F91" s="933"/>
      <c r="G91" s="933"/>
      <c r="H91" s="933"/>
      <c r="I91" s="933"/>
      <c r="J91" s="933"/>
      <c r="K91" s="933"/>
      <c r="L91" s="933"/>
      <c r="M91" s="522"/>
      <c r="N91" s="523"/>
      <c r="O91" s="524"/>
      <c r="P91" s="22"/>
    </row>
    <row r="92" spans="2:16">
      <c r="B92" s="520"/>
      <c r="C92" s="525" t="s">
        <v>990</v>
      </c>
      <c r="D92" s="933"/>
      <c r="E92" s="933"/>
      <c r="F92" s="933"/>
      <c r="G92" s="933"/>
      <c r="H92" s="933"/>
      <c r="I92" s="933"/>
      <c r="J92" s="933"/>
      <c r="K92" s="933"/>
      <c r="L92" s="933"/>
      <c r="M92" s="522"/>
      <c r="N92" s="523"/>
      <c r="O92" s="524"/>
      <c r="P92" s="22"/>
    </row>
    <row r="93" spans="2:16">
      <c r="B93" s="520"/>
      <c r="C93" s="525" t="s">
        <v>2</v>
      </c>
      <c r="D93" s="933"/>
      <c r="E93" s="933"/>
      <c r="F93" s="933"/>
      <c r="G93" s="933"/>
      <c r="H93" s="933"/>
      <c r="I93" s="933"/>
      <c r="J93" s="933"/>
      <c r="K93" s="933"/>
      <c r="L93" s="933"/>
      <c r="M93" s="522"/>
      <c r="N93" s="523"/>
      <c r="O93" s="524"/>
      <c r="P93" s="22"/>
    </row>
    <row r="94" spans="2:16">
      <c r="B94" s="520"/>
      <c r="C94" s="525" t="s">
        <v>992</v>
      </c>
      <c r="D94" s="933"/>
      <c r="E94" s="933"/>
      <c r="F94" s="933"/>
      <c r="G94" s="933"/>
      <c r="H94" s="933"/>
      <c r="I94" s="933"/>
      <c r="J94" s="933"/>
      <c r="K94" s="933"/>
      <c r="L94" s="933"/>
      <c r="M94" s="522"/>
      <c r="N94" s="523"/>
      <c r="O94" s="524"/>
      <c r="P94" s="22"/>
    </row>
    <row r="95" spans="2:16">
      <c r="B95" s="520"/>
      <c r="C95" s="525" t="s">
        <v>1157</v>
      </c>
      <c r="D95" s="933"/>
      <c r="E95" s="933"/>
      <c r="F95" s="933"/>
      <c r="G95" s="933"/>
      <c r="H95" s="933"/>
      <c r="I95" s="933"/>
      <c r="J95" s="933"/>
      <c r="K95" s="933"/>
      <c r="L95" s="933"/>
      <c r="M95" s="522"/>
      <c r="N95" s="523"/>
      <c r="O95" s="524"/>
      <c r="P95" s="22"/>
    </row>
    <row r="96" spans="2:16">
      <c r="B96" s="520"/>
      <c r="C96" s="525" t="s">
        <v>1129</v>
      </c>
      <c r="D96" s="933"/>
      <c r="E96" s="933"/>
      <c r="F96" s="933"/>
      <c r="G96" s="933"/>
      <c r="H96" s="933"/>
      <c r="I96" s="933"/>
      <c r="J96" s="933"/>
      <c r="K96" s="933"/>
      <c r="L96" s="933"/>
      <c r="M96" s="522"/>
      <c r="N96" s="523"/>
      <c r="O96" s="524"/>
      <c r="P96" s="22"/>
    </row>
    <row r="97" spans="2:16">
      <c r="B97" s="529"/>
      <c r="C97" s="530"/>
      <c r="D97" s="530"/>
      <c r="E97" s="530"/>
      <c r="F97" s="530"/>
      <c r="G97" s="530"/>
      <c r="H97" s="530"/>
      <c r="I97" s="530"/>
      <c r="J97" s="530"/>
      <c r="K97" s="530"/>
      <c r="L97" s="530"/>
      <c r="M97" s="531"/>
      <c r="N97" s="532"/>
      <c r="O97" s="533"/>
      <c r="P97" s="23"/>
    </row>
    <row r="98" spans="2:16">
      <c r="B98" s="529"/>
      <c r="C98" s="534" t="s">
        <v>1159</v>
      </c>
      <c r="D98" s="576"/>
      <c r="E98" s="576"/>
      <c r="F98" s="576"/>
      <c r="G98" s="576"/>
      <c r="H98" s="576"/>
      <c r="I98" s="576"/>
      <c r="J98" s="576"/>
      <c r="K98" s="576"/>
      <c r="L98" s="576"/>
      <c r="M98" s="535"/>
      <c r="N98" s="536"/>
      <c r="O98" s="537"/>
      <c r="P98" s="538"/>
    </row>
    <row r="99" spans="2:16">
      <c r="B99" s="539"/>
      <c r="C99" s="509"/>
      <c r="D99" s="509"/>
      <c r="E99" s="509"/>
      <c r="F99" s="509"/>
      <c r="G99" s="509"/>
      <c r="H99" s="509"/>
      <c r="I99" s="509"/>
      <c r="J99" s="509"/>
      <c r="K99" s="509"/>
      <c r="L99" s="509"/>
      <c r="M99" s="370"/>
      <c r="N99" s="416"/>
      <c r="O99" s="369"/>
      <c r="P99" s="540"/>
    </row>
    <row r="100" spans="2:16">
      <c r="B100" s="541"/>
      <c r="C100" s="542" t="s">
        <v>1160</v>
      </c>
      <c r="D100" s="934"/>
      <c r="E100" s="934"/>
      <c r="F100" s="934"/>
      <c r="G100" s="934"/>
      <c r="H100" s="934"/>
      <c r="I100" s="934"/>
      <c r="J100" s="934"/>
      <c r="K100" s="934"/>
      <c r="L100" s="934"/>
      <c r="M100" s="543"/>
      <c r="N100" s="544"/>
      <c r="O100" s="24" t="str">
        <f>IF($A$163=0,"Non Compris","")</f>
        <v>Non Compris</v>
      </c>
      <c r="P100" s="545" t="e">
        <f>IF(#REF!=0,0,#REF!*1.085)</f>
        <v>#REF!</v>
      </c>
    </row>
    <row r="101" spans="2:16">
      <c r="B101" s="539"/>
      <c r="C101" s="546"/>
      <c r="D101" s="546"/>
      <c r="E101" s="546"/>
      <c r="F101" s="546"/>
      <c r="G101" s="546"/>
      <c r="H101" s="546"/>
      <c r="I101" s="546"/>
      <c r="J101" s="546"/>
      <c r="K101" s="546"/>
      <c r="L101" s="546"/>
      <c r="M101" s="413"/>
      <c r="N101" s="401"/>
      <c r="O101" s="18"/>
      <c r="P101" s="25"/>
    </row>
    <row r="102" spans="2:16">
      <c r="B102" s="529"/>
      <c r="C102" s="548" t="s">
        <v>1161</v>
      </c>
      <c r="D102" s="935"/>
      <c r="E102" s="935"/>
      <c r="F102" s="935"/>
      <c r="G102" s="935"/>
      <c r="H102" s="935"/>
      <c r="I102" s="935"/>
      <c r="J102" s="935"/>
      <c r="K102" s="935"/>
      <c r="L102" s="935"/>
      <c r="M102" s="549"/>
      <c r="N102" s="550"/>
      <c r="O102" s="551" t="str">
        <f>IF($N$181=""," (Avec Menuiseries)","(Sans Menuiseries)")</f>
        <v xml:space="preserve"> (Avec Menuiseries)</v>
      </c>
      <c r="P102" s="552" t="e">
        <f>(P98+P100)</f>
        <v>#REF!</v>
      </c>
    </row>
    <row r="103" spans="2:16">
      <c r="B103" s="553"/>
      <c r="C103" s="530"/>
      <c r="D103" s="530"/>
      <c r="E103" s="530"/>
      <c r="F103" s="530"/>
      <c r="G103" s="530"/>
      <c r="H103" s="530"/>
      <c r="I103" s="530"/>
      <c r="J103" s="530"/>
      <c r="K103" s="530"/>
      <c r="L103" s="530"/>
      <c r="M103" s="531"/>
      <c r="N103" s="532"/>
      <c r="O103" s="533"/>
      <c r="P103" s="554"/>
    </row>
    <row r="104" spans="2:16">
      <c r="B104" s="555"/>
      <c r="C104" s="556" t="s">
        <v>1162</v>
      </c>
      <c r="D104" s="556"/>
      <c r="E104" s="556"/>
      <c r="F104" s="556"/>
      <c r="G104" s="556"/>
      <c r="H104" s="556"/>
      <c r="I104" s="556"/>
      <c r="J104" s="556"/>
      <c r="K104" s="556"/>
      <c r="L104" s="556"/>
      <c r="M104" s="557"/>
      <c r="N104" s="558"/>
      <c r="O104" s="559"/>
      <c r="P104" s="560"/>
    </row>
    <row r="105" spans="2:16">
      <c r="B105" s="561"/>
      <c r="C105" s="562" t="s">
        <v>1032</v>
      </c>
      <c r="D105" s="936"/>
      <c r="E105" s="936"/>
      <c r="F105" s="936"/>
      <c r="G105" s="936"/>
      <c r="H105" s="936"/>
      <c r="I105" s="936"/>
      <c r="J105" s="936"/>
      <c r="K105" s="936"/>
      <c r="L105" s="936"/>
      <c r="M105" s="563"/>
      <c r="N105" s="564"/>
      <c r="O105" s="565"/>
      <c r="P105" s="26"/>
    </row>
    <row r="106" spans="2:16">
      <c r="B106" s="520"/>
      <c r="C106" s="525" t="s">
        <v>994</v>
      </c>
      <c r="D106" s="933"/>
      <c r="E106" s="933"/>
      <c r="F106" s="933"/>
      <c r="G106" s="933"/>
      <c r="H106" s="933"/>
      <c r="I106" s="933"/>
      <c r="J106" s="933"/>
      <c r="K106" s="933"/>
      <c r="L106" s="933"/>
      <c r="M106" s="522"/>
      <c r="N106" s="523"/>
      <c r="O106" s="524"/>
      <c r="P106" s="22"/>
    </row>
    <row r="107" spans="2:16">
      <c r="B107" s="520"/>
      <c r="C107" s="525" t="s">
        <v>1163</v>
      </c>
      <c r="D107" s="933"/>
      <c r="E107" s="933"/>
      <c r="F107" s="933"/>
      <c r="G107" s="933"/>
      <c r="H107" s="933"/>
      <c r="I107" s="933"/>
      <c r="J107" s="933"/>
      <c r="K107" s="933"/>
      <c r="L107" s="933"/>
      <c r="M107" s="522"/>
      <c r="N107" s="523"/>
      <c r="O107" s="524"/>
      <c r="P107" s="22"/>
    </row>
    <row r="108" spans="2:16">
      <c r="B108" s="566"/>
      <c r="C108" s="567" t="s">
        <v>1164</v>
      </c>
      <c r="D108" s="937"/>
      <c r="E108" s="937"/>
      <c r="F108" s="937"/>
      <c r="G108" s="937"/>
      <c r="H108" s="937"/>
      <c r="I108" s="937"/>
      <c r="J108" s="937"/>
      <c r="K108" s="937"/>
      <c r="L108" s="937"/>
      <c r="M108" s="568"/>
      <c r="N108" s="569"/>
      <c r="O108" s="570"/>
      <c r="P108" s="27"/>
    </row>
    <row r="109" spans="2:16">
      <c r="B109" s="520"/>
      <c r="C109" s="525" t="s">
        <v>1125</v>
      </c>
      <c r="D109" s="933"/>
      <c r="E109" s="933"/>
      <c r="F109" s="933"/>
      <c r="G109" s="933"/>
      <c r="H109" s="933"/>
      <c r="I109" s="933"/>
      <c r="J109" s="933"/>
      <c r="K109" s="933"/>
      <c r="L109" s="933"/>
      <c r="M109" s="522"/>
      <c r="N109" s="523"/>
      <c r="O109" s="524"/>
      <c r="P109" s="22"/>
    </row>
    <row r="110" spans="2:16">
      <c r="B110" s="571"/>
      <c r="C110" s="572" t="s">
        <v>1165</v>
      </c>
      <c r="D110" s="938"/>
      <c r="E110" s="938"/>
      <c r="F110" s="938"/>
      <c r="G110" s="938"/>
      <c r="H110" s="938"/>
      <c r="I110" s="938"/>
      <c r="J110" s="938"/>
      <c r="K110" s="938"/>
      <c r="L110" s="938"/>
      <c r="M110" s="573"/>
      <c r="N110" s="574"/>
      <c r="O110" s="575" t="str">
        <f>IF($O$132=0,"","(y compris fosse séptique)")</f>
        <v/>
      </c>
      <c r="P110" s="28">
        <f>SUM(P13:P51)*1.085</f>
        <v>804361654.19336987</v>
      </c>
    </row>
    <row r="111" spans="2:16">
      <c r="B111" s="529"/>
      <c r="C111" s="576" t="s">
        <v>1166</v>
      </c>
      <c r="D111" s="576"/>
      <c r="E111" s="576"/>
      <c r="F111" s="576"/>
      <c r="G111" s="576"/>
      <c r="H111" s="576"/>
      <c r="I111" s="576"/>
      <c r="J111" s="576"/>
      <c r="K111" s="576"/>
      <c r="L111" s="576"/>
      <c r="M111" s="535"/>
      <c r="N111" s="536"/>
      <c r="O111" s="537"/>
      <c r="P111" s="538">
        <f>SUM(P105:P110)</f>
        <v>804361654.19336987</v>
      </c>
    </row>
    <row r="112" spans="2:16">
      <c r="B112" s="539"/>
      <c r="C112" s="509"/>
      <c r="D112" s="509"/>
      <c r="E112" s="509"/>
      <c r="F112" s="509"/>
      <c r="G112" s="509"/>
      <c r="H112" s="509"/>
      <c r="I112" s="509"/>
      <c r="J112" s="509"/>
      <c r="K112" s="509"/>
      <c r="L112" s="509"/>
      <c r="M112" s="370"/>
      <c r="N112" s="416"/>
      <c r="O112" s="369"/>
      <c r="P112" s="577"/>
    </row>
    <row r="113" spans="2:16">
      <c r="B113" s="529"/>
      <c r="C113" s="578" t="s">
        <v>1167</v>
      </c>
      <c r="D113" s="578"/>
      <c r="E113" s="578"/>
      <c r="F113" s="578"/>
      <c r="G113" s="578"/>
      <c r="H113" s="578"/>
      <c r="I113" s="578"/>
      <c r="J113" s="578"/>
      <c r="K113" s="578"/>
      <c r="L113" s="578"/>
      <c r="M113" s="579"/>
      <c r="N113" s="580"/>
      <c r="O113" s="581"/>
      <c r="P113" s="552" t="e">
        <f>IF(P111=0,"Sans Compléments",P98+P100+P111)</f>
        <v>#REF!</v>
      </c>
    </row>
    <row r="114" spans="2:16">
      <c r="B114" s="539"/>
      <c r="C114" s="509"/>
      <c r="D114" s="509"/>
      <c r="E114" s="509"/>
      <c r="F114" s="509"/>
      <c r="G114" s="509"/>
      <c r="H114" s="509"/>
      <c r="I114" s="509"/>
      <c r="J114" s="509"/>
      <c r="K114" s="509"/>
      <c r="L114" s="509"/>
      <c r="M114" s="370"/>
      <c r="N114" s="416"/>
      <c r="O114" s="369"/>
      <c r="P114" s="577"/>
    </row>
    <row r="115" spans="2:16">
      <c r="B115" s="582"/>
      <c r="C115" s="583" t="s">
        <v>1168</v>
      </c>
      <c r="D115" s="939"/>
      <c r="E115" s="939"/>
      <c r="F115" s="939"/>
      <c r="G115" s="939"/>
      <c r="H115" s="939"/>
      <c r="I115" s="939"/>
      <c r="J115" s="939"/>
      <c r="K115" s="939"/>
      <c r="L115" s="939"/>
      <c r="M115" s="584"/>
      <c r="N115" s="585"/>
      <c r="O115" s="586"/>
      <c r="P115" s="587" t="str">
        <f>IF(P116=0,"Aucun","")</f>
        <v>Aucun</v>
      </c>
    </row>
    <row r="116" spans="2:16">
      <c r="B116" s="539"/>
      <c r="C116" s="588"/>
      <c r="D116" s="588"/>
      <c r="E116" s="588"/>
      <c r="F116" s="588"/>
      <c r="G116" s="588"/>
      <c r="H116" s="588"/>
      <c r="I116" s="588"/>
      <c r="J116" s="588"/>
      <c r="K116" s="588"/>
      <c r="L116" s="588"/>
      <c r="M116" s="589"/>
      <c r="N116" s="590"/>
      <c r="O116" s="591"/>
      <c r="P116" s="592"/>
    </row>
    <row r="117" spans="2:16">
      <c r="B117" s="593"/>
      <c r="C117" s="594"/>
      <c r="D117" s="594"/>
      <c r="E117" s="594"/>
      <c r="F117" s="594"/>
      <c r="G117" s="594"/>
      <c r="H117" s="594"/>
      <c r="I117" s="594"/>
      <c r="J117" s="594"/>
      <c r="K117" s="594"/>
      <c r="L117" s="594"/>
      <c r="M117" s="595"/>
      <c r="N117" s="596"/>
      <c r="O117" s="597"/>
      <c r="P117" s="598"/>
    </row>
    <row r="118" spans="2:16">
      <c r="B118" s="529"/>
      <c r="C118" s="578" t="s">
        <v>1169</v>
      </c>
      <c r="D118" s="578"/>
      <c r="E118" s="578"/>
      <c r="F118" s="578"/>
      <c r="G118" s="578"/>
      <c r="H118" s="578"/>
      <c r="I118" s="578"/>
      <c r="J118" s="578"/>
      <c r="K118" s="578"/>
      <c r="L118" s="578"/>
      <c r="M118" s="579"/>
      <c r="N118" s="580"/>
      <c r="O118" s="581"/>
      <c r="P118" s="552" t="e">
        <f>P98+P100+P111+P116</f>
        <v>#REF!</v>
      </c>
    </row>
    <row r="119" spans="2:16">
      <c r="B119" s="18"/>
      <c r="C119" s="29" t="str">
        <f>C58</f>
        <v>Arrêté le présent devis à la somme de :</v>
      </c>
      <c r="D119" s="29"/>
      <c r="E119" s="29"/>
      <c r="F119" s="29"/>
      <c r="G119" s="29"/>
      <c r="H119" s="29"/>
      <c r="I119" s="29"/>
      <c r="J119" s="29"/>
      <c r="K119" s="29"/>
      <c r="L119" s="29"/>
      <c r="M119" s="600"/>
      <c r="N119" s="601"/>
      <c r="O119" s="602"/>
      <c r="P119" s="603"/>
    </row>
    <row r="120" spans="2:16">
      <c r="B120" s="18"/>
      <c r="C120" s="18"/>
      <c r="D120" s="18"/>
      <c r="E120" s="18"/>
      <c r="F120" s="18"/>
      <c r="G120" s="18"/>
      <c r="H120" s="18"/>
      <c r="I120" s="18"/>
      <c r="J120" s="18"/>
      <c r="K120" s="18"/>
      <c r="L120" s="18"/>
      <c r="M120" s="413"/>
      <c r="N120" s="401"/>
      <c r="O120" s="18"/>
      <c r="P120" s="402"/>
    </row>
    <row r="121" spans="2:16" ht="15.75">
      <c r="B121" s="19"/>
      <c r="C121" s="728" t="e">
        <f ca="1">[2]!ConvNumberLetter(P118,1,0)</f>
        <v>#NAME?</v>
      </c>
      <c r="D121" s="728"/>
      <c r="E121" s="728"/>
      <c r="F121" s="728"/>
      <c r="G121" s="728"/>
      <c r="H121" s="728"/>
      <c r="I121" s="728"/>
      <c r="J121" s="728"/>
      <c r="K121" s="728"/>
      <c r="L121" s="728"/>
      <c r="M121" s="19"/>
      <c r="N121" s="19"/>
      <c r="O121" s="19"/>
      <c r="P121" s="19"/>
    </row>
    <row r="122" spans="2:16">
      <c r="B122" s="19"/>
      <c r="C122" s="19" t="str">
        <f>C70</f>
        <v xml:space="preserve">Signature client           </v>
      </c>
      <c r="D122" s="19"/>
      <c r="E122" s="19"/>
      <c r="F122" s="19"/>
      <c r="G122" s="19"/>
      <c r="H122" s="19"/>
      <c r="I122" s="19"/>
      <c r="J122" s="19"/>
      <c r="K122" s="19"/>
      <c r="L122" s="19"/>
      <c r="M122" s="19"/>
      <c r="N122" s="19"/>
      <c r="O122" s="19"/>
      <c r="P122" s="19"/>
    </row>
    <row r="123" spans="2:16">
      <c r="B123" s="19"/>
      <c r="C123" s="605"/>
      <c r="D123" s="605"/>
      <c r="E123" s="605"/>
      <c r="F123" s="605"/>
      <c r="G123" s="605"/>
      <c r="H123" s="605"/>
      <c r="I123" s="605"/>
      <c r="J123" s="605"/>
      <c r="K123" s="605"/>
      <c r="L123" s="605"/>
      <c r="M123" s="19"/>
      <c r="N123" s="19"/>
      <c r="O123" s="19"/>
      <c r="P123" s="19"/>
    </row>
    <row r="124" spans="2:16">
      <c r="B124" s="19"/>
      <c r="C124" s="19"/>
      <c r="D124" s="19"/>
      <c r="E124" s="19"/>
      <c r="F124" s="19"/>
      <c r="G124" s="19"/>
      <c r="H124" s="19"/>
      <c r="I124" s="19"/>
      <c r="J124" s="19"/>
      <c r="K124" s="19"/>
      <c r="L124" s="19"/>
      <c r="M124" s="19"/>
      <c r="N124" s="19"/>
      <c r="O124" s="605"/>
      <c r="P124" s="19"/>
    </row>
  </sheetData>
  <mergeCells count="12">
    <mergeCell ref="B84:P84"/>
    <mergeCell ref="O1:P1"/>
    <mergeCell ref="F11:H11"/>
    <mergeCell ref="B11:B12"/>
    <mergeCell ref="C11:C12"/>
    <mergeCell ref="D11:D12"/>
    <mergeCell ref="E11:E12"/>
    <mergeCell ref="O11:P11"/>
    <mergeCell ref="L11:M11"/>
    <mergeCell ref="I11:J11"/>
    <mergeCell ref="N11:N12"/>
    <mergeCell ref="K11:K12"/>
  </mergeCells>
  <phoneticPr fontId="1" type="noConversion"/>
  <conditionalFormatting sqref="B100">
    <cfRule type="cellIs" dxfId="4" priority="1" stopIfTrue="1" operator="greaterThan">
      <formula>0</formula>
    </cfRule>
  </conditionalFormatting>
  <printOptions horizontalCentered="1"/>
  <pageMargins left="0" right="0.39370078740157483" top="0.39370078740157483" bottom="0.59055118110236227" header="0.19685039370078741" footer="0.19685039370078741"/>
  <pageSetup paperSize="8" scale="36" orientation="portrait" r:id="rId1"/>
  <headerFooter alignWithMargins="0">
    <oddFooter>&amp;C&amp;"-,Gras"&amp;8&amp;K990000SOREC&amp;"-,Normal"&amp;K01+000 Societé Réunionnaise de construction.
 Siret : 83026631800013 APE 4399C&amp;R&amp;9Page &amp;P</oddFooter>
  </headerFooter>
  <rowBreaks count="1" manualBreakCount="1">
    <brk id="58" max="16383" man="1"/>
  </rowBreaks>
  <drawing r:id="rId2"/>
  <legacyDrawing r:id="rId3"/>
  <tableParts count="1">
    <tablePart r:id="rId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3"/>
  </sheetPr>
  <dimension ref="A2:XFC263"/>
  <sheetViews>
    <sheetView showGridLines="0" zoomScale="91" zoomScaleNormal="91" workbookViewId="0">
      <pane ySplit="21" topLeftCell="A22" activePane="bottomLeft" state="frozen"/>
      <selection pane="bottomLeft" activeCell="K11" sqref="K11"/>
    </sheetView>
  </sheetViews>
  <sheetFormatPr baseColWidth="10" defaultColWidth="0" defaultRowHeight="12.75"/>
  <cols>
    <col min="1" max="1" width="5.140625" style="19" customWidth="1"/>
    <col min="2" max="2" width="12.140625" style="19" customWidth="1"/>
    <col min="3" max="3" width="12.7109375" style="19" customWidth="1"/>
    <col min="4" max="4" width="18.28515625" style="19" customWidth="1"/>
    <col min="5" max="5" width="15.28515625" style="19" customWidth="1"/>
    <col min="6" max="6" width="12.42578125" style="19" customWidth="1"/>
    <col min="7" max="7" width="11" style="19" customWidth="1"/>
    <col min="8" max="8" width="14" style="19" customWidth="1"/>
    <col min="9" max="9" width="1.7109375" style="19" customWidth="1"/>
    <col min="10" max="10" width="8.7109375" style="19" customWidth="1"/>
    <col min="11" max="12" width="8.5703125" style="19" customWidth="1"/>
    <col min="13" max="14636" width="1.42578125" style="19" hidden="1"/>
    <col min="14637" max="14637" width="3.5703125" style="19" hidden="1"/>
    <col min="14638" max="14638" width="0.5703125" style="19" hidden="1"/>
    <col min="14639" max="14927" width="1.42578125" style="19" hidden="1"/>
    <col min="14928" max="14928" width="3.5703125" style="19" hidden="1"/>
    <col min="14929" max="14929" width="0.5703125" style="19" hidden="1"/>
    <col min="14930" max="15218" width="1.42578125" style="19" hidden="1"/>
    <col min="15219" max="15219" width="3.5703125" style="19" hidden="1"/>
    <col min="15220" max="15220" width="0.5703125" style="19" hidden="1"/>
    <col min="15221" max="15509" width="1.42578125" style="19" hidden="1"/>
    <col min="15510" max="15510" width="3.5703125" style="19" hidden="1"/>
    <col min="15511" max="15511" width="0.5703125" style="19" hidden="1"/>
    <col min="15512" max="15800" width="1.42578125" style="19" hidden="1"/>
    <col min="15801" max="15801" width="3.5703125" style="19" hidden="1"/>
    <col min="15802" max="15802" width="0.5703125" style="19" hidden="1"/>
    <col min="15803" max="16091" width="1.42578125" style="19" hidden="1"/>
    <col min="16092" max="16092" width="3.5703125" style="19" hidden="1"/>
    <col min="16093" max="16093" width="0.5703125" style="19" hidden="1"/>
    <col min="16094" max="16381" width="1.42578125" style="19" hidden="1"/>
    <col min="16382" max="16382" width="4.7109375" style="19" hidden="1"/>
    <col min="16383" max="16383" width="7.85546875" style="19" hidden="1"/>
    <col min="16384" max="16384" width="5.28515625" style="19" hidden="1"/>
  </cols>
  <sheetData>
    <row r="2" spans="1:9">
      <c r="F2" s="697" t="s">
        <v>1178</v>
      </c>
      <c r="G2" s="1087">
        <f ca="1">NOW()</f>
        <v>43286.414675810185</v>
      </c>
      <c r="H2" s="1087"/>
    </row>
    <row r="3" spans="1:9" ht="44.25" customHeight="1">
      <c r="A3" s="15"/>
      <c r="B3" s="15"/>
      <c r="C3" s="15"/>
      <c r="D3" s="15"/>
      <c r="E3" s="15"/>
      <c r="G3" s="631"/>
    </row>
    <row r="4" spans="1:9" ht="12.95" customHeight="1">
      <c r="A4" s="15"/>
      <c r="B4" s="737" t="s">
        <v>1037</v>
      </c>
      <c r="C4" s="15"/>
      <c r="D4" s="15"/>
      <c r="E4" s="746" t="s">
        <v>1188</v>
      </c>
      <c r="F4" s="1096" t="s">
        <v>1192</v>
      </c>
      <c r="G4" s="1097"/>
      <c r="H4" s="1098"/>
    </row>
    <row r="5" spans="1:9" ht="12.95" customHeight="1">
      <c r="A5" s="15"/>
      <c r="B5" s="737" t="s">
        <v>1035</v>
      </c>
      <c r="C5" s="15"/>
      <c r="D5" s="15"/>
      <c r="E5" s="746" t="s">
        <v>1182</v>
      </c>
      <c r="F5" s="702" t="s">
        <v>1193</v>
      </c>
      <c r="G5" s="739" t="s">
        <v>1321</v>
      </c>
      <c r="H5" s="740"/>
    </row>
    <row r="6" spans="1:9" ht="12.95" customHeight="1">
      <c r="A6" s="15"/>
      <c r="B6" s="738" t="s">
        <v>1352</v>
      </c>
      <c r="C6" s="15"/>
      <c r="D6" s="15"/>
      <c r="E6" s="746"/>
      <c r="F6" s="703" t="s">
        <v>1180</v>
      </c>
      <c r="G6" s="892" t="s">
        <v>1327</v>
      </c>
      <c r="H6" s="869"/>
    </row>
    <row r="7" spans="1:9" ht="12.95" customHeight="1">
      <c r="A7" s="15"/>
      <c r="B7" s="737" t="s">
        <v>1094</v>
      </c>
      <c r="C7" s="15"/>
      <c r="D7" s="15"/>
      <c r="E7" s="626"/>
      <c r="F7" s="625" t="s">
        <v>1026</v>
      </c>
      <c r="G7" s="1094" t="s">
        <v>1328</v>
      </c>
      <c r="H7" s="1095"/>
    </row>
    <row r="8" spans="1:9" ht="12.95" customHeight="1">
      <c r="A8" s="628"/>
      <c r="B8" s="737" t="s">
        <v>1093</v>
      </c>
      <c r="C8" s="15"/>
      <c r="D8" s="15"/>
      <c r="E8" s="626"/>
      <c r="F8" s="627"/>
      <c r="G8" s="628"/>
      <c r="H8" s="705"/>
    </row>
    <row r="9" spans="1:9" ht="12.95" customHeight="1">
      <c r="A9" s="874"/>
      <c r="B9" s="879"/>
      <c r="C9" s="879"/>
      <c r="D9" s="879"/>
      <c r="E9" s="879"/>
      <c r="F9" s="15"/>
      <c r="G9" s="15"/>
      <c r="H9" s="626"/>
    </row>
    <row r="10" spans="1:9" ht="18" customHeight="1">
      <c r="A10" s="624"/>
      <c r="B10" s="15"/>
      <c r="C10" s="1088" t="s">
        <v>1189</v>
      </c>
      <c r="D10" s="1089"/>
      <c r="E10" s="1089"/>
      <c r="F10" s="1089"/>
      <c r="G10" s="1090"/>
      <c r="H10" s="626"/>
    </row>
    <row r="11" spans="1:9" ht="12.95" customHeight="1">
      <c r="A11" s="624"/>
      <c r="B11" s="15"/>
      <c r="C11" s="15"/>
      <c r="D11" s="15"/>
      <c r="E11" s="15"/>
      <c r="F11" s="15"/>
      <c r="G11" s="15"/>
      <c r="H11" s="626"/>
    </row>
    <row r="12" spans="1:9" ht="12.95" customHeight="1">
      <c r="A12" s="1086" t="s">
        <v>1194</v>
      </c>
      <c r="B12" s="699" t="s">
        <v>1191</v>
      </c>
      <c r="C12" s="700"/>
      <c r="D12" s="700"/>
      <c r="E12" s="700"/>
      <c r="F12" s="1091" t="s">
        <v>1196</v>
      </c>
      <c r="G12" s="1092"/>
      <c r="H12" s="1093"/>
    </row>
    <row r="13" spans="1:9" ht="12.95" customHeight="1" collapsed="1">
      <c r="A13" s="1086"/>
      <c r="B13" s="701" t="s">
        <v>947</v>
      </c>
      <c r="C13" s="1099" t="s">
        <v>1357</v>
      </c>
      <c r="D13" s="1099"/>
      <c r="E13" s="1100"/>
      <c r="F13" s="625" t="s">
        <v>1329</v>
      </c>
      <c r="G13" s="917">
        <v>115223</v>
      </c>
      <c r="H13" s="920"/>
    </row>
    <row r="14" spans="1:9" ht="12.95" customHeight="1">
      <c r="A14" s="1086"/>
      <c r="B14" s="630" t="s">
        <v>1026</v>
      </c>
      <c r="C14" s="1094" t="s">
        <v>978</v>
      </c>
      <c r="D14" s="1094"/>
      <c r="E14" s="1095"/>
      <c r="F14" s="703" t="s">
        <v>1197</v>
      </c>
      <c r="G14" s="918">
        <v>43440</v>
      </c>
      <c r="H14" s="921"/>
      <c r="I14" s="15"/>
    </row>
    <row r="15" spans="1:9" ht="12.95" customHeight="1">
      <c r="A15" s="875"/>
      <c r="B15" s="630"/>
      <c r="C15" s="15"/>
      <c r="D15" s="630"/>
      <c r="E15" s="15"/>
      <c r="F15" s="625" t="s">
        <v>1198</v>
      </c>
      <c r="G15" s="919">
        <v>157.80000000000001</v>
      </c>
      <c r="H15" s="922"/>
      <c r="I15" s="15"/>
    </row>
    <row r="16" spans="1:9" ht="12.95" customHeight="1">
      <c r="A16" s="1085" t="s">
        <v>1031</v>
      </c>
      <c r="B16" s="747" t="s">
        <v>1179</v>
      </c>
      <c r="C16" s="15"/>
      <c r="D16" s="630"/>
      <c r="E16" s="15"/>
      <c r="F16" s="627"/>
      <c r="G16" s="628"/>
      <c r="H16" s="729"/>
      <c r="I16" s="15"/>
    </row>
    <row r="17" spans="1:12" ht="12.95" customHeight="1">
      <c r="A17" s="1086"/>
      <c r="B17" s="709" t="s">
        <v>1202</v>
      </c>
      <c r="C17" s="719"/>
      <c r="D17" s="719"/>
      <c r="E17" s="15"/>
      <c r="F17" s="15"/>
      <c r="G17" s="15"/>
      <c r="H17" s="626"/>
      <c r="I17" s="15"/>
    </row>
    <row r="18" spans="1:12" ht="12.95" customHeight="1">
      <c r="A18" s="1086"/>
      <c r="B18" s="719" t="s">
        <v>1195</v>
      </c>
      <c r="C18" s="719"/>
      <c r="D18" s="719"/>
      <c r="E18" s="15"/>
      <c r="F18" s="15"/>
      <c r="G18" s="15"/>
      <c r="H18" s="626"/>
      <c r="I18" s="15"/>
    </row>
    <row r="19" spans="1:12" ht="12.95" customHeight="1">
      <c r="A19" s="1086"/>
      <c r="B19" s="880" t="s">
        <v>1203</v>
      </c>
      <c r="C19" s="881" t="s">
        <v>1354</v>
      </c>
      <c r="D19" s="15"/>
      <c r="E19" s="15"/>
      <c r="F19" s="882" t="s">
        <v>1190</v>
      </c>
      <c r="G19" s="883" t="s">
        <v>1364</v>
      </c>
      <c r="H19" s="626"/>
      <c r="I19" s="15"/>
    </row>
    <row r="20" spans="1:12" ht="12.95" customHeight="1">
      <c r="A20" s="629"/>
      <c r="B20" s="628"/>
      <c r="C20" s="628"/>
      <c r="D20" s="628"/>
      <c r="E20" s="628"/>
      <c r="F20" s="628"/>
      <c r="G20" s="628"/>
      <c r="H20" s="729"/>
      <c r="I20" s="15"/>
    </row>
    <row r="21" spans="1:12">
      <c r="A21" s="710" t="s">
        <v>1199</v>
      </c>
      <c r="B21" s="730" t="s">
        <v>85</v>
      </c>
      <c r="C21" s="741"/>
      <c r="D21" s="741"/>
      <c r="E21" s="897"/>
      <c r="F21" s="730" t="s">
        <v>1200</v>
      </c>
      <c r="G21" s="732" t="s">
        <v>1201</v>
      </c>
      <c r="H21" s="916" t="s">
        <v>1181</v>
      </c>
      <c r="I21" s="15"/>
      <c r="J21" s="899" t="s">
        <v>1350</v>
      </c>
      <c r="K21" s="901" t="s">
        <v>1171</v>
      </c>
      <c r="L21" s="900" t="s">
        <v>1351</v>
      </c>
    </row>
    <row r="22" spans="1:12">
      <c r="A22" s="624"/>
      <c r="B22" s="711" t="s">
        <v>1358</v>
      </c>
      <c r="C22" s="713"/>
      <c r="D22" s="713"/>
      <c r="E22" s="896"/>
      <c r="F22" s="877">
        <v>8</v>
      </c>
      <c r="G22" s="912" t="s">
        <v>1361</v>
      </c>
      <c r="H22" s="872">
        <f t="shared" ref="H22:H47" si="0">IF(F22="","",F22*G22)</f>
        <v>118.48</v>
      </c>
      <c r="I22" s="15"/>
      <c r="J22" s="898">
        <v>1</v>
      </c>
      <c r="K22" s="903" t="str">
        <f>IF(J22="",H22,"")</f>
        <v/>
      </c>
      <c r="L22" s="904">
        <f>IF(J22="","",H22)</f>
        <v>118.48</v>
      </c>
    </row>
    <row r="23" spans="1:12">
      <c r="A23" s="624"/>
      <c r="B23" s="712" t="s">
        <v>1359</v>
      </c>
      <c r="C23" s="714"/>
      <c r="D23" s="868"/>
      <c r="E23" s="893"/>
      <c r="F23" s="876">
        <v>9</v>
      </c>
      <c r="G23" s="913" t="s">
        <v>1362</v>
      </c>
      <c r="H23" s="872">
        <f t="shared" si="0"/>
        <v>24.3</v>
      </c>
      <c r="I23" s="15"/>
      <c r="J23" s="625">
        <v>1</v>
      </c>
      <c r="K23" s="905" t="str">
        <f t="shared" ref="K23:K47" si="1">IF(J23="",H23,"")</f>
        <v/>
      </c>
      <c r="L23" s="906"/>
    </row>
    <row r="24" spans="1:12">
      <c r="A24" s="624"/>
      <c r="B24" s="712" t="s">
        <v>1360</v>
      </c>
      <c r="C24" s="714"/>
      <c r="D24" s="868"/>
      <c r="E24" s="893"/>
      <c r="F24" s="876">
        <v>1</v>
      </c>
      <c r="G24" s="914" t="s">
        <v>1363</v>
      </c>
      <c r="H24" s="872">
        <f t="shared" si="0"/>
        <v>13.82</v>
      </c>
      <c r="I24" s="630"/>
      <c r="J24" s="625"/>
      <c r="K24" s="905">
        <f t="shared" si="1"/>
        <v>13.82</v>
      </c>
      <c r="L24" s="906"/>
    </row>
    <row r="25" spans="1:12">
      <c r="A25" s="624"/>
      <c r="B25" s="712"/>
      <c r="C25" s="714"/>
      <c r="D25" s="868"/>
      <c r="E25" s="893"/>
      <c r="F25" s="876"/>
      <c r="G25" s="913"/>
      <c r="H25" s="872" t="str">
        <f t="shared" si="0"/>
        <v/>
      </c>
      <c r="I25" s="15"/>
      <c r="J25" s="625"/>
      <c r="K25" s="905" t="str">
        <f t="shared" si="1"/>
        <v/>
      </c>
      <c r="L25" s="906"/>
    </row>
    <row r="26" spans="1:12">
      <c r="A26" s="624"/>
      <c r="B26" s="712"/>
      <c r="C26" s="714"/>
      <c r="D26" s="868"/>
      <c r="E26" s="893"/>
      <c r="F26" s="876"/>
      <c r="G26" s="913"/>
      <c r="H26" s="872" t="str">
        <f t="shared" si="0"/>
        <v/>
      </c>
      <c r="J26" s="625"/>
      <c r="K26" s="905" t="str">
        <f t="shared" si="1"/>
        <v/>
      </c>
      <c r="L26" s="906"/>
    </row>
    <row r="27" spans="1:12">
      <c r="A27" s="624"/>
      <c r="B27" s="712"/>
      <c r="C27" s="15"/>
      <c r="D27" s="15"/>
      <c r="E27" s="626"/>
      <c r="F27" s="876"/>
      <c r="G27" s="914"/>
      <c r="H27" s="872" t="str">
        <f t="shared" si="0"/>
        <v/>
      </c>
      <c r="J27" s="625"/>
      <c r="K27" s="905" t="str">
        <f t="shared" si="1"/>
        <v/>
      </c>
      <c r="L27" s="906"/>
    </row>
    <row r="28" spans="1:12">
      <c r="A28" s="624"/>
      <c r="B28" s="712"/>
      <c r="C28" s="15"/>
      <c r="D28" s="15"/>
      <c r="E28" s="626"/>
      <c r="F28" s="876"/>
      <c r="G28" s="914"/>
      <c r="H28" s="872" t="str">
        <f t="shared" si="0"/>
        <v/>
      </c>
      <c r="J28" s="625"/>
      <c r="K28" s="905" t="str">
        <f t="shared" si="1"/>
        <v/>
      </c>
      <c r="L28" s="906"/>
    </row>
    <row r="29" spans="1:12">
      <c r="A29" s="624"/>
      <c r="B29" s="712"/>
      <c r="C29" s="15"/>
      <c r="D29" s="15"/>
      <c r="E29" s="626"/>
      <c r="F29" s="876"/>
      <c r="G29" s="914"/>
      <c r="H29" s="872" t="str">
        <f t="shared" si="0"/>
        <v/>
      </c>
      <c r="J29" s="625"/>
      <c r="K29" s="905" t="str">
        <f t="shared" si="1"/>
        <v/>
      </c>
      <c r="L29" s="906"/>
    </row>
    <row r="30" spans="1:12">
      <c r="A30" s="624"/>
      <c r="B30" s="712"/>
      <c r="C30" s="15"/>
      <c r="D30" s="15"/>
      <c r="E30" s="626"/>
      <c r="F30" s="876"/>
      <c r="G30" s="914"/>
      <c r="H30" s="872" t="str">
        <f t="shared" si="0"/>
        <v/>
      </c>
      <c r="J30" s="625"/>
      <c r="K30" s="905" t="str">
        <f t="shared" si="1"/>
        <v/>
      </c>
      <c r="L30" s="906"/>
    </row>
    <row r="31" spans="1:12">
      <c r="A31" s="624"/>
      <c r="B31" s="712"/>
      <c r="C31" s="15"/>
      <c r="D31" s="15"/>
      <c r="E31" s="626"/>
      <c r="F31" s="876"/>
      <c r="G31" s="914"/>
      <c r="H31" s="872" t="str">
        <f t="shared" si="0"/>
        <v/>
      </c>
      <c r="J31" s="625"/>
      <c r="K31" s="905" t="str">
        <f t="shared" si="1"/>
        <v/>
      </c>
      <c r="L31" s="906"/>
    </row>
    <row r="32" spans="1:12">
      <c r="A32" s="624"/>
      <c r="B32" s="712"/>
      <c r="C32" s="15"/>
      <c r="D32" s="15"/>
      <c r="E32" s="626"/>
      <c r="F32" s="876"/>
      <c r="G32" s="914"/>
      <c r="H32" s="872" t="str">
        <f t="shared" si="0"/>
        <v/>
      </c>
      <c r="J32" s="625"/>
      <c r="K32" s="905" t="str">
        <f t="shared" si="1"/>
        <v/>
      </c>
      <c r="L32" s="906"/>
    </row>
    <row r="33" spans="1:12">
      <c r="A33" s="624"/>
      <c r="B33" s="712"/>
      <c r="C33" s="15"/>
      <c r="D33" s="733"/>
      <c r="E33" s="626"/>
      <c r="F33" s="876"/>
      <c r="G33" s="914"/>
      <c r="H33" s="872" t="str">
        <f t="shared" si="0"/>
        <v/>
      </c>
      <c r="J33" s="625"/>
      <c r="K33" s="905" t="str">
        <f t="shared" si="1"/>
        <v/>
      </c>
      <c r="L33" s="906"/>
    </row>
    <row r="34" spans="1:12">
      <c r="A34" s="624"/>
      <c r="B34" s="712"/>
      <c r="C34" s="15"/>
      <c r="D34" s="15"/>
      <c r="E34" s="626"/>
      <c r="F34" s="876"/>
      <c r="G34" s="914"/>
      <c r="H34" s="872" t="str">
        <f t="shared" si="0"/>
        <v/>
      </c>
      <c r="J34" s="625"/>
      <c r="K34" s="905" t="str">
        <f t="shared" si="1"/>
        <v/>
      </c>
      <c r="L34" s="906"/>
    </row>
    <row r="35" spans="1:12">
      <c r="A35" s="624"/>
      <c r="B35" s="712"/>
      <c r="C35" s="15"/>
      <c r="D35" s="15"/>
      <c r="E35" s="626"/>
      <c r="F35" s="876"/>
      <c r="G35" s="914"/>
      <c r="H35" s="872" t="str">
        <f t="shared" si="0"/>
        <v/>
      </c>
      <c r="J35" s="625"/>
      <c r="K35" s="905" t="str">
        <f t="shared" si="1"/>
        <v/>
      </c>
      <c r="L35" s="906"/>
    </row>
    <row r="36" spans="1:12">
      <c r="A36" s="624"/>
      <c r="B36" s="712"/>
      <c r="C36" s="15"/>
      <c r="D36" s="15"/>
      <c r="E36" s="626"/>
      <c r="F36" s="876"/>
      <c r="G36" s="914"/>
      <c r="H36" s="872" t="str">
        <f t="shared" si="0"/>
        <v/>
      </c>
      <c r="J36" s="625"/>
      <c r="K36" s="905" t="str">
        <f t="shared" si="1"/>
        <v/>
      </c>
      <c r="L36" s="906"/>
    </row>
    <row r="37" spans="1:12">
      <c r="A37" s="625"/>
      <c r="B37" s="870"/>
      <c r="C37" s="742"/>
      <c r="D37" s="742"/>
      <c r="E37" s="743"/>
      <c r="F37" s="876"/>
      <c r="G37" s="704"/>
      <c r="H37" s="872" t="str">
        <f t="shared" si="0"/>
        <v/>
      </c>
      <c r="J37" s="625"/>
      <c r="K37" s="905" t="str">
        <f t="shared" si="1"/>
        <v/>
      </c>
      <c r="L37" s="906"/>
    </row>
    <row r="38" spans="1:12">
      <c r="A38" s="625"/>
      <c r="B38" s="712"/>
      <c r="C38" s="15"/>
      <c r="D38" s="15"/>
      <c r="E38" s="626"/>
      <c r="F38" s="876"/>
      <c r="G38" s="704"/>
      <c r="H38" s="872" t="str">
        <f t="shared" si="0"/>
        <v/>
      </c>
      <c r="J38" s="625"/>
      <c r="K38" s="905" t="str">
        <f t="shared" si="1"/>
        <v/>
      </c>
      <c r="L38" s="906"/>
    </row>
    <row r="39" spans="1:12">
      <c r="A39" s="625"/>
      <c r="B39" s="712"/>
      <c r="C39" s="15"/>
      <c r="D39" s="15"/>
      <c r="E39" s="626"/>
      <c r="F39" s="876"/>
      <c r="G39" s="704"/>
      <c r="H39" s="872" t="str">
        <f t="shared" si="0"/>
        <v/>
      </c>
      <c r="J39" s="625"/>
      <c r="K39" s="905" t="str">
        <f t="shared" si="1"/>
        <v/>
      </c>
      <c r="L39" s="906"/>
    </row>
    <row r="40" spans="1:12">
      <c r="A40" s="625"/>
      <c r="B40" s="712"/>
      <c r="C40" s="15"/>
      <c r="D40" s="15"/>
      <c r="E40" s="626"/>
      <c r="F40" s="876"/>
      <c r="G40" s="704"/>
      <c r="H40" s="872" t="str">
        <f t="shared" si="0"/>
        <v/>
      </c>
      <c r="J40" s="625"/>
      <c r="K40" s="905" t="str">
        <f t="shared" si="1"/>
        <v/>
      </c>
      <c r="L40" s="906"/>
    </row>
    <row r="41" spans="1:12">
      <c r="A41" s="625"/>
      <c r="B41" s="712"/>
      <c r="C41" s="15"/>
      <c r="D41" s="15"/>
      <c r="E41" s="626"/>
      <c r="F41" s="876"/>
      <c r="G41" s="704"/>
      <c r="H41" s="872" t="str">
        <f t="shared" si="0"/>
        <v/>
      </c>
      <c r="J41" s="625"/>
      <c r="K41" s="905" t="str">
        <f t="shared" si="1"/>
        <v/>
      </c>
      <c r="L41" s="906"/>
    </row>
    <row r="42" spans="1:12">
      <c r="A42" s="625"/>
      <c r="B42" s="712"/>
      <c r="C42" s="15"/>
      <c r="D42" s="15"/>
      <c r="E42" s="626"/>
      <c r="F42" s="876"/>
      <c r="G42" s="704"/>
      <c r="H42" s="872" t="str">
        <f t="shared" si="0"/>
        <v/>
      </c>
      <c r="J42" s="625"/>
      <c r="K42" s="905" t="str">
        <f t="shared" si="1"/>
        <v/>
      </c>
      <c r="L42" s="906"/>
    </row>
    <row r="43" spans="1:12">
      <c r="A43" s="624"/>
      <c r="B43" s="712"/>
      <c r="C43" s="15"/>
      <c r="D43" s="15"/>
      <c r="E43" s="626"/>
      <c r="F43" s="876"/>
      <c r="G43" s="704"/>
      <c r="H43" s="872" t="str">
        <f t="shared" si="0"/>
        <v/>
      </c>
      <c r="J43" s="625"/>
      <c r="K43" s="905" t="str">
        <f t="shared" si="1"/>
        <v/>
      </c>
      <c r="L43" s="906"/>
    </row>
    <row r="44" spans="1:12">
      <c r="A44" s="624"/>
      <c r="B44" s="712"/>
      <c r="C44" s="15"/>
      <c r="D44" s="15"/>
      <c r="E44" s="626"/>
      <c r="F44" s="876"/>
      <c r="G44" s="704"/>
      <c r="H44" s="872" t="str">
        <f t="shared" si="0"/>
        <v/>
      </c>
      <c r="J44" s="625"/>
      <c r="K44" s="905" t="str">
        <f t="shared" si="1"/>
        <v/>
      </c>
      <c r="L44" s="906"/>
    </row>
    <row r="45" spans="1:12">
      <c r="A45" s="624"/>
      <c r="B45" s="712"/>
      <c r="C45" s="15"/>
      <c r="D45" s="15"/>
      <c r="E45" s="626"/>
      <c r="F45" s="876"/>
      <c r="G45" s="704"/>
      <c r="H45" s="872" t="str">
        <f t="shared" si="0"/>
        <v/>
      </c>
      <c r="J45" s="625"/>
      <c r="K45" s="905" t="str">
        <f t="shared" si="1"/>
        <v/>
      </c>
      <c r="L45" s="906"/>
    </row>
    <row r="46" spans="1:12">
      <c r="A46" s="624"/>
      <c r="B46" s="712"/>
      <c r="C46" s="15"/>
      <c r="D46" s="15"/>
      <c r="E46" s="626"/>
      <c r="F46" s="876"/>
      <c r="G46" s="704"/>
      <c r="H46" s="872" t="str">
        <f t="shared" si="0"/>
        <v/>
      </c>
      <c r="J46" s="625"/>
      <c r="K46" s="905" t="str">
        <f t="shared" si="1"/>
        <v/>
      </c>
      <c r="L46" s="906"/>
    </row>
    <row r="47" spans="1:12">
      <c r="A47" s="629"/>
      <c r="B47" s="871"/>
      <c r="C47" s="628"/>
      <c r="D47" s="628"/>
      <c r="E47" s="705"/>
      <c r="F47" s="878"/>
      <c r="G47" s="915"/>
      <c r="H47" s="873" t="str">
        <f t="shared" si="0"/>
        <v/>
      </c>
      <c r="J47" s="627"/>
      <c r="K47" s="907" t="str">
        <f t="shared" si="1"/>
        <v/>
      </c>
      <c r="L47" s="908"/>
    </row>
    <row r="48" spans="1:12">
      <c r="A48" s="625"/>
      <c r="B48" s="15"/>
      <c r="C48" s="15"/>
      <c r="D48" s="15"/>
      <c r="E48" s="745"/>
      <c r="F48" s="698"/>
      <c r="G48" s="698"/>
      <c r="H48" s="734">
        <f>SUM(H22:H47)</f>
        <v>156.6</v>
      </c>
      <c r="K48" s="909">
        <f>SUM(K22:K47)</f>
        <v>13.82</v>
      </c>
      <c r="L48" s="909">
        <f>SUM(L22:L47)</f>
        <v>118.48</v>
      </c>
    </row>
    <row r="49" spans="1:12">
      <c r="A49" s="625"/>
      <c r="B49" s="731"/>
      <c r="C49" s="731"/>
      <c r="D49" s="731"/>
      <c r="E49" s="735"/>
      <c r="F49" s="894" t="s">
        <v>1348</v>
      </c>
      <c r="G49" s="717"/>
      <c r="H49" s="911">
        <f>K49</f>
        <v>1.1747000000000001</v>
      </c>
      <c r="K49" s="910">
        <f>K48*8.5/100</f>
        <v>1.1747000000000001</v>
      </c>
      <c r="L49" s="910">
        <f>L48*8.5/100</f>
        <v>10.0708</v>
      </c>
    </row>
    <row r="50" spans="1:12" ht="13.5" thickBot="1">
      <c r="A50" s="625"/>
      <c r="B50" s="15"/>
      <c r="C50" s="15"/>
      <c r="D50" s="15"/>
      <c r="E50" s="626"/>
      <c r="F50" s="895" t="s">
        <v>1349</v>
      </c>
      <c r="G50" s="718"/>
      <c r="H50" s="706">
        <f>L49</f>
        <v>10.0708</v>
      </c>
    </row>
    <row r="51" spans="1:12">
      <c r="A51" s="625"/>
      <c r="B51" s="15"/>
      <c r="C51" s="15"/>
      <c r="D51" s="15"/>
      <c r="E51" s="626"/>
      <c r="F51" s="715"/>
      <c r="G51" s="715"/>
      <c r="H51" s="707">
        <v>0</v>
      </c>
    </row>
    <row r="52" spans="1:12" ht="13.5" thickBot="1">
      <c r="A52" s="627"/>
      <c r="B52" s="744"/>
      <c r="C52" s="744"/>
      <c r="D52" s="736"/>
      <c r="E52" s="729"/>
      <c r="F52" s="902" t="s">
        <v>1172</v>
      </c>
      <c r="G52" s="716"/>
      <c r="H52" s="708">
        <f>+H48+H49</f>
        <v>157.7747</v>
      </c>
    </row>
    <row r="54" spans="1:12">
      <c r="F54" s="19" t="s">
        <v>1183</v>
      </c>
    </row>
    <row r="260" ht="20.100000000000001" customHeight="1"/>
    <row r="261" ht="20.100000000000001" customHeight="1"/>
    <row r="262" ht="20.100000000000001" customHeight="1"/>
    <row r="263" ht="20.100000000000001" customHeight="1"/>
  </sheetData>
  <mergeCells count="9">
    <mergeCell ref="A16:A19"/>
    <mergeCell ref="G2:H2"/>
    <mergeCell ref="C10:G10"/>
    <mergeCell ref="F12:H12"/>
    <mergeCell ref="C14:E14"/>
    <mergeCell ref="A12:A14"/>
    <mergeCell ref="F4:H4"/>
    <mergeCell ref="C13:E13"/>
    <mergeCell ref="G7:H7"/>
  </mergeCells>
  <dataValidations disablePrompts="1" count="1">
    <dataValidation type="list" showInputMessage="1" showErrorMessage="1" sqref="D52">
      <formula1>$E$4:$E$6</formula1>
    </dataValidation>
  </dataValidations>
  <printOptions horizontalCentered="1"/>
  <pageMargins left="0.27559055118110237" right="0.19685039370078741" top="0.39370078740157483" bottom="0.98425196850393704" header="0.43307086614173229" footer="0.51181102362204722"/>
  <pageSetup paperSize="9" scale="95" orientation="portrait" r:id="rId1"/>
  <headerFooter alignWithMargins="0">
    <oddFooter>&amp;C&amp;8&amp;KC00000SOREC&amp;K01+000 Societé Réunionnaise de construction.
 Siret : 83026631800013 APE 4399C</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XFC13"/>
  <sheetViews>
    <sheetView showGridLines="0" zoomScaleNormal="100" workbookViewId="0">
      <selection activeCell="C3" sqref="C3"/>
    </sheetView>
  </sheetViews>
  <sheetFormatPr baseColWidth="10" defaultRowHeight="12.75"/>
  <cols>
    <col min="1" max="1" width="11.42578125" style="70"/>
    <col min="2" max="2" width="50.42578125" style="70" customWidth="1"/>
    <col min="3" max="3" width="15.85546875" style="70" customWidth="1"/>
    <col min="4" max="4" width="15.28515625" style="70" customWidth="1"/>
    <col min="5" max="6" width="11.42578125" style="70"/>
    <col min="7" max="1412" width="0" style="70" hidden="1" customWidth="1"/>
    <col min="1413" max="1458" width="11.42578125" style="70" hidden="1" customWidth="1"/>
    <col min="1459" max="1459" width="2.85546875" style="70" hidden="1" customWidth="1"/>
    <col min="1460" max="1576" width="11.42578125" style="70" hidden="1" customWidth="1"/>
    <col min="1577" max="1577" width="10" style="70" hidden="1" customWidth="1"/>
    <col min="1578" max="5113" width="0" style="70" hidden="1" customWidth="1"/>
    <col min="5114" max="5159" width="11.42578125" style="70" hidden="1" customWidth="1"/>
    <col min="5160" max="5160" width="2.85546875" style="70" hidden="1" customWidth="1"/>
    <col min="5161" max="5277" width="11.42578125" style="70" hidden="1" customWidth="1"/>
    <col min="5278" max="5278" width="10" style="70" hidden="1" customWidth="1"/>
    <col min="5279" max="8814" width="0" style="70" hidden="1" customWidth="1"/>
    <col min="8815" max="8860" width="11.42578125" style="70" hidden="1" customWidth="1"/>
    <col min="8861" max="8861" width="2.85546875" style="70" hidden="1" customWidth="1"/>
    <col min="8862" max="8978" width="11.42578125" style="70" hidden="1" customWidth="1"/>
    <col min="8979" max="8979" width="10" style="70" hidden="1" customWidth="1"/>
    <col min="8980" max="12515" width="0" style="70" hidden="1" customWidth="1"/>
    <col min="12516" max="12561" width="11.42578125" style="70" hidden="1" customWidth="1"/>
    <col min="12562" max="12562" width="2.85546875" style="70" hidden="1" customWidth="1"/>
    <col min="12563" max="12679" width="11.42578125" style="70" hidden="1" customWidth="1"/>
    <col min="12680" max="12680" width="10" style="70" hidden="1" customWidth="1"/>
    <col min="12681" max="16216" width="0" style="70" hidden="1" customWidth="1"/>
    <col min="16217" max="16262" width="11.42578125" style="70" hidden="1" customWidth="1"/>
    <col min="16263" max="16263" width="2.85546875" style="70" hidden="1" customWidth="1"/>
    <col min="16264" max="16380" width="11.42578125" style="70" hidden="1" customWidth="1"/>
    <col min="16381" max="16381" width="10" style="70" hidden="1" customWidth="1"/>
    <col min="16382" max="16383" width="11.42578125" style="70" hidden="1" customWidth="1"/>
    <col min="16384" max="16384" width="10" style="70" hidden="1" customWidth="1"/>
  </cols>
  <sheetData>
    <row r="1" spans="2:4" ht="13.5" thickBot="1">
      <c r="C1" s="70" t="s">
        <v>22</v>
      </c>
    </row>
    <row r="2" spans="2:4" ht="13.5" thickBot="1">
      <c r="C2" s="93" t="s">
        <v>23</v>
      </c>
      <c r="D2" s="94" t="s">
        <v>24</v>
      </c>
    </row>
    <row r="3" spans="2:4" ht="27.75" customHeight="1">
      <c r="B3" s="95" t="s">
        <v>25</v>
      </c>
      <c r="C3" s="97">
        <v>9.67</v>
      </c>
      <c r="D3" s="98">
        <v>10</v>
      </c>
    </row>
    <row r="4" spans="2:4" ht="20.100000000000001" customHeight="1">
      <c r="B4" s="69" t="s">
        <v>335</v>
      </c>
      <c r="C4" s="99">
        <f>C3*5/100</f>
        <v>0.48350000000000004</v>
      </c>
      <c r="D4" s="100">
        <f>+D3*0.05</f>
        <v>0.5</v>
      </c>
    </row>
    <row r="5" spans="2:4">
      <c r="B5" s="96" t="s">
        <v>26</v>
      </c>
      <c r="C5" s="99">
        <f>+(C3+C4)*0.22</f>
        <v>2.2337699999999998</v>
      </c>
      <c r="D5" s="100">
        <f>+(D3+D4)*0.22</f>
        <v>2.31</v>
      </c>
    </row>
    <row r="6" spans="2:4">
      <c r="B6" s="96" t="s">
        <v>27</v>
      </c>
      <c r="C6" s="99">
        <f>(C3+C4)*0.42</f>
        <v>4.2644699999999993</v>
      </c>
      <c r="D6" s="100">
        <f>(D3+D4)*0.42</f>
        <v>4.41</v>
      </c>
    </row>
    <row r="7" spans="2:4" ht="20.100000000000001" customHeight="1">
      <c r="B7" s="101" t="s">
        <v>1184</v>
      </c>
      <c r="C7" s="99">
        <f>(C3+C4+C5)*1.42</f>
        <v>17.589923399999996</v>
      </c>
      <c r="D7" s="102">
        <f>(D3+D4+D5+D6)*1.42</f>
        <v>24.452399999999997</v>
      </c>
    </row>
    <row r="8" spans="2:4" ht="30" customHeight="1">
      <c r="B8" s="101" t="s">
        <v>28</v>
      </c>
      <c r="C8" s="103">
        <v>2</v>
      </c>
      <c r="D8" s="104">
        <v>2</v>
      </c>
    </row>
    <row r="9" spans="2:4" ht="20.100000000000001" customHeight="1">
      <c r="B9" s="101" t="s">
        <v>29</v>
      </c>
      <c r="C9" s="99">
        <f>C7*C8</f>
        <v>35.179846799999993</v>
      </c>
      <c r="D9" s="100">
        <f>D7*D8</f>
        <v>48.904799999999994</v>
      </c>
    </row>
    <row r="10" spans="2:4" ht="20.100000000000001" customHeight="1">
      <c r="B10" s="105" t="s">
        <v>30</v>
      </c>
      <c r="C10" s="1101">
        <f>C6+D6</f>
        <v>8.6744699999999995</v>
      </c>
      <c r="D10" s="1102"/>
    </row>
    <row r="11" spans="2:4" ht="25.5">
      <c r="B11" s="106" t="s">
        <v>31</v>
      </c>
      <c r="C11" s="1103">
        <f>SUM(C9,D9,)</f>
        <v>84.084646799999987</v>
      </c>
      <c r="D11" s="1104"/>
    </row>
    <row r="12" spans="2:4" ht="20.100000000000001" customHeight="1">
      <c r="B12" s="101" t="s">
        <v>32</v>
      </c>
      <c r="C12" s="1103">
        <f>SUM(C8:D8)</f>
        <v>4</v>
      </c>
      <c r="D12" s="1104"/>
    </row>
    <row r="13" spans="2:4" ht="20.100000000000001" customHeight="1" thickBot="1">
      <c r="B13" s="107" t="s">
        <v>33</v>
      </c>
      <c r="C13" s="1105">
        <f>C11/C12</f>
        <v>21.021161699999997</v>
      </c>
      <c r="D13" s="1106"/>
    </row>
  </sheetData>
  <mergeCells count="4">
    <mergeCell ref="C10:D10"/>
    <mergeCell ref="C11:D11"/>
    <mergeCell ref="C12:D12"/>
    <mergeCell ref="C13:D1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FF00"/>
  </sheetPr>
  <dimension ref="A1:P94"/>
  <sheetViews>
    <sheetView showGridLines="0" workbookViewId="0">
      <pane xSplit="1" ySplit="12" topLeftCell="B13" activePane="bottomRight" state="frozen"/>
      <selection activeCell="J11" sqref="J11:J12"/>
      <selection pane="topRight" activeCell="J11" sqref="J11:J12"/>
      <selection pane="bottomLeft" activeCell="J11" sqref="J11:J12"/>
      <selection pane="bottomRight" activeCell="R19" sqref="R19"/>
    </sheetView>
  </sheetViews>
  <sheetFormatPr baseColWidth="10" defaultRowHeight="12.75"/>
  <cols>
    <col min="1" max="1" width="2.85546875" style="70" customWidth="1"/>
    <col min="2" max="2" width="23.42578125" style="70" customWidth="1"/>
    <col min="3" max="3" width="11.42578125" style="157" customWidth="1"/>
    <col min="4" max="4" width="12.85546875" style="157" customWidth="1"/>
    <col min="5" max="5" width="19.42578125" style="70" customWidth="1"/>
    <col min="6" max="7" width="11.42578125" style="70"/>
    <col min="8" max="8" width="10.42578125" style="70" customWidth="1"/>
    <col min="9" max="9" width="11.42578125" style="70"/>
    <col min="10" max="10" width="9.85546875" style="70" customWidth="1"/>
    <col min="11" max="11" width="10.7109375" style="70" customWidth="1"/>
    <col min="12" max="12" width="7.28515625" style="70" customWidth="1"/>
    <col min="13" max="13" width="15.7109375" style="70" customWidth="1"/>
    <col min="14" max="14" width="7.28515625" style="79" customWidth="1"/>
    <col min="15" max="17" width="11.42578125" style="70"/>
    <col min="18" max="18" width="13.85546875" style="70" customWidth="1"/>
    <col min="19" max="19" width="13.5703125" style="70" customWidth="1"/>
    <col min="20" max="16384" width="11.42578125" style="70"/>
  </cols>
  <sheetData>
    <row r="1" spans="1:16">
      <c r="A1" s="156" t="s">
        <v>324</v>
      </c>
    </row>
    <row r="3" spans="1:16">
      <c r="A3" s="158" t="s">
        <v>320</v>
      </c>
      <c r="B3" s="158" t="s">
        <v>319</v>
      </c>
      <c r="C3" s="159" t="s">
        <v>321</v>
      </c>
      <c r="D3" s="159" t="s">
        <v>322</v>
      </c>
      <c r="E3" s="158" t="s">
        <v>323</v>
      </c>
      <c r="G3" s="160" t="s">
        <v>47</v>
      </c>
      <c r="H3" s="161" t="s">
        <v>50</v>
      </c>
      <c r="I3" s="142">
        <f>M23</f>
        <v>520</v>
      </c>
      <c r="J3" s="142">
        <f>I3*ALEA+I3*AGM+I3</f>
        <v>546</v>
      </c>
    </row>
    <row r="4" spans="1:16">
      <c r="A4" s="76"/>
      <c r="B4" s="162" t="s">
        <v>214</v>
      </c>
      <c r="C4" s="163" t="s">
        <v>50</v>
      </c>
      <c r="D4" s="164">
        <f>'Sous-Enss'!G12</f>
        <v>111.30000000000001</v>
      </c>
      <c r="E4" s="154">
        <f>D4*ALEA+D4*AGM+D4</f>
        <v>116.86500000000001</v>
      </c>
      <c r="G4" s="1126" t="s">
        <v>76</v>
      </c>
      <c r="H4" s="1129" t="s">
        <v>77</v>
      </c>
      <c r="I4" s="1130"/>
      <c r="J4" s="1131"/>
    </row>
    <row r="5" spans="1:16">
      <c r="A5" s="76"/>
      <c r="B5" s="165" t="s">
        <v>215</v>
      </c>
      <c r="C5" s="166" t="s">
        <v>50</v>
      </c>
      <c r="D5" s="167">
        <f>'Sous-Enss'!G20</f>
        <v>99.75</v>
      </c>
      <c r="E5" s="142">
        <f>D5*ALEA+D5*AGM+D5</f>
        <v>104.7375</v>
      </c>
      <c r="G5" s="1127"/>
      <c r="H5" s="1132" t="s">
        <v>206</v>
      </c>
      <c r="I5" s="1133"/>
      <c r="J5" s="168">
        <v>0.06</v>
      </c>
    </row>
    <row r="6" spans="1:16">
      <c r="A6" s="76"/>
      <c r="B6" s="165" t="s">
        <v>216</v>
      </c>
      <c r="C6" s="166" t="s">
        <v>50</v>
      </c>
      <c r="D6" s="167">
        <f>'Sous-Enss'!G28</f>
        <v>76.650000000000006</v>
      </c>
      <c r="E6" s="142">
        <f>D6*ALEA+D6*AGM+D6</f>
        <v>80.482500000000002</v>
      </c>
      <c r="G6" s="1127"/>
      <c r="H6" s="1129" t="s">
        <v>204</v>
      </c>
      <c r="I6" s="1130"/>
      <c r="J6" s="1131"/>
    </row>
    <row r="7" spans="1:16">
      <c r="A7" s="76"/>
      <c r="B7" s="165" t="s">
        <v>217</v>
      </c>
      <c r="C7" s="166" t="s">
        <v>50</v>
      </c>
      <c r="D7" s="167">
        <f>'Sous-Enss'!G36</f>
        <v>255.15</v>
      </c>
      <c r="E7" s="142">
        <f>D7*ALEA+D7*AGM+D7</f>
        <v>267.90750000000003</v>
      </c>
      <c r="G7" s="1128"/>
      <c r="H7" s="1129">
        <f>J5*J3/2</f>
        <v>16.38</v>
      </c>
      <c r="I7" s="1130"/>
      <c r="J7" s="169" t="s">
        <v>205</v>
      </c>
    </row>
    <row r="8" spans="1:16">
      <c r="A8" s="76"/>
      <c r="B8" s="165" t="s">
        <v>218</v>
      </c>
      <c r="C8" s="166" t="s">
        <v>50</v>
      </c>
      <c r="D8" s="167">
        <f>'Sous-Enss'!G44</f>
        <v>309.85500000000002</v>
      </c>
      <c r="E8" s="142">
        <f>D8*ALEA+D8*AGM+D8</f>
        <v>325.34775000000002</v>
      </c>
    </row>
    <row r="9" spans="1:16">
      <c r="H9" s="156" t="s">
        <v>34</v>
      </c>
      <c r="I9" s="156"/>
      <c r="J9" s="156"/>
    </row>
    <row r="10" spans="1:16" ht="13.5" thickBot="1">
      <c r="I10" s="157"/>
      <c r="J10" s="157"/>
      <c r="K10" s="157"/>
      <c r="L10" s="157"/>
      <c r="M10" s="157"/>
    </row>
    <row r="11" spans="1:16">
      <c r="A11" s="1109" t="s">
        <v>305</v>
      </c>
      <c r="B11" s="1109" t="s">
        <v>35</v>
      </c>
      <c r="C11" s="1119" t="s">
        <v>306</v>
      </c>
      <c r="D11" s="1120"/>
      <c r="E11" s="1120"/>
      <c r="F11" s="1120"/>
      <c r="G11" s="1121"/>
      <c r="H11" s="1111" t="s">
        <v>1343</v>
      </c>
      <c r="I11" s="1113" t="s">
        <v>36</v>
      </c>
      <c r="J11" s="1114"/>
      <c r="K11" s="1115"/>
      <c r="L11" s="135" t="s">
        <v>37</v>
      </c>
      <c r="M11" s="136" t="s">
        <v>38</v>
      </c>
      <c r="N11" s="1107" t="s">
        <v>307</v>
      </c>
      <c r="O11" s="1124" t="s">
        <v>317</v>
      </c>
      <c r="P11" s="1107" t="s">
        <v>318</v>
      </c>
    </row>
    <row r="12" spans="1:16" ht="13.5" thickBot="1">
      <c r="A12" s="1118"/>
      <c r="B12" s="1110"/>
      <c r="C12" s="170" t="s">
        <v>316</v>
      </c>
      <c r="D12" s="171" t="s">
        <v>1339</v>
      </c>
      <c r="E12" s="172" t="s">
        <v>1338</v>
      </c>
      <c r="F12" s="173" t="s">
        <v>1340</v>
      </c>
      <c r="G12" s="174" t="s">
        <v>1342</v>
      </c>
      <c r="H12" s="1112"/>
      <c r="I12" s="137" t="s">
        <v>1341</v>
      </c>
      <c r="J12" s="138" t="s">
        <v>1173</v>
      </c>
      <c r="K12" s="175"/>
      <c r="L12" s="139"/>
      <c r="M12" s="140" t="s">
        <v>193</v>
      </c>
      <c r="N12" s="1108"/>
      <c r="O12" s="1125"/>
      <c r="P12" s="1108"/>
    </row>
    <row r="13" spans="1:16">
      <c r="A13" s="78"/>
      <c r="B13" s="176" t="s">
        <v>39</v>
      </c>
      <c r="C13" s="177">
        <v>25</v>
      </c>
      <c r="D13" s="178" t="s">
        <v>64</v>
      </c>
      <c r="E13" s="178" t="s">
        <v>308</v>
      </c>
      <c r="F13" s="179">
        <f>1000/C13</f>
        <v>40</v>
      </c>
      <c r="G13" s="180">
        <v>5</v>
      </c>
      <c r="H13" s="181" t="s">
        <v>40</v>
      </c>
      <c r="I13" s="154">
        <f>F13*G13</f>
        <v>200</v>
      </c>
      <c r="J13" s="182">
        <v>20</v>
      </c>
      <c r="K13" s="141">
        <f>I13+J13</f>
        <v>220</v>
      </c>
      <c r="L13" s="141"/>
      <c r="M13" s="183">
        <f>K13+L13</f>
        <v>220</v>
      </c>
      <c r="N13" s="144" t="s">
        <v>64</v>
      </c>
      <c r="O13" s="142">
        <f>M13/1000</f>
        <v>0.22</v>
      </c>
      <c r="P13" s="142">
        <f t="shared" ref="P13:P40" si="0">O13*ALEA+O13*AGM+O13</f>
        <v>0.23100000000000001</v>
      </c>
    </row>
    <row r="14" spans="1:16">
      <c r="A14" s="184"/>
      <c r="B14" s="185" t="s">
        <v>41</v>
      </c>
      <c r="C14" s="177">
        <v>25</v>
      </c>
      <c r="D14" s="178" t="s">
        <v>64</v>
      </c>
      <c r="E14" s="178" t="s">
        <v>308</v>
      </c>
      <c r="F14" s="179">
        <f>1000/C14</f>
        <v>40</v>
      </c>
      <c r="G14" s="180">
        <v>5</v>
      </c>
      <c r="H14" s="161" t="s">
        <v>40</v>
      </c>
      <c r="I14" s="154">
        <f>F14*G14</f>
        <v>200</v>
      </c>
      <c r="J14" s="186">
        <v>20</v>
      </c>
      <c r="K14" s="143">
        <f>I14+J14</f>
        <v>220</v>
      </c>
      <c r="L14" s="143"/>
      <c r="M14" s="187">
        <f>K14+L14</f>
        <v>220</v>
      </c>
      <c r="N14" s="144" t="s">
        <v>64</v>
      </c>
      <c r="O14" s="142">
        <f>M14/1000</f>
        <v>0.22</v>
      </c>
      <c r="P14" s="142">
        <f t="shared" si="0"/>
        <v>0.23100000000000001</v>
      </c>
    </row>
    <row r="15" spans="1:16">
      <c r="A15" s="184"/>
      <c r="B15" s="188" t="s">
        <v>42</v>
      </c>
      <c r="C15" s="177">
        <v>1</v>
      </c>
      <c r="D15" s="178" t="s">
        <v>50</v>
      </c>
      <c r="E15" s="178" t="s">
        <v>312</v>
      </c>
      <c r="F15" s="179">
        <f>C15</f>
        <v>1</v>
      </c>
      <c r="G15" s="180">
        <v>135</v>
      </c>
      <c r="H15" s="161" t="s">
        <v>43</v>
      </c>
      <c r="I15" s="154">
        <f>F15*G15</f>
        <v>135</v>
      </c>
      <c r="J15" s="186">
        <v>20</v>
      </c>
      <c r="K15" s="143">
        <f>I15+J15</f>
        <v>155</v>
      </c>
      <c r="L15" s="143"/>
      <c r="M15" s="187">
        <f>K15+L15</f>
        <v>155</v>
      </c>
      <c r="N15" s="144" t="s">
        <v>50</v>
      </c>
      <c r="O15" s="142">
        <f>M15</f>
        <v>155</v>
      </c>
      <c r="P15" s="142">
        <f t="shared" si="0"/>
        <v>162.75</v>
      </c>
    </row>
    <row r="16" spans="1:16">
      <c r="A16" s="184"/>
      <c r="B16" s="188" t="s">
        <v>390</v>
      </c>
      <c r="C16" s="177">
        <v>1</v>
      </c>
      <c r="D16" s="178" t="s">
        <v>50</v>
      </c>
      <c r="E16" s="178" t="s">
        <v>312</v>
      </c>
      <c r="F16" s="179">
        <f>C16</f>
        <v>1</v>
      </c>
      <c r="G16" s="180">
        <v>35</v>
      </c>
      <c r="H16" s="161" t="s">
        <v>43</v>
      </c>
      <c r="I16" s="154">
        <f>F16*G16</f>
        <v>35</v>
      </c>
      <c r="J16" s="186">
        <v>3</v>
      </c>
      <c r="K16" s="143">
        <f>I16+J16</f>
        <v>38</v>
      </c>
      <c r="L16" s="143"/>
      <c r="M16" s="187">
        <f>K16+L16</f>
        <v>38</v>
      </c>
      <c r="N16" s="144" t="s">
        <v>50</v>
      </c>
      <c r="O16" s="142">
        <f>M16</f>
        <v>38</v>
      </c>
      <c r="P16" s="142">
        <f t="shared" si="0"/>
        <v>39.9</v>
      </c>
    </row>
    <row r="17" spans="1:16">
      <c r="A17" s="184"/>
      <c r="B17" s="78" t="s">
        <v>44</v>
      </c>
      <c r="C17" s="177">
        <v>1</v>
      </c>
      <c r="D17" s="178" t="s">
        <v>50</v>
      </c>
      <c r="E17" s="178" t="s">
        <v>312</v>
      </c>
      <c r="F17" s="179">
        <f>C17</f>
        <v>1</v>
      </c>
      <c r="G17" s="180">
        <v>18</v>
      </c>
      <c r="H17" s="161" t="s">
        <v>43</v>
      </c>
      <c r="I17" s="154">
        <f>F17*G17</f>
        <v>18</v>
      </c>
      <c r="J17" s="186">
        <v>3</v>
      </c>
      <c r="K17" s="143">
        <f>I17+J17</f>
        <v>21</v>
      </c>
      <c r="L17" s="143"/>
      <c r="M17" s="187">
        <f>K17+L17</f>
        <v>21</v>
      </c>
      <c r="N17" s="144" t="s">
        <v>50</v>
      </c>
      <c r="O17" s="142">
        <f>M17</f>
        <v>21</v>
      </c>
      <c r="P17" s="142">
        <f t="shared" si="0"/>
        <v>22.05</v>
      </c>
    </row>
    <row r="18" spans="1:16">
      <c r="A18" s="184"/>
      <c r="B18" s="189" t="s">
        <v>45</v>
      </c>
      <c r="C18" s="177"/>
      <c r="D18" s="178"/>
      <c r="E18" s="178"/>
      <c r="F18" s="179"/>
      <c r="G18" s="180"/>
      <c r="H18" s="151"/>
      <c r="I18" s="152"/>
      <c r="J18" s="190"/>
      <c r="K18" s="191"/>
      <c r="L18" s="191"/>
      <c r="M18" s="192"/>
      <c r="N18" s="144"/>
      <c r="O18" s="144"/>
      <c r="P18" s="142"/>
    </row>
    <row r="19" spans="1:16">
      <c r="A19" s="184"/>
      <c r="B19" s="145">
        <v>0.3</v>
      </c>
      <c r="C19" s="177">
        <v>1</v>
      </c>
      <c r="D19" s="178" t="s">
        <v>50</v>
      </c>
      <c r="E19" s="178" t="s">
        <v>312</v>
      </c>
      <c r="F19" s="179">
        <f>C19</f>
        <v>1</v>
      </c>
      <c r="G19" s="180">
        <v>15</v>
      </c>
      <c r="H19" s="181" t="s">
        <v>43</v>
      </c>
      <c r="I19" s="154">
        <f>F19*G19</f>
        <v>15</v>
      </c>
      <c r="J19" s="182">
        <v>3</v>
      </c>
      <c r="K19" s="141">
        <f>I19+J19</f>
        <v>18</v>
      </c>
      <c r="L19" s="141"/>
      <c r="M19" s="183">
        <f t="shared" ref="M19:M24" si="1">K19+L19</f>
        <v>18</v>
      </c>
      <c r="N19" s="144" t="s">
        <v>50</v>
      </c>
      <c r="O19" s="142">
        <f>M19</f>
        <v>18</v>
      </c>
      <c r="P19" s="142">
        <f t="shared" si="0"/>
        <v>18.899999999999999</v>
      </c>
    </row>
    <row r="20" spans="1:16">
      <c r="A20" s="193"/>
      <c r="B20" s="146">
        <v>0.2</v>
      </c>
      <c r="C20" s="177">
        <v>1</v>
      </c>
      <c r="D20" s="178" t="s">
        <v>50</v>
      </c>
      <c r="E20" s="178" t="s">
        <v>312</v>
      </c>
      <c r="F20" s="179">
        <f>C20</f>
        <v>1</v>
      </c>
      <c r="G20" s="180">
        <v>18</v>
      </c>
      <c r="H20" s="161" t="s">
        <v>43</v>
      </c>
      <c r="I20" s="154">
        <f>F20*G20</f>
        <v>18</v>
      </c>
      <c r="J20" s="186">
        <v>3</v>
      </c>
      <c r="K20" s="143">
        <f>I20+J20</f>
        <v>21</v>
      </c>
      <c r="L20" s="194"/>
      <c r="M20" s="187">
        <f t="shared" si="1"/>
        <v>21</v>
      </c>
      <c r="N20" s="144" t="s">
        <v>50</v>
      </c>
      <c r="O20" s="142">
        <f>M20</f>
        <v>21</v>
      </c>
      <c r="P20" s="142">
        <f t="shared" si="0"/>
        <v>22.05</v>
      </c>
    </row>
    <row r="21" spans="1:16">
      <c r="A21" s="78"/>
      <c r="B21" s="176" t="s">
        <v>46</v>
      </c>
      <c r="C21" s="195">
        <v>1</v>
      </c>
      <c r="D21" s="178" t="s">
        <v>19</v>
      </c>
      <c r="E21" s="178" t="s">
        <v>309</v>
      </c>
      <c r="F21" s="196">
        <f>C21*630</f>
        <v>630</v>
      </c>
      <c r="G21" s="180">
        <v>1.65</v>
      </c>
      <c r="H21" s="161" t="s">
        <v>202</v>
      </c>
      <c r="I21" s="154">
        <f>F21*G21</f>
        <v>1039.5</v>
      </c>
      <c r="J21" s="186">
        <v>100</v>
      </c>
      <c r="K21" s="143">
        <f>I21+J21+200</f>
        <v>1339.5</v>
      </c>
      <c r="L21" s="143"/>
      <c r="M21" s="194">
        <f t="shared" si="1"/>
        <v>1339.5</v>
      </c>
      <c r="N21" s="144" t="s">
        <v>62</v>
      </c>
      <c r="O21" s="142">
        <f>M21/630</f>
        <v>2.1261904761904762</v>
      </c>
      <c r="P21" s="142">
        <f t="shared" si="0"/>
        <v>2.2324999999999999</v>
      </c>
    </row>
    <row r="22" spans="1:16">
      <c r="A22" s="184"/>
      <c r="B22" s="176" t="s">
        <v>54</v>
      </c>
      <c r="C22" s="195">
        <v>1</v>
      </c>
      <c r="D22" s="178" t="s">
        <v>19</v>
      </c>
      <c r="E22" s="178" t="s">
        <v>309</v>
      </c>
      <c r="F22" s="196">
        <f>C22*1260</f>
        <v>1260</v>
      </c>
      <c r="G22" s="180">
        <v>1.0900000000000001</v>
      </c>
      <c r="H22" s="161" t="s">
        <v>202</v>
      </c>
      <c r="I22" s="154">
        <f>F22*G22</f>
        <v>1373.4</v>
      </c>
      <c r="J22" s="186">
        <v>100</v>
      </c>
      <c r="K22" s="143">
        <f>I22+J22+200</f>
        <v>1673.4</v>
      </c>
      <c r="L22" s="143"/>
      <c r="M22" s="194">
        <f t="shared" si="1"/>
        <v>1673.4</v>
      </c>
      <c r="N22" s="144" t="s">
        <v>62</v>
      </c>
      <c r="O22" s="142">
        <f>M22/1260</f>
        <v>1.3280952380952382</v>
      </c>
      <c r="P22" s="142">
        <f t="shared" si="0"/>
        <v>1.3945000000000001</v>
      </c>
    </row>
    <row r="23" spans="1:16">
      <c r="A23" s="184"/>
      <c r="B23" s="197" t="s">
        <v>47</v>
      </c>
      <c r="C23" s="195"/>
      <c r="D23" s="198"/>
      <c r="E23" s="178"/>
      <c r="F23" s="179"/>
      <c r="G23" s="180"/>
      <c r="H23" s="161" t="s">
        <v>43</v>
      </c>
      <c r="I23" s="186">
        <v>500</v>
      </c>
      <c r="J23" s="186">
        <v>20</v>
      </c>
      <c r="K23" s="143">
        <f>I23+J23</f>
        <v>520</v>
      </c>
      <c r="L23" s="143"/>
      <c r="M23" s="194">
        <f t="shared" si="1"/>
        <v>520</v>
      </c>
      <c r="N23" s="144"/>
      <c r="O23" s="144">
        <f>M23</f>
        <v>520</v>
      </c>
      <c r="P23" s="142">
        <f t="shared" si="0"/>
        <v>546</v>
      </c>
    </row>
    <row r="24" spans="1:16" ht="15" customHeight="1">
      <c r="A24" s="184"/>
      <c r="B24" s="1122" t="s">
        <v>48</v>
      </c>
      <c r="C24" s="195"/>
      <c r="D24" s="198" t="s">
        <v>1088</v>
      </c>
      <c r="E24" s="178"/>
      <c r="F24" s="179">
        <v>1</v>
      </c>
      <c r="G24" s="180">
        <v>180</v>
      </c>
      <c r="H24" s="151" t="s">
        <v>43</v>
      </c>
      <c r="I24" s="154">
        <f>F24*G24</f>
        <v>180</v>
      </c>
      <c r="J24" s="186">
        <v>0</v>
      </c>
      <c r="K24" s="143">
        <f>I24+J24</f>
        <v>180</v>
      </c>
      <c r="L24" s="1116"/>
      <c r="M24" s="194">
        <f t="shared" si="1"/>
        <v>180</v>
      </c>
      <c r="N24" s="200" t="s">
        <v>50</v>
      </c>
      <c r="O24" s="147">
        <f>M24</f>
        <v>180</v>
      </c>
      <c r="P24" s="147">
        <f t="shared" si="0"/>
        <v>189</v>
      </c>
    </row>
    <row r="25" spans="1:16">
      <c r="A25" s="184"/>
      <c r="B25" s="1123"/>
      <c r="C25" s="195"/>
      <c r="D25" s="198"/>
      <c r="E25" s="178"/>
      <c r="F25" s="179"/>
      <c r="G25" s="199"/>
      <c r="H25" s="201"/>
      <c r="I25" s="202"/>
      <c r="J25" s="186"/>
      <c r="K25" s="143"/>
      <c r="L25" s="1117"/>
      <c r="M25" s="203"/>
      <c r="N25" s="200"/>
      <c r="O25" s="148"/>
      <c r="P25" s="148"/>
    </row>
    <row r="26" spans="1:16">
      <c r="A26" s="184"/>
      <c r="B26" s="185" t="s">
        <v>49</v>
      </c>
      <c r="C26" s="195">
        <v>0.22</v>
      </c>
      <c r="D26" s="198" t="s">
        <v>310</v>
      </c>
      <c r="E26" s="178" t="s">
        <v>311</v>
      </c>
      <c r="F26" s="179">
        <f>1000/(C26*6)</f>
        <v>757.57575757575751</v>
      </c>
      <c r="G26" s="180">
        <v>6</v>
      </c>
      <c r="H26" s="142" t="s">
        <v>40</v>
      </c>
      <c r="I26" s="154">
        <f>F26*G26</f>
        <v>4545.454545454545</v>
      </c>
      <c r="J26" s="186">
        <v>20</v>
      </c>
      <c r="K26" s="149">
        <f>J26+I26</f>
        <v>4565.454545454545</v>
      </c>
      <c r="L26" s="149"/>
      <c r="M26" s="161">
        <f>K26+L26</f>
        <v>4565.454545454545</v>
      </c>
      <c r="N26" s="144" t="s">
        <v>64</v>
      </c>
      <c r="O26" s="142">
        <f>M26/1000</f>
        <v>4.5654545454545454</v>
      </c>
      <c r="P26" s="142">
        <f t="shared" si="0"/>
        <v>4.7937272727272724</v>
      </c>
    </row>
    <row r="27" spans="1:16">
      <c r="A27" s="193"/>
      <c r="B27" s="185" t="s">
        <v>51</v>
      </c>
      <c r="C27" s="195">
        <v>150</v>
      </c>
      <c r="D27" s="198" t="s">
        <v>19</v>
      </c>
      <c r="E27" s="178" t="s">
        <v>344</v>
      </c>
      <c r="F27" s="179">
        <v>1</v>
      </c>
      <c r="G27" s="180">
        <v>500</v>
      </c>
      <c r="H27" s="142" t="s">
        <v>203</v>
      </c>
      <c r="I27" s="154">
        <f>F27*G27</f>
        <v>500</v>
      </c>
      <c r="J27" s="186">
        <v>5</v>
      </c>
      <c r="K27" s="149">
        <f>J27+I27</f>
        <v>505</v>
      </c>
      <c r="L27" s="161"/>
      <c r="M27" s="161">
        <f>K27+L27</f>
        <v>505</v>
      </c>
      <c r="N27" s="144" t="s">
        <v>67</v>
      </c>
      <c r="O27" s="142">
        <f>M27/150</f>
        <v>3.3666666666666667</v>
      </c>
      <c r="P27" s="142">
        <f t="shared" si="0"/>
        <v>3.5350000000000001</v>
      </c>
    </row>
    <row r="28" spans="1:16">
      <c r="A28" s="78"/>
      <c r="B28" s="204" t="s">
        <v>299</v>
      </c>
      <c r="C28" s="195"/>
      <c r="D28" s="198"/>
      <c r="E28" s="178"/>
      <c r="F28" s="179"/>
      <c r="G28" s="180"/>
      <c r="H28" s="151"/>
      <c r="I28" s="152"/>
      <c r="J28" s="190"/>
      <c r="K28" s="150"/>
      <c r="L28" s="151"/>
      <c r="M28" s="151"/>
      <c r="N28" s="144"/>
      <c r="O28" s="151"/>
      <c r="P28" s="152"/>
    </row>
    <row r="29" spans="1:16">
      <c r="A29" s="184"/>
      <c r="B29" s="205" t="s">
        <v>53</v>
      </c>
      <c r="C29" s="195">
        <v>0.87</v>
      </c>
      <c r="D29" s="198" t="s">
        <v>310</v>
      </c>
      <c r="E29" s="178" t="s">
        <v>311</v>
      </c>
      <c r="F29" s="179">
        <f>1000/(C29*6)</f>
        <v>191.57088122605364</v>
      </c>
      <c r="G29" s="180">
        <v>15</v>
      </c>
      <c r="H29" s="154" t="s">
        <v>40</v>
      </c>
      <c r="I29" s="154">
        <f>F29*G29</f>
        <v>2873.5632183908046</v>
      </c>
      <c r="J29" s="182">
        <v>20</v>
      </c>
      <c r="K29" s="153">
        <f t="shared" ref="K29:K40" si="2">J29+I29</f>
        <v>2893.5632183908046</v>
      </c>
      <c r="L29" s="181"/>
      <c r="M29" s="181">
        <f t="shared" ref="M29:M40" si="3">K29+L29</f>
        <v>2893.5632183908046</v>
      </c>
      <c r="N29" s="144" t="s">
        <v>59</v>
      </c>
      <c r="O29" s="154">
        <f>M29/1000</f>
        <v>2.8935632183908044</v>
      </c>
      <c r="P29" s="154">
        <f t="shared" si="0"/>
        <v>3.0382413793103447</v>
      </c>
    </row>
    <row r="30" spans="1:16">
      <c r="A30" s="184"/>
      <c r="B30" s="205" t="s">
        <v>302</v>
      </c>
      <c r="C30" s="195">
        <v>6</v>
      </c>
      <c r="D30" s="198" t="s">
        <v>310</v>
      </c>
      <c r="E30" s="178" t="s">
        <v>303</v>
      </c>
      <c r="F30" s="179">
        <f>1000/(C30)</f>
        <v>166.66666666666666</v>
      </c>
      <c r="G30" s="180">
        <v>14</v>
      </c>
      <c r="H30" s="154" t="s">
        <v>40</v>
      </c>
      <c r="I30" s="154">
        <f t="shared" ref="I30:I35" si="4">F30*G30</f>
        <v>2333.333333333333</v>
      </c>
      <c r="J30" s="182">
        <v>20</v>
      </c>
      <c r="K30" s="153">
        <f t="shared" si="2"/>
        <v>2353.333333333333</v>
      </c>
      <c r="L30" s="181"/>
      <c r="M30" s="181">
        <f t="shared" si="3"/>
        <v>2353.333333333333</v>
      </c>
      <c r="N30" s="144" t="s">
        <v>67</v>
      </c>
      <c r="O30" s="144">
        <f>M30/133</f>
        <v>17.694235588972429</v>
      </c>
      <c r="P30" s="142">
        <f t="shared" si="0"/>
        <v>18.578947368421051</v>
      </c>
    </row>
    <row r="31" spans="1:16">
      <c r="A31" s="184"/>
      <c r="B31" s="205" t="s">
        <v>219</v>
      </c>
      <c r="C31" s="195">
        <v>1.87</v>
      </c>
      <c r="D31" s="198" t="s">
        <v>313</v>
      </c>
      <c r="E31" s="178" t="s">
        <v>240</v>
      </c>
      <c r="F31" s="179">
        <f>1000/(C31*11.52)</f>
        <v>46.420083184789064</v>
      </c>
      <c r="G31" s="180">
        <v>17</v>
      </c>
      <c r="H31" s="142" t="s">
        <v>40</v>
      </c>
      <c r="I31" s="154">
        <f t="shared" si="4"/>
        <v>789.14141414141409</v>
      </c>
      <c r="J31" s="186">
        <v>20</v>
      </c>
      <c r="K31" s="149">
        <f t="shared" si="2"/>
        <v>809.14141414141409</v>
      </c>
      <c r="L31" s="161"/>
      <c r="M31" s="161">
        <f t="shared" si="3"/>
        <v>809.14141414141409</v>
      </c>
      <c r="N31" s="144" t="s">
        <v>67</v>
      </c>
      <c r="O31" s="142">
        <f>M31/1000</f>
        <v>0.80914141414141405</v>
      </c>
      <c r="P31" s="142">
        <f t="shared" si="0"/>
        <v>0.84959848484848477</v>
      </c>
    </row>
    <row r="32" spans="1:16">
      <c r="A32" s="184"/>
      <c r="B32" s="205" t="s">
        <v>251</v>
      </c>
      <c r="C32" s="195">
        <v>4.33</v>
      </c>
      <c r="D32" s="198" t="s">
        <v>310</v>
      </c>
      <c r="E32" s="178" t="s">
        <v>253</v>
      </c>
      <c r="F32" s="179">
        <f>1000/(C32*4)</f>
        <v>57.736720554272516</v>
      </c>
      <c r="G32" s="180">
        <v>40</v>
      </c>
      <c r="H32" s="142" t="s">
        <v>40</v>
      </c>
      <c r="I32" s="154">
        <f t="shared" si="4"/>
        <v>2309.4688221709007</v>
      </c>
      <c r="J32" s="186">
        <v>15</v>
      </c>
      <c r="K32" s="149">
        <f t="shared" si="2"/>
        <v>2324.4688221709007</v>
      </c>
      <c r="L32" s="161"/>
      <c r="M32" s="161">
        <f t="shared" si="3"/>
        <v>2324.4688221709007</v>
      </c>
      <c r="N32" s="144" t="s">
        <v>59</v>
      </c>
      <c r="O32" s="142">
        <f>M32/1000</f>
        <v>2.3244688221709007</v>
      </c>
      <c r="P32" s="142">
        <f t="shared" si="0"/>
        <v>2.4406922632794457</v>
      </c>
    </row>
    <row r="33" spans="1:16">
      <c r="A33" s="184"/>
      <c r="B33" s="205" t="s">
        <v>300</v>
      </c>
      <c r="C33" s="195">
        <v>2.46</v>
      </c>
      <c r="D33" s="198" t="s">
        <v>310</v>
      </c>
      <c r="E33" s="178" t="s">
        <v>311</v>
      </c>
      <c r="F33" s="179">
        <f>1000/(C33*6)</f>
        <v>67.750677506775062</v>
      </c>
      <c r="G33" s="180">
        <v>25</v>
      </c>
      <c r="H33" s="142" t="s">
        <v>40</v>
      </c>
      <c r="I33" s="154">
        <f t="shared" si="4"/>
        <v>1693.7669376693766</v>
      </c>
      <c r="J33" s="186">
        <v>20</v>
      </c>
      <c r="K33" s="149">
        <f t="shared" si="2"/>
        <v>1713.7669376693766</v>
      </c>
      <c r="L33" s="161"/>
      <c r="M33" s="161">
        <f t="shared" si="3"/>
        <v>1713.7669376693766</v>
      </c>
      <c r="N33" s="144" t="s">
        <v>59</v>
      </c>
      <c r="O33" s="142">
        <f>M33/(F33*6)</f>
        <v>4.2158666666666669</v>
      </c>
      <c r="P33" s="142">
        <f t="shared" si="0"/>
        <v>4.42666</v>
      </c>
    </row>
    <row r="34" spans="1:16">
      <c r="A34" s="184"/>
      <c r="B34" s="205" t="s">
        <v>298</v>
      </c>
      <c r="C34" s="195">
        <v>8.1</v>
      </c>
      <c r="D34" s="198" t="s">
        <v>310</v>
      </c>
      <c r="E34" s="178" t="s">
        <v>311</v>
      </c>
      <c r="F34" s="179">
        <f>1000/(C34*6)</f>
        <v>20.5761316872428</v>
      </c>
      <c r="G34" s="180">
        <v>45</v>
      </c>
      <c r="H34" s="142" t="s">
        <v>40</v>
      </c>
      <c r="I34" s="154">
        <f t="shared" si="4"/>
        <v>925.92592592592598</v>
      </c>
      <c r="J34" s="186">
        <v>20</v>
      </c>
      <c r="K34" s="149">
        <f t="shared" si="2"/>
        <v>945.92592592592598</v>
      </c>
      <c r="L34" s="161"/>
      <c r="M34" s="161">
        <f t="shared" si="3"/>
        <v>945.92592592592598</v>
      </c>
      <c r="N34" s="144" t="s">
        <v>59</v>
      </c>
      <c r="O34" s="142">
        <f>M34/(F34*6)</f>
        <v>7.6619999999999999</v>
      </c>
      <c r="P34" s="142">
        <f t="shared" si="0"/>
        <v>8.0450999999999997</v>
      </c>
    </row>
    <row r="35" spans="1:16">
      <c r="A35" s="184"/>
      <c r="B35" s="205" t="s">
        <v>250</v>
      </c>
      <c r="C35" s="195">
        <v>1.43</v>
      </c>
      <c r="D35" s="198" t="s">
        <v>310</v>
      </c>
      <c r="E35" s="178" t="s">
        <v>258</v>
      </c>
      <c r="F35" s="179">
        <f>1000/(C35*6)</f>
        <v>116.55011655011656</v>
      </c>
      <c r="G35" s="180">
        <v>20</v>
      </c>
      <c r="H35" s="142" t="s">
        <v>40</v>
      </c>
      <c r="I35" s="154">
        <f t="shared" si="4"/>
        <v>2331.0023310023312</v>
      </c>
      <c r="J35" s="186">
        <v>20</v>
      </c>
      <c r="K35" s="149">
        <f t="shared" si="2"/>
        <v>2351.0023310023312</v>
      </c>
      <c r="L35" s="161"/>
      <c r="M35" s="161">
        <f t="shared" si="3"/>
        <v>2351.0023310023312</v>
      </c>
      <c r="N35" s="144" t="s">
        <v>59</v>
      </c>
      <c r="O35" s="142">
        <f>M35/(F35*6)</f>
        <v>3.3619333333333334</v>
      </c>
      <c r="P35" s="142">
        <f t="shared" si="0"/>
        <v>3.53003</v>
      </c>
    </row>
    <row r="36" spans="1:16">
      <c r="A36" s="184"/>
      <c r="B36" s="206" t="s">
        <v>228</v>
      </c>
      <c r="C36" s="195"/>
      <c r="D36" s="198"/>
      <c r="E36" s="178"/>
      <c r="F36" s="179"/>
      <c r="G36" s="180"/>
      <c r="H36" s="151"/>
      <c r="I36" s="154"/>
      <c r="J36" s="190"/>
      <c r="K36" s="150"/>
      <c r="L36" s="151"/>
      <c r="M36" s="151"/>
      <c r="N36" s="144"/>
      <c r="O36" s="144"/>
      <c r="P36" s="142">
        <f t="shared" si="0"/>
        <v>0</v>
      </c>
    </row>
    <row r="37" spans="1:16">
      <c r="A37" s="184"/>
      <c r="B37" s="207" t="s">
        <v>229</v>
      </c>
      <c r="C37" s="195">
        <v>6.2E-2</v>
      </c>
      <c r="D37" s="198" t="s">
        <v>64</v>
      </c>
      <c r="E37" s="178" t="s">
        <v>282</v>
      </c>
      <c r="F37" s="179">
        <f>C37*50</f>
        <v>3.1</v>
      </c>
      <c r="G37" s="180">
        <v>16</v>
      </c>
      <c r="H37" s="181" t="s">
        <v>64</v>
      </c>
      <c r="I37" s="154">
        <f>F37*G37</f>
        <v>49.6</v>
      </c>
      <c r="J37" s="182">
        <v>1.5</v>
      </c>
      <c r="K37" s="153">
        <f t="shared" si="2"/>
        <v>51.1</v>
      </c>
      <c r="L37" s="181"/>
      <c r="M37" s="181">
        <f t="shared" si="3"/>
        <v>51.1</v>
      </c>
      <c r="N37" s="144" t="s">
        <v>62</v>
      </c>
      <c r="O37" s="142">
        <f>M37/16</f>
        <v>3.1937500000000001</v>
      </c>
      <c r="P37" s="142">
        <f t="shared" si="0"/>
        <v>3.3534375000000001</v>
      </c>
    </row>
    <row r="38" spans="1:16">
      <c r="A38" s="184"/>
      <c r="B38" s="208" t="s">
        <v>337</v>
      </c>
      <c r="C38" s="195">
        <v>0.02</v>
      </c>
      <c r="D38" s="198" t="s">
        <v>64</v>
      </c>
      <c r="E38" s="178" t="s">
        <v>336</v>
      </c>
      <c r="F38" s="179">
        <f>C38*50</f>
        <v>1</v>
      </c>
      <c r="G38" s="180">
        <v>11</v>
      </c>
      <c r="H38" s="209" t="s">
        <v>64</v>
      </c>
      <c r="I38" s="154">
        <f>F38*G38</f>
        <v>11</v>
      </c>
      <c r="J38" s="186">
        <v>1.5</v>
      </c>
      <c r="K38" s="149">
        <f t="shared" si="2"/>
        <v>12.5</v>
      </c>
      <c r="L38" s="161"/>
      <c r="M38" s="161">
        <f t="shared" si="3"/>
        <v>12.5</v>
      </c>
      <c r="N38" s="144" t="s">
        <v>62</v>
      </c>
      <c r="O38" s="142">
        <f>M38/16</f>
        <v>0.78125</v>
      </c>
      <c r="P38" s="142">
        <f t="shared" si="0"/>
        <v>0.8203125</v>
      </c>
    </row>
    <row r="39" spans="1:16">
      <c r="A39" s="184"/>
      <c r="B39" s="210" t="s">
        <v>232</v>
      </c>
      <c r="C39" s="195">
        <v>1.5</v>
      </c>
      <c r="D39" s="198" t="s">
        <v>313</v>
      </c>
      <c r="E39" s="178" t="s">
        <v>314</v>
      </c>
      <c r="F39" s="179">
        <f>1000/(C39*16.6666)</f>
        <v>40.000160000640008</v>
      </c>
      <c r="G39" s="180">
        <v>17</v>
      </c>
      <c r="H39" s="142" t="s">
        <v>40</v>
      </c>
      <c r="I39" s="154">
        <f>F39*G39</f>
        <v>680.00272001088013</v>
      </c>
      <c r="J39" s="186">
        <v>20</v>
      </c>
      <c r="K39" s="149">
        <f t="shared" si="2"/>
        <v>700.00272001088013</v>
      </c>
      <c r="L39" s="161"/>
      <c r="M39" s="161">
        <f t="shared" si="3"/>
        <v>700.00272001088013</v>
      </c>
      <c r="N39" s="144" t="s">
        <v>64</v>
      </c>
      <c r="O39" s="142">
        <f>M39/(F39*25)</f>
        <v>0.69999992</v>
      </c>
      <c r="P39" s="142">
        <f t="shared" si="0"/>
        <v>0.73499991600000003</v>
      </c>
    </row>
    <row r="40" spans="1:16">
      <c r="A40" s="193"/>
      <c r="B40" s="211" t="s">
        <v>233</v>
      </c>
      <c r="C40" s="195">
        <v>0.3</v>
      </c>
      <c r="D40" s="198" t="s">
        <v>313</v>
      </c>
      <c r="E40" s="178" t="s">
        <v>315</v>
      </c>
      <c r="F40" s="179">
        <f>1000/(C40*83.33)</f>
        <v>40.00160006400256</v>
      </c>
      <c r="G40" s="180">
        <v>80</v>
      </c>
      <c r="H40" s="152" t="s">
        <v>40</v>
      </c>
      <c r="I40" s="154">
        <f>F40*G40</f>
        <v>3200.1280051202048</v>
      </c>
      <c r="J40" s="186">
        <v>20</v>
      </c>
      <c r="K40" s="149">
        <f t="shared" si="2"/>
        <v>3220.1280051202048</v>
      </c>
      <c r="L40" s="161"/>
      <c r="M40" s="161">
        <f t="shared" si="3"/>
        <v>3220.1280051202048</v>
      </c>
      <c r="N40" s="144" t="s">
        <v>64</v>
      </c>
      <c r="O40" s="142">
        <f>M40/(F40*25)</f>
        <v>3.2199992000000002</v>
      </c>
      <c r="P40" s="142">
        <f t="shared" si="0"/>
        <v>3.38099916</v>
      </c>
    </row>
    <row r="41" spans="1:16">
      <c r="A41" s="184"/>
      <c r="B41" s="211" t="s">
        <v>333</v>
      </c>
      <c r="C41" s="177">
        <v>1</v>
      </c>
      <c r="D41" s="178" t="s">
        <v>62</v>
      </c>
      <c r="E41" s="178" t="s">
        <v>334</v>
      </c>
      <c r="F41" s="179">
        <f>1000/(C41*83.33)</f>
        <v>12.000480019200769</v>
      </c>
      <c r="G41" s="180">
        <v>11</v>
      </c>
      <c r="H41" s="179" t="s">
        <v>19</v>
      </c>
      <c r="I41" s="154">
        <f>F41*G41</f>
        <v>132.00528021120846</v>
      </c>
      <c r="J41" s="186">
        <v>5</v>
      </c>
      <c r="K41" s="149">
        <f t="shared" ref="K41:K68" si="5">J41+I41</f>
        <v>137.00528021120846</v>
      </c>
      <c r="L41" s="161"/>
      <c r="M41" s="161">
        <f t="shared" ref="M41:M89" si="6">K41+L41</f>
        <v>137.00528021120846</v>
      </c>
      <c r="N41" s="144" t="s">
        <v>19</v>
      </c>
      <c r="O41" s="142">
        <f>M41/(F41)</f>
        <v>11.416650000000001</v>
      </c>
      <c r="P41" s="142">
        <f t="shared" ref="P41:P89" si="7">O41*ALEA+O41*AGM+O41</f>
        <v>11.9874825</v>
      </c>
    </row>
    <row r="42" spans="1:16">
      <c r="A42" s="78"/>
      <c r="B42" s="212" t="s">
        <v>68</v>
      </c>
      <c r="C42" s="177">
        <v>1</v>
      </c>
      <c r="D42" s="213" t="s">
        <v>59</v>
      </c>
      <c r="E42" s="178" t="s">
        <v>325</v>
      </c>
      <c r="F42" s="214">
        <v>1</v>
      </c>
      <c r="G42" s="215">
        <v>35</v>
      </c>
      <c r="H42" s="216" t="s">
        <v>59</v>
      </c>
      <c r="I42" s="154">
        <f t="shared" ref="I42:I68" si="8">F42*G42</f>
        <v>35</v>
      </c>
      <c r="J42" s="186">
        <v>1.5</v>
      </c>
      <c r="K42" s="149">
        <f t="shared" si="5"/>
        <v>36.5</v>
      </c>
      <c r="L42" s="161"/>
      <c r="M42" s="161">
        <f t="shared" si="6"/>
        <v>36.5</v>
      </c>
      <c r="N42" s="144" t="s">
        <v>59</v>
      </c>
      <c r="O42" s="142">
        <f t="shared" ref="O42:O49" si="9">M42</f>
        <v>36.5</v>
      </c>
      <c r="P42" s="142">
        <f t="shared" si="7"/>
        <v>38.325000000000003</v>
      </c>
    </row>
    <row r="43" spans="1:16">
      <c r="A43" s="184"/>
      <c r="B43" s="212" t="s">
        <v>69</v>
      </c>
      <c r="C43" s="177">
        <v>1</v>
      </c>
      <c r="D43" s="213" t="s">
        <v>59</v>
      </c>
      <c r="E43" s="184" t="s">
        <v>355</v>
      </c>
      <c r="F43" s="214">
        <f>C43</f>
        <v>1</v>
      </c>
      <c r="G43" s="215">
        <v>17</v>
      </c>
      <c r="H43" s="216" t="s">
        <v>59</v>
      </c>
      <c r="I43" s="154">
        <f t="shared" si="8"/>
        <v>17</v>
      </c>
      <c r="J43" s="186">
        <v>1.5</v>
      </c>
      <c r="K43" s="149">
        <f t="shared" si="5"/>
        <v>18.5</v>
      </c>
      <c r="L43" s="161"/>
      <c r="M43" s="161">
        <f t="shared" si="6"/>
        <v>18.5</v>
      </c>
      <c r="N43" s="144" t="s">
        <v>59</v>
      </c>
      <c r="O43" s="142">
        <f t="shared" si="9"/>
        <v>18.5</v>
      </c>
      <c r="P43" s="142">
        <f t="shared" si="7"/>
        <v>19.425000000000001</v>
      </c>
    </row>
    <row r="44" spans="1:16">
      <c r="A44" s="184"/>
      <c r="B44" s="212" t="s">
        <v>70</v>
      </c>
      <c r="C44" s="177">
        <v>1</v>
      </c>
      <c r="D44" s="213" t="s">
        <v>59</v>
      </c>
      <c r="E44" s="184" t="s">
        <v>355</v>
      </c>
      <c r="F44" s="214">
        <f t="shared" ref="F44:F49" si="10">C44</f>
        <v>1</v>
      </c>
      <c r="G44" s="215">
        <v>17</v>
      </c>
      <c r="H44" s="216" t="s">
        <v>59</v>
      </c>
      <c r="I44" s="154">
        <f t="shared" si="8"/>
        <v>17</v>
      </c>
      <c r="J44" s="186">
        <v>1.5</v>
      </c>
      <c r="K44" s="149">
        <f t="shared" si="5"/>
        <v>18.5</v>
      </c>
      <c r="L44" s="161"/>
      <c r="M44" s="161">
        <f t="shared" si="6"/>
        <v>18.5</v>
      </c>
      <c r="N44" s="144" t="s">
        <v>59</v>
      </c>
      <c r="O44" s="142">
        <f t="shared" si="9"/>
        <v>18.5</v>
      </c>
      <c r="P44" s="142">
        <f t="shared" si="7"/>
        <v>19.425000000000001</v>
      </c>
    </row>
    <row r="45" spans="1:16">
      <c r="A45" s="184"/>
      <c r="B45" s="212" t="s">
        <v>71</v>
      </c>
      <c r="C45" s="177">
        <v>1</v>
      </c>
      <c r="D45" s="213" t="s">
        <v>59</v>
      </c>
      <c r="E45" s="184" t="s">
        <v>356</v>
      </c>
      <c r="F45" s="214">
        <f t="shared" si="10"/>
        <v>1</v>
      </c>
      <c r="G45" s="217">
        <v>17</v>
      </c>
      <c r="H45" s="216" t="s">
        <v>59</v>
      </c>
      <c r="I45" s="154">
        <f t="shared" si="8"/>
        <v>17</v>
      </c>
      <c r="J45" s="186">
        <v>1.5</v>
      </c>
      <c r="K45" s="149">
        <f t="shared" si="5"/>
        <v>18.5</v>
      </c>
      <c r="L45" s="161"/>
      <c r="M45" s="161">
        <f t="shared" si="6"/>
        <v>18.5</v>
      </c>
      <c r="N45" s="144" t="s">
        <v>59</v>
      </c>
      <c r="O45" s="142">
        <f t="shared" si="9"/>
        <v>18.5</v>
      </c>
      <c r="P45" s="142">
        <f t="shared" si="7"/>
        <v>19.425000000000001</v>
      </c>
    </row>
    <row r="46" spans="1:16">
      <c r="A46" s="184"/>
      <c r="B46" s="212" t="s">
        <v>72</v>
      </c>
      <c r="C46" s="177">
        <v>1</v>
      </c>
      <c r="D46" s="213" t="s">
        <v>59</v>
      </c>
      <c r="E46" s="184" t="s">
        <v>355</v>
      </c>
      <c r="F46" s="214">
        <f t="shared" si="10"/>
        <v>1</v>
      </c>
      <c r="G46" s="217">
        <v>35</v>
      </c>
      <c r="H46" s="216" t="s">
        <v>59</v>
      </c>
      <c r="I46" s="154">
        <f t="shared" si="8"/>
        <v>35</v>
      </c>
      <c r="J46" s="186">
        <v>1.5</v>
      </c>
      <c r="K46" s="149">
        <f t="shared" si="5"/>
        <v>36.5</v>
      </c>
      <c r="L46" s="161"/>
      <c r="M46" s="161">
        <f t="shared" si="6"/>
        <v>36.5</v>
      </c>
      <c r="N46" s="144" t="s">
        <v>59</v>
      </c>
      <c r="O46" s="142">
        <f t="shared" si="9"/>
        <v>36.5</v>
      </c>
      <c r="P46" s="142">
        <f t="shared" si="7"/>
        <v>38.325000000000003</v>
      </c>
    </row>
    <row r="47" spans="1:16">
      <c r="A47" s="184"/>
      <c r="B47" s="212" t="s">
        <v>75</v>
      </c>
      <c r="C47" s="177">
        <v>1</v>
      </c>
      <c r="D47" s="213" t="s">
        <v>59</v>
      </c>
      <c r="E47" s="184" t="s">
        <v>357</v>
      </c>
      <c r="F47" s="214">
        <f t="shared" si="10"/>
        <v>1</v>
      </c>
      <c r="G47" s="217">
        <v>35</v>
      </c>
      <c r="H47" s="216" t="s">
        <v>59</v>
      </c>
      <c r="I47" s="154">
        <f t="shared" si="8"/>
        <v>35</v>
      </c>
      <c r="J47" s="186">
        <v>1.5</v>
      </c>
      <c r="K47" s="149">
        <f t="shared" si="5"/>
        <v>36.5</v>
      </c>
      <c r="L47" s="161"/>
      <c r="M47" s="161">
        <f t="shared" si="6"/>
        <v>36.5</v>
      </c>
      <c r="N47" s="144" t="s">
        <v>59</v>
      </c>
      <c r="O47" s="142">
        <f t="shared" si="9"/>
        <v>36.5</v>
      </c>
      <c r="P47" s="142">
        <f t="shared" si="7"/>
        <v>38.325000000000003</v>
      </c>
    </row>
    <row r="48" spans="1:16">
      <c r="A48" s="184"/>
      <c r="B48" s="212" t="s">
        <v>78</v>
      </c>
      <c r="C48" s="177">
        <v>1</v>
      </c>
      <c r="D48" s="213" t="s">
        <v>59</v>
      </c>
      <c r="E48" s="184" t="s">
        <v>357</v>
      </c>
      <c r="F48" s="214">
        <f t="shared" si="10"/>
        <v>1</v>
      </c>
      <c r="G48" s="217">
        <v>35</v>
      </c>
      <c r="H48" s="216" t="s">
        <v>59</v>
      </c>
      <c r="I48" s="154">
        <f t="shared" si="8"/>
        <v>35</v>
      </c>
      <c r="J48" s="186">
        <v>1.5</v>
      </c>
      <c r="K48" s="149">
        <f t="shared" si="5"/>
        <v>36.5</v>
      </c>
      <c r="L48" s="161"/>
      <c r="M48" s="161">
        <f t="shared" si="6"/>
        <v>36.5</v>
      </c>
      <c r="N48" s="144" t="s">
        <v>59</v>
      </c>
      <c r="O48" s="142">
        <f t="shared" si="9"/>
        <v>36.5</v>
      </c>
      <c r="P48" s="142">
        <f t="shared" si="7"/>
        <v>38.325000000000003</v>
      </c>
    </row>
    <row r="49" spans="1:16">
      <c r="A49" s="184"/>
      <c r="B49" s="212" t="s">
        <v>79</v>
      </c>
      <c r="C49" s="177">
        <v>1</v>
      </c>
      <c r="D49" s="213" t="s">
        <v>59</v>
      </c>
      <c r="E49" s="184" t="s">
        <v>358</v>
      </c>
      <c r="F49" s="214">
        <f t="shared" si="10"/>
        <v>1</v>
      </c>
      <c r="G49" s="180">
        <v>25</v>
      </c>
      <c r="H49" s="216" t="s">
        <v>59</v>
      </c>
      <c r="I49" s="154">
        <f t="shared" si="8"/>
        <v>25</v>
      </c>
      <c r="J49" s="186">
        <v>1.5</v>
      </c>
      <c r="K49" s="149">
        <f t="shared" si="5"/>
        <v>26.5</v>
      </c>
      <c r="L49" s="161"/>
      <c r="M49" s="161">
        <f t="shared" si="6"/>
        <v>26.5</v>
      </c>
      <c r="N49" s="144" t="s">
        <v>59</v>
      </c>
      <c r="O49" s="142">
        <f t="shared" si="9"/>
        <v>26.5</v>
      </c>
      <c r="P49" s="142">
        <f t="shared" si="7"/>
        <v>27.824999999999999</v>
      </c>
    </row>
    <row r="50" spans="1:16">
      <c r="A50" s="184"/>
      <c r="B50" s="218" t="s">
        <v>74</v>
      </c>
      <c r="C50" s="177">
        <v>0.12</v>
      </c>
      <c r="D50" s="213" t="s">
        <v>67</v>
      </c>
      <c r="E50" s="184" t="s">
        <v>338</v>
      </c>
      <c r="F50" s="144">
        <f>C50*100/12</f>
        <v>1</v>
      </c>
      <c r="G50" s="180">
        <v>25</v>
      </c>
      <c r="H50" s="216" t="s">
        <v>19</v>
      </c>
      <c r="I50" s="154">
        <f t="shared" si="8"/>
        <v>25</v>
      </c>
      <c r="J50" s="186">
        <v>1</v>
      </c>
      <c r="K50" s="149">
        <f t="shared" si="5"/>
        <v>26</v>
      </c>
      <c r="L50" s="161"/>
      <c r="M50" s="161">
        <f t="shared" si="6"/>
        <v>26</v>
      </c>
      <c r="N50" s="144" t="s">
        <v>19</v>
      </c>
      <c r="O50" s="142">
        <f>M50/100*12</f>
        <v>3.12</v>
      </c>
      <c r="P50" s="142">
        <f t="shared" si="7"/>
        <v>3.2760000000000002</v>
      </c>
    </row>
    <row r="51" spans="1:16">
      <c r="A51" s="184"/>
      <c r="B51" s="218" t="s">
        <v>56</v>
      </c>
      <c r="C51" s="177">
        <v>1</v>
      </c>
      <c r="D51" s="213" t="s">
        <v>313</v>
      </c>
      <c r="E51" s="184" t="s">
        <v>396</v>
      </c>
      <c r="F51" s="144">
        <f>C51*25</f>
        <v>25</v>
      </c>
      <c r="G51" s="180">
        <v>133</v>
      </c>
      <c r="H51" s="216" t="s">
        <v>64</v>
      </c>
      <c r="I51" s="154">
        <f>G51/25</f>
        <v>5.32</v>
      </c>
      <c r="J51" s="186">
        <v>1</v>
      </c>
      <c r="K51" s="149">
        <f t="shared" si="5"/>
        <v>6.32</v>
      </c>
      <c r="L51" s="161"/>
      <c r="M51" s="161">
        <f t="shared" si="6"/>
        <v>6.32</v>
      </c>
      <c r="N51" s="144" t="s">
        <v>67</v>
      </c>
      <c r="O51" s="142">
        <f t="shared" ref="O51:O56" si="11">M51</f>
        <v>6.32</v>
      </c>
      <c r="P51" s="142">
        <f t="shared" si="7"/>
        <v>6.6360000000000001</v>
      </c>
    </row>
    <row r="52" spans="1:16">
      <c r="A52" s="184"/>
      <c r="B52" s="218" t="s">
        <v>57</v>
      </c>
      <c r="C52" s="177">
        <v>0.2</v>
      </c>
      <c r="D52" s="213" t="s">
        <v>313</v>
      </c>
      <c r="E52" s="184" t="s">
        <v>389</v>
      </c>
      <c r="F52" s="144">
        <f>C52*125</f>
        <v>25</v>
      </c>
      <c r="G52" s="180">
        <v>85</v>
      </c>
      <c r="H52" s="216" t="s">
        <v>64</v>
      </c>
      <c r="I52" s="154">
        <f>G52/125</f>
        <v>0.68</v>
      </c>
      <c r="J52" s="186">
        <v>1</v>
      </c>
      <c r="K52" s="149">
        <f t="shared" si="5"/>
        <v>1.6800000000000002</v>
      </c>
      <c r="L52" s="161"/>
      <c r="M52" s="161">
        <f t="shared" si="6"/>
        <v>1.6800000000000002</v>
      </c>
      <c r="N52" s="144" t="s">
        <v>67</v>
      </c>
      <c r="O52" s="142">
        <f t="shared" si="11"/>
        <v>1.6800000000000002</v>
      </c>
      <c r="P52" s="142">
        <f t="shared" si="7"/>
        <v>1.7640000000000002</v>
      </c>
    </row>
    <row r="53" spans="1:16">
      <c r="A53" s="184"/>
      <c r="B53" s="218" t="s">
        <v>58</v>
      </c>
      <c r="C53" s="177">
        <v>0.2</v>
      </c>
      <c r="D53" s="213" t="s">
        <v>313</v>
      </c>
      <c r="E53" s="184" t="s">
        <v>359</v>
      </c>
      <c r="F53" s="144">
        <f>C53*125</f>
        <v>25</v>
      </c>
      <c r="G53" s="180">
        <v>115</v>
      </c>
      <c r="H53" s="216" t="s">
        <v>64</v>
      </c>
      <c r="I53" s="154">
        <f>G53/125</f>
        <v>0.92</v>
      </c>
      <c r="J53" s="186">
        <v>1</v>
      </c>
      <c r="K53" s="149">
        <f t="shared" si="5"/>
        <v>1.92</v>
      </c>
      <c r="L53" s="161"/>
      <c r="M53" s="161">
        <f t="shared" si="6"/>
        <v>1.92</v>
      </c>
      <c r="N53" s="144" t="s">
        <v>67</v>
      </c>
      <c r="O53" s="142">
        <f t="shared" si="11"/>
        <v>1.92</v>
      </c>
      <c r="P53" s="142">
        <f t="shared" si="7"/>
        <v>2.016</v>
      </c>
    </row>
    <row r="54" spans="1:16">
      <c r="A54" s="184"/>
      <c r="B54" s="218" t="s">
        <v>346</v>
      </c>
      <c r="C54" s="177">
        <v>0.5</v>
      </c>
      <c r="D54" s="213" t="s">
        <v>350</v>
      </c>
      <c r="E54" s="184" t="s">
        <v>392</v>
      </c>
      <c r="F54" s="144">
        <f>C54*10/5</f>
        <v>1</v>
      </c>
      <c r="G54" s="180">
        <v>80</v>
      </c>
      <c r="H54" s="216" t="s">
        <v>19</v>
      </c>
      <c r="I54" s="154">
        <f>G54/100</f>
        <v>0.8</v>
      </c>
      <c r="J54" s="186">
        <v>1</v>
      </c>
      <c r="K54" s="149">
        <f>J54+I54</f>
        <v>1.8</v>
      </c>
      <c r="L54" s="161"/>
      <c r="M54" s="161">
        <f>K54+L54</f>
        <v>1.8</v>
      </c>
      <c r="N54" s="144" t="s">
        <v>59</v>
      </c>
      <c r="O54" s="142">
        <f t="shared" si="11"/>
        <v>1.8</v>
      </c>
      <c r="P54" s="142">
        <f>O54*ALEA+O54*AGM+O54</f>
        <v>1.8900000000000001</v>
      </c>
    </row>
    <row r="55" spans="1:16">
      <c r="A55" s="184"/>
      <c r="B55" s="218" t="s">
        <v>60</v>
      </c>
      <c r="C55" s="177">
        <v>0.16</v>
      </c>
      <c r="D55" s="213" t="s">
        <v>313</v>
      </c>
      <c r="E55" s="184" t="s">
        <v>360</v>
      </c>
      <c r="F55" s="144">
        <f>C55*156.25</f>
        <v>25</v>
      </c>
      <c r="G55" s="180">
        <v>73</v>
      </c>
      <c r="H55" s="216" t="s">
        <v>64</v>
      </c>
      <c r="I55" s="154">
        <f>G55/156</f>
        <v>0.46794871794871795</v>
      </c>
      <c r="J55" s="186">
        <v>1</v>
      </c>
      <c r="K55" s="149">
        <f t="shared" si="5"/>
        <v>1.4679487179487181</v>
      </c>
      <c r="L55" s="161"/>
      <c r="M55" s="161">
        <f t="shared" si="6"/>
        <v>1.4679487179487181</v>
      </c>
      <c r="N55" s="144" t="s">
        <v>67</v>
      </c>
      <c r="O55" s="142">
        <f t="shared" si="11"/>
        <v>1.4679487179487181</v>
      </c>
      <c r="P55" s="142">
        <f t="shared" si="7"/>
        <v>1.5413461538461539</v>
      </c>
    </row>
    <row r="56" spans="1:16">
      <c r="A56" s="184"/>
      <c r="B56" s="218" t="s">
        <v>63</v>
      </c>
      <c r="C56" s="177">
        <v>0.75</v>
      </c>
      <c r="D56" s="213" t="s">
        <v>313</v>
      </c>
      <c r="E56" s="184" t="s">
        <v>361</v>
      </c>
      <c r="F56" s="144">
        <f>C56*33.333</f>
        <v>24.999749999999999</v>
      </c>
      <c r="G56" s="180">
        <v>259</v>
      </c>
      <c r="H56" s="216" t="s">
        <v>64</v>
      </c>
      <c r="I56" s="154">
        <f>G56/33</f>
        <v>7.8484848484848486</v>
      </c>
      <c r="J56" s="186">
        <v>3</v>
      </c>
      <c r="K56" s="149">
        <f t="shared" si="5"/>
        <v>10.848484848484848</v>
      </c>
      <c r="L56" s="161"/>
      <c r="M56" s="161">
        <f t="shared" si="6"/>
        <v>10.848484848484848</v>
      </c>
      <c r="N56" s="144" t="s">
        <v>67</v>
      </c>
      <c r="O56" s="142">
        <f t="shared" si="11"/>
        <v>10.848484848484848</v>
      </c>
      <c r="P56" s="142">
        <f t="shared" si="7"/>
        <v>11.390909090909091</v>
      </c>
    </row>
    <row r="57" spans="1:16">
      <c r="A57" s="184"/>
      <c r="B57" s="218" t="s">
        <v>281</v>
      </c>
      <c r="C57" s="177">
        <v>0.83</v>
      </c>
      <c r="D57" s="213" t="s">
        <v>59</v>
      </c>
      <c r="E57" s="184" t="s">
        <v>339</v>
      </c>
      <c r="F57" s="144">
        <f>C57</f>
        <v>0.83</v>
      </c>
      <c r="G57" s="180">
        <v>100</v>
      </c>
      <c r="H57" s="216" t="s">
        <v>19</v>
      </c>
      <c r="I57" s="154">
        <f t="shared" si="8"/>
        <v>83</v>
      </c>
      <c r="J57" s="186">
        <v>2</v>
      </c>
      <c r="K57" s="149">
        <f t="shared" si="5"/>
        <v>85</v>
      </c>
      <c r="L57" s="161"/>
      <c r="M57" s="161">
        <f t="shared" si="6"/>
        <v>85</v>
      </c>
      <c r="N57" s="144" t="s">
        <v>59</v>
      </c>
      <c r="O57" s="142">
        <f>M57</f>
        <v>85</v>
      </c>
      <c r="P57" s="142">
        <f t="shared" si="7"/>
        <v>89.25</v>
      </c>
    </row>
    <row r="58" spans="1:16">
      <c r="A58" s="184"/>
      <c r="B58" s="218" t="s">
        <v>80</v>
      </c>
      <c r="C58" s="177">
        <v>1</v>
      </c>
      <c r="D58" s="213" t="s">
        <v>67</v>
      </c>
      <c r="E58" s="184" t="s">
        <v>340</v>
      </c>
      <c r="F58" s="144">
        <f>C58</f>
        <v>1</v>
      </c>
      <c r="G58" s="180">
        <v>20</v>
      </c>
      <c r="H58" s="216" t="s">
        <v>67</v>
      </c>
      <c r="I58" s="154">
        <f t="shared" si="8"/>
        <v>20</v>
      </c>
      <c r="J58" s="186">
        <v>0.2</v>
      </c>
      <c r="K58" s="149">
        <f t="shared" si="5"/>
        <v>20.2</v>
      </c>
      <c r="L58" s="161"/>
      <c r="M58" s="161">
        <f t="shared" si="6"/>
        <v>20.2</v>
      </c>
      <c r="N58" s="144" t="s">
        <v>67</v>
      </c>
      <c r="O58" s="142">
        <f>M58</f>
        <v>20.2</v>
      </c>
      <c r="P58" s="142">
        <f t="shared" si="7"/>
        <v>21.21</v>
      </c>
    </row>
    <row r="59" spans="1:16">
      <c r="A59" s="184"/>
      <c r="B59" s="218" t="s">
        <v>81</v>
      </c>
      <c r="C59" s="177">
        <v>1</v>
      </c>
      <c r="D59" s="213" t="s">
        <v>67</v>
      </c>
      <c r="E59" s="184" t="s">
        <v>341</v>
      </c>
      <c r="F59" s="144">
        <f>C59</f>
        <v>1</v>
      </c>
      <c r="G59" s="180">
        <v>20</v>
      </c>
      <c r="H59" s="216" t="s">
        <v>67</v>
      </c>
      <c r="I59" s="154">
        <f t="shared" si="8"/>
        <v>20</v>
      </c>
      <c r="J59" s="186">
        <v>0.2</v>
      </c>
      <c r="K59" s="149">
        <f t="shared" si="5"/>
        <v>20.2</v>
      </c>
      <c r="L59" s="161"/>
      <c r="M59" s="161">
        <f t="shared" si="6"/>
        <v>20.2</v>
      </c>
      <c r="N59" s="144" t="s">
        <v>67</v>
      </c>
      <c r="O59" s="142">
        <f>M59</f>
        <v>20.2</v>
      </c>
      <c r="P59" s="142">
        <f t="shared" si="7"/>
        <v>21.21</v>
      </c>
    </row>
    <row r="60" spans="1:16">
      <c r="A60" s="184"/>
      <c r="B60" s="218" t="s">
        <v>82</v>
      </c>
      <c r="C60" s="177">
        <v>2.4</v>
      </c>
      <c r="D60" s="213" t="s">
        <v>313</v>
      </c>
      <c r="E60" s="184" t="s">
        <v>362</v>
      </c>
      <c r="F60" s="144">
        <f>C60*10.416</f>
        <v>24.9984</v>
      </c>
      <c r="G60" s="180">
        <v>25</v>
      </c>
      <c r="H60" s="216" t="s">
        <v>64</v>
      </c>
      <c r="I60" s="154">
        <f>F60/10.41</f>
        <v>2.4013832853025936</v>
      </c>
      <c r="J60" s="186">
        <v>0.2</v>
      </c>
      <c r="K60" s="149">
        <f t="shared" si="5"/>
        <v>2.6013832853025938</v>
      </c>
      <c r="L60" s="161"/>
      <c r="M60" s="161">
        <f t="shared" si="6"/>
        <v>2.6013832853025938</v>
      </c>
      <c r="N60" s="144" t="s">
        <v>67</v>
      </c>
      <c r="O60" s="142">
        <f>M60</f>
        <v>2.6013832853025938</v>
      </c>
      <c r="P60" s="142">
        <f t="shared" si="7"/>
        <v>2.7314524495677235</v>
      </c>
    </row>
    <row r="61" spans="1:16">
      <c r="A61" s="184"/>
      <c r="B61" s="218" t="s">
        <v>83</v>
      </c>
      <c r="C61" s="177">
        <v>3.12</v>
      </c>
      <c r="D61" s="213" t="s">
        <v>67</v>
      </c>
      <c r="E61" s="184" t="s">
        <v>342</v>
      </c>
      <c r="F61" s="144">
        <f>C61/3.12</f>
        <v>1</v>
      </c>
      <c r="G61" s="180">
        <v>17</v>
      </c>
      <c r="H61" s="216" t="s">
        <v>19</v>
      </c>
      <c r="I61" s="154">
        <f>F61*G61</f>
        <v>17</v>
      </c>
      <c r="J61" s="186">
        <v>0.1</v>
      </c>
      <c r="K61" s="149">
        <f t="shared" si="5"/>
        <v>17.100000000000001</v>
      </c>
      <c r="L61" s="161"/>
      <c r="M61" s="161">
        <f t="shared" si="6"/>
        <v>17.100000000000001</v>
      </c>
      <c r="N61" s="144" t="s">
        <v>67</v>
      </c>
      <c r="O61" s="142">
        <f>M61/C61</f>
        <v>5.4807692307692308</v>
      </c>
      <c r="P61" s="142">
        <f t="shared" si="7"/>
        <v>5.7548076923076925</v>
      </c>
    </row>
    <row r="62" spans="1:16">
      <c r="A62" s="184"/>
      <c r="B62" s="218" t="s">
        <v>352</v>
      </c>
      <c r="C62" s="177">
        <v>4</v>
      </c>
      <c r="D62" s="213" t="s">
        <v>350</v>
      </c>
      <c r="E62" s="184" t="s">
        <v>353</v>
      </c>
      <c r="F62" s="144">
        <f>C62/2.6</f>
        <v>1.5384615384615383</v>
      </c>
      <c r="G62" s="180">
        <v>3.9</v>
      </c>
      <c r="H62" s="216" t="s">
        <v>19</v>
      </c>
      <c r="I62" s="154">
        <f>F62*G62</f>
        <v>5.9999999999999991</v>
      </c>
      <c r="J62" s="186">
        <v>0.01</v>
      </c>
      <c r="K62" s="149">
        <f>J62+I62</f>
        <v>6.0099999999999989</v>
      </c>
      <c r="L62" s="161"/>
      <c r="M62" s="161">
        <f>K62+L62</f>
        <v>6.0099999999999989</v>
      </c>
      <c r="N62" s="144" t="s">
        <v>59</v>
      </c>
      <c r="O62" s="142">
        <f>M62/C62</f>
        <v>1.5024999999999997</v>
      </c>
      <c r="P62" s="142">
        <f>O62*ALEA+O62*AGM+O62</f>
        <v>1.5776249999999998</v>
      </c>
    </row>
    <row r="63" spans="1:16">
      <c r="A63" s="184"/>
      <c r="B63" s="218" t="s">
        <v>351</v>
      </c>
      <c r="C63" s="177">
        <v>2.2000000000000002</v>
      </c>
      <c r="D63" s="213" t="s">
        <v>350</v>
      </c>
      <c r="E63" s="184" t="s">
        <v>354</v>
      </c>
      <c r="F63" s="144">
        <f>C63/3</f>
        <v>0.73333333333333339</v>
      </c>
      <c r="G63" s="180">
        <v>3.1</v>
      </c>
      <c r="H63" s="216" t="s">
        <v>19</v>
      </c>
      <c r="I63" s="154">
        <f t="shared" si="8"/>
        <v>2.2733333333333334</v>
      </c>
      <c r="J63" s="186">
        <v>0.01</v>
      </c>
      <c r="K63" s="149">
        <f t="shared" si="5"/>
        <v>2.2833333333333332</v>
      </c>
      <c r="L63" s="161"/>
      <c r="M63" s="161">
        <f t="shared" si="6"/>
        <v>2.2833333333333332</v>
      </c>
      <c r="N63" s="144" t="s">
        <v>59</v>
      </c>
      <c r="O63" s="142">
        <f>M63</f>
        <v>2.2833333333333332</v>
      </c>
      <c r="P63" s="142">
        <f t="shared" si="7"/>
        <v>2.3975</v>
      </c>
    </row>
    <row r="64" spans="1:16">
      <c r="A64" s="184"/>
      <c r="B64" s="218" t="s">
        <v>343</v>
      </c>
      <c r="C64" s="177">
        <v>0.5</v>
      </c>
      <c r="D64" s="213" t="s">
        <v>313</v>
      </c>
      <c r="E64" s="184" t="s">
        <v>363</v>
      </c>
      <c r="F64" s="144">
        <f>C64*50</f>
        <v>25</v>
      </c>
      <c r="G64" s="180">
        <v>17</v>
      </c>
      <c r="H64" s="216" t="s">
        <v>64</v>
      </c>
      <c r="I64" s="154">
        <f>G64/50</f>
        <v>0.34</v>
      </c>
      <c r="J64" s="186">
        <v>0.2</v>
      </c>
      <c r="K64" s="149">
        <f t="shared" si="5"/>
        <v>0.54</v>
      </c>
      <c r="L64" s="161"/>
      <c r="M64" s="161">
        <f t="shared" si="6"/>
        <v>0.54</v>
      </c>
      <c r="N64" s="144" t="s">
        <v>67</v>
      </c>
      <c r="O64" s="142">
        <f>M64</f>
        <v>0.54</v>
      </c>
      <c r="P64" s="142">
        <f t="shared" si="7"/>
        <v>0.56700000000000006</v>
      </c>
    </row>
    <row r="65" spans="1:16">
      <c r="A65" s="184"/>
      <c r="B65" s="219" t="s">
        <v>347</v>
      </c>
      <c r="C65" s="177">
        <v>20</v>
      </c>
      <c r="D65" s="213" t="s">
        <v>350</v>
      </c>
      <c r="E65" s="184" t="s">
        <v>348</v>
      </c>
      <c r="F65" s="144">
        <f>C65/20</f>
        <v>1</v>
      </c>
      <c r="G65" s="180">
        <v>20</v>
      </c>
      <c r="H65" s="216" t="s">
        <v>19</v>
      </c>
      <c r="I65" s="154">
        <f>F65*G65</f>
        <v>20</v>
      </c>
      <c r="J65" s="186">
        <v>0.01</v>
      </c>
      <c r="K65" s="149">
        <f>J65+I65</f>
        <v>20.010000000000002</v>
      </c>
      <c r="L65" s="161"/>
      <c r="M65" s="161">
        <f>K65+L65</f>
        <v>20.010000000000002</v>
      </c>
      <c r="N65" s="144" t="s">
        <v>59</v>
      </c>
      <c r="O65" s="142">
        <f>M65/C65</f>
        <v>1.0005000000000002</v>
      </c>
      <c r="P65" s="142">
        <f>O65*ALEA+O65*AGM+O65</f>
        <v>1.0505250000000002</v>
      </c>
    </row>
    <row r="66" spans="1:16">
      <c r="A66" s="184"/>
      <c r="B66" s="185" t="s">
        <v>84</v>
      </c>
      <c r="C66" s="177">
        <v>1</v>
      </c>
      <c r="D66" s="213" t="s">
        <v>286</v>
      </c>
      <c r="E66" s="184"/>
      <c r="F66" s="144">
        <v>1</v>
      </c>
      <c r="G66" s="180">
        <v>2</v>
      </c>
      <c r="H66" s="216"/>
      <c r="I66" s="154">
        <f t="shared" si="8"/>
        <v>2</v>
      </c>
      <c r="J66" s="186"/>
      <c r="K66" s="149">
        <f t="shared" si="5"/>
        <v>2</v>
      </c>
      <c r="L66" s="161"/>
      <c r="M66" s="161">
        <f t="shared" si="6"/>
        <v>2</v>
      </c>
      <c r="N66" s="144"/>
      <c r="O66" s="142">
        <f t="shared" ref="O66:O89" si="12">M66</f>
        <v>2</v>
      </c>
      <c r="P66" s="142">
        <f t="shared" si="7"/>
        <v>2.1</v>
      </c>
    </row>
    <row r="67" spans="1:16">
      <c r="A67" s="184"/>
      <c r="B67" s="218" t="s">
        <v>345</v>
      </c>
      <c r="C67" s="177">
        <v>0.5</v>
      </c>
      <c r="D67" s="213" t="s">
        <v>310</v>
      </c>
      <c r="E67" s="184" t="s">
        <v>397</v>
      </c>
      <c r="F67" s="144">
        <f>C67*50</f>
        <v>25</v>
      </c>
      <c r="G67" s="180">
        <v>250</v>
      </c>
      <c r="H67" s="216" t="s">
        <v>64</v>
      </c>
      <c r="I67" s="154">
        <f>F67/50</f>
        <v>0.5</v>
      </c>
      <c r="J67" s="186">
        <v>0.1</v>
      </c>
      <c r="K67" s="149">
        <f t="shared" si="5"/>
        <v>0.6</v>
      </c>
      <c r="L67" s="161"/>
      <c r="M67" s="161">
        <f t="shared" si="6"/>
        <v>0.6</v>
      </c>
      <c r="N67" s="144" t="s">
        <v>59</v>
      </c>
      <c r="O67" s="142">
        <f t="shared" si="12"/>
        <v>0.6</v>
      </c>
      <c r="P67" s="155">
        <f>Apro.Chantier!$P$50</f>
        <v>3.2760000000000002</v>
      </c>
    </row>
    <row r="68" spans="1:16">
      <c r="A68" s="184"/>
      <c r="B68" s="218" t="s">
        <v>55</v>
      </c>
      <c r="C68" s="177">
        <v>1</v>
      </c>
      <c r="D68" s="213" t="s">
        <v>364</v>
      </c>
      <c r="E68" s="184" t="s">
        <v>366</v>
      </c>
      <c r="F68" s="144">
        <v>1</v>
      </c>
      <c r="G68" s="180">
        <v>52</v>
      </c>
      <c r="H68" s="216" t="s">
        <v>19</v>
      </c>
      <c r="I68" s="154">
        <f t="shared" si="8"/>
        <v>52</v>
      </c>
      <c r="J68" s="186">
        <v>0.1</v>
      </c>
      <c r="K68" s="149">
        <f t="shared" si="5"/>
        <v>52.1</v>
      </c>
      <c r="L68" s="161"/>
      <c r="M68" s="161">
        <f t="shared" si="6"/>
        <v>52.1</v>
      </c>
      <c r="N68" s="144" t="s">
        <v>19</v>
      </c>
      <c r="O68" s="142">
        <f t="shared" si="12"/>
        <v>52.1</v>
      </c>
      <c r="P68" s="142">
        <f>O68*ALEA+O68*AGM+O68</f>
        <v>54.704999999999998</v>
      </c>
    </row>
    <row r="69" spans="1:16">
      <c r="A69" s="184"/>
      <c r="B69" s="218" t="s">
        <v>65</v>
      </c>
      <c r="C69" s="177">
        <v>1</v>
      </c>
      <c r="D69" s="213" t="s">
        <v>64</v>
      </c>
      <c r="E69" s="184" t="s">
        <v>399</v>
      </c>
      <c r="F69" s="144">
        <v>200</v>
      </c>
      <c r="G69" s="180">
        <v>8</v>
      </c>
      <c r="H69" s="216" t="s">
        <v>19</v>
      </c>
      <c r="I69" s="154">
        <f>G69/200</f>
        <v>0.04</v>
      </c>
      <c r="J69" s="186">
        <v>1.1000000000000001</v>
      </c>
      <c r="K69" s="149">
        <f>J69+I69</f>
        <v>1.1400000000000001</v>
      </c>
      <c r="L69" s="161"/>
      <c r="M69" s="161">
        <f>K69+L69</f>
        <v>1.1400000000000001</v>
      </c>
      <c r="N69" s="144" t="s">
        <v>19</v>
      </c>
      <c r="O69" s="142">
        <f t="shared" si="12"/>
        <v>1.1400000000000001</v>
      </c>
      <c r="P69" s="142">
        <f>O69*ALEA+O69*AGM+O69</f>
        <v>1.1970000000000001</v>
      </c>
    </row>
    <row r="70" spans="1:16">
      <c r="A70" s="184"/>
      <c r="B70" s="218" t="s">
        <v>66</v>
      </c>
      <c r="C70" s="177">
        <v>0.83</v>
      </c>
      <c r="D70" s="213" t="s">
        <v>67</v>
      </c>
      <c r="E70" s="184" t="s">
        <v>400</v>
      </c>
      <c r="F70" s="144">
        <v>1</v>
      </c>
      <c r="G70" s="180">
        <v>11</v>
      </c>
      <c r="H70" s="216" t="s">
        <v>19</v>
      </c>
      <c r="I70" s="154">
        <f>G70*0.83</f>
        <v>9.129999999999999</v>
      </c>
      <c r="J70" s="186">
        <v>1</v>
      </c>
      <c r="K70" s="149">
        <f>J70+I70</f>
        <v>10.129999999999999</v>
      </c>
      <c r="L70" s="161"/>
      <c r="M70" s="161">
        <f>K70+L70</f>
        <v>10.129999999999999</v>
      </c>
      <c r="N70" s="144"/>
      <c r="O70" s="142">
        <f t="shared" si="12"/>
        <v>10.129999999999999</v>
      </c>
      <c r="P70" s="142">
        <f>O70*ALEA+O70*AGM+O70</f>
        <v>10.636499999999998</v>
      </c>
    </row>
    <row r="71" spans="1:16">
      <c r="A71" s="184"/>
      <c r="B71" s="218" t="s">
        <v>393</v>
      </c>
      <c r="C71" s="177">
        <v>0.5</v>
      </c>
      <c r="D71" s="213" t="s">
        <v>394</v>
      </c>
      <c r="E71" s="184" t="s">
        <v>395</v>
      </c>
      <c r="F71" s="144">
        <f>C71*50</f>
        <v>25</v>
      </c>
      <c r="G71" s="180">
        <v>60</v>
      </c>
      <c r="H71" s="216" t="s">
        <v>64</v>
      </c>
      <c r="I71" s="154">
        <f>G71/50</f>
        <v>1.2</v>
      </c>
      <c r="J71" s="186">
        <v>1</v>
      </c>
      <c r="K71" s="149">
        <f>J71+I71</f>
        <v>2.2000000000000002</v>
      </c>
      <c r="L71" s="161"/>
      <c r="M71" s="161">
        <f>K71+L71</f>
        <v>2.2000000000000002</v>
      </c>
      <c r="N71" s="144" t="s">
        <v>67</v>
      </c>
      <c r="O71" s="142">
        <f t="shared" si="12"/>
        <v>2.2000000000000002</v>
      </c>
      <c r="P71" s="142">
        <f>O71*ALEA+O71*AGM+O71</f>
        <v>2.31</v>
      </c>
    </row>
    <row r="72" spans="1:16">
      <c r="A72" s="184"/>
      <c r="B72" s="218" t="s">
        <v>388</v>
      </c>
      <c r="C72" s="177">
        <v>0.26</v>
      </c>
      <c r="D72" s="213" t="s">
        <v>313</v>
      </c>
      <c r="E72" s="184" t="s">
        <v>395</v>
      </c>
      <c r="F72" s="144">
        <f>C72*125</f>
        <v>32.5</v>
      </c>
      <c r="G72" s="180">
        <v>130</v>
      </c>
      <c r="H72" s="216" t="s">
        <v>64</v>
      </c>
      <c r="I72" s="154">
        <f>G72/50</f>
        <v>2.6</v>
      </c>
      <c r="J72" s="186">
        <v>1</v>
      </c>
      <c r="K72" s="149">
        <f>J72+I72</f>
        <v>3.6</v>
      </c>
      <c r="L72" s="161"/>
      <c r="M72" s="161">
        <f>K72+L72</f>
        <v>3.6</v>
      </c>
      <c r="N72" s="144" t="s">
        <v>67</v>
      </c>
      <c r="O72" s="142">
        <f t="shared" si="12"/>
        <v>3.6</v>
      </c>
      <c r="P72" s="142">
        <f>O72*ALEA+O72*AGM+O72</f>
        <v>3.7800000000000002</v>
      </c>
    </row>
    <row r="73" spans="1:16">
      <c r="A73" s="193"/>
      <c r="B73" s="220" t="s">
        <v>349</v>
      </c>
      <c r="C73" s="177">
        <v>1</v>
      </c>
      <c r="D73" s="213" t="s">
        <v>67</v>
      </c>
      <c r="E73" s="184">
        <v>50</v>
      </c>
      <c r="F73" s="144">
        <f>E73/G73</f>
        <v>2.2727272727272728E-2</v>
      </c>
      <c r="G73" s="180">
        <v>2200</v>
      </c>
      <c r="H73" s="216" t="s">
        <v>67</v>
      </c>
      <c r="I73" s="154">
        <f>F73*G73</f>
        <v>50</v>
      </c>
      <c r="J73" s="186">
        <v>2</v>
      </c>
      <c r="K73" s="149">
        <f>J73+I73</f>
        <v>52</v>
      </c>
      <c r="L73" s="161"/>
      <c r="M73" s="161">
        <f t="shared" si="6"/>
        <v>52</v>
      </c>
      <c r="N73" s="181" t="s">
        <v>67</v>
      </c>
      <c r="O73" s="142">
        <f t="shared" si="12"/>
        <v>52</v>
      </c>
      <c r="P73" s="142">
        <f t="shared" si="7"/>
        <v>54.6</v>
      </c>
    </row>
    <row r="74" spans="1:16">
      <c r="B74" s="78" t="s">
        <v>1038</v>
      </c>
      <c r="C74" s="221">
        <v>1</v>
      </c>
      <c r="D74" s="221" t="s">
        <v>62</v>
      </c>
      <c r="E74" s="78"/>
      <c r="F74" s="78">
        <v>1</v>
      </c>
      <c r="G74" s="78">
        <v>200</v>
      </c>
      <c r="H74" s="222" t="s">
        <v>19</v>
      </c>
      <c r="I74" s="223">
        <f t="shared" ref="I74:I89" si="13">F74*G74</f>
        <v>200</v>
      </c>
      <c r="J74" s="186">
        <v>1</v>
      </c>
      <c r="K74" s="149">
        <f t="shared" ref="K74:K89" si="14">J74+I74</f>
        <v>201</v>
      </c>
      <c r="M74" s="161">
        <f t="shared" si="6"/>
        <v>201</v>
      </c>
      <c r="N74" s="79" t="s">
        <v>19</v>
      </c>
      <c r="O74" s="142">
        <f t="shared" si="12"/>
        <v>201</v>
      </c>
      <c r="P74" s="142">
        <f t="shared" si="7"/>
        <v>211.05</v>
      </c>
    </row>
    <row r="75" spans="1:16">
      <c r="B75" s="184" t="s">
        <v>1039</v>
      </c>
      <c r="C75" s="213">
        <v>1</v>
      </c>
      <c r="D75" s="213" t="s">
        <v>62</v>
      </c>
      <c r="E75" s="184"/>
      <c r="F75" s="184">
        <v>1</v>
      </c>
      <c r="G75" s="184">
        <v>150</v>
      </c>
      <c r="H75" s="216" t="s">
        <v>19</v>
      </c>
      <c r="I75" s="223">
        <f t="shared" si="13"/>
        <v>150</v>
      </c>
      <c r="J75" s="186">
        <v>1</v>
      </c>
      <c r="K75" s="149">
        <f t="shared" si="14"/>
        <v>151</v>
      </c>
      <c r="M75" s="161">
        <f t="shared" si="6"/>
        <v>151</v>
      </c>
      <c r="N75" s="79" t="s">
        <v>19</v>
      </c>
      <c r="O75" s="142">
        <f t="shared" si="12"/>
        <v>151</v>
      </c>
      <c r="P75" s="142">
        <f t="shared" si="7"/>
        <v>158.55000000000001</v>
      </c>
    </row>
    <row r="76" spans="1:16">
      <c r="B76" s="184" t="s">
        <v>1056</v>
      </c>
      <c r="C76" s="213">
        <v>1</v>
      </c>
      <c r="D76" s="213" t="s">
        <v>62</v>
      </c>
      <c r="E76" s="184"/>
      <c r="F76" s="184">
        <v>1</v>
      </c>
      <c r="G76" s="184">
        <v>160</v>
      </c>
      <c r="H76" s="216" t="s">
        <v>19</v>
      </c>
      <c r="I76" s="223">
        <f>F76*G76</f>
        <v>160</v>
      </c>
      <c r="J76" s="186">
        <v>1</v>
      </c>
      <c r="K76" s="149">
        <f>J76+I76</f>
        <v>161</v>
      </c>
      <c r="M76" s="161">
        <f>K76+L76</f>
        <v>161</v>
      </c>
      <c r="N76" s="79" t="s">
        <v>19</v>
      </c>
      <c r="O76" s="142">
        <f>M76</f>
        <v>161</v>
      </c>
      <c r="P76" s="142">
        <f>O76*ALEA+O76*AGM+O76</f>
        <v>169.05</v>
      </c>
    </row>
    <row r="77" spans="1:16">
      <c r="B77" s="184" t="s">
        <v>1040</v>
      </c>
      <c r="C77" s="213">
        <v>1</v>
      </c>
      <c r="D77" s="213" t="s">
        <v>62</v>
      </c>
      <c r="E77" s="184"/>
      <c r="F77" s="184">
        <v>1</v>
      </c>
      <c r="G77" s="184">
        <v>100</v>
      </c>
      <c r="H77" s="216" t="s">
        <v>19</v>
      </c>
      <c r="I77" s="223">
        <f t="shared" si="13"/>
        <v>100</v>
      </c>
      <c r="J77" s="186">
        <v>1</v>
      </c>
      <c r="K77" s="149">
        <f t="shared" si="14"/>
        <v>101</v>
      </c>
      <c r="M77" s="161">
        <f t="shared" si="6"/>
        <v>101</v>
      </c>
      <c r="N77" s="79" t="s">
        <v>19</v>
      </c>
      <c r="O77" s="142">
        <f t="shared" si="12"/>
        <v>101</v>
      </c>
      <c r="P77" s="142">
        <f t="shared" si="7"/>
        <v>106.05</v>
      </c>
    </row>
    <row r="78" spans="1:16">
      <c r="B78" s="184" t="s">
        <v>1046</v>
      </c>
      <c r="C78" s="213">
        <v>1</v>
      </c>
      <c r="D78" s="213" t="s">
        <v>62</v>
      </c>
      <c r="E78" s="184"/>
      <c r="F78" s="184">
        <v>1</v>
      </c>
      <c r="G78" s="184">
        <v>150</v>
      </c>
      <c r="H78" s="216" t="s">
        <v>19</v>
      </c>
      <c r="I78" s="223">
        <f t="shared" si="13"/>
        <v>150</v>
      </c>
      <c r="J78" s="186">
        <v>1</v>
      </c>
      <c r="K78" s="149">
        <f t="shared" si="14"/>
        <v>151</v>
      </c>
      <c r="M78" s="161">
        <f t="shared" si="6"/>
        <v>151</v>
      </c>
      <c r="N78" s="79" t="s">
        <v>19</v>
      </c>
      <c r="O78" s="142">
        <f t="shared" si="12"/>
        <v>151</v>
      </c>
      <c r="P78" s="142">
        <f t="shared" si="7"/>
        <v>158.55000000000001</v>
      </c>
    </row>
    <row r="79" spans="1:16">
      <c r="B79" s="184" t="s">
        <v>1041</v>
      </c>
      <c r="C79" s="213">
        <v>1</v>
      </c>
      <c r="D79" s="213" t="s">
        <v>62</v>
      </c>
      <c r="E79" s="184"/>
      <c r="F79" s="184">
        <v>1</v>
      </c>
      <c r="G79" s="184">
        <v>100</v>
      </c>
      <c r="H79" s="216" t="s">
        <v>19</v>
      </c>
      <c r="I79" s="223">
        <f t="shared" si="13"/>
        <v>100</v>
      </c>
      <c r="J79" s="186">
        <v>1</v>
      </c>
      <c r="K79" s="149">
        <f t="shared" si="14"/>
        <v>101</v>
      </c>
      <c r="M79" s="161">
        <f t="shared" si="6"/>
        <v>101</v>
      </c>
      <c r="N79" s="79" t="s">
        <v>19</v>
      </c>
      <c r="O79" s="142">
        <f t="shared" si="12"/>
        <v>101</v>
      </c>
      <c r="P79" s="142">
        <f t="shared" si="7"/>
        <v>106.05</v>
      </c>
    </row>
    <row r="80" spans="1:16">
      <c r="B80" s="184" t="s">
        <v>1042</v>
      </c>
      <c r="C80" s="213">
        <v>1</v>
      </c>
      <c r="D80" s="213" t="s">
        <v>62</v>
      </c>
      <c r="E80" s="184"/>
      <c r="F80" s="184">
        <v>1</v>
      </c>
      <c r="G80" s="184">
        <v>25</v>
      </c>
      <c r="H80" s="216" t="s">
        <v>19</v>
      </c>
      <c r="I80" s="223">
        <f t="shared" si="13"/>
        <v>25</v>
      </c>
      <c r="J80" s="186">
        <v>1</v>
      </c>
      <c r="K80" s="149">
        <f t="shared" si="14"/>
        <v>26</v>
      </c>
      <c r="M80" s="161">
        <f t="shared" si="6"/>
        <v>26</v>
      </c>
      <c r="N80" s="79" t="s">
        <v>19</v>
      </c>
      <c r="O80" s="142">
        <f t="shared" si="12"/>
        <v>26</v>
      </c>
      <c r="P80" s="142">
        <f t="shared" si="7"/>
        <v>27.3</v>
      </c>
    </row>
    <row r="81" spans="2:16">
      <c r="B81" s="184" t="s">
        <v>1043</v>
      </c>
      <c r="C81" s="213">
        <v>1</v>
      </c>
      <c r="D81" s="213" t="s">
        <v>62</v>
      </c>
      <c r="E81" s="184"/>
      <c r="F81" s="184">
        <v>1</v>
      </c>
      <c r="G81" s="184">
        <v>25</v>
      </c>
      <c r="H81" s="216" t="s">
        <v>19</v>
      </c>
      <c r="I81" s="223">
        <f t="shared" si="13"/>
        <v>25</v>
      </c>
      <c r="J81" s="186">
        <v>1</v>
      </c>
      <c r="K81" s="149">
        <f t="shared" si="14"/>
        <v>26</v>
      </c>
      <c r="M81" s="161">
        <f t="shared" si="6"/>
        <v>26</v>
      </c>
      <c r="N81" s="79" t="s">
        <v>19</v>
      </c>
      <c r="O81" s="142">
        <f t="shared" si="12"/>
        <v>26</v>
      </c>
      <c r="P81" s="142">
        <f t="shared" si="7"/>
        <v>27.3</v>
      </c>
    </row>
    <row r="82" spans="2:16">
      <c r="B82" s="184" t="s">
        <v>1044</v>
      </c>
      <c r="C82" s="213">
        <v>1</v>
      </c>
      <c r="D82" s="213" t="s">
        <v>62</v>
      </c>
      <c r="E82" s="184"/>
      <c r="F82" s="184">
        <v>1</v>
      </c>
      <c r="G82" s="184">
        <v>25</v>
      </c>
      <c r="H82" s="216" t="s">
        <v>19</v>
      </c>
      <c r="I82" s="223">
        <f t="shared" si="13"/>
        <v>25</v>
      </c>
      <c r="J82" s="186">
        <v>1</v>
      </c>
      <c r="K82" s="149">
        <f t="shared" si="14"/>
        <v>26</v>
      </c>
      <c r="M82" s="161">
        <f t="shared" si="6"/>
        <v>26</v>
      </c>
      <c r="N82" s="79" t="s">
        <v>19</v>
      </c>
      <c r="O82" s="142">
        <f t="shared" si="12"/>
        <v>26</v>
      </c>
      <c r="P82" s="142">
        <f t="shared" si="7"/>
        <v>27.3</v>
      </c>
    </row>
    <row r="83" spans="2:16">
      <c r="B83" s="184" t="s">
        <v>1045</v>
      </c>
      <c r="C83" s="213">
        <v>1</v>
      </c>
      <c r="D83" s="213" t="s">
        <v>62</v>
      </c>
      <c r="E83" s="184"/>
      <c r="F83" s="184">
        <v>1</v>
      </c>
      <c r="G83" s="184">
        <v>15</v>
      </c>
      <c r="H83" s="216" t="s">
        <v>19</v>
      </c>
      <c r="I83" s="223">
        <f t="shared" si="13"/>
        <v>15</v>
      </c>
      <c r="J83" s="186">
        <v>1</v>
      </c>
      <c r="K83" s="149">
        <f t="shared" si="14"/>
        <v>16</v>
      </c>
      <c r="M83" s="161">
        <f t="shared" si="6"/>
        <v>16</v>
      </c>
      <c r="N83" s="79" t="s">
        <v>19</v>
      </c>
      <c r="O83" s="142">
        <f t="shared" si="12"/>
        <v>16</v>
      </c>
      <c r="P83" s="142">
        <f t="shared" si="7"/>
        <v>16.8</v>
      </c>
    </row>
    <row r="84" spans="2:16">
      <c r="B84" s="184" t="s">
        <v>1047</v>
      </c>
      <c r="C84" s="213">
        <v>1</v>
      </c>
      <c r="D84" s="213" t="s">
        <v>62</v>
      </c>
      <c r="E84" s="184"/>
      <c r="F84" s="184">
        <v>1</v>
      </c>
      <c r="G84" s="184">
        <v>17</v>
      </c>
      <c r="H84" s="216" t="s">
        <v>19</v>
      </c>
      <c r="I84" s="223">
        <f t="shared" si="13"/>
        <v>17</v>
      </c>
      <c r="J84" s="186">
        <v>1</v>
      </c>
      <c r="K84" s="149">
        <f t="shared" si="14"/>
        <v>18</v>
      </c>
      <c r="M84" s="161">
        <f t="shared" si="6"/>
        <v>18</v>
      </c>
      <c r="N84" s="79" t="s">
        <v>19</v>
      </c>
      <c r="O84" s="142">
        <f t="shared" si="12"/>
        <v>18</v>
      </c>
      <c r="P84" s="142">
        <f t="shared" si="7"/>
        <v>18.899999999999999</v>
      </c>
    </row>
    <row r="85" spans="2:16">
      <c r="B85" s="184" t="s">
        <v>1048</v>
      </c>
      <c r="C85" s="213">
        <v>1</v>
      </c>
      <c r="D85" s="213" t="s">
        <v>62</v>
      </c>
      <c r="E85" s="184"/>
      <c r="F85" s="184">
        <v>1</v>
      </c>
      <c r="G85" s="184">
        <v>1.5</v>
      </c>
      <c r="H85" s="216" t="s">
        <v>19</v>
      </c>
      <c r="I85" s="223">
        <f t="shared" si="13"/>
        <v>1.5</v>
      </c>
      <c r="J85" s="186">
        <v>1</v>
      </c>
      <c r="K85" s="149">
        <f t="shared" si="14"/>
        <v>2.5</v>
      </c>
      <c r="M85" s="161">
        <f t="shared" si="6"/>
        <v>2.5</v>
      </c>
      <c r="N85" s="79" t="s">
        <v>19</v>
      </c>
      <c r="O85" s="142">
        <f t="shared" si="12"/>
        <v>2.5</v>
      </c>
      <c r="P85" s="142">
        <f t="shared" si="7"/>
        <v>2.625</v>
      </c>
    </row>
    <row r="86" spans="2:16">
      <c r="B86" s="184" t="s">
        <v>1049</v>
      </c>
      <c r="C86" s="213">
        <v>1</v>
      </c>
      <c r="D86" s="213" t="s">
        <v>62</v>
      </c>
      <c r="E86" s="184"/>
      <c r="F86" s="184">
        <v>1</v>
      </c>
      <c r="G86" s="184">
        <v>8</v>
      </c>
      <c r="H86" s="216" t="s">
        <v>19</v>
      </c>
      <c r="I86" s="223">
        <f t="shared" si="13"/>
        <v>8</v>
      </c>
      <c r="J86" s="186">
        <v>1</v>
      </c>
      <c r="K86" s="149">
        <f t="shared" si="14"/>
        <v>9</v>
      </c>
      <c r="M86" s="161">
        <f t="shared" si="6"/>
        <v>9</v>
      </c>
      <c r="N86" s="79" t="s">
        <v>19</v>
      </c>
      <c r="O86" s="142">
        <f t="shared" si="12"/>
        <v>9</v>
      </c>
      <c r="P86" s="142">
        <f t="shared" si="7"/>
        <v>9.4499999999999993</v>
      </c>
    </row>
    <row r="87" spans="2:16">
      <c r="B87" s="184" t="s">
        <v>1055</v>
      </c>
      <c r="C87" s="213">
        <v>1</v>
      </c>
      <c r="D87" s="213" t="s">
        <v>62</v>
      </c>
      <c r="E87" s="184"/>
      <c r="F87" s="184">
        <v>1</v>
      </c>
      <c r="G87" s="184">
        <v>17</v>
      </c>
      <c r="H87" s="216" t="s">
        <v>19</v>
      </c>
      <c r="I87" s="223">
        <f t="shared" si="13"/>
        <v>17</v>
      </c>
      <c r="J87" s="186">
        <v>1</v>
      </c>
      <c r="K87" s="149">
        <f t="shared" si="14"/>
        <v>18</v>
      </c>
      <c r="M87" s="161">
        <f t="shared" si="6"/>
        <v>18</v>
      </c>
      <c r="N87" s="79" t="s">
        <v>19</v>
      </c>
      <c r="O87" s="142">
        <f t="shared" si="12"/>
        <v>18</v>
      </c>
      <c r="P87" s="142">
        <f t="shared" si="7"/>
        <v>18.899999999999999</v>
      </c>
    </row>
    <row r="88" spans="2:16">
      <c r="B88" s="184" t="s">
        <v>1050</v>
      </c>
      <c r="C88" s="213">
        <v>1</v>
      </c>
      <c r="D88" s="213" t="s">
        <v>62</v>
      </c>
      <c r="E88" s="184"/>
      <c r="F88" s="184">
        <v>1</v>
      </c>
      <c r="G88" s="184">
        <v>12</v>
      </c>
      <c r="H88" s="216" t="s">
        <v>19</v>
      </c>
      <c r="I88" s="223">
        <f t="shared" si="13"/>
        <v>12</v>
      </c>
      <c r="J88" s="186">
        <v>1</v>
      </c>
      <c r="K88" s="149">
        <f t="shared" si="14"/>
        <v>13</v>
      </c>
      <c r="M88" s="161">
        <f t="shared" si="6"/>
        <v>13</v>
      </c>
      <c r="N88" s="79" t="s">
        <v>19</v>
      </c>
      <c r="O88" s="142">
        <f t="shared" si="12"/>
        <v>13</v>
      </c>
      <c r="P88" s="142">
        <f t="shared" si="7"/>
        <v>13.65</v>
      </c>
    </row>
    <row r="89" spans="2:16">
      <c r="B89" s="193" t="s">
        <v>1051</v>
      </c>
      <c r="C89" s="224">
        <v>1</v>
      </c>
      <c r="D89" s="224" t="s">
        <v>62</v>
      </c>
      <c r="E89" s="193"/>
      <c r="F89" s="193">
        <v>1</v>
      </c>
      <c r="G89" s="193">
        <v>20</v>
      </c>
      <c r="H89" s="225" t="s">
        <v>19</v>
      </c>
      <c r="I89" s="223">
        <f t="shared" si="13"/>
        <v>20</v>
      </c>
      <c r="J89" s="186">
        <v>1</v>
      </c>
      <c r="K89" s="149">
        <f t="shared" si="14"/>
        <v>21</v>
      </c>
      <c r="M89" s="161">
        <f t="shared" si="6"/>
        <v>21</v>
      </c>
      <c r="N89" s="79" t="s">
        <v>19</v>
      </c>
      <c r="O89" s="142">
        <f t="shared" si="12"/>
        <v>21</v>
      </c>
      <c r="P89" s="142">
        <f t="shared" si="7"/>
        <v>22.05</v>
      </c>
    </row>
    <row r="90" spans="2:16">
      <c r="B90" s="193" t="s">
        <v>1052</v>
      </c>
      <c r="C90" s="224">
        <v>1</v>
      </c>
      <c r="D90" s="224" t="s">
        <v>59</v>
      </c>
      <c r="E90" s="193"/>
      <c r="F90" s="193">
        <v>1</v>
      </c>
      <c r="G90" s="193">
        <v>2.4</v>
      </c>
      <c r="H90" s="225" t="s">
        <v>19</v>
      </c>
      <c r="I90" s="223">
        <f>F90*G90</f>
        <v>2.4</v>
      </c>
      <c r="J90" s="186">
        <v>1</v>
      </c>
      <c r="K90" s="149">
        <f>J90+I90</f>
        <v>3.4</v>
      </c>
      <c r="M90" s="161">
        <f>K90+L90</f>
        <v>3.4</v>
      </c>
      <c r="N90" s="79" t="s">
        <v>19</v>
      </c>
      <c r="O90" s="142">
        <f>M90</f>
        <v>3.4</v>
      </c>
      <c r="P90" s="142">
        <f>O90*ALEA+O90*AGM+O90</f>
        <v>3.57</v>
      </c>
    </row>
    <row r="91" spans="2:16">
      <c r="B91" s="193" t="s">
        <v>1053</v>
      </c>
      <c r="C91" s="224">
        <v>1</v>
      </c>
      <c r="D91" s="224" t="s">
        <v>59</v>
      </c>
      <c r="E91" s="193"/>
      <c r="F91" s="193">
        <v>1</v>
      </c>
      <c r="G91" s="193">
        <v>3</v>
      </c>
      <c r="H91" s="225" t="s">
        <v>19</v>
      </c>
      <c r="I91" s="223">
        <f>F91*G91</f>
        <v>3</v>
      </c>
      <c r="J91" s="186">
        <v>1</v>
      </c>
      <c r="K91" s="149">
        <f>J91+I91</f>
        <v>4</v>
      </c>
      <c r="M91" s="161">
        <f>K91+L91</f>
        <v>4</v>
      </c>
      <c r="N91" s="79" t="s">
        <v>19</v>
      </c>
      <c r="O91" s="142">
        <f>M91</f>
        <v>4</v>
      </c>
      <c r="P91" s="142">
        <f>O91*ALEA+O91*AGM+O91</f>
        <v>4.2</v>
      </c>
    </row>
    <row r="92" spans="2:16">
      <c r="B92" s="193" t="s">
        <v>1054</v>
      </c>
      <c r="C92" s="224">
        <v>1</v>
      </c>
      <c r="D92" s="224" t="s">
        <v>59</v>
      </c>
      <c r="E92" s="193"/>
      <c r="F92" s="193">
        <v>1</v>
      </c>
      <c r="G92" s="193">
        <v>1.5</v>
      </c>
      <c r="H92" s="225" t="s">
        <v>19</v>
      </c>
      <c r="I92" s="223">
        <f>F92*G92</f>
        <v>1.5</v>
      </c>
      <c r="J92" s="186">
        <v>1</v>
      </c>
      <c r="K92" s="149">
        <f>J92+I92</f>
        <v>2.5</v>
      </c>
      <c r="M92" s="161">
        <f>K92+L92</f>
        <v>2.5</v>
      </c>
      <c r="N92" s="79" t="s">
        <v>19</v>
      </c>
      <c r="O92" s="142">
        <f>M92</f>
        <v>2.5</v>
      </c>
      <c r="P92" s="142">
        <f>O92*ALEA+O92*AGM+O92</f>
        <v>2.625</v>
      </c>
    </row>
    <row r="93" spans="2:16">
      <c r="B93" s="193" t="s">
        <v>1057</v>
      </c>
      <c r="C93" s="224">
        <v>1</v>
      </c>
      <c r="D93" s="224" t="s">
        <v>286</v>
      </c>
      <c r="E93" s="193"/>
      <c r="F93" s="193">
        <v>1</v>
      </c>
      <c r="G93" s="193">
        <v>2</v>
      </c>
      <c r="H93" s="225" t="s">
        <v>19</v>
      </c>
      <c r="I93" s="223">
        <f>F93*G93</f>
        <v>2</v>
      </c>
      <c r="J93" s="186">
        <v>1</v>
      </c>
      <c r="K93" s="149">
        <f>J93+I93</f>
        <v>3</v>
      </c>
      <c r="M93" s="161">
        <f>K93+L93</f>
        <v>3</v>
      </c>
      <c r="N93" s="79" t="s">
        <v>19</v>
      </c>
      <c r="O93" s="142">
        <f>M93</f>
        <v>3</v>
      </c>
      <c r="P93" s="142">
        <f>O93*ALEA+O93*AGM+O93</f>
        <v>3.15</v>
      </c>
    </row>
    <row r="94" spans="2:16">
      <c r="B94" s="193" t="s">
        <v>1070</v>
      </c>
      <c r="C94" s="224">
        <v>1</v>
      </c>
      <c r="D94" s="224" t="s">
        <v>62</v>
      </c>
      <c r="E94" s="193"/>
      <c r="F94" s="193">
        <v>1</v>
      </c>
      <c r="G94" s="193">
        <v>50</v>
      </c>
      <c r="H94" s="225" t="s">
        <v>19</v>
      </c>
      <c r="I94" s="223">
        <f>F94*G94</f>
        <v>50</v>
      </c>
      <c r="J94" s="186">
        <v>2</v>
      </c>
      <c r="K94" s="149">
        <f>J94+I94</f>
        <v>52</v>
      </c>
      <c r="M94" s="161">
        <f>K94+L94</f>
        <v>52</v>
      </c>
      <c r="N94" s="79" t="s">
        <v>19</v>
      </c>
      <c r="O94" s="142">
        <f>M94</f>
        <v>52</v>
      </c>
      <c r="P94" s="142">
        <f>O94*ALEA+O94*AGM+O94</f>
        <v>54.6</v>
      </c>
    </row>
  </sheetData>
  <mergeCells count="15">
    <mergeCell ref="G4:G7"/>
    <mergeCell ref="H4:J4"/>
    <mergeCell ref="H5:I5"/>
    <mergeCell ref="H6:J6"/>
    <mergeCell ref="H7:I7"/>
    <mergeCell ref="A11:A12"/>
    <mergeCell ref="C11:G11"/>
    <mergeCell ref="B24:B25"/>
    <mergeCell ref="N11:N12"/>
    <mergeCell ref="O11:O12"/>
    <mergeCell ref="P11:P12"/>
    <mergeCell ref="B11:B12"/>
    <mergeCell ref="H11:H12"/>
    <mergeCell ref="I11:K11"/>
    <mergeCell ref="L24:L25"/>
  </mergeCells>
  <pageMargins left="0.70866141732283472" right="0.70866141732283472" top="0.74803149606299213" bottom="0.74803149606299213" header="0.31496062992125984" footer="0.31496062992125984"/>
  <pageSetup paperSize="8"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B3:I1792"/>
  <sheetViews>
    <sheetView showGridLines="0" workbookViewId="0">
      <pane ySplit="4" topLeftCell="A5" activePane="bottomLeft" state="frozen"/>
      <selection activeCell="J11" sqref="J11:J12"/>
      <selection pane="bottomLeft" activeCell="I13" sqref="I13"/>
    </sheetView>
  </sheetViews>
  <sheetFormatPr baseColWidth="10" defaultRowHeight="12.75"/>
  <cols>
    <col min="1" max="1" width="11.42578125" style="70"/>
    <col min="2" max="2" width="44.28515625" style="70" customWidth="1"/>
    <col min="3" max="3" width="21" style="70" customWidth="1"/>
    <col min="4" max="5" width="11.42578125" style="70"/>
    <col min="6" max="6" width="16.42578125" style="70" customWidth="1"/>
    <col min="7" max="8" width="11.42578125" style="70"/>
    <col min="9" max="9" width="13.85546875" style="157" customWidth="1"/>
    <col min="10" max="16384" width="11.42578125" style="70"/>
  </cols>
  <sheetData>
    <row r="3" spans="2:9" ht="13.5" thickBot="1"/>
    <row r="4" spans="2:9">
      <c r="B4" s="80" t="s">
        <v>85</v>
      </c>
      <c r="C4" s="82" t="s">
        <v>86</v>
      </c>
      <c r="D4" s="80" t="s">
        <v>200</v>
      </c>
      <c r="E4" s="81" t="s">
        <v>201</v>
      </c>
      <c r="F4" s="82" t="s">
        <v>87</v>
      </c>
      <c r="I4" s="157" t="s">
        <v>406</v>
      </c>
    </row>
    <row r="5" spans="2:9">
      <c r="B5" s="69" t="s">
        <v>88</v>
      </c>
      <c r="C5" s="632" t="s">
        <v>89</v>
      </c>
      <c r="D5" s="71">
        <v>250</v>
      </c>
      <c r="E5" s="72">
        <f>D5*Matrice!$I$5+D5</f>
        <v>250</v>
      </c>
      <c r="F5" s="73" t="s">
        <v>92</v>
      </c>
      <c r="I5" s="157" t="s">
        <v>407</v>
      </c>
    </row>
    <row r="6" spans="2:9">
      <c r="B6" s="69" t="s">
        <v>90</v>
      </c>
      <c r="C6" s="632" t="s">
        <v>91</v>
      </c>
      <c r="D6" s="71">
        <v>250</v>
      </c>
      <c r="E6" s="72">
        <f>D6*Matrice!$I$5+D6</f>
        <v>250</v>
      </c>
      <c r="F6" s="74" t="s">
        <v>92</v>
      </c>
    </row>
    <row r="7" spans="2:9">
      <c r="B7" s="69" t="s">
        <v>93</v>
      </c>
      <c r="C7" s="632" t="s">
        <v>94</v>
      </c>
      <c r="D7" s="75"/>
      <c r="E7" s="76"/>
      <c r="F7" s="77"/>
      <c r="I7" s="157" t="s">
        <v>408</v>
      </c>
    </row>
    <row r="8" spans="2:9">
      <c r="B8" s="69" t="s">
        <v>95</v>
      </c>
      <c r="C8" s="632" t="s">
        <v>96</v>
      </c>
      <c r="D8" s="75"/>
      <c r="E8" s="76"/>
      <c r="F8" s="77"/>
      <c r="I8" s="157" t="s">
        <v>409</v>
      </c>
    </row>
    <row r="9" spans="2:9">
      <c r="B9" s="69" t="s">
        <v>97</v>
      </c>
      <c r="C9" s="632" t="s">
        <v>98</v>
      </c>
      <c r="D9" s="75"/>
      <c r="E9" s="76"/>
      <c r="F9" s="77"/>
      <c r="I9" s="157" t="s">
        <v>410</v>
      </c>
    </row>
    <row r="10" spans="2:9">
      <c r="B10" s="69" t="s">
        <v>99</v>
      </c>
      <c r="C10" s="632" t="s">
        <v>100</v>
      </c>
      <c r="D10" s="75"/>
      <c r="E10" s="76"/>
      <c r="F10" s="77"/>
      <c r="I10" s="157" t="s">
        <v>411</v>
      </c>
    </row>
    <row r="11" spans="2:9">
      <c r="B11" s="69" t="s">
        <v>101</v>
      </c>
      <c r="C11" s="632" t="s">
        <v>102</v>
      </c>
      <c r="D11" s="75"/>
      <c r="E11" s="76"/>
      <c r="F11" s="77"/>
      <c r="I11" s="157" t="s">
        <v>85</v>
      </c>
    </row>
    <row r="12" spans="2:9">
      <c r="B12" s="69" t="s">
        <v>103</v>
      </c>
      <c r="C12" s="632" t="s">
        <v>104</v>
      </c>
      <c r="D12" s="75"/>
      <c r="E12" s="76"/>
      <c r="F12" s="77"/>
      <c r="I12" s="157" t="s">
        <v>412</v>
      </c>
    </row>
    <row r="13" spans="2:9">
      <c r="B13" s="69" t="s">
        <v>105</v>
      </c>
      <c r="C13" s="632" t="s">
        <v>106</v>
      </c>
      <c r="D13" s="75"/>
      <c r="E13" s="76"/>
      <c r="F13" s="77"/>
      <c r="I13" s="157" t="s">
        <v>413</v>
      </c>
    </row>
    <row r="14" spans="2:9">
      <c r="B14" s="69" t="s">
        <v>107</v>
      </c>
      <c r="C14" s="632" t="s">
        <v>108</v>
      </c>
      <c r="D14" s="75"/>
      <c r="E14" s="76"/>
      <c r="F14" s="77"/>
      <c r="I14" s="157" t="s">
        <v>414</v>
      </c>
    </row>
    <row r="15" spans="2:9">
      <c r="B15" s="69" t="s">
        <v>109</v>
      </c>
      <c r="C15" s="632" t="s">
        <v>110</v>
      </c>
      <c r="D15" s="75"/>
      <c r="E15" s="76"/>
      <c r="F15" s="77"/>
      <c r="I15" s="157" t="s">
        <v>415</v>
      </c>
    </row>
    <row r="16" spans="2:9">
      <c r="B16" s="69" t="s">
        <v>111</v>
      </c>
      <c r="C16" s="632" t="s">
        <v>112</v>
      </c>
      <c r="D16" s="75"/>
      <c r="E16" s="76"/>
      <c r="F16" s="77"/>
      <c r="I16" s="157" t="s">
        <v>416</v>
      </c>
    </row>
    <row r="17" spans="2:9">
      <c r="B17" s="69" t="s">
        <v>113</v>
      </c>
      <c r="C17" s="632" t="s">
        <v>114</v>
      </c>
      <c r="D17" s="75"/>
      <c r="E17" s="76"/>
      <c r="F17" s="77"/>
      <c r="I17" s="157">
        <v>2</v>
      </c>
    </row>
    <row r="18" spans="2:9">
      <c r="B18" s="69" t="s">
        <v>115</v>
      </c>
      <c r="C18" s="632" t="s">
        <v>116</v>
      </c>
      <c r="D18" s="75"/>
      <c r="E18" s="76"/>
      <c r="F18" s="77"/>
      <c r="I18" s="157" t="s">
        <v>417</v>
      </c>
    </row>
    <row r="19" spans="2:9">
      <c r="B19" s="633" t="s">
        <v>117</v>
      </c>
      <c r="C19" s="634" t="s">
        <v>118</v>
      </c>
      <c r="D19" s="637"/>
      <c r="E19" s="638"/>
      <c r="F19" s="639"/>
      <c r="I19" s="157" t="s">
        <v>19</v>
      </c>
    </row>
    <row r="20" spans="2:9">
      <c r="B20" s="635" t="s">
        <v>284</v>
      </c>
      <c r="C20" s="636" t="s">
        <v>283</v>
      </c>
      <c r="D20" s="89"/>
      <c r="E20" s="76"/>
      <c r="F20" s="77"/>
      <c r="I20" s="157">
        <v>0.5</v>
      </c>
    </row>
    <row r="21" spans="2:9">
      <c r="B21" s="635" t="s">
        <v>403</v>
      </c>
      <c r="C21" s="636" t="s">
        <v>402</v>
      </c>
      <c r="D21" s="89"/>
      <c r="E21" s="76"/>
      <c r="F21" s="77"/>
      <c r="I21" s="157" t="s">
        <v>418</v>
      </c>
    </row>
    <row r="22" spans="2:9">
      <c r="B22" s="635" t="s">
        <v>404</v>
      </c>
      <c r="C22" s="636" t="s">
        <v>405</v>
      </c>
      <c r="D22" s="89"/>
      <c r="E22" s="76"/>
      <c r="F22" s="77"/>
      <c r="I22" s="157" t="s">
        <v>50</v>
      </c>
    </row>
    <row r="23" spans="2:9">
      <c r="B23" s="635" t="s">
        <v>425</v>
      </c>
      <c r="C23" s="636" t="s">
        <v>900</v>
      </c>
      <c r="D23" s="89"/>
      <c r="E23" s="76"/>
      <c r="F23" s="77"/>
      <c r="I23" s="157">
        <v>0.4</v>
      </c>
    </row>
    <row r="24" spans="2:9">
      <c r="B24" s="635" t="s">
        <v>628</v>
      </c>
      <c r="C24" s="636" t="s">
        <v>902</v>
      </c>
      <c r="D24" s="89"/>
      <c r="E24" s="76"/>
      <c r="F24" s="77"/>
      <c r="I24" s="157" t="s">
        <v>419</v>
      </c>
    </row>
    <row r="25" spans="2:9">
      <c r="B25" s="635" t="s">
        <v>584</v>
      </c>
      <c r="C25" s="636" t="s">
        <v>902</v>
      </c>
      <c r="D25" s="89"/>
      <c r="E25" s="76"/>
      <c r="F25" s="77"/>
      <c r="I25" s="157" t="s">
        <v>420</v>
      </c>
    </row>
    <row r="26" spans="2:9">
      <c r="B26" s="635" t="s">
        <v>577</v>
      </c>
      <c r="C26" s="636" t="s">
        <v>901</v>
      </c>
      <c r="D26" s="89"/>
      <c r="E26" s="76"/>
      <c r="F26" s="77"/>
      <c r="I26" s="157" t="s">
        <v>67</v>
      </c>
    </row>
    <row r="27" spans="2:9">
      <c r="B27" s="635" t="s">
        <v>898</v>
      </c>
      <c r="C27" s="73" t="s">
        <v>899</v>
      </c>
      <c r="D27" s="89"/>
      <c r="E27" s="76"/>
      <c r="F27" s="77"/>
      <c r="I27" s="157">
        <v>0.8</v>
      </c>
    </row>
    <row r="28" spans="2:9">
      <c r="B28" s="635" t="s">
        <v>858</v>
      </c>
      <c r="C28" s="73" t="s">
        <v>896</v>
      </c>
      <c r="D28" s="89"/>
      <c r="E28" s="76"/>
      <c r="F28" s="77"/>
      <c r="I28" s="157" t="s">
        <v>421</v>
      </c>
    </row>
    <row r="29" spans="2:9">
      <c r="B29" s="635" t="s">
        <v>797</v>
      </c>
      <c r="C29" s="636" t="s">
        <v>897</v>
      </c>
      <c r="D29" s="89"/>
      <c r="E29" s="76"/>
      <c r="F29" s="77"/>
      <c r="I29" s="157" t="s">
        <v>19</v>
      </c>
    </row>
    <row r="30" spans="2:9" ht="13.5" thickBot="1">
      <c r="B30" s="635" t="s">
        <v>881</v>
      </c>
      <c r="C30" s="636" t="s">
        <v>895</v>
      </c>
      <c r="D30" s="90"/>
      <c r="E30" s="640"/>
      <c r="F30" s="92"/>
      <c r="I30" s="157">
        <v>1.6</v>
      </c>
    </row>
    <row r="31" spans="2:9" ht="13.5" thickBot="1">
      <c r="B31" s="1110" t="s">
        <v>331</v>
      </c>
      <c r="C31" s="1134"/>
      <c r="I31" s="157" t="s">
        <v>422</v>
      </c>
    </row>
    <row r="32" spans="2:9">
      <c r="I32" s="157" t="s">
        <v>67</v>
      </c>
    </row>
    <row r="33" spans="2:9" ht="13.5" thickBot="1">
      <c r="I33" s="157">
        <v>0.5</v>
      </c>
    </row>
    <row r="34" spans="2:9">
      <c r="B34" s="1135" t="s">
        <v>288</v>
      </c>
      <c r="C34" s="1136"/>
      <c r="D34" s="1137"/>
      <c r="I34" s="157" t="s">
        <v>423</v>
      </c>
    </row>
    <row r="35" spans="2:9">
      <c r="B35" s="83" t="s">
        <v>319</v>
      </c>
      <c r="C35" s="84" t="s">
        <v>62</v>
      </c>
      <c r="D35" s="85" t="s">
        <v>328</v>
      </c>
      <c r="I35" s="157" t="s">
        <v>67</v>
      </c>
    </row>
    <row r="36" spans="2:9">
      <c r="B36" s="86" t="s">
        <v>289</v>
      </c>
      <c r="C36" s="87" t="s">
        <v>329</v>
      </c>
      <c r="D36" s="88">
        <v>250</v>
      </c>
      <c r="I36" s="157">
        <v>1</v>
      </c>
    </row>
    <row r="37" spans="2:9">
      <c r="B37" s="89" t="s">
        <v>290</v>
      </c>
      <c r="C37" s="87" t="s">
        <v>330</v>
      </c>
      <c r="D37" s="77"/>
      <c r="I37" s="157" t="s">
        <v>424</v>
      </c>
    </row>
    <row r="38" spans="2:9">
      <c r="B38" s="89" t="s">
        <v>326</v>
      </c>
      <c r="C38" s="87" t="s">
        <v>329</v>
      </c>
      <c r="D38" s="77"/>
      <c r="I38" s="157" t="s">
        <v>59</v>
      </c>
    </row>
    <row r="39" spans="2:9">
      <c r="B39" s="89" t="s">
        <v>291</v>
      </c>
      <c r="C39" s="87" t="s">
        <v>329</v>
      </c>
      <c r="D39" s="77"/>
      <c r="I39" s="157">
        <v>2</v>
      </c>
    </row>
    <row r="40" spans="2:9">
      <c r="B40" s="89" t="s">
        <v>292</v>
      </c>
      <c r="C40" s="87" t="s">
        <v>329</v>
      </c>
      <c r="D40" s="77"/>
      <c r="I40" s="157" t="s">
        <v>425</v>
      </c>
    </row>
    <row r="41" spans="2:9">
      <c r="B41" s="89" t="s">
        <v>293</v>
      </c>
      <c r="C41" s="87" t="s">
        <v>330</v>
      </c>
      <c r="D41" s="77"/>
      <c r="I41" s="157" t="s">
        <v>426</v>
      </c>
    </row>
    <row r="42" spans="2:9">
      <c r="B42" s="89" t="s">
        <v>294</v>
      </c>
      <c r="C42" s="87" t="s">
        <v>329</v>
      </c>
      <c r="D42" s="77"/>
      <c r="I42" s="157" t="s">
        <v>67</v>
      </c>
    </row>
    <row r="43" spans="2:9">
      <c r="B43" s="89" t="s">
        <v>327</v>
      </c>
      <c r="C43" s="87" t="s">
        <v>329</v>
      </c>
      <c r="D43" s="77"/>
      <c r="I43" s="157">
        <v>1.1000000000000001</v>
      </c>
    </row>
    <row r="44" spans="2:9">
      <c r="B44" s="89" t="s">
        <v>1033</v>
      </c>
      <c r="C44" s="87"/>
      <c r="D44" s="77"/>
      <c r="I44" s="157" t="s">
        <v>427</v>
      </c>
    </row>
    <row r="45" spans="2:9" ht="13.5" thickBot="1">
      <c r="B45" s="90"/>
      <c r="C45" s="91"/>
      <c r="D45" s="92"/>
      <c r="I45" s="157" t="s">
        <v>19</v>
      </c>
    </row>
    <row r="46" spans="2:9">
      <c r="I46" s="157">
        <v>6</v>
      </c>
    </row>
    <row r="47" spans="2:9">
      <c r="I47" s="157" t="s">
        <v>428</v>
      </c>
    </row>
    <row r="48" spans="2:9">
      <c r="I48" s="157" t="s">
        <v>19</v>
      </c>
    </row>
    <row r="49" spans="9:9">
      <c r="I49" s="157">
        <v>4</v>
      </c>
    </row>
    <row r="50" spans="9:9">
      <c r="I50" s="157" t="s">
        <v>429</v>
      </c>
    </row>
    <row r="51" spans="9:9">
      <c r="I51" s="157" t="s">
        <v>19</v>
      </c>
    </row>
    <row r="52" spans="9:9">
      <c r="I52" s="157">
        <v>1</v>
      </c>
    </row>
    <row r="53" spans="9:9">
      <c r="I53" s="157" t="s">
        <v>67</v>
      </c>
    </row>
    <row r="54" spans="9:9">
      <c r="I54" s="157">
        <v>0.1</v>
      </c>
    </row>
    <row r="55" spans="9:9">
      <c r="I55" s="157" t="s">
        <v>430</v>
      </c>
    </row>
    <row r="56" spans="9:9">
      <c r="I56" s="157" t="s">
        <v>19</v>
      </c>
    </row>
    <row r="57" spans="9:9">
      <c r="I57" s="157">
        <v>8</v>
      </c>
    </row>
    <row r="58" spans="9:9">
      <c r="I58" s="157" t="s">
        <v>431</v>
      </c>
    </row>
    <row r="59" spans="9:9">
      <c r="I59" s="157" t="s">
        <v>19</v>
      </c>
    </row>
    <row r="60" spans="9:9">
      <c r="I60" s="157">
        <v>15</v>
      </c>
    </row>
    <row r="61" spans="9:9">
      <c r="I61" s="157" t="s">
        <v>432</v>
      </c>
    </row>
    <row r="62" spans="9:9">
      <c r="I62" s="157" t="s">
        <v>19</v>
      </c>
    </row>
    <row r="63" spans="9:9">
      <c r="I63" s="157">
        <v>6</v>
      </c>
    </row>
    <row r="64" spans="9:9">
      <c r="I64" s="157" t="s">
        <v>433</v>
      </c>
    </row>
    <row r="65" spans="9:9">
      <c r="I65" s="157" t="s">
        <v>19</v>
      </c>
    </row>
    <row r="66" spans="9:9">
      <c r="I66" s="157">
        <v>5</v>
      </c>
    </row>
    <row r="67" spans="9:9">
      <c r="I67" s="157" t="s">
        <v>434</v>
      </c>
    </row>
    <row r="68" spans="9:9">
      <c r="I68" s="157" t="s">
        <v>19</v>
      </c>
    </row>
    <row r="69" spans="9:9">
      <c r="I69" s="157">
        <v>5</v>
      </c>
    </row>
    <row r="70" spans="9:9">
      <c r="I70" s="157" t="s">
        <v>435</v>
      </c>
    </row>
    <row r="71" spans="9:9">
      <c r="I71" s="157" t="s">
        <v>436</v>
      </c>
    </row>
    <row r="72" spans="9:9">
      <c r="I72" s="157" t="s">
        <v>59</v>
      </c>
    </row>
    <row r="73" spans="9:9">
      <c r="I73" s="157">
        <v>0.15</v>
      </c>
    </row>
    <row r="74" spans="9:9">
      <c r="I74" s="157" t="s">
        <v>437</v>
      </c>
    </row>
    <row r="75" spans="9:9">
      <c r="I75" s="157" t="s">
        <v>438</v>
      </c>
    </row>
    <row r="76" spans="9:9">
      <c r="I76" s="157">
        <v>0.33</v>
      </c>
    </row>
    <row r="77" spans="9:9">
      <c r="I77" s="157" t="s">
        <v>439</v>
      </c>
    </row>
    <row r="78" spans="9:9">
      <c r="I78" s="157" t="s">
        <v>19</v>
      </c>
    </row>
    <row r="79" spans="9:9">
      <c r="I79" s="157">
        <v>6</v>
      </c>
    </row>
    <row r="80" spans="9:9">
      <c r="I80" s="157" t="s">
        <v>440</v>
      </c>
    </row>
    <row r="81" spans="9:9">
      <c r="I81" s="157" t="s">
        <v>59</v>
      </c>
    </row>
    <row r="82" spans="9:9">
      <c r="I82" s="157">
        <v>0.8</v>
      </c>
    </row>
    <row r="83" spans="9:9">
      <c r="I83" s="157" t="s">
        <v>441</v>
      </c>
    </row>
    <row r="84" spans="9:9">
      <c r="I84" s="157" t="s">
        <v>19</v>
      </c>
    </row>
    <row r="85" spans="9:9">
      <c r="I85" s="157">
        <v>8</v>
      </c>
    </row>
    <row r="86" spans="9:9">
      <c r="I86" s="157" t="s">
        <v>442</v>
      </c>
    </row>
    <row r="87" spans="9:9">
      <c r="I87" s="157" t="s">
        <v>19</v>
      </c>
    </row>
    <row r="88" spans="9:9">
      <c r="I88" s="157">
        <v>4</v>
      </c>
    </row>
    <row r="89" spans="9:9">
      <c r="I89" s="157" t="s">
        <v>443</v>
      </c>
    </row>
    <row r="90" spans="9:9">
      <c r="I90" s="157" t="s">
        <v>444</v>
      </c>
    </row>
    <row r="91" spans="9:9">
      <c r="I91" s="157" t="s">
        <v>19</v>
      </c>
    </row>
    <row r="92" spans="9:9">
      <c r="I92" s="157">
        <v>10</v>
      </c>
    </row>
    <row r="93" spans="9:9">
      <c r="I93" s="157" t="s">
        <v>445</v>
      </c>
    </row>
    <row r="94" spans="9:9">
      <c r="I94" s="157" t="s">
        <v>19</v>
      </c>
    </row>
    <row r="95" spans="9:9">
      <c r="I95" s="157">
        <v>40</v>
      </c>
    </row>
    <row r="96" spans="9:9">
      <c r="I96" s="157" t="s">
        <v>446</v>
      </c>
    </row>
    <row r="97" spans="9:9">
      <c r="I97" s="157" t="s">
        <v>19</v>
      </c>
    </row>
    <row r="98" spans="9:9">
      <c r="I98" s="157">
        <v>2</v>
      </c>
    </row>
    <row r="99" spans="9:9">
      <c r="I99" s="157" t="s">
        <v>447</v>
      </c>
    </row>
    <row r="100" spans="9:9">
      <c r="I100" s="157" t="s">
        <v>19</v>
      </c>
    </row>
    <row r="101" spans="9:9">
      <c r="I101" s="157">
        <v>8</v>
      </c>
    </row>
    <row r="102" spans="9:9">
      <c r="I102" s="157" t="s">
        <v>448</v>
      </c>
    </row>
    <row r="103" spans="9:9">
      <c r="I103" s="157" t="s">
        <v>59</v>
      </c>
    </row>
    <row r="104" spans="9:9">
      <c r="I104" s="157">
        <v>0.4</v>
      </c>
    </row>
    <row r="105" spans="9:9">
      <c r="I105" s="157" t="s">
        <v>449</v>
      </c>
    </row>
    <row r="106" spans="9:9">
      <c r="I106" s="157" t="s">
        <v>59</v>
      </c>
    </row>
    <row r="107" spans="9:9">
      <c r="I107" s="157">
        <v>0.8</v>
      </c>
    </row>
    <row r="108" spans="9:9">
      <c r="I108" s="157" t="s">
        <v>437</v>
      </c>
    </row>
    <row r="109" spans="9:9">
      <c r="I109" s="157" t="s">
        <v>438</v>
      </c>
    </row>
    <row r="110" spans="9:9">
      <c r="I110" s="157">
        <v>1</v>
      </c>
    </row>
    <row r="111" spans="9:9">
      <c r="I111" s="157" t="s">
        <v>450</v>
      </c>
    </row>
    <row r="112" spans="9:9">
      <c r="I112" s="157" t="s">
        <v>409</v>
      </c>
    </row>
    <row r="113" spans="9:9">
      <c r="I113" s="157" t="s">
        <v>410</v>
      </c>
    </row>
    <row r="114" spans="9:9">
      <c r="I114" s="157" t="s">
        <v>411</v>
      </c>
    </row>
    <row r="115" spans="9:9">
      <c r="I115" s="157" t="s">
        <v>85</v>
      </c>
    </row>
    <row r="116" spans="9:9">
      <c r="I116" s="157" t="s">
        <v>412</v>
      </c>
    </row>
    <row r="117" spans="9:9">
      <c r="I117" s="157" t="s">
        <v>413</v>
      </c>
    </row>
    <row r="118" spans="9:9">
      <c r="I118" s="157" t="s">
        <v>414</v>
      </c>
    </row>
    <row r="119" spans="9:9">
      <c r="I119" s="157" t="s">
        <v>451</v>
      </c>
    </row>
    <row r="120" spans="9:9">
      <c r="I120" s="157" t="s">
        <v>452</v>
      </c>
    </row>
    <row r="121" spans="9:9">
      <c r="I121" s="157" t="s">
        <v>453</v>
      </c>
    </row>
    <row r="122" spans="9:9">
      <c r="I122" s="157" t="s">
        <v>59</v>
      </c>
    </row>
    <row r="123" spans="9:9">
      <c r="I123" s="157">
        <v>0.5</v>
      </c>
    </row>
    <row r="124" spans="9:9">
      <c r="I124" s="157" t="s">
        <v>454</v>
      </c>
    </row>
    <row r="125" spans="9:9">
      <c r="I125" s="157" t="s">
        <v>452</v>
      </c>
    </row>
    <row r="126" spans="9:9">
      <c r="I126" s="157" t="s">
        <v>455</v>
      </c>
    </row>
    <row r="127" spans="9:9">
      <c r="I127" s="157" t="s">
        <v>19</v>
      </c>
    </row>
    <row r="128" spans="9:9">
      <c r="I128" s="157">
        <v>12</v>
      </c>
    </row>
    <row r="129" spans="9:9">
      <c r="I129" s="157" t="s">
        <v>456</v>
      </c>
    </row>
    <row r="130" spans="9:9">
      <c r="I130" s="157" t="s">
        <v>452</v>
      </c>
    </row>
    <row r="131" spans="9:9">
      <c r="I131" s="157" t="s">
        <v>457</v>
      </c>
    </row>
    <row r="132" spans="9:9">
      <c r="I132" s="157" t="s">
        <v>67</v>
      </c>
    </row>
    <row r="133" spans="9:9">
      <c r="I133" s="157">
        <v>0.2</v>
      </c>
    </row>
    <row r="134" spans="9:9">
      <c r="I134" s="157" t="s">
        <v>452</v>
      </c>
    </row>
    <row r="135" spans="9:9">
      <c r="I135" s="157" t="s">
        <v>458</v>
      </c>
    </row>
    <row r="136" spans="9:9">
      <c r="I136" s="157" t="s">
        <v>459</v>
      </c>
    </row>
    <row r="137" spans="9:9">
      <c r="I137" s="157">
        <v>23</v>
      </c>
    </row>
    <row r="138" spans="9:9">
      <c r="I138" s="157" t="s">
        <v>452</v>
      </c>
    </row>
    <row r="139" spans="9:9">
      <c r="I139" s="157" t="s">
        <v>460</v>
      </c>
    </row>
    <row r="140" spans="9:9">
      <c r="I140" s="157" t="s">
        <v>461</v>
      </c>
    </row>
    <row r="141" spans="9:9">
      <c r="I141" s="157">
        <v>10</v>
      </c>
    </row>
    <row r="142" spans="9:9">
      <c r="I142" s="157" t="s">
        <v>452</v>
      </c>
    </row>
    <row r="143" spans="9:9">
      <c r="I143" s="157" t="s">
        <v>462</v>
      </c>
    </row>
    <row r="144" spans="9:9">
      <c r="I144" s="157" t="s">
        <v>59</v>
      </c>
    </row>
    <row r="145" spans="9:9">
      <c r="I145" s="157">
        <v>0.6</v>
      </c>
    </row>
    <row r="146" spans="9:9">
      <c r="I146" s="157" t="s">
        <v>452</v>
      </c>
    </row>
    <row r="147" spans="9:9">
      <c r="I147" s="157" t="s">
        <v>463</v>
      </c>
    </row>
    <row r="148" spans="9:9">
      <c r="I148" s="157" t="s">
        <v>59</v>
      </c>
    </row>
    <row r="149" spans="9:9">
      <c r="I149" s="157">
        <v>1.2</v>
      </c>
    </row>
    <row r="150" spans="9:9">
      <c r="I150" s="157" t="s">
        <v>452</v>
      </c>
    </row>
    <row r="151" spans="9:9">
      <c r="I151" s="157" t="s">
        <v>464</v>
      </c>
    </row>
    <row r="152" spans="9:9">
      <c r="I152" s="157" t="s">
        <v>19</v>
      </c>
    </row>
    <row r="153" spans="9:9">
      <c r="I153" s="157">
        <v>15</v>
      </c>
    </row>
    <row r="154" spans="9:9">
      <c r="I154" s="157" t="s">
        <v>465</v>
      </c>
    </row>
    <row r="155" spans="9:9">
      <c r="I155" s="157" t="s">
        <v>452</v>
      </c>
    </row>
    <row r="156" spans="9:9">
      <c r="I156" s="157" t="s">
        <v>466</v>
      </c>
    </row>
    <row r="157" spans="9:9">
      <c r="I157" s="157" t="s">
        <v>59</v>
      </c>
    </row>
    <row r="158" spans="9:9">
      <c r="I158" s="157">
        <v>2</v>
      </c>
    </row>
    <row r="159" spans="9:9">
      <c r="I159" s="157" t="s">
        <v>452</v>
      </c>
    </row>
    <row r="160" spans="9:9">
      <c r="I160" s="157" t="s">
        <v>467</v>
      </c>
    </row>
    <row r="161" spans="9:9">
      <c r="I161" s="157" t="s">
        <v>59</v>
      </c>
    </row>
    <row r="162" spans="9:9">
      <c r="I162" s="157">
        <v>2.75</v>
      </c>
    </row>
    <row r="163" spans="9:9">
      <c r="I163" s="157" t="s">
        <v>452</v>
      </c>
    </row>
    <row r="164" spans="9:9">
      <c r="I164" s="157" t="s">
        <v>468</v>
      </c>
    </row>
    <row r="165" spans="9:9">
      <c r="I165" s="157" t="s">
        <v>59</v>
      </c>
    </row>
    <row r="166" spans="9:9">
      <c r="I166" s="157">
        <v>4.4000000000000004</v>
      </c>
    </row>
    <row r="167" spans="9:9">
      <c r="I167" s="157" t="s">
        <v>452</v>
      </c>
    </row>
    <row r="168" spans="9:9">
      <c r="I168" s="157" t="s">
        <v>469</v>
      </c>
    </row>
    <row r="169" spans="9:9">
      <c r="I169" s="157" t="s">
        <v>19</v>
      </c>
    </row>
    <row r="170" spans="9:9">
      <c r="I170" s="157">
        <v>150</v>
      </c>
    </row>
    <row r="171" spans="9:9">
      <c r="I171" s="157" t="s">
        <v>452</v>
      </c>
    </row>
    <row r="172" spans="9:9">
      <c r="I172" s="157" t="s">
        <v>470</v>
      </c>
    </row>
    <row r="173" spans="9:9">
      <c r="I173" s="157" t="s">
        <v>19</v>
      </c>
    </row>
    <row r="174" spans="9:9">
      <c r="I174" s="157">
        <v>175</v>
      </c>
    </row>
    <row r="175" spans="9:9">
      <c r="I175" s="157" t="s">
        <v>452</v>
      </c>
    </row>
    <row r="176" spans="9:9">
      <c r="I176" s="157" t="s">
        <v>464</v>
      </c>
    </row>
    <row r="177" spans="9:9">
      <c r="I177" s="157" t="s">
        <v>19</v>
      </c>
    </row>
    <row r="178" spans="9:9">
      <c r="I178" s="157">
        <v>15</v>
      </c>
    </row>
    <row r="179" spans="9:9">
      <c r="I179" s="157" t="s">
        <v>452</v>
      </c>
    </row>
    <row r="180" spans="9:9">
      <c r="I180" s="157" t="s">
        <v>471</v>
      </c>
    </row>
    <row r="181" spans="9:9">
      <c r="I181" s="157" t="s">
        <v>472</v>
      </c>
    </row>
    <row r="182" spans="9:9">
      <c r="I182" s="157">
        <v>8</v>
      </c>
    </row>
    <row r="183" spans="9:9">
      <c r="I183" s="157" t="s">
        <v>452</v>
      </c>
    </row>
    <row r="184" spans="9:9">
      <c r="I184" s="157" t="s">
        <v>473</v>
      </c>
    </row>
    <row r="185" spans="9:9">
      <c r="I185" s="157" t="s">
        <v>19</v>
      </c>
    </row>
    <row r="186" spans="9:9">
      <c r="I186" s="157">
        <v>50</v>
      </c>
    </row>
    <row r="187" spans="9:9">
      <c r="I187" s="157" t="s">
        <v>452</v>
      </c>
    </row>
    <row r="188" spans="9:9">
      <c r="I188" s="157" t="s">
        <v>474</v>
      </c>
    </row>
    <row r="189" spans="9:9">
      <c r="I189" s="157" t="s">
        <v>50</v>
      </c>
    </row>
    <row r="190" spans="9:9">
      <c r="I190" s="157">
        <v>3.5</v>
      </c>
    </row>
    <row r="191" spans="9:9">
      <c r="I191" s="157" t="s">
        <v>452</v>
      </c>
    </row>
    <row r="192" spans="9:9">
      <c r="I192" s="157" t="s">
        <v>475</v>
      </c>
    </row>
    <row r="193" spans="9:9">
      <c r="I193" s="157" t="s">
        <v>476</v>
      </c>
    </row>
    <row r="194" spans="9:9">
      <c r="I194" s="157">
        <v>3</v>
      </c>
    </row>
    <row r="195" spans="9:9">
      <c r="I195" s="157" t="s">
        <v>477</v>
      </c>
    </row>
    <row r="196" spans="9:9">
      <c r="I196" s="157" t="s">
        <v>452</v>
      </c>
    </row>
    <row r="197" spans="9:9">
      <c r="I197" s="157" t="s">
        <v>478</v>
      </c>
    </row>
    <row r="198" spans="9:9">
      <c r="I198" s="157" t="s">
        <v>19</v>
      </c>
    </row>
    <row r="199" spans="9:9">
      <c r="I199" s="157">
        <v>280</v>
      </c>
    </row>
    <row r="200" spans="9:9">
      <c r="I200" s="157" t="s">
        <v>452</v>
      </c>
    </row>
    <row r="201" spans="9:9">
      <c r="I201" s="157" t="s">
        <v>479</v>
      </c>
    </row>
    <row r="202" spans="9:9">
      <c r="I202" s="157" t="s">
        <v>19</v>
      </c>
    </row>
    <row r="203" spans="9:9">
      <c r="I203" s="157">
        <v>155</v>
      </c>
    </row>
    <row r="204" spans="9:9">
      <c r="I204" s="157" t="s">
        <v>452</v>
      </c>
    </row>
    <row r="205" spans="9:9">
      <c r="I205" s="157" t="s">
        <v>480</v>
      </c>
    </row>
    <row r="206" spans="9:9">
      <c r="I206" s="157" t="s">
        <v>19</v>
      </c>
    </row>
    <row r="207" spans="9:9">
      <c r="I207" s="157">
        <v>20</v>
      </c>
    </row>
    <row r="208" spans="9:9">
      <c r="I208" s="157" t="s">
        <v>452</v>
      </c>
    </row>
    <row r="209" spans="9:9">
      <c r="I209" s="157" t="s">
        <v>481</v>
      </c>
    </row>
    <row r="210" spans="9:9">
      <c r="I210" s="157" t="s">
        <v>19</v>
      </c>
    </row>
    <row r="211" spans="9:9">
      <c r="I211" s="157">
        <v>40</v>
      </c>
    </row>
    <row r="212" spans="9:9">
      <c r="I212" s="157" t="s">
        <v>452</v>
      </c>
    </row>
    <row r="213" spans="9:9">
      <c r="I213" s="157" t="s">
        <v>482</v>
      </c>
    </row>
    <row r="214" spans="9:9">
      <c r="I214" s="157" t="s">
        <v>19</v>
      </c>
    </row>
    <row r="215" spans="9:9">
      <c r="I215" s="157">
        <v>60</v>
      </c>
    </row>
    <row r="216" spans="9:9">
      <c r="I216" s="157" t="s">
        <v>483</v>
      </c>
    </row>
    <row r="217" spans="9:9">
      <c r="I217" s="157" t="s">
        <v>452</v>
      </c>
    </row>
    <row r="218" spans="9:9">
      <c r="I218" s="157" t="s">
        <v>484</v>
      </c>
    </row>
    <row r="219" spans="9:9">
      <c r="I219" s="157" t="s">
        <v>67</v>
      </c>
    </row>
    <row r="220" spans="9:9">
      <c r="I220" s="157">
        <v>0.5</v>
      </c>
    </row>
    <row r="221" spans="9:9">
      <c r="I221" s="157" t="s">
        <v>452</v>
      </c>
    </row>
    <row r="222" spans="9:9">
      <c r="I222" s="157" t="s">
        <v>485</v>
      </c>
    </row>
    <row r="223" spans="9:9">
      <c r="I223" s="157" t="s">
        <v>67</v>
      </c>
    </row>
    <row r="224" spans="9:9">
      <c r="I224" s="157">
        <v>0.15</v>
      </c>
    </row>
    <row r="225" spans="9:9">
      <c r="I225" s="157" t="s">
        <v>452</v>
      </c>
    </row>
    <row r="226" spans="9:9">
      <c r="I226" s="157" t="s">
        <v>486</v>
      </c>
    </row>
    <row r="227" spans="9:9">
      <c r="I227" s="157" t="s">
        <v>19</v>
      </c>
    </row>
    <row r="228" spans="9:9">
      <c r="I228" s="157">
        <v>25</v>
      </c>
    </row>
    <row r="229" spans="9:9">
      <c r="I229" s="157" t="s">
        <v>452</v>
      </c>
    </row>
    <row r="230" spans="9:9">
      <c r="I230" s="157" t="s">
        <v>487</v>
      </c>
    </row>
    <row r="231" spans="9:9">
      <c r="I231" s="157" t="s">
        <v>19</v>
      </c>
    </row>
    <row r="232" spans="9:9">
      <c r="I232" s="157">
        <v>50</v>
      </c>
    </row>
    <row r="233" spans="9:9">
      <c r="I233" s="157" t="s">
        <v>488</v>
      </c>
    </row>
    <row r="234" spans="9:9">
      <c r="I234" s="157" t="s">
        <v>459</v>
      </c>
    </row>
    <row r="235" spans="9:9">
      <c r="I235" s="157">
        <v>3</v>
      </c>
    </row>
    <row r="236" spans="9:9">
      <c r="I236" s="157" t="s">
        <v>489</v>
      </c>
    </row>
    <row r="237" spans="9:9">
      <c r="I237" s="157" t="s">
        <v>409</v>
      </c>
    </row>
    <row r="238" spans="9:9">
      <c r="I238" s="157" t="s">
        <v>490</v>
      </c>
    </row>
    <row r="239" spans="9:9">
      <c r="I239" s="157" t="s">
        <v>491</v>
      </c>
    </row>
    <row r="240" spans="9:9">
      <c r="I240" s="157" t="s">
        <v>85</v>
      </c>
    </row>
    <row r="241" spans="9:9">
      <c r="I241" s="157" t="s">
        <v>412</v>
      </c>
    </row>
    <row r="242" spans="9:9">
      <c r="I242" s="157" t="s">
        <v>413</v>
      </c>
    </row>
    <row r="243" spans="9:9">
      <c r="I243" s="157" t="s">
        <v>414</v>
      </c>
    </row>
    <row r="244" spans="9:9">
      <c r="I244" s="157" t="s">
        <v>492</v>
      </c>
    </row>
    <row r="245" spans="9:9">
      <c r="I245" s="157" t="s">
        <v>50</v>
      </c>
    </row>
    <row r="246" spans="9:9">
      <c r="I246" s="157">
        <v>7.5</v>
      </c>
    </row>
    <row r="247" spans="9:9">
      <c r="I247" s="157" t="s">
        <v>493</v>
      </c>
    </row>
    <row r="248" spans="9:9">
      <c r="I248" s="157" t="s">
        <v>50</v>
      </c>
    </row>
    <row r="249" spans="9:9">
      <c r="I249" s="157">
        <v>15</v>
      </c>
    </row>
    <row r="250" spans="9:9">
      <c r="I250" s="157" t="s">
        <v>494</v>
      </c>
    </row>
    <row r="251" spans="9:9">
      <c r="I251" s="157" t="s">
        <v>50</v>
      </c>
    </row>
    <row r="252" spans="9:9">
      <c r="I252" s="157">
        <v>20</v>
      </c>
    </row>
    <row r="253" spans="9:9">
      <c r="I253" s="157" t="s">
        <v>495</v>
      </c>
    </row>
    <row r="254" spans="9:9">
      <c r="I254" s="157" t="s">
        <v>452</v>
      </c>
    </row>
    <row r="255" spans="9:9">
      <c r="I255" s="157" t="s">
        <v>496</v>
      </c>
    </row>
    <row r="256" spans="9:9">
      <c r="I256" s="157" t="s">
        <v>19</v>
      </c>
    </row>
    <row r="257" spans="9:9">
      <c r="I257" s="157">
        <v>3</v>
      </c>
    </row>
    <row r="258" spans="9:9">
      <c r="I258" s="157" t="s">
        <v>452</v>
      </c>
    </row>
    <row r="259" spans="9:9">
      <c r="I259" s="157" t="s">
        <v>497</v>
      </c>
    </row>
    <row r="260" spans="9:9">
      <c r="I260" s="157" t="s">
        <v>19</v>
      </c>
    </row>
    <row r="261" spans="9:9">
      <c r="I261" s="157">
        <v>4.5</v>
      </c>
    </row>
    <row r="262" spans="9:9">
      <c r="I262" s="157" t="s">
        <v>452</v>
      </c>
    </row>
    <row r="263" spans="9:9">
      <c r="I263" s="157" t="s">
        <v>498</v>
      </c>
    </row>
    <row r="264" spans="9:9">
      <c r="I264" s="157" t="s">
        <v>19</v>
      </c>
    </row>
    <row r="265" spans="9:9">
      <c r="I265" s="157">
        <v>6</v>
      </c>
    </row>
    <row r="266" spans="9:9">
      <c r="I266" s="157" t="s">
        <v>499</v>
      </c>
    </row>
    <row r="267" spans="9:9">
      <c r="I267" s="157" t="s">
        <v>452</v>
      </c>
    </row>
    <row r="268" spans="9:9">
      <c r="I268" s="157" t="s">
        <v>500</v>
      </c>
    </row>
    <row r="269" spans="9:9">
      <c r="I269" s="157" t="s">
        <v>59</v>
      </c>
    </row>
    <row r="270" spans="9:9">
      <c r="I270" s="157">
        <v>2.4</v>
      </c>
    </row>
    <row r="271" spans="9:9">
      <c r="I271" s="157" t="s">
        <v>452</v>
      </c>
    </row>
    <row r="272" spans="9:9">
      <c r="I272" s="157" t="s">
        <v>501</v>
      </c>
    </row>
    <row r="273" spans="9:9">
      <c r="I273" s="157" t="s">
        <v>59</v>
      </c>
    </row>
    <row r="274" spans="9:9">
      <c r="I274" s="157">
        <v>3</v>
      </c>
    </row>
    <row r="275" spans="9:9">
      <c r="I275" s="157" t="s">
        <v>502</v>
      </c>
    </row>
    <row r="276" spans="9:9">
      <c r="I276" s="157" t="s">
        <v>452</v>
      </c>
    </row>
    <row r="277" spans="9:9">
      <c r="I277" s="157" t="s">
        <v>503</v>
      </c>
    </row>
    <row r="278" spans="9:9">
      <c r="I278" s="157" t="s">
        <v>59</v>
      </c>
    </row>
    <row r="279" spans="9:9">
      <c r="I279" s="157">
        <v>0.5</v>
      </c>
    </row>
    <row r="280" spans="9:9">
      <c r="I280" s="157" t="s">
        <v>452</v>
      </c>
    </row>
    <row r="281" spans="9:9">
      <c r="I281" s="157" t="s">
        <v>504</v>
      </c>
    </row>
    <row r="282" spans="9:9">
      <c r="I282" s="157" t="s">
        <v>59</v>
      </c>
    </row>
    <row r="283" spans="9:9">
      <c r="I283" s="157">
        <v>0.5</v>
      </c>
    </row>
    <row r="284" spans="9:9">
      <c r="I284" s="157" t="s">
        <v>505</v>
      </c>
    </row>
    <row r="285" spans="9:9">
      <c r="I285" s="157" t="s">
        <v>506</v>
      </c>
    </row>
    <row r="286" spans="9:9">
      <c r="I286" s="157" t="s">
        <v>85</v>
      </c>
    </row>
    <row r="287" spans="9:9">
      <c r="I287" s="157" t="s">
        <v>412</v>
      </c>
    </row>
    <row r="288" spans="9:9">
      <c r="I288" s="157" t="s">
        <v>413</v>
      </c>
    </row>
    <row r="289" spans="9:9">
      <c r="I289" s="157" t="s">
        <v>414</v>
      </c>
    </row>
    <row r="290" spans="9:9">
      <c r="I290" s="157" t="s">
        <v>507</v>
      </c>
    </row>
    <row r="291" spans="9:9">
      <c r="I291" s="157" t="s">
        <v>452</v>
      </c>
    </row>
    <row r="292" spans="9:9">
      <c r="I292" s="157" t="s">
        <v>508</v>
      </c>
    </row>
    <row r="293" spans="9:9">
      <c r="I293" s="157" t="s">
        <v>50</v>
      </c>
    </row>
    <row r="294" spans="9:9">
      <c r="I294" s="157">
        <v>2.4</v>
      </c>
    </row>
    <row r="295" spans="9:9">
      <c r="I295" s="157" t="s">
        <v>509</v>
      </c>
    </row>
    <row r="296" spans="9:9">
      <c r="I296" s="157" t="s">
        <v>452</v>
      </c>
    </row>
    <row r="297" spans="9:9">
      <c r="I297" s="157" t="s">
        <v>508</v>
      </c>
    </row>
    <row r="298" spans="9:9">
      <c r="I298" s="157" t="s">
        <v>50</v>
      </c>
    </row>
    <row r="299" spans="9:9">
      <c r="I299" s="157">
        <v>1.4</v>
      </c>
    </row>
    <row r="300" spans="9:9">
      <c r="I300" s="157" t="s">
        <v>510</v>
      </c>
    </row>
    <row r="301" spans="9:9">
      <c r="I301" s="157" t="s">
        <v>452</v>
      </c>
    </row>
    <row r="302" spans="9:9">
      <c r="I302" s="157" t="s">
        <v>508</v>
      </c>
    </row>
    <row r="303" spans="9:9">
      <c r="I303" s="157" t="s">
        <v>67</v>
      </c>
    </row>
    <row r="304" spans="9:9">
      <c r="I304" s="157">
        <v>0.4</v>
      </c>
    </row>
    <row r="305" spans="9:9">
      <c r="I305" s="157" t="s">
        <v>511</v>
      </c>
    </row>
    <row r="306" spans="9:9">
      <c r="I306" s="157" t="s">
        <v>452</v>
      </c>
    </row>
    <row r="307" spans="9:9">
      <c r="I307" s="157" t="s">
        <v>512</v>
      </c>
    </row>
    <row r="308" spans="9:9">
      <c r="I308" s="157" t="s">
        <v>67</v>
      </c>
    </row>
    <row r="309" spans="9:9">
      <c r="I309" s="157">
        <v>0.15</v>
      </c>
    </row>
    <row r="310" spans="9:9">
      <c r="I310" s="157" t="s">
        <v>513</v>
      </c>
    </row>
    <row r="311" spans="9:9">
      <c r="I311" s="157" t="s">
        <v>452</v>
      </c>
    </row>
    <row r="312" spans="9:9">
      <c r="I312" s="157" t="s">
        <v>514</v>
      </c>
    </row>
    <row r="313" spans="9:9">
      <c r="I313" s="157" t="s">
        <v>50</v>
      </c>
    </row>
    <row r="314" spans="9:9">
      <c r="I314" s="157">
        <v>0.04</v>
      </c>
    </row>
    <row r="315" spans="9:9">
      <c r="I315" s="157" t="s">
        <v>452</v>
      </c>
    </row>
    <row r="316" spans="9:9">
      <c r="I316" s="157" t="s">
        <v>515</v>
      </c>
    </row>
    <row r="317" spans="9:9">
      <c r="I317" s="157" t="s">
        <v>50</v>
      </c>
    </row>
    <row r="318" spans="9:9">
      <c r="I318" s="157">
        <v>1.4999999999999999E-2</v>
      </c>
    </row>
    <row r="319" spans="9:9">
      <c r="I319" s="157" t="s">
        <v>452</v>
      </c>
    </row>
    <row r="320" spans="9:9">
      <c r="I320" s="157" t="s">
        <v>516</v>
      </c>
    </row>
    <row r="321" spans="9:9">
      <c r="I321" s="157" t="s">
        <v>50</v>
      </c>
    </row>
    <row r="322" spans="9:9">
      <c r="I322" s="157">
        <v>0.04</v>
      </c>
    </row>
    <row r="323" spans="9:9">
      <c r="I323" s="157" t="s">
        <v>452</v>
      </c>
    </row>
    <row r="324" spans="9:9">
      <c r="I324" s="157" t="s">
        <v>517</v>
      </c>
    </row>
    <row r="325" spans="9:9">
      <c r="I325" s="157" t="s">
        <v>50</v>
      </c>
    </row>
    <row r="326" spans="9:9">
      <c r="I326" s="157">
        <v>0.08</v>
      </c>
    </row>
    <row r="327" spans="9:9">
      <c r="I327" s="157" t="s">
        <v>518</v>
      </c>
    </row>
    <row r="328" spans="9:9">
      <c r="I328" s="157" t="s">
        <v>409</v>
      </c>
    </row>
    <row r="329" spans="9:9">
      <c r="I329" s="157" t="s">
        <v>519</v>
      </c>
    </row>
    <row r="330" spans="9:9">
      <c r="I330" s="157" t="s">
        <v>520</v>
      </c>
    </row>
    <row r="331" spans="9:9">
      <c r="I331" s="157" t="s">
        <v>85</v>
      </c>
    </row>
    <row r="332" spans="9:9">
      <c r="I332" s="157" t="s">
        <v>412</v>
      </c>
    </row>
    <row r="333" spans="9:9">
      <c r="I333" s="157" t="s">
        <v>413</v>
      </c>
    </row>
    <row r="334" spans="9:9">
      <c r="I334" s="157" t="s">
        <v>414</v>
      </c>
    </row>
    <row r="335" spans="9:9">
      <c r="I335" s="157" t="s">
        <v>521</v>
      </c>
    </row>
    <row r="336" spans="9:9">
      <c r="I336" s="157" t="s">
        <v>50</v>
      </c>
    </row>
    <row r="337" spans="9:9">
      <c r="I337" s="157">
        <v>2.4</v>
      </c>
    </row>
    <row r="338" spans="9:9">
      <c r="I338" s="157" t="s">
        <v>452</v>
      </c>
    </row>
    <row r="339" spans="9:9">
      <c r="I339" s="157" t="s">
        <v>522</v>
      </c>
    </row>
    <row r="340" spans="9:9">
      <c r="I340" s="157" t="s">
        <v>67</v>
      </c>
    </row>
    <row r="341" spans="9:9">
      <c r="I341" s="157">
        <v>0.2</v>
      </c>
    </row>
    <row r="342" spans="9:9">
      <c r="I342" s="157" t="s">
        <v>523</v>
      </c>
    </row>
    <row r="343" spans="9:9">
      <c r="I343" s="157" t="s">
        <v>452</v>
      </c>
    </row>
    <row r="344" spans="9:9">
      <c r="I344" s="157" t="s">
        <v>524</v>
      </c>
    </row>
    <row r="345" spans="9:9">
      <c r="I345" s="157" t="s">
        <v>50</v>
      </c>
    </row>
    <row r="346" spans="9:9">
      <c r="I346" s="157">
        <v>1.2</v>
      </c>
    </row>
    <row r="347" spans="9:9">
      <c r="I347" s="157" t="s">
        <v>452</v>
      </c>
    </row>
    <row r="348" spans="9:9">
      <c r="I348" s="157" t="s">
        <v>525</v>
      </c>
    </row>
    <row r="349" spans="9:9">
      <c r="I349" s="157" t="s">
        <v>50</v>
      </c>
    </row>
    <row r="350" spans="9:9">
      <c r="I350" s="157">
        <v>0.9</v>
      </c>
    </row>
    <row r="351" spans="9:9">
      <c r="I351" s="157" t="s">
        <v>452</v>
      </c>
    </row>
    <row r="352" spans="9:9">
      <c r="I352" s="157" t="s">
        <v>526</v>
      </c>
    </row>
    <row r="353" spans="9:9">
      <c r="I353" s="157" t="s">
        <v>50</v>
      </c>
    </row>
    <row r="354" spans="9:9">
      <c r="I354" s="157">
        <v>0.7</v>
      </c>
    </row>
    <row r="355" spans="9:9">
      <c r="I355" s="157" t="s">
        <v>527</v>
      </c>
    </row>
    <row r="356" spans="9:9">
      <c r="I356" s="157" t="s">
        <v>452</v>
      </c>
    </row>
    <row r="357" spans="9:9">
      <c r="I357" s="157" t="s">
        <v>528</v>
      </c>
    </row>
    <row r="358" spans="9:9">
      <c r="I358" s="157" t="s">
        <v>67</v>
      </c>
    </row>
    <row r="359" spans="9:9">
      <c r="I359" s="157">
        <v>1</v>
      </c>
    </row>
    <row r="360" spans="9:9">
      <c r="I360" s="157" t="s">
        <v>452</v>
      </c>
    </row>
    <row r="361" spans="9:9">
      <c r="I361" s="157" t="s">
        <v>529</v>
      </c>
    </row>
    <row r="362" spans="9:9">
      <c r="I362" s="157" t="s">
        <v>67</v>
      </c>
    </row>
    <row r="363" spans="9:9">
      <c r="I363" s="157">
        <v>0.8</v>
      </c>
    </row>
    <row r="364" spans="9:9">
      <c r="I364" s="157" t="s">
        <v>530</v>
      </c>
    </row>
    <row r="365" spans="9:9">
      <c r="I365" s="157" t="s">
        <v>50</v>
      </c>
    </row>
    <row r="366" spans="9:9">
      <c r="I366" s="157">
        <v>1.2</v>
      </c>
    </row>
    <row r="367" spans="9:9">
      <c r="I367" s="157" t="s">
        <v>531</v>
      </c>
    </row>
    <row r="368" spans="9:9">
      <c r="I368" s="157" t="s">
        <v>452</v>
      </c>
    </row>
    <row r="369" spans="9:9">
      <c r="I369" s="157" t="s">
        <v>532</v>
      </c>
    </row>
    <row r="370" spans="9:9">
      <c r="I370" s="157" t="s">
        <v>67</v>
      </c>
    </row>
    <row r="371" spans="9:9">
      <c r="I371" s="157">
        <v>1.2</v>
      </c>
    </row>
    <row r="372" spans="9:9">
      <c r="I372" s="157" t="s">
        <v>452</v>
      </c>
    </row>
    <row r="373" spans="9:9">
      <c r="I373" s="157" t="s">
        <v>529</v>
      </c>
    </row>
    <row r="374" spans="9:9">
      <c r="I374" s="157" t="s">
        <v>67</v>
      </c>
    </row>
    <row r="375" spans="9:9">
      <c r="I375" s="157">
        <v>1</v>
      </c>
    </row>
    <row r="376" spans="9:9">
      <c r="I376" s="157" t="s">
        <v>452</v>
      </c>
    </row>
    <row r="377" spans="9:9">
      <c r="I377" s="157" t="s">
        <v>533</v>
      </c>
    </row>
    <row r="378" spans="9:9">
      <c r="I378" s="157" t="s">
        <v>67</v>
      </c>
    </row>
    <row r="379" spans="9:9">
      <c r="I379" s="157">
        <v>1.2</v>
      </c>
    </row>
    <row r="380" spans="9:9">
      <c r="I380" s="157" t="s">
        <v>534</v>
      </c>
    </row>
    <row r="381" spans="9:9">
      <c r="I381" s="157" t="s">
        <v>452</v>
      </c>
    </row>
    <row r="382" spans="9:9">
      <c r="I382" s="157" t="s">
        <v>535</v>
      </c>
    </row>
    <row r="383" spans="9:9">
      <c r="I383" s="157" t="s">
        <v>50</v>
      </c>
    </row>
    <row r="384" spans="9:9">
      <c r="I384" s="157">
        <v>0.7</v>
      </c>
    </row>
    <row r="385" spans="9:9">
      <c r="I385" s="157" t="s">
        <v>452</v>
      </c>
    </row>
    <row r="386" spans="9:9">
      <c r="I386" s="157" t="s">
        <v>536</v>
      </c>
    </row>
    <row r="387" spans="9:9">
      <c r="I387" s="157" t="s">
        <v>50</v>
      </c>
    </row>
    <row r="388" spans="9:9">
      <c r="I388" s="157">
        <v>0.5</v>
      </c>
    </row>
    <row r="389" spans="9:9">
      <c r="I389" s="157" t="s">
        <v>537</v>
      </c>
    </row>
    <row r="390" spans="9:9">
      <c r="I390" s="157" t="s">
        <v>452</v>
      </c>
    </row>
    <row r="391" spans="9:9">
      <c r="I391" s="157" t="s">
        <v>529</v>
      </c>
    </row>
    <row r="392" spans="9:9">
      <c r="I392" s="157" t="s">
        <v>67</v>
      </c>
    </row>
    <row r="393" spans="9:9">
      <c r="I393" s="157">
        <v>0.8</v>
      </c>
    </row>
    <row r="394" spans="9:9">
      <c r="I394" s="157" t="s">
        <v>538</v>
      </c>
    </row>
    <row r="395" spans="9:9">
      <c r="I395" s="157" t="s">
        <v>50</v>
      </c>
    </row>
    <row r="396" spans="9:9">
      <c r="I396" s="157">
        <v>1.5</v>
      </c>
    </row>
    <row r="397" spans="9:9">
      <c r="I397" s="157" t="s">
        <v>539</v>
      </c>
    </row>
    <row r="398" spans="9:9">
      <c r="I398" s="157" t="s">
        <v>452</v>
      </c>
    </row>
    <row r="399" spans="9:9">
      <c r="I399" s="157" t="s">
        <v>528</v>
      </c>
    </row>
    <row r="400" spans="9:9">
      <c r="I400" s="157" t="s">
        <v>67</v>
      </c>
    </row>
    <row r="401" spans="9:9">
      <c r="I401" s="157">
        <v>1.5</v>
      </c>
    </row>
    <row r="402" spans="9:9">
      <c r="I402" s="157" t="s">
        <v>452</v>
      </c>
    </row>
    <row r="403" spans="9:9">
      <c r="I403" s="157" t="s">
        <v>529</v>
      </c>
    </row>
    <row r="404" spans="9:9">
      <c r="I404" s="157" t="s">
        <v>67</v>
      </c>
    </row>
    <row r="405" spans="9:9">
      <c r="I405" s="157">
        <v>1</v>
      </c>
    </row>
    <row r="406" spans="9:9">
      <c r="I406" s="157" t="s">
        <v>540</v>
      </c>
    </row>
    <row r="407" spans="9:9">
      <c r="I407" s="157" t="s">
        <v>50</v>
      </c>
    </row>
    <row r="408" spans="9:9">
      <c r="I408" s="157">
        <v>3</v>
      </c>
    </row>
    <row r="409" spans="9:9">
      <c r="I409" s="157" t="s">
        <v>541</v>
      </c>
    </row>
    <row r="410" spans="9:9">
      <c r="I410" s="157" t="s">
        <v>67</v>
      </c>
    </row>
    <row r="411" spans="9:9">
      <c r="I411" s="157">
        <v>0.08</v>
      </c>
    </row>
    <row r="412" spans="9:9">
      <c r="I412" s="157" t="s">
        <v>542</v>
      </c>
    </row>
    <row r="413" spans="9:9">
      <c r="I413" s="157" t="s">
        <v>452</v>
      </c>
    </row>
    <row r="414" spans="9:9">
      <c r="I414" s="157" t="s">
        <v>543</v>
      </c>
    </row>
    <row r="415" spans="9:9">
      <c r="I415" s="157" t="s">
        <v>67</v>
      </c>
    </row>
    <row r="416" spans="9:9">
      <c r="I416" s="157">
        <v>0.5</v>
      </c>
    </row>
    <row r="417" spans="9:9">
      <c r="I417" s="157" t="s">
        <v>544</v>
      </c>
    </row>
    <row r="418" spans="9:9">
      <c r="I418" s="157" t="s">
        <v>452</v>
      </c>
    </row>
    <row r="419" spans="9:9">
      <c r="I419" s="157" t="s">
        <v>545</v>
      </c>
    </row>
    <row r="420" spans="9:9">
      <c r="I420" s="157" t="s">
        <v>67</v>
      </c>
    </row>
    <row r="421" spans="9:9">
      <c r="I421" s="157">
        <v>0.4</v>
      </c>
    </row>
    <row r="422" spans="9:9">
      <c r="I422" s="157" t="s">
        <v>546</v>
      </c>
    </row>
    <row r="423" spans="9:9">
      <c r="I423" s="157" t="s">
        <v>452</v>
      </c>
    </row>
    <row r="424" spans="9:9">
      <c r="I424" s="157" t="s">
        <v>547</v>
      </c>
    </row>
    <row r="425" spans="9:9">
      <c r="I425" s="157" t="s">
        <v>67</v>
      </c>
    </row>
    <row r="426" spans="9:9">
      <c r="I426" s="157">
        <v>0.15</v>
      </c>
    </row>
    <row r="427" spans="9:9">
      <c r="I427" s="157" t="s">
        <v>452</v>
      </c>
    </row>
    <row r="428" spans="9:9">
      <c r="I428" s="157" t="s">
        <v>548</v>
      </c>
    </row>
    <row r="429" spans="9:9">
      <c r="I429" s="157" t="s">
        <v>67</v>
      </c>
    </row>
    <row r="430" spans="9:9">
      <c r="I430" s="157">
        <v>0.2</v>
      </c>
    </row>
    <row r="431" spans="9:9">
      <c r="I431" s="157" t="s">
        <v>452</v>
      </c>
    </row>
    <row r="432" spans="9:9">
      <c r="I432" s="157" t="s">
        <v>549</v>
      </c>
    </row>
    <row r="433" spans="9:9">
      <c r="I433" s="157" t="s">
        <v>67</v>
      </c>
    </row>
    <row r="434" spans="9:9">
      <c r="I434" s="157">
        <v>0.05</v>
      </c>
    </row>
    <row r="435" spans="9:9">
      <c r="I435" s="157" t="s">
        <v>452</v>
      </c>
    </row>
    <row r="436" spans="9:9">
      <c r="I436" s="157" t="s">
        <v>550</v>
      </c>
    </row>
    <row r="437" spans="9:9">
      <c r="I437" s="157" t="s">
        <v>67</v>
      </c>
    </row>
    <row r="438" spans="9:9">
      <c r="I438" s="157">
        <v>0.03</v>
      </c>
    </row>
    <row r="439" spans="9:9">
      <c r="I439" s="157" t="s">
        <v>452</v>
      </c>
    </row>
    <row r="440" spans="9:9">
      <c r="I440" s="157" t="s">
        <v>551</v>
      </c>
    </row>
    <row r="441" spans="9:9">
      <c r="I441" s="157" t="s">
        <v>67</v>
      </c>
    </row>
    <row r="442" spans="9:9">
      <c r="I442" s="157">
        <v>0.05</v>
      </c>
    </row>
    <row r="443" spans="9:9">
      <c r="I443" s="157" t="s">
        <v>452</v>
      </c>
    </row>
    <row r="444" spans="9:9">
      <c r="I444" s="157" t="s">
        <v>552</v>
      </c>
    </row>
    <row r="445" spans="9:9">
      <c r="I445" s="157" t="s">
        <v>67</v>
      </c>
    </row>
    <row r="446" spans="9:9">
      <c r="I446" s="157">
        <v>0.2</v>
      </c>
    </row>
    <row r="447" spans="9:9">
      <c r="I447" s="157" t="s">
        <v>452</v>
      </c>
    </row>
    <row r="448" spans="9:9">
      <c r="I448" s="157" t="s">
        <v>553</v>
      </c>
    </row>
    <row r="449" spans="9:9">
      <c r="I449" s="157" t="s">
        <v>67</v>
      </c>
    </row>
    <row r="450" spans="9:9">
      <c r="I450" s="157">
        <v>0.25</v>
      </c>
    </row>
    <row r="451" spans="9:9">
      <c r="I451" s="157" t="s">
        <v>452</v>
      </c>
    </row>
    <row r="452" spans="9:9">
      <c r="I452" s="157" t="s">
        <v>554</v>
      </c>
    </row>
    <row r="453" spans="9:9">
      <c r="I453" s="157" t="s">
        <v>67</v>
      </c>
    </row>
    <row r="454" spans="9:9">
      <c r="I454" s="157">
        <v>0.1</v>
      </c>
    </row>
    <row r="455" spans="9:9">
      <c r="I455" s="157" t="s">
        <v>452</v>
      </c>
    </row>
    <row r="456" spans="9:9">
      <c r="I456" s="157" t="s">
        <v>555</v>
      </c>
    </row>
    <row r="457" spans="9:9">
      <c r="I457" s="157" t="s">
        <v>59</v>
      </c>
    </row>
    <row r="458" spans="9:9">
      <c r="I458" s="157">
        <v>7.0000000000000007E-2</v>
      </c>
    </row>
    <row r="459" spans="9:9">
      <c r="I459" s="157" t="s">
        <v>452</v>
      </c>
    </row>
    <row r="460" spans="9:9">
      <c r="I460" s="157" t="s">
        <v>556</v>
      </c>
    </row>
    <row r="461" spans="9:9">
      <c r="I461" s="157" t="s">
        <v>59</v>
      </c>
    </row>
    <row r="462" spans="9:9">
      <c r="I462" s="157">
        <v>0.15</v>
      </c>
    </row>
    <row r="463" spans="9:9">
      <c r="I463" s="157" t="s">
        <v>452</v>
      </c>
    </row>
    <row r="464" spans="9:9">
      <c r="I464" s="157" t="s">
        <v>557</v>
      </c>
    </row>
    <row r="465" spans="9:9">
      <c r="I465" s="157" t="s">
        <v>59</v>
      </c>
    </row>
    <row r="466" spans="9:9">
      <c r="I466" s="157">
        <v>0.15</v>
      </c>
    </row>
    <row r="467" spans="9:9">
      <c r="I467" s="157" t="s">
        <v>558</v>
      </c>
    </row>
    <row r="468" spans="9:9">
      <c r="I468" s="157" t="s">
        <v>452</v>
      </c>
    </row>
    <row r="469" spans="9:9">
      <c r="I469" s="157" t="s">
        <v>559</v>
      </c>
    </row>
    <row r="470" spans="9:9">
      <c r="I470" s="157" t="s">
        <v>67</v>
      </c>
    </row>
    <row r="471" spans="9:9">
      <c r="I471" s="157">
        <v>0.6</v>
      </c>
    </row>
    <row r="472" spans="9:9">
      <c r="I472" s="157" t="s">
        <v>560</v>
      </c>
    </row>
    <row r="473" spans="9:9">
      <c r="I473" s="157" t="s">
        <v>409</v>
      </c>
    </row>
    <row r="474" spans="9:9">
      <c r="I474" s="157" t="s">
        <v>561</v>
      </c>
    </row>
    <row r="475" spans="9:9">
      <c r="I475" s="157" t="s">
        <v>562</v>
      </c>
    </row>
    <row r="476" spans="9:9">
      <c r="I476" s="157" t="s">
        <v>85</v>
      </c>
    </row>
    <row r="477" spans="9:9">
      <c r="I477" s="157" t="s">
        <v>412</v>
      </c>
    </row>
    <row r="478" spans="9:9">
      <c r="I478" s="157" t="s">
        <v>413</v>
      </c>
    </row>
    <row r="479" spans="9:9">
      <c r="I479" s="157" t="s">
        <v>414</v>
      </c>
    </row>
    <row r="480" spans="9:9">
      <c r="I480" s="157" t="s">
        <v>563</v>
      </c>
    </row>
    <row r="481" spans="9:9">
      <c r="I481" s="157" t="s">
        <v>59</v>
      </c>
    </row>
    <row r="482" spans="9:9">
      <c r="I482" s="157">
        <v>1.1000000000000001</v>
      </c>
    </row>
    <row r="483" spans="9:9">
      <c r="I483" s="157" t="s">
        <v>564</v>
      </c>
    </row>
    <row r="484" spans="9:9">
      <c r="I484" s="157" t="s">
        <v>59</v>
      </c>
    </row>
    <row r="485" spans="9:9">
      <c r="I485" s="157">
        <v>1.3</v>
      </c>
    </row>
    <row r="486" spans="9:9">
      <c r="I486" s="157" t="s">
        <v>565</v>
      </c>
    </row>
    <row r="487" spans="9:9">
      <c r="I487" s="157" t="s">
        <v>19</v>
      </c>
    </row>
    <row r="488" spans="9:9">
      <c r="I488" s="157">
        <v>2</v>
      </c>
    </row>
    <row r="489" spans="9:9">
      <c r="I489" s="157" t="s">
        <v>566</v>
      </c>
    </row>
    <row r="490" spans="9:9">
      <c r="I490" s="157" t="s">
        <v>452</v>
      </c>
    </row>
    <row r="491" spans="9:9">
      <c r="I491" s="157" t="s">
        <v>567</v>
      </c>
    </row>
    <row r="492" spans="9:9">
      <c r="I492" s="157" t="s">
        <v>19</v>
      </c>
    </row>
    <row r="493" spans="9:9">
      <c r="I493" s="157">
        <v>15</v>
      </c>
    </row>
    <row r="494" spans="9:9">
      <c r="I494" s="157" t="s">
        <v>452</v>
      </c>
    </row>
    <row r="495" spans="9:9">
      <c r="I495" s="157" t="s">
        <v>568</v>
      </c>
    </row>
    <row r="496" spans="9:9">
      <c r="I496" s="157" t="s">
        <v>19</v>
      </c>
    </row>
    <row r="497" spans="9:9">
      <c r="I497" s="157">
        <v>4</v>
      </c>
    </row>
    <row r="498" spans="9:9">
      <c r="I498" s="157" t="s">
        <v>569</v>
      </c>
    </row>
    <row r="499" spans="9:9">
      <c r="I499" s="157" t="s">
        <v>452</v>
      </c>
    </row>
    <row r="500" spans="9:9">
      <c r="I500" s="157" t="s">
        <v>570</v>
      </c>
    </row>
    <row r="501" spans="9:9">
      <c r="I501" s="157" t="s">
        <v>59</v>
      </c>
    </row>
    <row r="502" spans="9:9">
      <c r="I502" s="157">
        <v>5.3</v>
      </c>
    </row>
    <row r="503" spans="9:9">
      <c r="I503" s="157" t="s">
        <v>452</v>
      </c>
    </row>
    <row r="504" spans="9:9">
      <c r="I504" s="157" t="s">
        <v>568</v>
      </c>
    </row>
    <row r="505" spans="9:9">
      <c r="I505" s="157" t="s">
        <v>59</v>
      </c>
    </row>
    <row r="506" spans="9:9">
      <c r="I506" s="157">
        <v>3.3</v>
      </c>
    </row>
    <row r="507" spans="9:9">
      <c r="I507" s="157" t="s">
        <v>571</v>
      </c>
    </row>
    <row r="508" spans="9:9">
      <c r="I508" s="157" t="s">
        <v>572</v>
      </c>
    </row>
    <row r="509" spans="9:9">
      <c r="I509" s="157" t="s">
        <v>85</v>
      </c>
    </row>
    <row r="510" spans="9:9">
      <c r="I510" s="157" t="s">
        <v>412</v>
      </c>
    </row>
    <row r="511" spans="9:9">
      <c r="I511" s="157" t="s">
        <v>413</v>
      </c>
    </row>
    <row r="512" spans="9:9">
      <c r="I512" s="157" t="s">
        <v>414</v>
      </c>
    </row>
    <row r="513" spans="9:9">
      <c r="I513" s="157" t="s">
        <v>539</v>
      </c>
    </row>
    <row r="514" spans="9:9">
      <c r="I514" s="157" t="s">
        <v>452</v>
      </c>
    </row>
    <row r="515" spans="9:9">
      <c r="I515" s="157" t="s">
        <v>573</v>
      </c>
    </row>
    <row r="516" spans="9:9">
      <c r="I516" s="157" t="s">
        <v>67</v>
      </c>
    </row>
    <row r="517" spans="9:9">
      <c r="I517" s="157">
        <v>2</v>
      </c>
    </row>
    <row r="518" spans="9:9">
      <c r="I518" s="157" t="s">
        <v>452</v>
      </c>
    </row>
    <row r="519" spans="9:9">
      <c r="I519" s="157" t="s">
        <v>574</v>
      </c>
    </row>
    <row r="520" spans="9:9">
      <c r="I520" s="157" t="s">
        <v>67</v>
      </c>
    </row>
    <row r="521" spans="9:9">
      <c r="I521" s="157">
        <v>1.1000000000000001</v>
      </c>
    </row>
    <row r="522" spans="9:9">
      <c r="I522" s="157" t="s">
        <v>452</v>
      </c>
    </row>
    <row r="523" spans="9:9">
      <c r="I523" s="157" t="s">
        <v>575</v>
      </c>
    </row>
    <row r="524" spans="9:9">
      <c r="I524" s="157" t="s">
        <v>67</v>
      </c>
    </row>
    <row r="525" spans="9:9">
      <c r="I525" s="157">
        <v>2.5</v>
      </c>
    </row>
    <row r="526" spans="9:9">
      <c r="I526" s="157" t="s">
        <v>452</v>
      </c>
    </row>
    <row r="527" spans="9:9">
      <c r="I527" s="157" t="s">
        <v>576</v>
      </c>
    </row>
    <row r="528" spans="9:9">
      <c r="I528" s="157" t="s">
        <v>67</v>
      </c>
    </row>
    <row r="529" spans="9:9">
      <c r="I529" s="157">
        <v>2.5</v>
      </c>
    </row>
    <row r="530" spans="9:9">
      <c r="I530" s="157" t="s">
        <v>452</v>
      </c>
    </row>
    <row r="531" spans="9:9">
      <c r="I531" s="157" t="s">
        <v>529</v>
      </c>
    </row>
    <row r="532" spans="9:9">
      <c r="I532" s="157" t="s">
        <v>67</v>
      </c>
    </row>
    <row r="533" spans="9:9">
      <c r="I533" s="157">
        <v>1</v>
      </c>
    </row>
    <row r="534" spans="9:9">
      <c r="I534" s="157" t="s">
        <v>577</v>
      </c>
    </row>
    <row r="535" spans="9:9">
      <c r="I535" s="157" t="s">
        <v>452</v>
      </c>
    </row>
    <row r="536" spans="9:9">
      <c r="I536" s="157" t="s">
        <v>578</v>
      </c>
    </row>
    <row r="537" spans="9:9">
      <c r="I537" s="157" t="s">
        <v>50</v>
      </c>
    </row>
    <row r="538" spans="9:9">
      <c r="I538" s="157">
        <v>4</v>
      </c>
    </row>
    <row r="539" spans="9:9">
      <c r="I539" s="157" t="s">
        <v>452</v>
      </c>
    </row>
    <row r="540" spans="9:9">
      <c r="I540" s="157" t="s">
        <v>579</v>
      </c>
    </row>
    <row r="541" spans="9:9">
      <c r="I541" s="157" t="s">
        <v>50</v>
      </c>
    </row>
    <row r="542" spans="9:9">
      <c r="I542" s="157">
        <v>3</v>
      </c>
    </row>
    <row r="543" spans="9:9">
      <c r="I543" s="157" t="s">
        <v>452</v>
      </c>
    </row>
    <row r="544" spans="9:9">
      <c r="I544" s="157" t="s">
        <v>580</v>
      </c>
    </row>
    <row r="545" spans="9:9">
      <c r="I545" s="157" t="s">
        <v>50</v>
      </c>
    </row>
    <row r="546" spans="9:9">
      <c r="I546" s="157">
        <v>2</v>
      </c>
    </row>
    <row r="547" spans="9:9">
      <c r="I547" s="157" t="s">
        <v>581</v>
      </c>
    </row>
    <row r="548" spans="9:9">
      <c r="I548" s="157" t="s">
        <v>452</v>
      </c>
    </row>
    <row r="549" spans="9:9">
      <c r="I549" s="157" t="s">
        <v>582</v>
      </c>
    </row>
    <row r="550" spans="9:9">
      <c r="I550" s="157" t="s">
        <v>67</v>
      </c>
    </row>
    <row r="551" spans="9:9">
      <c r="I551" s="157">
        <v>2</v>
      </c>
    </row>
    <row r="552" spans="9:9">
      <c r="I552" s="157" t="s">
        <v>452</v>
      </c>
    </row>
    <row r="553" spans="9:9">
      <c r="I553" s="157" t="s">
        <v>583</v>
      </c>
    </row>
    <row r="554" spans="9:9">
      <c r="I554" s="157" t="s">
        <v>67</v>
      </c>
    </row>
    <row r="555" spans="9:9">
      <c r="I555" s="157">
        <v>3</v>
      </c>
    </row>
    <row r="556" spans="9:9">
      <c r="I556" s="157" t="s">
        <v>584</v>
      </c>
    </row>
    <row r="557" spans="9:9">
      <c r="I557" s="157" t="s">
        <v>50</v>
      </c>
    </row>
    <row r="558" spans="9:9">
      <c r="I558" s="157">
        <v>2</v>
      </c>
    </row>
    <row r="559" spans="9:9">
      <c r="I559" s="157" t="s">
        <v>585</v>
      </c>
    </row>
    <row r="560" spans="9:9">
      <c r="I560" s="157" t="s">
        <v>452</v>
      </c>
    </row>
    <row r="561" spans="9:9">
      <c r="I561" s="157" t="s">
        <v>586</v>
      </c>
    </row>
    <row r="562" spans="9:9">
      <c r="I562" s="157" t="s">
        <v>59</v>
      </c>
    </row>
    <row r="563" spans="9:9">
      <c r="I563" s="157">
        <v>1.6</v>
      </c>
    </row>
    <row r="564" spans="9:9">
      <c r="I564" s="157" t="s">
        <v>587</v>
      </c>
    </row>
    <row r="565" spans="9:9">
      <c r="I565" s="157" t="s">
        <v>452</v>
      </c>
    </row>
    <row r="566" spans="9:9">
      <c r="I566" s="157" t="s">
        <v>588</v>
      </c>
    </row>
    <row r="567" spans="9:9">
      <c r="I567" s="157" t="s">
        <v>67</v>
      </c>
    </row>
    <row r="568" spans="9:9">
      <c r="I568" s="157">
        <v>1.2</v>
      </c>
    </row>
    <row r="569" spans="9:9">
      <c r="I569" s="157" t="s">
        <v>452</v>
      </c>
    </row>
    <row r="570" spans="9:9">
      <c r="I570" s="157" t="s">
        <v>589</v>
      </c>
    </row>
    <row r="571" spans="9:9">
      <c r="I571" s="157" t="s">
        <v>67</v>
      </c>
    </row>
    <row r="572" spans="9:9">
      <c r="I572" s="157">
        <v>1.5</v>
      </c>
    </row>
    <row r="573" spans="9:9">
      <c r="I573" s="157" t="s">
        <v>452</v>
      </c>
    </row>
    <row r="574" spans="9:9">
      <c r="I574" s="157" t="s">
        <v>529</v>
      </c>
    </row>
    <row r="575" spans="9:9">
      <c r="I575" s="157" t="s">
        <v>67</v>
      </c>
    </row>
    <row r="576" spans="9:9">
      <c r="I576" s="157">
        <v>0.4</v>
      </c>
    </row>
    <row r="577" spans="9:9">
      <c r="I577" s="157" t="s">
        <v>452</v>
      </c>
    </row>
    <row r="578" spans="9:9">
      <c r="I578" s="157" t="s">
        <v>583</v>
      </c>
    </row>
    <row r="579" spans="9:9">
      <c r="I579" s="157" t="s">
        <v>67</v>
      </c>
    </row>
    <row r="580" spans="9:9">
      <c r="I580" s="157">
        <v>0.5</v>
      </c>
    </row>
    <row r="581" spans="9:9">
      <c r="I581" s="157" t="s">
        <v>452</v>
      </c>
    </row>
    <row r="582" spans="9:9">
      <c r="I582" s="157" t="s">
        <v>590</v>
      </c>
    </row>
    <row r="583" spans="9:9">
      <c r="I583" s="157" t="s">
        <v>67</v>
      </c>
    </row>
    <row r="584" spans="9:9">
      <c r="I584" s="157">
        <v>1.5</v>
      </c>
    </row>
    <row r="585" spans="9:9">
      <c r="I585" s="157" t="s">
        <v>452</v>
      </c>
    </row>
    <row r="586" spans="9:9">
      <c r="I586" s="157" t="s">
        <v>591</v>
      </c>
    </row>
    <row r="587" spans="9:9">
      <c r="I587" s="157" t="s">
        <v>67</v>
      </c>
    </row>
    <row r="588" spans="9:9">
      <c r="I588" s="157">
        <v>0.5</v>
      </c>
    </row>
    <row r="589" spans="9:9">
      <c r="I589" s="157" t="s">
        <v>592</v>
      </c>
    </row>
    <row r="590" spans="9:9">
      <c r="I590" s="157" t="s">
        <v>452</v>
      </c>
    </row>
    <row r="591" spans="9:9">
      <c r="I591" s="157" t="s">
        <v>593</v>
      </c>
    </row>
    <row r="592" spans="9:9">
      <c r="I592" s="157" t="s">
        <v>50</v>
      </c>
    </row>
    <row r="593" spans="9:9">
      <c r="I593" s="157">
        <v>1.5</v>
      </c>
    </row>
    <row r="594" spans="9:9">
      <c r="I594" s="157" t="s">
        <v>452</v>
      </c>
    </row>
    <row r="595" spans="9:9">
      <c r="I595" s="157" t="s">
        <v>594</v>
      </c>
    </row>
    <row r="596" spans="9:9">
      <c r="I596" s="157" t="s">
        <v>50</v>
      </c>
    </row>
    <row r="597" spans="9:9">
      <c r="I597" s="157">
        <v>1.3</v>
      </c>
    </row>
    <row r="598" spans="9:9">
      <c r="I598" s="157" t="s">
        <v>595</v>
      </c>
    </row>
    <row r="599" spans="9:9">
      <c r="I599" s="157" t="s">
        <v>409</v>
      </c>
    </row>
    <row r="600" spans="9:9">
      <c r="I600" s="157" t="s">
        <v>596</v>
      </c>
    </row>
    <row r="601" spans="9:9">
      <c r="I601" s="157" t="s">
        <v>452</v>
      </c>
    </row>
    <row r="602" spans="9:9">
      <c r="I602" s="157" t="s">
        <v>597</v>
      </c>
    </row>
    <row r="603" spans="9:9">
      <c r="I603" s="157" t="s">
        <v>67</v>
      </c>
    </row>
    <row r="604" spans="9:9">
      <c r="I604" s="157">
        <v>3.5</v>
      </c>
    </row>
    <row r="605" spans="9:9">
      <c r="I605" s="157" t="s">
        <v>452</v>
      </c>
    </row>
    <row r="606" spans="9:9">
      <c r="I606" s="157" t="s">
        <v>598</v>
      </c>
    </row>
    <row r="607" spans="9:9">
      <c r="I607" s="157" t="s">
        <v>50</v>
      </c>
    </row>
    <row r="608" spans="9:9">
      <c r="I608" s="157">
        <v>4.5</v>
      </c>
    </row>
    <row r="609" spans="9:9">
      <c r="I609" s="157" t="s">
        <v>452</v>
      </c>
    </row>
    <row r="610" spans="9:9">
      <c r="I610" s="157" t="s">
        <v>599</v>
      </c>
    </row>
    <row r="611" spans="9:9">
      <c r="I611" s="157" t="s">
        <v>64</v>
      </c>
    </row>
    <row r="612" spans="9:9">
      <c r="I612" s="157">
        <v>0.15</v>
      </c>
    </row>
    <row r="613" spans="9:9">
      <c r="I613" s="157" t="s">
        <v>600</v>
      </c>
    </row>
    <row r="614" spans="9:9">
      <c r="I614" s="157" t="s">
        <v>452</v>
      </c>
    </row>
    <row r="615" spans="9:9">
      <c r="I615" s="157" t="s">
        <v>601</v>
      </c>
    </row>
    <row r="616" spans="9:9">
      <c r="I616" s="157" t="s">
        <v>67</v>
      </c>
    </row>
    <row r="617" spans="9:9">
      <c r="I617" s="157">
        <v>4</v>
      </c>
    </row>
    <row r="618" spans="9:9">
      <c r="I618" s="157" t="s">
        <v>452</v>
      </c>
    </row>
    <row r="619" spans="9:9">
      <c r="I619" s="157" t="s">
        <v>602</v>
      </c>
    </row>
    <row r="620" spans="9:9">
      <c r="I620" s="157" t="s">
        <v>50</v>
      </c>
    </row>
    <row r="621" spans="9:9">
      <c r="I621" s="157">
        <v>6</v>
      </c>
    </row>
    <row r="622" spans="9:9">
      <c r="I622" s="157" t="s">
        <v>452</v>
      </c>
    </row>
    <row r="623" spans="9:9">
      <c r="I623" s="157" t="s">
        <v>603</v>
      </c>
    </row>
    <row r="624" spans="9:9">
      <c r="I624" s="157" t="s">
        <v>64</v>
      </c>
    </row>
    <row r="625" spans="9:9">
      <c r="I625" s="157">
        <v>0.13</v>
      </c>
    </row>
    <row r="626" spans="9:9">
      <c r="I626" s="157" t="s">
        <v>604</v>
      </c>
    </row>
    <row r="627" spans="9:9">
      <c r="I627" s="157" t="s">
        <v>452</v>
      </c>
    </row>
    <row r="628" spans="9:9">
      <c r="I628" s="157" t="s">
        <v>605</v>
      </c>
    </row>
    <row r="629" spans="9:9">
      <c r="I629" s="157" t="s">
        <v>606</v>
      </c>
    </row>
    <row r="630" spans="9:9">
      <c r="I630" s="157">
        <v>4</v>
      </c>
    </row>
    <row r="631" spans="9:9">
      <c r="I631" s="157" t="s">
        <v>452</v>
      </c>
    </row>
    <row r="632" spans="9:9">
      <c r="I632" s="157" t="s">
        <v>607</v>
      </c>
    </row>
    <row r="633" spans="9:9">
      <c r="I633" s="157" t="s">
        <v>50</v>
      </c>
    </row>
    <row r="634" spans="9:9">
      <c r="I634" s="157">
        <v>13</v>
      </c>
    </row>
    <row r="635" spans="9:9">
      <c r="I635" s="157" t="s">
        <v>452</v>
      </c>
    </row>
    <row r="636" spans="9:9">
      <c r="I636" s="157" t="s">
        <v>608</v>
      </c>
    </row>
    <row r="637" spans="9:9">
      <c r="I637" s="157" t="s">
        <v>67</v>
      </c>
    </row>
    <row r="638" spans="9:9">
      <c r="I638" s="157">
        <v>1</v>
      </c>
    </row>
    <row r="639" spans="9:9">
      <c r="I639" s="157" t="s">
        <v>452</v>
      </c>
    </row>
    <row r="640" spans="9:9">
      <c r="I640" s="157" t="s">
        <v>609</v>
      </c>
    </row>
    <row r="641" spans="9:9">
      <c r="I641" s="157" t="s">
        <v>59</v>
      </c>
    </row>
    <row r="642" spans="9:9">
      <c r="I642" s="157">
        <v>0.2</v>
      </c>
    </row>
    <row r="643" spans="9:9">
      <c r="I643" s="157" t="s">
        <v>610</v>
      </c>
    </row>
    <row r="644" spans="9:9">
      <c r="I644" s="157" t="s">
        <v>452</v>
      </c>
    </row>
    <row r="645" spans="9:9">
      <c r="I645" s="157" t="s">
        <v>601</v>
      </c>
    </row>
    <row r="646" spans="9:9">
      <c r="I646" s="157" t="s">
        <v>67</v>
      </c>
    </row>
    <row r="647" spans="9:9">
      <c r="I647" s="157">
        <v>4</v>
      </c>
    </row>
    <row r="648" spans="9:9">
      <c r="I648" s="157" t="s">
        <v>452</v>
      </c>
    </row>
    <row r="649" spans="9:9">
      <c r="I649" s="157" t="s">
        <v>611</v>
      </c>
    </row>
    <row r="650" spans="9:9">
      <c r="I650" s="157" t="s">
        <v>50</v>
      </c>
    </row>
    <row r="651" spans="9:9">
      <c r="I651" s="157">
        <v>3.25</v>
      </c>
    </row>
    <row r="652" spans="9:9">
      <c r="I652" s="157" t="s">
        <v>452</v>
      </c>
    </row>
    <row r="653" spans="9:9">
      <c r="I653" s="157" t="s">
        <v>599</v>
      </c>
    </row>
    <row r="654" spans="9:9">
      <c r="I654" s="157" t="s">
        <v>64</v>
      </c>
    </row>
    <row r="655" spans="9:9">
      <c r="I655" s="157">
        <v>0.15</v>
      </c>
    </row>
    <row r="656" spans="9:9">
      <c r="I656" s="157" t="s">
        <v>612</v>
      </c>
    </row>
    <row r="657" spans="9:9">
      <c r="I657" s="157" t="s">
        <v>452</v>
      </c>
    </row>
    <row r="658" spans="9:9">
      <c r="I658" s="157" t="s">
        <v>613</v>
      </c>
    </row>
    <row r="659" spans="9:9">
      <c r="I659" s="157" t="s">
        <v>50</v>
      </c>
    </row>
    <row r="660" spans="9:9">
      <c r="I660" s="157">
        <v>13</v>
      </c>
    </row>
    <row r="661" spans="9:9">
      <c r="I661" s="157" t="s">
        <v>452</v>
      </c>
    </row>
    <row r="662" spans="9:9">
      <c r="I662" s="157" t="s">
        <v>614</v>
      </c>
    </row>
    <row r="663" spans="9:9">
      <c r="I663" s="157" t="s">
        <v>67</v>
      </c>
    </row>
    <row r="664" spans="9:9">
      <c r="I664" s="157">
        <v>1.5</v>
      </c>
    </row>
    <row r="665" spans="9:9">
      <c r="I665" s="157" t="s">
        <v>452</v>
      </c>
    </row>
    <row r="666" spans="9:9">
      <c r="I666" s="157" t="s">
        <v>615</v>
      </c>
    </row>
    <row r="667" spans="9:9">
      <c r="I667" s="157" t="s">
        <v>50</v>
      </c>
    </row>
    <row r="668" spans="9:9">
      <c r="I668" s="157">
        <v>2</v>
      </c>
    </row>
    <row r="669" spans="9:9">
      <c r="I669" s="157" t="s">
        <v>452</v>
      </c>
    </row>
    <row r="670" spans="9:9">
      <c r="I670" s="157" t="s">
        <v>616</v>
      </c>
    </row>
    <row r="671" spans="9:9">
      <c r="I671" s="157" t="s">
        <v>64</v>
      </c>
    </row>
    <row r="672" spans="9:9">
      <c r="I672" s="157">
        <v>0.13</v>
      </c>
    </row>
    <row r="673" spans="9:9">
      <c r="I673" s="157" t="s">
        <v>617</v>
      </c>
    </row>
    <row r="674" spans="9:9">
      <c r="I674" s="157" t="s">
        <v>67</v>
      </c>
    </row>
    <row r="675" spans="9:9">
      <c r="I675" s="157">
        <v>0.1</v>
      </c>
    </row>
    <row r="676" spans="9:9">
      <c r="I676" s="157" t="s">
        <v>618</v>
      </c>
    </row>
    <row r="677" spans="9:9">
      <c r="I677" s="157" t="s">
        <v>67</v>
      </c>
    </row>
    <row r="678" spans="9:9">
      <c r="I678" s="157">
        <v>0.15</v>
      </c>
    </row>
    <row r="679" spans="9:9">
      <c r="I679" s="157" t="s">
        <v>619</v>
      </c>
    </row>
    <row r="680" spans="9:9">
      <c r="I680" s="157" t="s">
        <v>620</v>
      </c>
    </row>
    <row r="681" spans="9:9">
      <c r="I681" s="157" t="s">
        <v>67</v>
      </c>
    </row>
    <row r="682" spans="9:9">
      <c r="I682" s="157">
        <v>2.5</v>
      </c>
    </row>
    <row r="683" spans="9:9">
      <c r="I683" s="157" t="s">
        <v>621</v>
      </c>
    </row>
    <row r="684" spans="9:9">
      <c r="I684" s="157" t="s">
        <v>59</v>
      </c>
    </row>
    <row r="685" spans="9:9">
      <c r="I685" s="157">
        <v>0.5</v>
      </c>
    </row>
    <row r="686" spans="9:9">
      <c r="I686" s="157" t="s">
        <v>622</v>
      </c>
    </row>
    <row r="687" spans="9:9">
      <c r="I687" s="157" t="s">
        <v>452</v>
      </c>
    </row>
    <row r="688" spans="9:9">
      <c r="I688" s="157" t="s">
        <v>588</v>
      </c>
    </row>
    <row r="689" spans="9:9">
      <c r="I689" s="157" t="s">
        <v>67</v>
      </c>
    </row>
    <row r="690" spans="9:9">
      <c r="I690" s="157">
        <v>1.2</v>
      </c>
    </row>
    <row r="691" spans="9:9">
      <c r="I691" s="157" t="s">
        <v>452</v>
      </c>
    </row>
    <row r="692" spans="9:9">
      <c r="I692" s="157" t="s">
        <v>623</v>
      </c>
    </row>
    <row r="693" spans="9:9">
      <c r="I693" s="157" t="s">
        <v>67</v>
      </c>
    </row>
    <row r="694" spans="9:9">
      <c r="I694" s="157">
        <v>0.5</v>
      </c>
    </row>
    <row r="695" spans="9:9">
      <c r="I695" s="157" t="s">
        <v>452</v>
      </c>
    </row>
    <row r="696" spans="9:9">
      <c r="I696" s="157" t="s">
        <v>624</v>
      </c>
    </row>
    <row r="697" spans="9:9">
      <c r="I697" s="157" t="s">
        <v>67</v>
      </c>
    </row>
    <row r="698" spans="9:9">
      <c r="I698" s="157">
        <v>0.7</v>
      </c>
    </row>
    <row r="699" spans="9:9">
      <c r="I699" s="157" t="s">
        <v>452</v>
      </c>
    </row>
    <row r="700" spans="9:9">
      <c r="I700" s="157" t="s">
        <v>625</v>
      </c>
    </row>
    <row r="701" spans="9:9">
      <c r="I701" s="157" t="s">
        <v>67</v>
      </c>
    </row>
    <row r="702" spans="9:9">
      <c r="I702" s="157">
        <v>1.5</v>
      </c>
    </row>
    <row r="703" spans="9:9">
      <c r="I703" s="157" t="s">
        <v>452</v>
      </c>
    </row>
    <row r="704" spans="9:9">
      <c r="I704" s="157" t="s">
        <v>626</v>
      </c>
    </row>
    <row r="705" spans="9:9">
      <c r="I705" s="157" t="s">
        <v>67</v>
      </c>
    </row>
    <row r="706" spans="9:9">
      <c r="I706" s="157">
        <v>0.6</v>
      </c>
    </row>
    <row r="707" spans="9:9">
      <c r="I707" s="157" t="s">
        <v>452</v>
      </c>
    </row>
    <row r="708" spans="9:9">
      <c r="I708" s="157" t="s">
        <v>627</v>
      </c>
    </row>
    <row r="709" spans="9:9">
      <c r="I709" s="157" t="s">
        <v>67</v>
      </c>
    </row>
    <row r="710" spans="9:9">
      <c r="I710" s="157">
        <v>1</v>
      </c>
    </row>
    <row r="711" spans="9:9">
      <c r="I711" s="157" t="s">
        <v>628</v>
      </c>
    </row>
    <row r="712" spans="9:9">
      <c r="I712" s="157" t="s">
        <v>50</v>
      </c>
    </row>
    <row r="713" spans="9:9">
      <c r="I713" s="157">
        <v>1.2</v>
      </c>
    </row>
    <row r="714" spans="9:9">
      <c r="I714" s="157" t="s">
        <v>629</v>
      </c>
    </row>
    <row r="715" spans="9:9">
      <c r="I715" s="157" t="s">
        <v>630</v>
      </c>
    </row>
    <row r="716" spans="9:9">
      <c r="I716" s="157" t="s">
        <v>67</v>
      </c>
    </row>
    <row r="717" spans="9:9">
      <c r="I717" s="157">
        <v>0.45</v>
      </c>
    </row>
    <row r="718" spans="9:9">
      <c r="I718" s="157" t="s">
        <v>631</v>
      </c>
    </row>
    <row r="719" spans="9:9">
      <c r="I719" s="157" t="s">
        <v>632</v>
      </c>
    </row>
    <row r="720" spans="9:9">
      <c r="I720" s="157" t="s">
        <v>67</v>
      </c>
    </row>
    <row r="721" spans="9:9">
      <c r="I721" s="157">
        <v>1.1499999999999999</v>
      </c>
    </row>
    <row r="722" spans="9:9">
      <c r="I722" s="157" t="s">
        <v>633</v>
      </c>
    </row>
    <row r="723" spans="9:9">
      <c r="I723" s="157" t="s">
        <v>67</v>
      </c>
    </row>
    <row r="724" spans="9:9">
      <c r="I724" s="157" t="s">
        <v>634</v>
      </c>
    </row>
    <row r="725" spans="9:9">
      <c r="I725" s="157" t="s">
        <v>635</v>
      </c>
    </row>
    <row r="726" spans="9:9">
      <c r="I726" s="157" t="s">
        <v>50</v>
      </c>
    </row>
    <row r="727" spans="9:9">
      <c r="I727" s="157">
        <v>2.5</v>
      </c>
    </row>
    <row r="728" spans="9:9">
      <c r="I728" s="157" t="s">
        <v>631</v>
      </c>
    </row>
    <row r="729" spans="9:9">
      <c r="I729" s="157" t="s">
        <v>636</v>
      </c>
    </row>
    <row r="730" spans="9:9">
      <c r="I730" s="157" t="s">
        <v>67</v>
      </c>
    </row>
    <row r="731" spans="9:9">
      <c r="I731" s="157">
        <v>1.3</v>
      </c>
    </row>
    <row r="732" spans="9:9">
      <c r="I732" s="157" t="s">
        <v>637</v>
      </c>
    </row>
    <row r="733" spans="9:9">
      <c r="I733" s="157" t="s">
        <v>638</v>
      </c>
    </row>
    <row r="734" spans="9:9">
      <c r="I734" s="157" t="s">
        <v>67</v>
      </c>
    </row>
    <row r="735" spans="9:9">
      <c r="I735" s="157">
        <v>2.5</v>
      </c>
    </row>
    <row r="736" spans="9:9">
      <c r="I736" s="157" t="s">
        <v>639</v>
      </c>
    </row>
    <row r="737" spans="9:9">
      <c r="I737" s="157" t="s">
        <v>409</v>
      </c>
    </row>
    <row r="738" spans="9:9">
      <c r="I738" s="157" t="s">
        <v>640</v>
      </c>
    </row>
    <row r="739" spans="9:9">
      <c r="I739" s="157" t="s">
        <v>641</v>
      </c>
    </row>
    <row r="740" spans="9:9">
      <c r="I740" s="157" t="s">
        <v>85</v>
      </c>
    </row>
    <row r="741" spans="9:9">
      <c r="I741" s="157" t="s">
        <v>412</v>
      </c>
    </row>
    <row r="742" spans="9:9">
      <c r="I742" s="157" t="s">
        <v>413</v>
      </c>
    </row>
    <row r="743" spans="9:9">
      <c r="I743" s="157" t="s">
        <v>414</v>
      </c>
    </row>
    <row r="744" spans="9:9">
      <c r="I744" s="157" t="s">
        <v>539</v>
      </c>
    </row>
    <row r="745" spans="9:9">
      <c r="I745" s="157" t="s">
        <v>452</v>
      </c>
    </row>
    <row r="746" spans="9:9">
      <c r="I746" s="157" t="s">
        <v>573</v>
      </c>
    </row>
    <row r="747" spans="9:9">
      <c r="I747" s="157" t="s">
        <v>67</v>
      </c>
    </row>
    <row r="748" spans="9:9">
      <c r="I748" s="157">
        <v>2.5</v>
      </c>
    </row>
    <row r="749" spans="9:9">
      <c r="I749" s="157" t="s">
        <v>452</v>
      </c>
    </row>
    <row r="750" spans="9:9">
      <c r="I750" s="157" t="s">
        <v>574</v>
      </c>
    </row>
    <row r="751" spans="9:9">
      <c r="I751" s="157" t="s">
        <v>67</v>
      </c>
    </row>
    <row r="752" spans="9:9">
      <c r="I752" s="157">
        <v>1.6</v>
      </c>
    </row>
    <row r="753" spans="9:9">
      <c r="I753" s="157" t="s">
        <v>452</v>
      </c>
    </row>
    <row r="754" spans="9:9">
      <c r="I754" s="157" t="s">
        <v>575</v>
      </c>
    </row>
    <row r="755" spans="9:9">
      <c r="I755" s="157" t="s">
        <v>67</v>
      </c>
    </row>
    <row r="756" spans="9:9">
      <c r="I756" s="157">
        <v>3</v>
      </c>
    </row>
    <row r="757" spans="9:9">
      <c r="I757" s="157" t="s">
        <v>452</v>
      </c>
    </row>
    <row r="758" spans="9:9">
      <c r="I758" s="157" t="s">
        <v>576</v>
      </c>
    </row>
    <row r="759" spans="9:9">
      <c r="I759" s="157" t="s">
        <v>67</v>
      </c>
    </row>
    <row r="760" spans="9:9">
      <c r="I760" s="157">
        <v>3</v>
      </c>
    </row>
    <row r="761" spans="9:9">
      <c r="I761" s="157" t="s">
        <v>452</v>
      </c>
    </row>
    <row r="762" spans="9:9">
      <c r="I762" s="157" t="s">
        <v>642</v>
      </c>
    </row>
    <row r="763" spans="9:9">
      <c r="I763" s="157" t="s">
        <v>67</v>
      </c>
    </row>
    <row r="764" spans="9:9">
      <c r="I764" s="157">
        <v>1</v>
      </c>
    </row>
    <row r="765" spans="9:9">
      <c r="I765" s="157" t="s">
        <v>452</v>
      </c>
    </row>
    <row r="766" spans="9:9">
      <c r="I766" s="157" t="s">
        <v>643</v>
      </c>
    </row>
    <row r="767" spans="9:9">
      <c r="I767" s="157" t="s">
        <v>67</v>
      </c>
    </row>
    <row r="768" spans="9:9">
      <c r="I768" s="157">
        <v>1</v>
      </c>
    </row>
    <row r="769" spans="9:9">
      <c r="I769" s="157" t="s">
        <v>452</v>
      </c>
    </row>
    <row r="770" spans="9:9">
      <c r="I770" s="157" t="s">
        <v>644</v>
      </c>
    </row>
    <row r="771" spans="9:9">
      <c r="I771" s="157" t="s">
        <v>59</v>
      </c>
    </row>
    <row r="772" spans="9:9">
      <c r="I772" s="157">
        <v>0.8</v>
      </c>
    </row>
    <row r="773" spans="9:9">
      <c r="I773" s="157" t="s">
        <v>577</v>
      </c>
    </row>
    <row r="774" spans="9:9">
      <c r="I774" s="157" t="s">
        <v>452</v>
      </c>
    </row>
    <row r="775" spans="9:9">
      <c r="I775" s="157" t="s">
        <v>578</v>
      </c>
    </row>
    <row r="776" spans="9:9">
      <c r="I776" s="157" t="s">
        <v>50</v>
      </c>
    </row>
    <row r="777" spans="9:9">
      <c r="I777" s="157">
        <v>3.3</v>
      </c>
    </row>
    <row r="778" spans="9:9">
      <c r="I778" s="157" t="s">
        <v>452</v>
      </c>
    </row>
    <row r="779" spans="9:9">
      <c r="I779" s="157" t="s">
        <v>579</v>
      </c>
    </row>
    <row r="780" spans="9:9">
      <c r="I780" s="157" t="s">
        <v>50</v>
      </c>
    </row>
    <row r="781" spans="9:9">
      <c r="I781" s="157">
        <v>2.2999999999999998</v>
      </c>
    </row>
    <row r="782" spans="9:9">
      <c r="I782" s="157" t="s">
        <v>452</v>
      </c>
    </row>
    <row r="783" spans="9:9">
      <c r="I783" s="157" t="s">
        <v>580</v>
      </c>
    </row>
    <row r="784" spans="9:9">
      <c r="I784" s="157" t="s">
        <v>50</v>
      </c>
    </row>
    <row r="785" spans="9:9">
      <c r="I785" s="157">
        <v>2</v>
      </c>
    </row>
    <row r="786" spans="9:9">
      <c r="I786" s="157" t="s">
        <v>452</v>
      </c>
    </row>
    <row r="787" spans="9:9">
      <c r="I787" s="157" t="s">
        <v>645</v>
      </c>
    </row>
    <row r="788" spans="9:9">
      <c r="I788" s="157" t="s">
        <v>19</v>
      </c>
    </row>
    <row r="789" spans="9:9">
      <c r="I789" s="157">
        <v>3.6</v>
      </c>
    </row>
    <row r="790" spans="9:9">
      <c r="I790" s="157" t="s">
        <v>581</v>
      </c>
    </row>
    <row r="791" spans="9:9">
      <c r="I791" s="157" t="s">
        <v>452</v>
      </c>
    </row>
    <row r="792" spans="9:9">
      <c r="I792" s="157" t="s">
        <v>582</v>
      </c>
    </row>
    <row r="793" spans="9:9">
      <c r="I793" s="157" t="s">
        <v>67</v>
      </c>
    </row>
    <row r="794" spans="9:9">
      <c r="I794" s="157">
        <v>1.7</v>
      </c>
    </row>
    <row r="795" spans="9:9">
      <c r="I795" s="157" t="s">
        <v>452</v>
      </c>
    </row>
    <row r="796" spans="9:9">
      <c r="I796" s="157" t="s">
        <v>583</v>
      </c>
    </row>
    <row r="797" spans="9:9">
      <c r="I797" s="157" t="s">
        <v>67</v>
      </c>
    </row>
    <row r="798" spans="9:9">
      <c r="I798" s="157">
        <v>2.4</v>
      </c>
    </row>
    <row r="799" spans="9:9">
      <c r="I799" s="157" t="s">
        <v>452</v>
      </c>
    </row>
    <row r="800" spans="9:9">
      <c r="I800" s="157" t="s">
        <v>645</v>
      </c>
    </row>
    <row r="801" spans="9:9">
      <c r="I801" s="157" t="s">
        <v>19</v>
      </c>
    </row>
    <row r="802" spans="9:9">
      <c r="I802" s="157">
        <v>3</v>
      </c>
    </row>
    <row r="803" spans="9:9">
      <c r="I803" s="157" t="s">
        <v>584</v>
      </c>
    </row>
    <row r="804" spans="9:9">
      <c r="I804" s="157" t="s">
        <v>452</v>
      </c>
    </row>
    <row r="805" spans="9:9">
      <c r="I805" s="157" t="s">
        <v>646</v>
      </c>
    </row>
    <row r="806" spans="9:9">
      <c r="I806" s="157" t="s">
        <v>50</v>
      </c>
    </row>
    <row r="807" spans="9:9">
      <c r="I807" s="157">
        <v>1.2</v>
      </c>
    </row>
    <row r="808" spans="9:9">
      <c r="I808" s="157" t="s">
        <v>452</v>
      </c>
    </row>
    <row r="809" spans="9:9">
      <c r="I809" s="157" t="s">
        <v>647</v>
      </c>
    </row>
    <row r="810" spans="9:9">
      <c r="I810" s="157" t="s">
        <v>50</v>
      </c>
    </row>
    <row r="811" spans="9:9">
      <c r="I811" s="157">
        <v>0.6</v>
      </c>
    </row>
    <row r="812" spans="9:9">
      <c r="I812" s="157" t="s">
        <v>585</v>
      </c>
    </row>
    <row r="813" spans="9:9">
      <c r="I813" s="157" t="s">
        <v>452</v>
      </c>
    </row>
    <row r="814" spans="9:9">
      <c r="I814" s="157" t="s">
        <v>586</v>
      </c>
    </row>
    <row r="815" spans="9:9">
      <c r="I815" s="157" t="s">
        <v>59</v>
      </c>
    </row>
    <row r="816" spans="9:9">
      <c r="I816" s="157">
        <v>1.6</v>
      </c>
    </row>
    <row r="817" spans="9:9">
      <c r="I817" s="157" t="s">
        <v>648</v>
      </c>
    </row>
    <row r="818" spans="9:9">
      <c r="I818" s="157" t="s">
        <v>50</v>
      </c>
    </row>
    <row r="819" spans="9:9">
      <c r="I819" s="157">
        <v>2.5</v>
      </c>
    </row>
    <row r="820" spans="9:9">
      <c r="I820" s="157" t="s">
        <v>649</v>
      </c>
    </row>
    <row r="821" spans="9:9">
      <c r="I821" s="157" t="s">
        <v>59</v>
      </c>
    </row>
    <row r="822" spans="9:9">
      <c r="I822" s="157">
        <v>0.9</v>
      </c>
    </row>
    <row r="823" spans="9:9">
      <c r="I823" s="157" t="s">
        <v>452</v>
      </c>
    </row>
    <row r="824" spans="9:9">
      <c r="I824" s="157" t="s">
        <v>645</v>
      </c>
    </row>
    <row r="825" spans="9:9">
      <c r="I825" s="157" t="s">
        <v>19</v>
      </c>
    </row>
    <row r="826" spans="9:9">
      <c r="I826" s="157">
        <v>2.5</v>
      </c>
    </row>
    <row r="827" spans="9:9">
      <c r="I827" s="157" t="s">
        <v>650</v>
      </c>
    </row>
    <row r="828" spans="9:9">
      <c r="I828" s="157" t="s">
        <v>452</v>
      </c>
    </row>
    <row r="829" spans="9:9">
      <c r="I829" s="157" t="s">
        <v>588</v>
      </c>
    </row>
    <row r="830" spans="9:9">
      <c r="I830" s="157" t="s">
        <v>67</v>
      </c>
    </row>
    <row r="831" spans="9:9">
      <c r="I831" s="157">
        <v>1.2</v>
      </c>
    </row>
    <row r="832" spans="9:9">
      <c r="I832" s="157" t="s">
        <v>452</v>
      </c>
    </row>
    <row r="833" spans="9:9">
      <c r="I833" s="157" t="s">
        <v>589</v>
      </c>
    </row>
    <row r="834" spans="9:9">
      <c r="I834" s="157" t="s">
        <v>67</v>
      </c>
    </row>
    <row r="835" spans="9:9">
      <c r="I835" s="157">
        <v>1.5</v>
      </c>
    </row>
    <row r="836" spans="9:9">
      <c r="I836" s="157" t="s">
        <v>452</v>
      </c>
    </row>
    <row r="837" spans="9:9">
      <c r="I837" s="157" t="s">
        <v>651</v>
      </c>
    </row>
    <row r="838" spans="9:9">
      <c r="I838" s="157" t="s">
        <v>652</v>
      </c>
    </row>
    <row r="839" spans="9:9">
      <c r="I839" s="157" t="s">
        <v>653</v>
      </c>
    </row>
    <row r="840" spans="9:9">
      <c r="I840" s="157" t="s">
        <v>654</v>
      </c>
    </row>
    <row r="841" spans="9:9">
      <c r="I841" s="157" t="s">
        <v>655</v>
      </c>
    </row>
    <row r="842" spans="9:9">
      <c r="I842" s="157" t="s">
        <v>656</v>
      </c>
    </row>
    <row r="843" spans="9:9">
      <c r="I843" s="157" t="s">
        <v>657</v>
      </c>
    </row>
    <row r="844" spans="9:9">
      <c r="I844" s="157" t="s">
        <v>67</v>
      </c>
    </row>
    <row r="845" spans="9:9">
      <c r="I845" s="157" t="s">
        <v>67</v>
      </c>
    </row>
    <row r="846" spans="9:9">
      <c r="I846" s="157" t="s">
        <v>67</v>
      </c>
    </row>
    <row r="847" spans="9:9">
      <c r="I847" s="157" t="s">
        <v>67</v>
      </c>
    </row>
    <row r="848" spans="9:9">
      <c r="I848" s="157" t="s">
        <v>67</v>
      </c>
    </row>
    <row r="849" spans="9:9">
      <c r="I849" s="157" t="s">
        <v>59</v>
      </c>
    </row>
    <row r="850" spans="9:9">
      <c r="I850" s="157">
        <v>0.8</v>
      </c>
    </row>
    <row r="851" spans="9:9">
      <c r="I851" s="157">
        <v>0.4</v>
      </c>
    </row>
    <row r="852" spans="9:9">
      <c r="I852" s="157">
        <v>0.35</v>
      </c>
    </row>
    <row r="853" spans="9:9">
      <c r="I853" s="157">
        <v>0.3</v>
      </c>
    </row>
    <row r="854" spans="9:9">
      <c r="I854" s="157">
        <v>0.25</v>
      </c>
    </row>
    <row r="855" spans="9:9">
      <c r="I855" s="157">
        <v>0.5</v>
      </c>
    </row>
    <row r="856" spans="9:9">
      <c r="I856" s="157" t="s">
        <v>452</v>
      </c>
    </row>
    <row r="857" spans="9:9">
      <c r="I857" s="157" t="s">
        <v>658</v>
      </c>
    </row>
    <row r="858" spans="9:9">
      <c r="I858" s="157" t="s">
        <v>67</v>
      </c>
    </row>
    <row r="859" spans="9:9">
      <c r="I859" s="157">
        <v>0.8</v>
      </c>
    </row>
    <row r="860" spans="9:9">
      <c r="I860" s="157" t="s">
        <v>452</v>
      </c>
    </row>
    <row r="861" spans="9:9">
      <c r="I861" s="157" t="s">
        <v>583</v>
      </c>
    </row>
    <row r="862" spans="9:9">
      <c r="I862" s="157" t="s">
        <v>67</v>
      </c>
    </row>
    <row r="863" spans="9:9">
      <c r="I863" s="157">
        <v>0.35</v>
      </c>
    </row>
    <row r="864" spans="9:9">
      <c r="I864" s="157" t="s">
        <v>452</v>
      </c>
    </row>
    <row r="865" spans="9:9">
      <c r="I865" s="157" t="s">
        <v>659</v>
      </c>
    </row>
    <row r="866" spans="9:9">
      <c r="I866" s="157" t="s">
        <v>67</v>
      </c>
    </row>
    <row r="867" spans="9:9">
      <c r="I867" s="157">
        <v>0.6</v>
      </c>
    </row>
    <row r="868" spans="9:9">
      <c r="I868" s="157" t="s">
        <v>452</v>
      </c>
    </row>
    <row r="869" spans="9:9">
      <c r="I869" s="157" t="s">
        <v>660</v>
      </c>
    </row>
    <row r="870" spans="9:9">
      <c r="I870" s="157" t="s">
        <v>67</v>
      </c>
    </row>
    <row r="871" spans="9:9">
      <c r="I871" s="157">
        <v>0.8</v>
      </c>
    </row>
    <row r="872" spans="9:9">
      <c r="I872" s="157" t="s">
        <v>452</v>
      </c>
    </row>
    <row r="873" spans="9:9">
      <c r="I873" s="157" t="s">
        <v>591</v>
      </c>
    </row>
    <row r="874" spans="9:9">
      <c r="I874" s="157" t="s">
        <v>67</v>
      </c>
    </row>
    <row r="875" spans="9:9">
      <c r="I875" s="157">
        <v>0.4</v>
      </c>
    </row>
    <row r="876" spans="9:9">
      <c r="I876" s="157" t="s">
        <v>661</v>
      </c>
    </row>
    <row r="877" spans="9:9">
      <c r="I877" s="157" t="s">
        <v>409</v>
      </c>
    </row>
    <row r="878" spans="9:9">
      <c r="I878" s="157" t="s">
        <v>592</v>
      </c>
    </row>
    <row r="879" spans="9:9">
      <c r="I879" s="157" t="s">
        <v>452</v>
      </c>
    </row>
    <row r="880" spans="9:9">
      <c r="I880" s="157" t="s">
        <v>662</v>
      </c>
    </row>
    <row r="881" spans="9:9">
      <c r="I881" s="157" t="s">
        <v>50</v>
      </c>
    </row>
    <row r="882" spans="9:9">
      <c r="I882" s="157">
        <v>0.9</v>
      </c>
    </row>
    <row r="883" spans="9:9">
      <c r="I883" s="157" t="s">
        <v>452</v>
      </c>
    </row>
    <row r="884" spans="9:9">
      <c r="I884" s="157" t="s">
        <v>663</v>
      </c>
    </row>
    <row r="885" spans="9:9">
      <c r="I885" s="157" t="s">
        <v>50</v>
      </c>
    </row>
    <row r="886" spans="9:9">
      <c r="I886" s="157">
        <v>0.85</v>
      </c>
    </row>
    <row r="887" spans="9:9">
      <c r="I887" s="157" t="s">
        <v>452</v>
      </c>
    </row>
    <row r="888" spans="9:9">
      <c r="I888" s="157" t="s">
        <v>594</v>
      </c>
    </row>
    <row r="889" spans="9:9">
      <c r="I889" s="157" t="s">
        <v>50</v>
      </c>
    </row>
    <row r="890" spans="9:9">
      <c r="I890" s="157">
        <v>0.8</v>
      </c>
    </row>
    <row r="891" spans="9:9">
      <c r="I891" s="157" t="s">
        <v>617</v>
      </c>
    </row>
    <row r="892" spans="9:9">
      <c r="I892" s="157" t="s">
        <v>67</v>
      </c>
    </row>
    <row r="893" spans="9:9">
      <c r="I893" s="157">
        <v>0.1</v>
      </c>
    </row>
    <row r="894" spans="9:9">
      <c r="I894" s="157" t="s">
        <v>621</v>
      </c>
    </row>
    <row r="895" spans="9:9">
      <c r="I895" s="157" t="s">
        <v>59</v>
      </c>
    </row>
    <row r="896" spans="9:9">
      <c r="I896" s="157">
        <v>0.5</v>
      </c>
    </row>
    <row r="897" spans="9:9">
      <c r="I897" s="157" t="s">
        <v>664</v>
      </c>
    </row>
    <row r="898" spans="9:9">
      <c r="I898" s="157" t="s">
        <v>452</v>
      </c>
    </row>
    <row r="899" spans="9:9">
      <c r="I899" s="157" t="s">
        <v>665</v>
      </c>
    </row>
    <row r="900" spans="9:9">
      <c r="I900" s="157" t="s">
        <v>19</v>
      </c>
    </row>
    <row r="901" spans="9:9">
      <c r="I901" s="157">
        <v>0.4</v>
      </c>
    </row>
    <row r="902" spans="9:9">
      <c r="I902" s="157" t="s">
        <v>452</v>
      </c>
    </row>
    <row r="903" spans="9:9">
      <c r="I903" s="157" t="s">
        <v>666</v>
      </c>
    </row>
    <row r="904" spans="9:9">
      <c r="I904" s="157" t="s">
        <v>19</v>
      </c>
    </row>
    <row r="905" spans="9:9">
      <c r="I905" s="157">
        <v>1</v>
      </c>
    </row>
    <row r="906" spans="9:9">
      <c r="I906" s="157" t="s">
        <v>452</v>
      </c>
    </row>
    <row r="907" spans="9:9">
      <c r="I907" s="157" t="s">
        <v>667</v>
      </c>
    </row>
    <row r="908" spans="9:9">
      <c r="I908" s="157" t="s">
        <v>59</v>
      </c>
    </row>
    <row r="909" spans="9:9">
      <c r="I909" s="157">
        <v>0.15</v>
      </c>
    </row>
    <row r="910" spans="9:9">
      <c r="I910" s="157" t="s">
        <v>452</v>
      </c>
    </row>
    <row r="911" spans="9:9">
      <c r="I911" s="157" t="s">
        <v>668</v>
      </c>
    </row>
    <row r="912" spans="9:9">
      <c r="I912" s="157" t="s">
        <v>19</v>
      </c>
    </row>
    <row r="913" spans="9:9">
      <c r="I913" s="157">
        <v>0.15</v>
      </c>
    </row>
    <row r="914" spans="9:9">
      <c r="I914" s="157" t="s">
        <v>669</v>
      </c>
    </row>
    <row r="915" spans="9:9">
      <c r="I915" s="157" t="s">
        <v>452</v>
      </c>
    </row>
    <row r="916" spans="9:9">
      <c r="I916" s="157" t="s">
        <v>588</v>
      </c>
    </row>
    <row r="917" spans="9:9">
      <c r="I917" s="157" t="s">
        <v>67</v>
      </c>
    </row>
    <row r="918" spans="9:9">
      <c r="I918" s="157">
        <v>0.75</v>
      </c>
    </row>
    <row r="919" spans="9:9">
      <c r="I919" s="157" t="s">
        <v>452</v>
      </c>
    </row>
    <row r="920" spans="9:9">
      <c r="I920" s="157" t="s">
        <v>623</v>
      </c>
    </row>
    <row r="921" spans="9:9">
      <c r="I921" s="157" t="s">
        <v>67</v>
      </c>
    </row>
    <row r="922" spans="9:9">
      <c r="I922" s="157">
        <v>0.4</v>
      </c>
    </row>
    <row r="923" spans="9:9">
      <c r="I923" s="157" t="s">
        <v>452</v>
      </c>
    </row>
    <row r="924" spans="9:9">
      <c r="I924" s="157" t="s">
        <v>624</v>
      </c>
    </row>
    <row r="925" spans="9:9">
      <c r="I925" s="157" t="s">
        <v>67</v>
      </c>
    </row>
    <row r="926" spans="9:9">
      <c r="I926" s="157">
        <v>0.7</v>
      </c>
    </row>
    <row r="927" spans="9:9">
      <c r="I927" s="157" t="s">
        <v>452</v>
      </c>
    </row>
    <row r="928" spans="9:9">
      <c r="I928" s="157" t="s">
        <v>625</v>
      </c>
    </row>
    <row r="929" spans="9:9">
      <c r="I929" s="157" t="s">
        <v>67</v>
      </c>
    </row>
    <row r="930" spans="9:9">
      <c r="I930" s="157">
        <v>1.1000000000000001</v>
      </c>
    </row>
    <row r="931" spans="9:9">
      <c r="I931" s="157" t="s">
        <v>452</v>
      </c>
    </row>
    <row r="932" spans="9:9">
      <c r="I932" s="157" t="s">
        <v>626</v>
      </c>
    </row>
    <row r="933" spans="9:9">
      <c r="I933" s="157" t="s">
        <v>67</v>
      </c>
    </row>
    <row r="934" spans="9:9">
      <c r="I934" s="157">
        <v>0.6</v>
      </c>
    </row>
    <row r="935" spans="9:9">
      <c r="I935" s="157" t="s">
        <v>452</v>
      </c>
    </row>
    <row r="936" spans="9:9">
      <c r="I936" s="157" t="s">
        <v>627</v>
      </c>
    </row>
    <row r="937" spans="9:9">
      <c r="I937" s="157" t="s">
        <v>67</v>
      </c>
    </row>
    <row r="938" spans="9:9">
      <c r="I938" s="157">
        <v>1</v>
      </c>
    </row>
    <row r="939" spans="9:9">
      <c r="I939" s="157" t="s">
        <v>628</v>
      </c>
    </row>
    <row r="940" spans="9:9">
      <c r="I940" s="157" t="s">
        <v>50</v>
      </c>
    </row>
    <row r="941" spans="9:9">
      <c r="I941" s="157">
        <v>1.2</v>
      </c>
    </row>
    <row r="942" spans="9:9">
      <c r="I942" s="157" t="s">
        <v>629</v>
      </c>
    </row>
    <row r="943" spans="9:9">
      <c r="I943" s="157" t="s">
        <v>452</v>
      </c>
    </row>
    <row r="944" spans="9:9">
      <c r="I944" s="157" t="s">
        <v>632</v>
      </c>
    </row>
    <row r="945" spans="9:9">
      <c r="I945" s="157" t="s">
        <v>67</v>
      </c>
    </row>
    <row r="946" spans="9:9">
      <c r="I946" s="157">
        <v>0.4</v>
      </c>
    </row>
    <row r="947" spans="9:9">
      <c r="I947" s="157" t="s">
        <v>452</v>
      </c>
    </row>
    <row r="948" spans="9:9">
      <c r="I948" s="157" t="s">
        <v>670</v>
      </c>
    </row>
    <row r="949" spans="9:9">
      <c r="I949" s="157" t="s">
        <v>67</v>
      </c>
    </row>
    <row r="950" spans="9:9">
      <c r="I950" s="157">
        <v>0.2</v>
      </c>
    </row>
    <row r="951" spans="9:9">
      <c r="I951" s="157" t="s">
        <v>452</v>
      </c>
    </row>
    <row r="952" spans="9:9">
      <c r="I952" s="157" t="s">
        <v>671</v>
      </c>
    </row>
    <row r="953" spans="9:9">
      <c r="I953" s="157" t="s">
        <v>67</v>
      </c>
    </row>
    <row r="954" spans="9:9">
      <c r="I954" s="157">
        <v>0.35</v>
      </c>
    </row>
    <row r="955" spans="9:9">
      <c r="I955" s="157" t="s">
        <v>672</v>
      </c>
    </row>
    <row r="956" spans="9:9">
      <c r="I956" s="157" t="s">
        <v>67</v>
      </c>
    </row>
    <row r="957" spans="9:9">
      <c r="I957" s="157">
        <v>0.2</v>
      </c>
    </row>
    <row r="958" spans="9:9">
      <c r="I958" s="157" t="s">
        <v>637</v>
      </c>
    </row>
    <row r="959" spans="9:9">
      <c r="I959" s="157" t="s">
        <v>452</v>
      </c>
    </row>
    <row r="960" spans="9:9">
      <c r="I960" s="157" t="s">
        <v>638</v>
      </c>
    </row>
    <row r="961" spans="9:9">
      <c r="I961" s="157" t="s">
        <v>67</v>
      </c>
    </row>
    <row r="962" spans="9:9">
      <c r="I962" s="157">
        <v>2.5</v>
      </c>
    </row>
    <row r="963" spans="9:9">
      <c r="I963" s="157" t="s">
        <v>452</v>
      </c>
    </row>
    <row r="964" spans="9:9">
      <c r="I964" s="157" t="s">
        <v>673</v>
      </c>
    </row>
    <row r="965" spans="9:9">
      <c r="I965" s="157" t="s">
        <v>67</v>
      </c>
    </row>
    <row r="966" spans="9:9">
      <c r="I966" s="157">
        <v>1</v>
      </c>
    </row>
    <row r="967" spans="9:9">
      <c r="I967" s="157" t="s">
        <v>674</v>
      </c>
    </row>
    <row r="968" spans="9:9">
      <c r="I968" s="157" t="s">
        <v>50</v>
      </c>
    </row>
    <row r="969" spans="9:9">
      <c r="I969" s="157">
        <v>4</v>
      </c>
    </row>
    <row r="970" spans="9:9">
      <c r="I970" s="157" t="s">
        <v>675</v>
      </c>
    </row>
    <row r="971" spans="9:9">
      <c r="I971" s="157" t="s">
        <v>452</v>
      </c>
    </row>
    <row r="972" spans="9:9">
      <c r="I972" s="157" t="s">
        <v>676</v>
      </c>
    </row>
    <row r="973" spans="9:9">
      <c r="I973" s="157" t="s">
        <v>67</v>
      </c>
    </row>
    <row r="974" spans="9:9">
      <c r="I974" s="157">
        <v>0.4</v>
      </c>
    </row>
    <row r="975" spans="9:9">
      <c r="I975" s="157" t="s">
        <v>452</v>
      </c>
    </row>
    <row r="976" spans="9:9">
      <c r="I976" s="157" t="s">
        <v>677</v>
      </c>
    </row>
    <row r="977" spans="9:9">
      <c r="I977" s="157" t="s">
        <v>67</v>
      </c>
    </row>
    <row r="978" spans="9:9">
      <c r="I978" s="157">
        <v>0.35</v>
      </c>
    </row>
    <row r="979" spans="9:9">
      <c r="I979" s="157" t="s">
        <v>452</v>
      </c>
    </row>
    <row r="980" spans="9:9">
      <c r="I980" s="157" t="s">
        <v>678</v>
      </c>
    </row>
    <row r="981" spans="9:9">
      <c r="I981" s="157" t="s">
        <v>67</v>
      </c>
    </row>
    <row r="982" spans="9:9">
      <c r="I982" s="157">
        <v>0.45</v>
      </c>
    </row>
    <row r="983" spans="9:9">
      <c r="I983" s="157" t="s">
        <v>452</v>
      </c>
    </row>
    <row r="984" spans="9:9">
      <c r="I984" s="157" t="s">
        <v>679</v>
      </c>
    </row>
    <row r="985" spans="9:9">
      <c r="I985" s="157" t="s">
        <v>67</v>
      </c>
    </row>
    <row r="986" spans="9:9">
      <c r="I986" s="157">
        <v>1</v>
      </c>
    </row>
    <row r="987" spans="9:9">
      <c r="I987" s="157" t="s">
        <v>680</v>
      </c>
    </row>
    <row r="988" spans="9:9">
      <c r="I988" s="157" t="s">
        <v>50</v>
      </c>
    </row>
    <row r="989" spans="9:9">
      <c r="I989" s="157">
        <v>1.4</v>
      </c>
    </row>
    <row r="990" spans="9:9">
      <c r="I990" s="157" t="s">
        <v>681</v>
      </c>
    </row>
    <row r="991" spans="9:9">
      <c r="I991" s="157" t="s">
        <v>452</v>
      </c>
    </row>
    <row r="992" spans="9:9">
      <c r="I992" s="157" t="s">
        <v>638</v>
      </c>
    </row>
    <row r="993" spans="9:9">
      <c r="I993" s="157" t="s">
        <v>67</v>
      </c>
    </row>
    <row r="994" spans="9:9">
      <c r="I994" s="157">
        <v>1</v>
      </c>
    </row>
    <row r="995" spans="9:9">
      <c r="I995" s="157" t="s">
        <v>452</v>
      </c>
    </row>
    <row r="996" spans="9:9">
      <c r="I996" s="157" t="s">
        <v>682</v>
      </c>
    </row>
    <row r="997" spans="9:9">
      <c r="I997" s="157" t="s">
        <v>67</v>
      </c>
    </row>
    <row r="998" spans="9:9">
      <c r="I998" s="157">
        <v>0.5</v>
      </c>
    </row>
    <row r="999" spans="9:9">
      <c r="I999" s="157" t="s">
        <v>683</v>
      </c>
    </row>
    <row r="1000" spans="9:9">
      <c r="I1000" s="157" t="s">
        <v>67</v>
      </c>
    </row>
    <row r="1001" spans="9:9">
      <c r="I1001" s="157">
        <v>2.5</v>
      </c>
    </row>
    <row r="1002" spans="9:9">
      <c r="I1002" s="157" t="s">
        <v>684</v>
      </c>
    </row>
    <row r="1003" spans="9:9">
      <c r="I1003" s="157" t="s">
        <v>452</v>
      </c>
    </row>
    <row r="1004" spans="9:9">
      <c r="I1004" s="157" t="s">
        <v>601</v>
      </c>
    </row>
    <row r="1005" spans="9:9">
      <c r="I1005" s="157" t="s">
        <v>59</v>
      </c>
    </row>
    <row r="1006" spans="9:9">
      <c r="I1006" s="157">
        <v>0.8</v>
      </c>
    </row>
    <row r="1007" spans="9:9">
      <c r="I1007" s="157" t="s">
        <v>452</v>
      </c>
    </row>
    <row r="1008" spans="9:9">
      <c r="I1008" s="157" t="s">
        <v>685</v>
      </c>
    </row>
    <row r="1009" spans="9:9">
      <c r="I1009" s="157" t="s">
        <v>64</v>
      </c>
    </row>
    <row r="1010" spans="9:9">
      <c r="I1010" s="157">
        <v>0.08</v>
      </c>
    </row>
    <row r="1011" spans="9:9">
      <c r="I1011" s="157" t="s">
        <v>452</v>
      </c>
    </row>
    <row r="1012" spans="9:9">
      <c r="I1012" s="157" t="s">
        <v>686</v>
      </c>
    </row>
    <row r="1013" spans="9:9">
      <c r="I1013" s="157" t="s">
        <v>50</v>
      </c>
    </row>
    <row r="1014" spans="9:9">
      <c r="I1014" s="157">
        <v>2.2999999999999998</v>
      </c>
    </row>
    <row r="1015" spans="9:9">
      <c r="I1015" s="157" t="s">
        <v>687</v>
      </c>
    </row>
    <row r="1016" spans="9:9">
      <c r="I1016" s="157" t="s">
        <v>409</v>
      </c>
    </row>
    <row r="1017" spans="9:9">
      <c r="I1017" s="157" t="s">
        <v>688</v>
      </c>
    </row>
    <row r="1018" spans="9:9">
      <c r="I1018" s="157" t="s">
        <v>689</v>
      </c>
    </row>
    <row r="1019" spans="9:9">
      <c r="I1019" s="157" t="s">
        <v>85</v>
      </c>
    </row>
    <row r="1020" spans="9:9">
      <c r="I1020" s="157" t="s">
        <v>412</v>
      </c>
    </row>
    <row r="1021" spans="9:9">
      <c r="I1021" s="157" t="s">
        <v>413</v>
      </c>
    </row>
    <row r="1022" spans="9:9">
      <c r="I1022" s="157" t="s">
        <v>414</v>
      </c>
    </row>
    <row r="1023" spans="9:9">
      <c r="I1023" s="157" t="s">
        <v>690</v>
      </c>
    </row>
    <row r="1024" spans="9:9">
      <c r="I1024" s="157" t="s">
        <v>452</v>
      </c>
    </row>
    <row r="1025" spans="9:9">
      <c r="I1025" s="157" t="s">
        <v>691</v>
      </c>
    </row>
    <row r="1026" spans="9:9">
      <c r="I1026" s="157" t="s">
        <v>67</v>
      </c>
    </row>
    <row r="1027" spans="9:9">
      <c r="I1027" s="157">
        <v>1.5</v>
      </c>
    </row>
    <row r="1028" spans="9:9">
      <c r="I1028" s="157" t="s">
        <v>452</v>
      </c>
    </row>
    <row r="1029" spans="9:9">
      <c r="I1029" s="157" t="s">
        <v>692</v>
      </c>
    </row>
    <row r="1030" spans="9:9">
      <c r="I1030" s="157" t="s">
        <v>67</v>
      </c>
    </row>
    <row r="1031" spans="9:9">
      <c r="I1031" s="157">
        <v>1</v>
      </c>
    </row>
    <row r="1032" spans="9:9">
      <c r="I1032" s="157" t="s">
        <v>693</v>
      </c>
    </row>
    <row r="1033" spans="9:9">
      <c r="I1033" s="157" t="s">
        <v>50</v>
      </c>
    </row>
    <row r="1034" spans="9:9">
      <c r="I1034" s="157">
        <v>1.4</v>
      </c>
    </row>
    <row r="1035" spans="9:9">
      <c r="I1035" s="157" t="s">
        <v>694</v>
      </c>
    </row>
    <row r="1036" spans="9:9">
      <c r="I1036" s="157" t="s">
        <v>59</v>
      </c>
    </row>
    <row r="1037" spans="9:9">
      <c r="I1037" s="157">
        <v>1.75</v>
      </c>
    </row>
    <row r="1038" spans="9:9">
      <c r="I1038" s="157" t="s">
        <v>695</v>
      </c>
    </row>
    <row r="1039" spans="9:9">
      <c r="I1039" s="157" t="s">
        <v>67</v>
      </c>
    </row>
    <row r="1040" spans="9:9">
      <c r="I1040" s="157">
        <v>0.55000000000000004</v>
      </c>
    </row>
    <row r="1041" spans="9:9">
      <c r="I1041" s="157" t="s">
        <v>696</v>
      </c>
    </row>
    <row r="1042" spans="9:9">
      <c r="I1042" s="157" t="s">
        <v>59</v>
      </c>
    </row>
    <row r="1043" spans="9:9">
      <c r="I1043" s="157">
        <v>0.1</v>
      </c>
    </row>
    <row r="1044" spans="9:9">
      <c r="I1044" s="157" t="s">
        <v>697</v>
      </c>
    </row>
    <row r="1045" spans="9:9">
      <c r="I1045" s="157" t="s">
        <v>59</v>
      </c>
    </row>
    <row r="1046" spans="9:9">
      <c r="I1046" s="157">
        <v>2</v>
      </c>
    </row>
    <row r="1047" spans="9:9">
      <c r="I1047" s="157" t="s">
        <v>698</v>
      </c>
    </row>
    <row r="1048" spans="9:9">
      <c r="I1048" s="157" t="s">
        <v>67</v>
      </c>
    </row>
    <row r="1049" spans="9:9">
      <c r="I1049" s="157">
        <v>0.4</v>
      </c>
    </row>
    <row r="1050" spans="9:9">
      <c r="I1050" s="157" t="s">
        <v>699</v>
      </c>
    </row>
    <row r="1051" spans="9:9">
      <c r="I1051" s="157" t="s">
        <v>59</v>
      </c>
    </row>
    <row r="1052" spans="9:9">
      <c r="I1052" s="157">
        <v>0.5</v>
      </c>
    </row>
    <row r="1053" spans="9:9">
      <c r="I1053" s="157" t="s">
        <v>700</v>
      </c>
    </row>
    <row r="1054" spans="9:9">
      <c r="I1054" s="157" t="s">
        <v>67</v>
      </c>
    </row>
    <row r="1055" spans="9:9">
      <c r="I1055" s="157">
        <v>2</v>
      </c>
    </row>
    <row r="1056" spans="9:9">
      <c r="I1056" s="157" t="s">
        <v>701</v>
      </c>
    </row>
    <row r="1057" spans="9:9">
      <c r="I1057" s="157" t="s">
        <v>19</v>
      </c>
    </row>
    <row r="1058" spans="9:9">
      <c r="I1058" s="157">
        <v>300</v>
      </c>
    </row>
    <row r="1059" spans="9:9">
      <c r="I1059" s="157" t="s">
        <v>702</v>
      </c>
    </row>
    <row r="1060" spans="9:9">
      <c r="I1060" s="157" t="s">
        <v>19</v>
      </c>
    </row>
    <row r="1061" spans="9:9">
      <c r="I1061" s="157">
        <v>4</v>
      </c>
    </row>
    <row r="1062" spans="9:9">
      <c r="I1062" s="157" t="s">
        <v>703</v>
      </c>
    </row>
    <row r="1063" spans="9:9">
      <c r="I1063" s="157" t="s">
        <v>19</v>
      </c>
    </row>
    <row r="1064" spans="9:9">
      <c r="I1064" s="157">
        <v>0.6</v>
      </c>
    </row>
    <row r="1065" spans="9:9">
      <c r="I1065" s="157" t="s">
        <v>704</v>
      </c>
    </row>
    <row r="1066" spans="9:9">
      <c r="I1066" s="157" t="s">
        <v>19</v>
      </c>
    </row>
    <row r="1067" spans="9:9">
      <c r="I1067" s="157">
        <v>1</v>
      </c>
    </row>
    <row r="1068" spans="9:9">
      <c r="I1068" s="157" t="s">
        <v>705</v>
      </c>
    </row>
    <row r="1069" spans="9:9">
      <c r="I1069" s="157" t="s">
        <v>19</v>
      </c>
    </row>
    <row r="1070" spans="9:9">
      <c r="I1070" s="157">
        <v>0.5</v>
      </c>
    </row>
    <row r="1071" spans="9:9">
      <c r="I1071" s="157" t="s">
        <v>706</v>
      </c>
    </row>
    <row r="1072" spans="9:9">
      <c r="I1072" s="157" t="s">
        <v>59</v>
      </c>
    </row>
    <row r="1073" spans="9:9">
      <c r="I1073" s="157">
        <v>2</v>
      </c>
    </row>
    <row r="1074" spans="9:9">
      <c r="I1074" s="157" t="s">
        <v>707</v>
      </c>
    </row>
    <row r="1075" spans="9:9">
      <c r="I1075" s="157" t="s">
        <v>67</v>
      </c>
    </row>
    <row r="1076" spans="9:9">
      <c r="I1076" s="157">
        <v>2</v>
      </c>
    </row>
    <row r="1077" spans="9:9">
      <c r="I1077" s="157" t="s">
        <v>708</v>
      </c>
    </row>
    <row r="1078" spans="9:9">
      <c r="I1078" s="157" t="s">
        <v>452</v>
      </c>
    </row>
    <row r="1079" spans="9:9">
      <c r="I1079" s="157" t="s">
        <v>709</v>
      </c>
    </row>
    <row r="1080" spans="9:9">
      <c r="I1080" s="157" t="s">
        <v>67</v>
      </c>
    </row>
    <row r="1081" spans="9:9">
      <c r="I1081" s="157">
        <v>3.5</v>
      </c>
    </row>
    <row r="1082" spans="9:9">
      <c r="I1082" s="157" t="s">
        <v>452</v>
      </c>
    </row>
    <row r="1083" spans="9:9">
      <c r="I1083" s="157" t="s">
        <v>710</v>
      </c>
    </row>
    <row r="1084" spans="9:9">
      <c r="I1084" s="157" t="s">
        <v>19</v>
      </c>
    </row>
    <row r="1085" spans="9:9">
      <c r="I1085" s="157">
        <v>3</v>
      </c>
    </row>
    <row r="1086" spans="9:9">
      <c r="I1086" s="157" t="s">
        <v>711</v>
      </c>
    </row>
    <row r="1087" spans="9:9">
      <c r="I1087" s="157" t="s">
        <v>409</v>
      </c>
    </row>
    <row r="1088" spans="9:9">
      <c r="I1088" s="157" t="s">
        <v>712</v>
      </c>
    </row>
    <row r="1089" spans="9:9">
      <c r="I1089" s="157" t="s">
        <v>713</v>
      </c>
    </row>
    <row r="1090" spans="9:9">
      <c r="I1090" s="157" t="s">
        <v>85</v>
      </c>
    </row>
    <row r="1091" spans="9:9">
      <c r="I1091" s="157" t="s">
        <v>412</v>
      </c>
    </row>
    <row r="1092" spans="9:9">
      <c r="I1092" s="157" t="s">
        <v>413</v>
      </c>
    </row>
    <row r="1093" spans="9:9">
      <c r="I1093" s="157" t="s">
        <v>414</v>
      </c>
    </row>
    <row r="1094" spans="9:9">
      <c r="I1094" s="157" t="s">
        <v>714</v>
      </c>
    </row>
    <row r="1095" spans="9:9">
      <c r="I1095" s="157" t="s">
        <v>67</v>
      </c>
    </row>
    <row r="1096" spans="9:9">
      <c r="I1096" s="157">
        <v>0.9</v>
      </c>
    </row>
    <row r="1097" spans="9:9">
      <c r="I1097" s="157" t="s">
        <v>452</v>
      </c>
    </row>
    <row r="1098" spans="9:9">
      <c r="I1098" s="157" t="s">
        <v>715</v>
      </c>
    </row>
    <row r="1099" spans="9:9">
      <c r="I1099" s="157" t="s">
        <v>19</v>
      </c>
    </row>
    <row r="1100" spans="9:9">
      <c r="I1100" s="157">
        <v>2</v>
      </c>
    </row>
    <row r="1101" spans="9:9">
      <c r="I1101" s="157" t="s">
        <v>452</v>
      </c>
    </row>
    <row r="1102" spans="9:9">
      <c r="I1102" s="157" t="s">
        <v>716</v>
      </c>
    </row>
    <row r="1103" spans="9:9">
      <c r="I1103" s="157" t="s">
        <v>19</v>
      </c>
    </row>
    <row r="1104" spans="9:9">
      <c r="I1104" s="157">
        <v>3</v>
      </c>
    </row>
    <row r="1105" spans="9:9">
      <c r="I1105" s="157" t="s">
        <v>717</v>
      </c>
    </row>
    <row r="1106" spans="9:9">
      <c r="I1106" s="157" t="s">
        <v>586</v>
      </c>
    </row>
    <row r="1107" spans="9:9">
      <c r="I1107" s="157" t="s">
        <v>59</v>
      </c>
    </row>
    <row r="1108" spans="9:9">
      <c r="I1108" s="157">
        <v>1.6</v>
      </c>
    </row>
    <row r="1109" spans="9:9">
      <c r="I1109" s="157" t="s">
        <v>718</v>
      </c>
    </row>
    <row r="1110" spans="9:9">
      <c r="I1110" s="157" t="s">
        <v>59</v>
      </c>
    </row>
    <row r="1111" spans="9:9">
      <c r="I1111" s="157">
        <v>1.25</v>
      </c>
    </row>
    <row r="1112" spans="9:9">
      <c r="I1112" s="157" t="s">
        <v>719</v>
      </c>
    </row>
    <row r="1113" spans="9:9">
      <c r="I1113" s="157" t="s">
        <v>720</v>
      </c>
    </row>
    <row r="1114" spans="9:9">
      <c r="I1114" s="157">
        <v>1</v>
      </c>
    </row>
    <row r="1115" spans="9:9">
      <c r="I1115" s="157" t="s">
        <v>721</v>
      </c>
    </row>
    <row r="1116" spans="9:9">
      <c r="I1116" s="157" t="s">
        <v>67</v>
      </c>
    </row>
    <row r="1117" spans="9:9">
      <c r="I1117" s="157">
        <v>0.2</v>
      </c>
    </row>
    <row r="1118" spans="9:9">
      <c r="I1118" s="157" t="s">
        <v>629</v>
      </c>
    </row>
    <row r="1119" spans="9:9">
      <c r="I1119" s="157" t="s">
        <v>630</v>
      </c>
    </row>
    <row r="1120" spans="9:9">
      <c r="I1120" s="157" t="s">
        <v>67</v>
      </c>
    </row>
    <row r="1121" spans="9:9">
      <c r="I1121" s="157">
        <v>0.45</v>
      </c>
    </row>
    <row r="1122" spans="9:9">
      <c r="I1122" s="157" t="s">
        <v>722</v>
      </c>
    </row>
    <row r="1123" spans="9:9">
      <c r="I1123" s="157" t="s">
        <v>19</v>
      </c>
    </row>
    <row r="1124" spans="9:9">
      <c r="I1124" s="157">
        <v>6</v>
      </c>
    </row>
    <row r="1125" spans="9:9">
      <c r="I1125" s="157" t="s">
        <v>723</v>
      </c>
    </row>
    <row r="1126" spans="9:9">
      <c r="I1126" s="157" t="s">
        <v>586</v>
      </c>
    </row>
    <row r="1127" spans="9:9">
      <c r="I1127" s="157" t="s">
        <v>19</v>
      </c>
    </row>
    <row r="1128" spans="9:9">
      <c r="I1128" s="157">
        <v>5</v>
      </c>
    </row>
    <row r="1129" spans="9:9">
      <c r="I1129" s="157" t="s">
        <v>724</v>
      </c>
    </row>
    <row r="1130" spans="9:9">
      <c r="I1130" s="157" t="s">
        <v>19</v>
      </c>
    </row>
    <row r="1131" spans="9:9">
      <c r="I1131" s="157">
        <v>3.5</v>
      </c>
    </row>
    <row r="1132" spans="9:9">
      <c r="I1132" s="157" t="s">
        <v>725</v>
      </c>
    </row>
    <row r="1133" spans="9:9">
      <c r="I1133" s="157" t="s">
        <v>19</v>
      </c>
    </row>
    <row r="1134" spans="9:9">
      <c r="I1134" s="157">
        <v>4.5</v>
      </c>
    </row>
    <row r="1135" spans="9:9">
      <c r="I1135" s="157" t="s">
        <v>726</v>
      </c>
    </row>
    <row r="1136" spans="9:9">
      <c r="I1136" s="157" t="s">
        <v>19</v>
      </c>
    </row>
    <row r="1137" spans="9:9">
      <c r="I1137" s="157">
        <v>3.5</v>
      </c>
    </row>
    <row r="1138" spans="9:9">
      <c r="I1138" s="157" t="s">
        <v>727</v>
      </c>
    </row>
    <row r="1139" spans="9:9">
      <c r="I1139" s="157" t="s">
        <v>19</v>
      </c>
    </row>
    <row r="1140" spans="9:9">
      <c r="I1140" s="157">
        <v>4.5</v>
      </c>
    </row>
    <row r="1141" spans="9:9">
      <c r="I1141" s="157" t="s">
        <v>728</v>
      </c>
    </row>
    <row r="1142" spans="9:9">
      <c r="I1142" s="157" t="s">
        <v>19</v>
      </c>
    </row>
    <row r="1143" spans="9:9">
      <c r="I1143" s="157">
        <v>3.5</v>
      </c>
    </row>
    <row r="1144" spans="9:9">
      <c r="I1144" s="157" t="s">
        <v>729</v>
      </c>
    </row>
    <row r="1145" spans="9:9">
      <c r="I1145" s="157" t="s">
        <v>19</v>
      </c>
    </row>
    <row r="1146" spans="9:9">
      <c r="I1146" s="157">
        <v>4.5</v>
      </c>
    </row>
    <row r="1147" spans="9:9">
      <c r="I1147" s="157" t="s">
        <v>730</v>
      </c>
    </row>
    <row r="1148" spans="9:9">
      <c r="I1148" s="157" t="s">
        <v>59</v>
      </c>
    </row>
    <row r="1149" spans="9:9">
      <c r="I1149" s="157">
        <v>0.55000000000000004</v>
      </c>
    </row>
    <row r="1150" spans="9:9">
      <c r="I1150" s="157" t="s">
        <v>731</v>
      </c>
    </row>
    <row r="1151" spans="9:9">
      <c r="I1151" s="157" t="s">
        <v>59</v>
      </c>
    </row>
    <row r="1152" spans="9:9">
      <c r="I1152" s="157">
        <v>1.2</v>
      </c>
    </row>
    <row r="1153" spans="9:9">
      <c r="I1153" s="157" t="s">
        <v>732</v>
      </c>
    </row>
    <row r="1154" spans="9:9">
      <c r="I1154" s="157" t="s">
        <v>59</v>
      </c>
    </row>
    <row r="1155" spans="9:9">
      <c r="I1155" s="157">
        <v>0.55000000000000004</v>
      </c>
    </row>
    <row r="1156" spans="9:9">
      <c r="I1156" s="157" t="s">
        <v>733</v>
      </c>
    </row>
    <row r="1157" spans="9:9">
      <c r="I1157" s="157" t="s">
        <v>59</v>
      </c>
    </row>
    <row r="1158" spans="9:9">
      <c r="I1158" s="157">
        <v>1.2</v>
      </c>
    </row>
    <row r="1159" spans="9:9">
      <c r="I1159" s="157" t="s">
        <v>734</v>
      </c>
    </row>
    <row r="1160" spans="9:9">
      <c r="I1160" s="157" t="s">
        <v>452</v>
      </c>
    </row>
    <row r="1161" spans="9:9">
      <c r="I1161" s="157" t="s">
        <v>735</v>
      </c>
    </row>
    <row r="1162" spans="9:9">
      <c r="I1162" s="157" t="s">
        <v>50</v>
      </c>
    </row>
    <row r="1163" spans="9:9">
      <c r="I1163" s="157">
        <v>10</v>
      </c>
    </row>
    <row r="1164" spans="9:9">
      <c r="I1164" s="157" t="s">
        <v>452</v>
      </c>
    </row>
    <row r="1165" spans="9:9">
      <c r="I1165" s="157" t="s">
        <v>736</v>
      </c>
    </row>
    <row r="1166" spans="9:9">
      <c r="I1166" s="157" t="s">
        <v>19</v>
      </c>
    </row>
    <row r="1167" spans="9:9">
      <c r="I1167" s="157">
        <v>16</v>
      </c>
    </row>
    <row r="1168" spans="9:9">
      <c r="I1168" s="157" t="s">
        <v>737</v>
      </c>
    </row>
    <row r="1169" spans="9:9">
      <c r="I1169" s="157" t="s">
        <v>452</v>
      </c>
    </row>
    <row r="1170" spans="9:9">
      <c r="I1170" s="157" t="s">
        <v>738</v>
      </c>
    </row>
    <row r="1171" spans="9:9">
      <c r="I1171" s="157" t="s">
        <v>19</v>
      </c>
    </row>
    <row r="1172" spans="9:9">
      <c r="I1172" s="157">
        <v>6</v>
      </c>
    </row>
    <row r="1173" spans="9:9">
      <c r="I1173" s="157" t="s">
        <v>452</v>
      </c>
    </row>
    <row r="1174" spans="9:9">
      <c r="I1174" s="157" t="s">
        <v>739</v>
      </c>
    </row>
    <row r="1175" spans="9:9">
      <c r="I1175" s="157" t="s">
        <v>740</v>
      </c>
    </row>
    <row r="1176" spans="9:9">
      <c r="I1176" s="157">
        <v>10</v>
      </c>
    </row>
    <row r="1177" spans="9:9">
      <c r="I1177" s="157" t="s">
        <v>452</v>
      </c>
    </row>
    <row r="1178" spans="9:9">
      <c r="I1178" s="157" t="s">
        <v>741</v>
      </c>
    </row>
    <row r="1179" spans="9:9">
      <c r="I1179" s="157" t="s">
        <v>19</v>
      </c>
    </row>
    <row r="1180" spans="9:9">
      <c r="I1180" s="157">
        <v>12</v>
      </c>
    </row>
    <row r="1181" spans="9:9">
      <c r="I1181" s="157" t="s">
        <v>452</v>
      </c>
    </row>
    <row r="1182" spans="9:9">
      <c r="I1182" s="157" t="s">
        <v>742</v>
      </c>
    </row>
    <row r="1183" spans="9:9">
      <c r="I1183" s="157" t="s">
        <v>743</v>
      </c>
    </row>
    <row r="1184" spans="9:9">
      <c r="I1184" s="157">
        <v>2.5</v>
      </c>
    </row>
    <row r="1185" spans="9:9">
      <c r="I1185" s="157" t="s">
        <v>744</v>
      </c>
    </row>
    <row r="1186" spans="9:9">
      <c r="I1186" s="157" t="s">
        <v>59</v>
      </c>
    </row>
    <row r="1187" spans="9:9">
      <c r="I1187" s="157">
        <v>1.2</v>
      </c>
    </row>
    <row r="1188" spans="9:9">
      <c r="I1188" s="157" t="s">
        <v>745</v>
      </c>
    </row>
    <row r="1189" spans="9:9">
      <c r="I1189" s="157" t="s">
        <v>59</v>
      </c>
    </row>
    <row r="1190" spans="9:9">
      <c r="I1190" s="157">
        <v>1.75</v>
      </c>
    </row>
    <row r="1191" spans="9:9">
      <c r="I1191" s="157" t="s">
        <v>746</v>
      </c>
    </row>
    <row r="1192" spans="9:9">
      <c r="I1192" s="157" t="s">
        <v>409</v>
      </c>
    </row>
    <row r="1193" spans="9:9">
      <c r="I1193" s="157" t="s">
        <v>747</v>
      </c>
    </row>
    <row r="1194" spans="9:9">
      <c r="I1194" s="157" t="s">
        <v>748</v>
      </c>
    </row>
    <row r="1195" spans="9:9">
      <c r="I1195" s="157" t="s">
        <v>85</v>
      </c>
    </row>
    <row r="1196" spans="9:9">
      <c r="I1196" s="157" t="s">
        <v>412</v>
      </c>
    </row>
    <row r="1197" spans="9:9">
      <c r="I1197" s="157" t="s">
        <v>413</v>
      </c>
    </row>
    <row r="1198" spans="9:9">
      <c r="I1198" s="157" t="s">
        <v>414</v>
      </c>
    </row>
    <row r="1199" spans="9:9">
      <c r="I1199" s="157" t="s">
        <v>749</v>
      </c>
    </row>
    <row r="1200" spans="9:9">
      <c r="I1200" s="157" t="s">
        <v>750</v>
      </c>
    </row>
    <row r="1201" spans="9:9">
      <c r="I1201" s="157" t="s">
        <v>64</v>
      </c>
    </row>
    <row r="1202" spans="9:9">
      <c r="I1202" s="157">
        <v>4.7E-2</v>
      </c>
    </row>
    <row r="1203" spans="9:9">
      <c r="I1203" s="157" t="s">
        <v>751</v>
      </c>
    </row>
    <row r="1204" spans="9:9">
      <c r="I1204" s="157" t="s">
        <v>452</v>
      </c>
    </row>
    <row r="1205" spans="9:9">
      <c r="I1205" s="157" t="s">
        <v>752</v>
      </c>
    </row>
    <row r="1206" spans="9:9">
      <c r="I1206" s="157" t="s">
        <v>64</v>
      </c>
    </row>
    <row r="1207" spans="9:9">
      <c r="I1207" s="157">
        <v>2.1999999999999999E-2</v>
      </c>
    </row>
    <row r="1208" spans="9:9">
      <c r="I1208" s="157" t="s">
        <v>452</v>
      </c>
    </row>
    <row r="1209" spans="9:9">
      <c r="I1209" s="157" t="s">
        <v>753</v>
      </c>
    </row>
    <row r="1210" spans="9:9">
      <c r="I1210" s="157" t="s">
        <v>64</v>
      </c>
    </row>
    <row r="1211" spans="9:9">
      <c r="I1211" s="157">
        <v>0.02</v>
      </c>
    </row>
    <row r="1212" spans="9:9">
      <c r="I1212" s="157" t="s">
        <v>452</v>
      </c>
    </row>
    <row r="1213" spans="9:9">
      <c r="I1213" s="157" t="s">
        <v>754</v>
      </c>
    </row>
    <row r="1214" spans="9:9">
      <c r="I1214" s="157" t="s">
        <v>64</v>
      </c>
    </row>
    <row r="1215" spans="9:9">
      <c r="I1215" s="157">
        <v>1.7000000000000001E-2</v>
      </c>
    </row>
    <row r="1216" spans="9:9">
      <c r="I1216" s="157" t="s">
        <v>452</v>
      </c>
    </row>
    <row r="1217" spans="9:9">
      <c r="I1217" s="157" t="s">
        <v>755</v>
      </c>
    </row>
    <row r="1218" spans="9:9">
      <c r="I1218" s="157" t="s">
        <v>64</v>
      </c>
    </row>
    <row r="1219" spans="9:9">
      <c r="I1219" s="157">
        <v>1.4999999999999999E-2</v>
      </c>
    </row>
    <row r="1220" spans="9:9">
      <c r="I1220" s="157" t="s">
        <v>756</v>
      </c>
    </row>
    <row r="1221" spans="9:9">
      <c r="I1221" s="157" t="s">
        <v>452</v>
      </c>
    </row>
    <row r="1222" spans="9:9">
      <c r="I1222" s="157" t="s">
        <v>757</v>
      </c>
    </row>
    <row r="1223" spans="9:9">
      <c r="I1223" s="157" t="s">
        <v>40</v>
      </c>
    </row>
    <row r="1224" spans="9:9">
      <c r="I1224" s="157">
        <v>12</v>
      </c>
    </row>
    <row r="1225" spans="9:9">
      <c r="I1225" s="157" t="s">
        <v>452</v>
      </c>
    </row>
    <row r="1226" spans="9:9">
      <c r="I1226" s="157" t="s">
        <v>758</v>
      </c>
    </row>
    <row r="1227" spans="9:9">
      <c r="I1227" s="157" t="s">
        <v>40</v>
      </c>
    </row>
    <row r="1228" spans="9:9">
      <c r="I1228" s="157">
        <v>11</v>
      </c>
    </row>
    <row r="1229" spans="9:9">
      <c r="I1229" s="157" t="s">
        <v>452</v>
      </c>
    </row>
    <row r="1230" spans="9:9">
      <c r="I1230" s="157" t="s">
        <v>759</v>
      </c>
    </row>
    <row r="1231" spans="9:9">
      <c r="I1231" s="157" t="s">
        <v>40</v>
      </c>
    </row>
    <row r="1232" spans="9:9">
      <c r="I1232" s="157">
        <v>10</v>
      </c>
    </row>
    <row r="1233" spans="9:9">
      <c r="I1233" s="157" t="s">
        <v>452</v>
      </c>
    </row>
    <row r="1234" spans="9:9">
      <c r="I1234" s="157" t="s">
        <v>760</v>
      </c>
    </row>
    <row r="1235" spans="9:9">
      <c r="I1235" s="157" t="s">
        <v>40</v>
      </c>
    </row>
    <row r="1236" spans="9:9">
      <c r="I1236" s="157">
        <v>9</v>
      </c>
    </row>
    <row r="1237" spans="9:9">
      <c r="I1237" s="157" t="s">
        <v>761</v>
      </c>
    </row>
    <row r="1238" spans="9:9">
      <c r="I1238" s="157" t="s">
        <v>452</v>
      </c>
    </row>
    <row r="1239" spans="9:9">
      <c r="I1239" s="157" t="s">
        <v>754</v>
      </c>
    </row>
    <row r="1240" spans="9:9">
      <c r="I1240" s="157" t="s">
        <v>64</v>
      </c>
    </row>
    <row r="1241" spans="9:9">
      <c r="I1241" s="157">
        <v>1.7999999999999999E-2</v>
      </c>
    </row>
    <row r="1242" spans="9:9">
      <c r="I1242" s="157" t="s">
        <v>452</v>
      </c>
    </row>
    <row r="1243" spans="9:9">
      <c r="I1243" s="157" t="s">
        <v>755</v>
      </c>
    </row>
    <row r="1244" spans="9:9">
      <c r="I1244" s="157" t="s">
        <v>64</v>
      </c>
    </row>
    <row r="1245" spans="9:9">
      <c r="I1245" s="157">
        <v>1.6E-2</v>
      </c>
    </row>
    <row r="1246" spans="9:9">
      <c r="I1246" s="157" t="s">
        <v>762</v>
      </c>
    </row>
    <row r="1247" spans="9:9">
      <c r="I1247" s="157" t="s">
        <v>64</v>
      </c>
    </row>
    <row r="1248" spans="9:9">
      <c r="I1248" s="157">
        <v>2.5000000000000001E-2</v>
      </c>
    </row>
    <row r="1249" spans="9:9">
      <c r="I1249" s="157" t="s">
        <v>763</v>
      </c>
    </row>
    <row r="1250" spans="9:9">
      <c r="I1250" s="157" t="s">
        <v>64</v>
      </c>
    </row>
    <row r="1251" spans="9:9">
      <c r="I1251" s="157">
        <v>0.03</v>
      </c>
    </row>
    <row r="1252" spans="9:9">
      <c r="I1252" s="157" t="s">
        <v>764</v>
      </c>
    </row>
    <row r="1253" spans="9:9">
      <c r="I1253" s="157" t="s">
        <v>64</v>
      </c>
    </row>
    <row r="1254" spans="9:9">
      <c r="I1254" s="157">
        <v>5.0000000000000001E-3</v>
      </c>
    </row>
    <row r="1255" spans="9:9">
      <c r="I1255" s="157" t="s">
        <v>765</v>
      </c>
    </row>
    <row r="1256" spans="9:9">
      <c r="I1256" s="157" t="s">
        <v>766</v>
      </c>
    </row>
    <row r="1257" spans="9:9">
      <c r="I1257" s="157" t="s">
        <v>767</v>
      </c>
    </row>
    <row r="1258" spans="9:9">
      <c r="I1258" s="157" t="s">
        <v>768</v>
      </c>
    </row>
    <row r="1259" spans="9:9">
      <c r="I1259" s="157" t="s">
        <v>769</v>
      </c>
    </row>
    <row r="1260" spans="9:9">
      <c r="I1260" s="157" t="s">
        <v>770</v>
      </c>
    </row>
    <row r="1261" spans="9:9">
      <c r="I1261" s="157" t="s">
        <v>771</v>
      </c>
    </row>
    <row r="1262" spans="9:9">
      <c r="I1262" s="157" t="s">
        <v>772</v>
      </c>
    </row>
    <row r="1263" spans="9:9">
      <c r="I1263" s="157" t="s">
        <v>773</v>
      </c>
    </row>
    <row r="1264" spans="9:9">
      <c r="I1264" s="157">
        <v>10</v>
      </c>
    </row>
    <row r="1265" spans="9:9">
      <c r="I1265" s="157">
        <v>10</v>
      </c>
    </row>
    <row r="1266" spans="9:9">
      <c r="I1266" s="157">
        <v>7</v>
      </c>
    </row>
    <row r="1267" spans="9:9">
      <c r="I1267" s="157">
        <v>6</v>
      </c>
    </row>
    <row r="1268" spans="9:9">
      <c r="I1268" s="157">
        <v>5</v>
      </c>
    </row>
    <row r="1269" spans="9:9">
      <c r="I1269" s="157">
        <v>4.5</v>
      </c>
    </row>
    <row r="1270" spans="9:9">
      <c r="I1270" s="157" t="s">
        <v>774</v>
      </c>
    </row>
    <row r="1271" spans="9:9">
      <c r="I1271" s="157">
        <v>10</v>
      </c>
    </row>
    <row r="1272" spans="9:9">
      <c r="I1272" s="157">
        <v>10</v>
      </c>
    </row>
    <row r="1273" spans="9:9">
      <c r="I1273" s="157">
        <v>7</v>
      </c>
    </row>
    <row r="1274" spans="9:9">
      <c r="I1274" s="157">
        <v>6</v>
      </c>
    </row>
    <row r="1275" spans="9:9">
      <c r="I1275" s="157">
        <v>5</v>
      </c>
    </row>
    <row r="1276" spans="9:9">
      <c r="I1276" s="157">
        <v>4.5</v>
      </c>
    </row>
    <row r="1277" spans="9:9">
      <c r="I1277" s="157" t="s">
        <v>775</v>
      </c>
    </row>
    <row r="1278" spans="9:9">
      <c r="I1278" s="157">
        <v>36</v>
      </c>
    </row>
    <row r="1279" spans="9:9">
      <c r="I1279" s="157">
        <v>30</v>
      </c>
    </row>
    <row r="1280" spans="9:9">
      <c r="I1280" s="157">
        <v>25</v>
      </c>
    </row>
    <row r="1281" spans="9:9">
      <c r="I1281" s="157">
        <v>21</v>
      </c>
    </row>
    <row r="1282" spans="9:9">
      <c r="I1282" s="157">
        <v>19</v>
      </c>
    </row>
    <row r="1283" spans="9:9">
      <c r="I1283" s="157">
        <v>17</v>
      </c>
    </row>
    <row r="1284" spans="9:9">
      <c r="I1284" s="157" t="s">
        <v>776</v>
      </c>
    </row>
    <row r="1285" spans="9:9">
      <c r="I1285" s="157">
        <v>36</v>
      </c>
    </row>
    <row r="1286" spans="9:9">
      <c r="I1286" s="157">
        <v>30</v>
      </c>
    </row>
    <row r="1287" spans="9:9">
      <c r="I1287" s="157">
        <v>25</v>
      </c>
    </row>
    <row r="1288" spans="9:9">
      <c r="I1288" s="157">
        <v>21</v>
      </c>
    </row>
    <row r="1289" spans="9:9">
      <c r="I1289" s="157">
        <v>19</v>
      </c>
    </row>
    <row r="1290" spans="9:9">
      <c r="I1290" s="157">
        <v>17</v>
      </c>
    </row>
    <row r="1291" spans="9:9">
      <c r="I1291" s="157" t="s">
        <v>777</v>
      </c>
    </row>
    <row r="1292" spans="9:9">
      <c r="I1292" s="157">
        <v>92</v>
      </c>
    </row>
    <row r="1293" spans="9:9">
      <c r="I1293" s="157">
        <v>80</v>
      </c>
    </row>
    <row r="1294" spans="9:9">
      <c r="I1294" s="157">
        <v>64</v>
      </c>
    </row>
    <row r="1295" spans="9:9">
      <c r="I1295" s="157">
        <v>54</v>
      </c>
    </row>
    <row r="1296" spans="9:9">
      <c r="I1296" s="157">
        <v>50</v>
      </c>
    </row>
    <row r="1297" spans="9:9">
      <c r="I1297" s="157">
        <v>43</v>
      </c>
    </row>
    <row r="1298" spans="9:9">
      <c r="I1298" s="157" t="s">
        <v>778</v>
      </c>
    </row>
    <row r="1299" spans="9:9">
      <c r="I1299" s="157" t="s">
        <v>409</v>
      </c>
    </row>
    <row r="1300" spans="9:9">
      <c r="I1300" s="157" t="s">
        <v>779</v>
      </c>
    </row>
    <row r="1301" spans="9:9">
      <c r="I1301" s="157" t="s">
        <v>780</v>
      </c>
    </row>
    <row r="1302" spans="9:9">
      <c r="I1302" s="157" t="s">
        <v>85</v>
      </c>
    </row>
    <row r="1303" spans="9:9">
      <c r="I1303" s="157" t="s">
        <v>412</v>
      </c>
    </row>
    <row r="1304" spans="9:9">
      <c r="I1304" s="157" t="s">
        <v>413</v>
      </c>
    </row>
    <row r="1305" spans="9:9">
      <c r="I1305" s="157" t="s">
        <v>414</v>
      </c>
    </row>
    <row r="1306" spans="9:9">
      <c r="I1306" s="157" t="s">
        <v>604</v>
      </c>
    </row>
    <row r="1307" spans="9:9">
      <c r="I1307" s="157" t="s">
        <v>67</v>
      </c>
    </row>
    <row r="1308" spans="9:9">
      <c r="I1308" s="157">
        <v>0.3</v>
      </c>
    </row>
    <row r="1309" spans="9:9">
      <c r="I1309" s="157" t="s">
        <v>781</v>
      </c>
    </row>
    <row r="1310" spans="9:9">
      <c r="I1310" s="157" t="s">
        <v>452</v>
      </c>
    </row>
    <row r="1311" spans="9:9">
      <c r="I1311" s="157" t="s">
        <v>782</v>
      </c>
    </row>
    <row r="1312" spans="9:9">
      <c r="I1312" s="157" t="s">
        <v>67</v>
      </c>
    </row>
    <row r="1313" spans="9:9">
      <c r="I1313" s="157">
        <v>0.05</v>
      </c>
    </row>
    <row r="1314" spans="9:9">
      <c r="I1314" s="157" t="s">
        <v>452</v>
      </c>
    </row>
    <row r="1315" spans="9:9">
      <c r="I1315" s="157" t="s">
        <v>783</v>
      </c>
    </row>
    <row r="1316" spans="9:9">
      <c r="I1316" s="157" t="s">
        <v>67</v>
      </c>
    </row>
    <row r="1317" spans="9:9">
      <c r="I1317" s="157">
        <v>0.12</v>
      </c>
    </row>
    <row r="1318" spans="9:9">
      <c r="I1318" s="157" t="s">
        <v>784</v>
      </c>
    </row>
    <row r="1319" spans="9:9">
      <c r="I1319" s="157" t="s">
        <v>452</v>
      </c>
    </row>
    <row r="1320" spans="9:9">
      <c r="I1320" s="157" t="s">
        <v>782</v>
      </c>
    </row>
    <row r="1321" spans="9:9">
      <c r="I1321" s="157" t="s">
        <v>67</v>
      </c>
    </row>
    <row r="1322" spans="9:9">
      <c r="I1322" s="157">
        <v>0.06</v>
      </c>
    </row>
    <row r="1323" spans="9:9">
      <c r="I1323" s="157" t="s">
        <v>452</v>
      </c>
    </row>
    <row r="1324" spans="9:9">
      <c r="I1324" s="157" t="s">
        <v>783</v>
      </c>
    </row>
    <row r="1325" spans="9:9">
      <c r="I1325" s="157" t="s">
        <v>67</v>
      </c>
    </row>
    <row r="1326" spans="9:9">
      <c r="I1326" s="157">
        <v>0.12</v>
      </c>
    </row>
    <row r="1327" spans="9:9">
      <c r="I1327" s="157" t="s">
        <v>785</v>
      </c>
    </row>
    <row r="1328" spans="9:9">
      <c r="I1328" s="157" t="s">
        <v>452</v>
      </c>
    </row>
    <row r="1329" spans="9:9">
      <c r="I1329" s="157" t="s">
        <v>782</v>
      </c>
    </row>
    <row r="1330" spans="9:9">
      <c r="I1330" s="157" t="s">
        <v>67</v>
      </c>
    </row>
    <row r="1331" spans="9:9">
      <c r="I1331" s="157">
        <v>0.05</v>
      </c>
    </row>
    <row r="1332" spans="9:9">
      <c r="I1332" s="157" t="s">
        <v>452</v>
      </c>
    </row>
    <row r="1333" spans="9:9">
      <c r="I1333" s="157" t="s">
        <v>783</v>
      </c>
    </row>
    <row r="1334" spans="9:9">
      <c r="I1334" s="157" t="s">
        <v>67</v>
      </c>
    </row>
    <row r="1335" spans="9:9">
      <c r="I1335" s="157">
        <v>0.12</v>
      </c>
    </row>
    <row r="1336" spans="9:9">
      <c r="I1336" s="157" t="s">
        <v>786</v>
      </c>
    </row>
    <row r="1337" spans="9:9">
      <c r="I1337" s="157" t="s">
        <v>452</v>
      </c>
    </row>
    <row r="1338" spans="9:9">
      <c r="I1338" s="157" t="s">
        <v>787</v>
      </c>
    </row>
    <row r="1339" spans="9:9">
      <c r="I1339" s="157" t="s">
        <v>67</v>
      </c>
    </row>
    <row r="1340" spans="9:9">
      <c r="I1340" s="157">
        <v>0.04</v>
      </c>
    </row>
    <row r="1341" spans="9:9">
      <c r="I1341" s="157" t="s">
        <v>452</v>
      </c>
    </row>
    <row r="1342" spans="9:9">
      <c r="I1342" s="157" t="s">
        <v>783</v>
      </c>
    </row>
    <row r="1343" spans="9:9">
      <c r="I1343" s="157" t="s">
        <v>67</v>
      </c>
    </row>
    <row r="1344" spans="9:9">
      <c r="I1344" s="157">
        <v>0.08</v>
      </c>
    </row>
    <row r="1345" spans="9:9">
      <c r="I1345" s="157" t="s">
        <v>788</v>
      </c>
    </row>
    <row r="1346" spans="9:9">
      <c r="I1346" s="157" t="s">
        <v>452</v>
      </c>
    </row>
    <row r="1347" spans="9:9">
      <c r="I1347" s="157" t="s">
        <v>783</v>
      </c>
    </row>
    <row r="1348" spans="9:9">
      <c r="I1348" s="157" t="s">
        <v>67</v>
      </c>
    </row>
    <row r="1349" spans="9:9">
      <c r="I1349" s="157">
        <v>0.12</v>
      </c>
    </row>
    <row r="1350" spans="9:9">
      <c r="I1350" s="157" t="s">
        <v>452</v>
      </c>
    </row>
    <row r="1351" spans="9:9">
      <c r="I1351" s="157" t="s">
        <v>789</v>
      </c>
    </row>
    <row r="1352" spans="9:9">
      <c r="I1352" s="157" t="s">
        <v>67</v>
      </c>
    </row>
    <row r="1353" spans="9:9">
      <c r="I1353" s="157">
        <v>0.05</v>
      </c>
    </row>
    <row r="1354" spans="9:9">
      <c r="I1354" s="157" t="s">
        <v>452</v>
      </c>
    </row>
    <row r="1355" spans="9:9">
      <c r="I1355" s="157" t="s">
        <v>787</v>
      </c>
    </row>
    <row r="1356" spans="9:9">
      <c r="I1356" s="157" t="s">
        <v>67</v>
      </c>
    </row>
    <row r="1357" spans="9:9">
      <c r="I1357" s="157">
        <v>0.06</v>
      </c>
    </row>
    <row r="1358" spans="9:9">
      <c r="I1358" s="157" t="s">
        <v>790</v>
      </c>
    </row>
    <row r="1359" spans="9:9">
      <c r="I1359" s="157" t="s">
        <v>67</v>
      </c>
    </row>
    <row r="1360" spans="9:9">
      <c r="I1360" s="157">
        <v>0.4</v>
      </c>
    </row>
    <row r="1361" spans="9:9">
      <c r="I1361" s="157" t="s">
        <v>791</v>
      </c>
    </row>
    <row r="1362" spans="9:9">
      <c r="I1362" s="157" t="s">
        <v>59</v>
      </c>
    </row>
    <row r="1363" spans="9:9">
      <c r="I1363" s="157">
        <v>0.15</v>
      </c>
    </row>
    <row r="1364" spans="9:9">
      <c r="I1364" s="157" t="s">
        <v>792</v>
      </c>
    </row>
    <row r="1365" spans="9:9">
      <c r="I1365" s="157" t="s">
        <v>409</v>
      </c>
    </row>
    <row r="1366" spans="9:9">
      <c r="I1366" s="157" t="s">
        <v>793</v>
      </c>
    </row>
    <row r="1367" spans="9:9">
      <c r="I1367" s="157" t="s">
        <v>794</v>
      </c>
    </row>
    <row r="1368" spans="9:9">
      <c r="I1368" s="157" t="s">
        <v>85</v>
      </c>
    </row>
    <row r="1369" spans="9:9">
      <c r="I1369" s="157" t="s">
        <v>412</v>
      </c>
    </row>
    <row r="1370" spans="9:9">
      <c r="I1370" s="157" t="s">
        <v>413</v>
      </c>
    </row>
    <row r="1371" spans="9:9">
      <c r="I1371" s="157" t="s">
        <v>414</v>
      </c>
    </row>
    <row r="1372" spans="9:9">
      <c r="I1372" s="157" t="s">
        <v>795</v>
      </c>
    </row>
    <row r="1373" spans="9:9">
      <c r="I1373" s="157" t="s">
        <v>452</v>
      </c>
    </row>
    <row r="1374" spans="9:9">
      <c r="I1374" s="157" t="s">
        <v>638</v>
      </c>
    </row>
    <row r="1375" spans="9:9">
      <c r="I1375" s="157" t="s">
        <v>67</v>
      </c>
    </row>
    <row r="1376" spans="9:9">
      <c r="I1376" s="157">
        <v>2.5</v>
      </c>
    </row>
    <row r="1377" spans="9:9">
      <c r="I1377" s="157" t="s">
        <v>452</v>
      </c>
    </row>
    <row r="1378" spans="9:9">
      <c r="I1378" s="157" t="s">
        <v>682</v>
      </c>
    </row>
    <row r="1379" spans="9:9">
      <c r="I1379" s="157" t="s">
        <v>67</v>
      </c>
    </row>
    <row r="1380" spans="9:9">
      <c r="I1380" s="157">
        <v>1</v>
      </c>
    </row>
    <row r="1381" spans="9:9">
      <c r="I1381" s="157" t="s">
        <v>796</v>
      </c>
    </row>
    <row r="1382" spans="9:9">
      <c r="I1382" s="157" t="s">
        <v>50</v>
      </c>
    </row>
    <row r="1383" spans="9:9">
      <c r="I1383" s="157">
        <v>4</v>
      </c>
    </row>
    <row r="1384" spans="9:9">
      <c r="I1384" s="157" t="s">
        <v>797</v>
      </c>
    </row>
    <row r="1385" spans="9:9">
      <c r="I1385" s="157" t="s">
        <v>452</v>
      </c>
    </row>
    <row r="1386" spans="9:9">
      <c r="I1386" s="157" t="s">
        <v>638</v>
      </c>
    </row>
    <row r="1387" spans="9:9">
      <c r="I1387" s="157" t="s">
        <v>59</v>
      </c>
    </row>
    <row r="1388" spans="9:9">
      <c r="I1388" s="157">
        <v>1.4</v>
      </c>
    </row>
    <row r="1389" spans="9:9">
      <c r="I1389" s="157" t="s">
        <v>452</v>
      </c>
    </row>
    <row r="1390" spans="9:9">
      <c r="I1390" s="157" t="s">
        <v>798</v>
      </c>
    </row>
    <row r="1391" spans="9:9">
      <c r="I1391" s="157" t="s">
        <v>59</v>
      </c>
    </row>
    <row r="1392" spans="9:9">
      <c r="I1392" s="157">
        <v>1.2</v>
      </c>
    </row>
    <row r="1393" spans="9:9">
      <c r="I1393" s="157" t="s">
        <v>799</v>
      </c>
    </row>
    <row r="1394" spans="9:9">
      <c r="I1394" s="157" t="s">
        <v>452</v>
      </c>
    </row>
    <row r="1395" spans="9:9">
      <c r="I1395" s="157" t="s">
        <v>638</v>
      </c>
    </row>
    <row r="1396" spans="9:9">
      <c r="I1396" s="157" t="s">
        <v>59</v>
      </c>
    </row>
    <row r="1397" spans="9:9">
      <c r="I1397" s="157">
        <v>1.4</v>
      </c>
    </row>
    <row r="1398" spans="9:9">
      <c r="I1398" s="157" t="s">
        <v>452</v>
      </c>
    </row>
    <row r="1399" spans="9:9">
      <c r="I1399" s="157" t="s">
        <v>798</v>
      </c>
    </row>
    <row r="1400" spans="9:9">
      <c r="I1400" s="157" t="s">
        <v>59</v>
      </c>
    </row>
    <row r="1401" spans="9:9">
      <c r="I1401" s="157">
        <v>1</v>
      </c>
    </row>
    <row r="1402" spans="9:9">
      <c r="I1402" s="157" t="s">
        <v>800</v>
      </c>
    </row>
    <row r="1403" spans="9:9">
      <c r="I1403" s="157" t="s">
        <v>50</v>
      </c>
    </row>
    <row r="1404" spans="9:9">
      <c r="I1404" s="157">
        <v>4</v>
      </c>
    </row>
    <row r="1405" spans="9:9">
      <c r="I1405" s="157" t="s">
        <v>801</v>
      </c>
    </row>
    <row r="1406" spans="9:9">
      <c r="I1406" s="157" t="s">
        <v>452</v>
      </c>
    </row>
    <row r="1407" spans="9:9">
      <c r="I1407" s="157" t="s">
        <v>568</v>
      </c>
    </row>
    <row r="1408" spans="9:9">
      <c r="I1408" s="157" t="s">
        <v>59</v>
      </c>
    </row>
    <row r="1409" spans="9:9">
      <c r="I1409" s="157">
        <v>1.2</v>
      </c>
    </row>
    <row r="1410" spans="9:9">
      <c r="I1410" s="157" t="s">
        <v>802</v>
      </c>
    </row>
    <row r="1411" spans="9:9">
      <c r="I1411" s="157" t="s">
        <v>452</v>
      </c>
    </row>
    <row r="1412" spans="9:9">
      <c r="I1412" s="157" t="s">
        <v>803</v>
      </c>
    </row>
    <row r="1413" spans="9:9">
      <c r="I1413" s="157" t="s">
        <v>59</v>
      </c>
    </row>
    <row r="1414" spans="9:9">
      <c r="I1414" s="157">
        <v>2</v>
      </c>
    </row>
    <row r="1415" spans="9:9">
      <c r="I1415" s="157" t="s">
        <v>804</v>
      </c>
    </row>
    <row r="1416" spans="9:9">
      <c r="I1416" s="157" t="s">
        <v>59</v>
      </c>
    </row>
    <row r="1417" spans="9:9">
      <c r="I1417" s="157">
        <v>0.9</v>
      </c>
    </row>
    <row r="1418" spans="9:9">
      <c r="I1418" s="157" t="s">
        <v>805</v>
      </c>
    </row>
    <row r="1419" spans="9:9">
      <c r="I1419" s="157" t="s">
        <v>452</v>
      </c>
    </row>
    <row r="1420" spans="9:9">
      <c r="I1420" s="157" t="s">
        <v>806</v>
      </c>
    </row>
    <row r="1421" spans="9:9">
      <c r="I1421" s="157" t="s">
        <v>67</v>
      </c>
    </row>
    <row r="1422" spans="9:9">
      <c r="I1422" s="157">
        <v>2.5</v>
      </c>
    </row>
    <row r="1423" spans="9:9">
      <c r="I1423" s="157" t="s">
        <v>452</v>
      </c>
    </row>
    <row r="1424" spans="9:9">
      <c r="I1424" s="157" t="s">
        <v>807</v>
      </c>
    </row>
    <row r="1425" spans="9:9">
      <c r="I1425" s="157" t="s">
        <v>67</v>
      </c>
    </row>
    <row r="1426" spans="9:9">
      <c r="I1426" s="157">
        <v>3.5</v>
      </c>
    </row>
    <row r="1427" spans="9:9">
      <c r="I1427" s="157" t="s">
        <v>808</v>
      </c>
    </row>
    <row r="1428" spans="9:9">
      <c r="I1428" s="157" t="s">
        <v>50</v>
      </c>
    </row>
    <row r="1429" spans="9:9">
      <c r="I1429" s="157">
        <v>4</v>
      </c>
    </row>
    <row r="1430" spans="9:9">
      <c r="I1430" s="157" t="s">
        <v>809</v>
      </c>
    </row>
    <row r="1431" spans="9:9">
      <c r="I1431" s="157" t="s">
        <v>452</v>
      </c>
    </row>
    <row r="1432" spans="9:9">
      <c r="I1432" s="157" t="s">
        <v>638</v>
      </c>
    </row>
    <row r="1433" spans="9:9">
      <c r="I1433" s="157" t="s">
        <v>67</v>
      </c>
    </row>
    <row r="1434" spans="9:9">
      <c r="I1434" s="157">
        <v>2.8</v>
      </c>
    </row>
    <row r="1435" spans="9:9">
      <c r="I1435" s="157" t="s">
        <v>810</v>
      </c>
    </row>
    <row r="1436" spans="9:9">
      <c r="I1436" s="157" t="s">
        <v>50</v>
      </c>
    </row>
    <row r="1437" spans="9:9">
      <c r="I1437" s="157">
        <v>2.5</v>
      </c>
    </row>
    <row r="1438" spans="9:9">
      <c r="I1438" s="157" t="s">
        <v>811</v>
      </c>
    </row>
    <row r="1439" spans="9:9">
      <c r="I1439" s="157" t="s">
        <v>59</v>
      </c>
    </row>
    <row r="1440" spans="9:9">
      <c r="I1440" s="157">
        <v>1</v>
      </c>
    </row>
    <row r="1441" spans="9:9">
      <c r="I1441" s="157" t="s">
        <v>812</v>
      </c>
    </row>
    <row r="1442" spans="9:9">
      <c r="I1442" s="157" t="s">
        <v>452</v>
      </c>
    </row>
    <row r="1443" spans="9:9">
      <c r="I1443" s="157" t="s">
        <v>568</v>
      </c>
    </row>
    <row r="1444" spans="9:9">
      <c r="I1444" s="157" t="s">
        <v>19</v>
      </c>
    </row>
    <row r="1445" spans="9:9">
      <c r="I1445" s="157">
        <v>2</v>
      </c>
    </row>
    <row r="1446" spans="9:9">
      <c r="I1446" s="157" t="s">
        <v>813</v>
      </c>
    </row>
    <row r="1447" spans="9:9">
      <c r="I1447" s="157" t="s">
        <v>740</v>
      </c>
    </row>
    <row r="1448" spans="9:9">
      <c r="I1448" s="157">
        <v>100</v>
      </c>
    </row>
    <row r="1449" spans="9:9">
      <c r="I1449" s="157" t="s">
        <v>814</v>
      </c>
    </row>
    <row r="1450" spans="9:9">
      <c r="I1450" s="157" t="s">
        <v>19</v>
      </c>
    </row>
    <row r="1451" spans="9:9">
      <c r="I1451" s="157">
        <v>30</v>
      </c>
    </row>
    <row r="1452" spans="9:9">
      <c r="I1452" s="157" t="s">
        <v>815</v>
      </c>
    </row>
    <row r="1453" spans="9:9">
      <c r="I1453" s="157" t="s">
        <v>19</v>
      </c>
    </row>
    <row r="1454" spans="9:9">
      <c r="I1454" s="157">
        <v>80</v>
      </c>
    </row>
    <row r="1455" spans="9:9">
      <c r="I1455" s="157" t="s">
        <v>816</v>
      </c>
    </row>
    <row r="1456" spans="9:9">
      <c r="I1456" s="157" t="s">
        <v>740</v>
      </c>
    </row>
    <row r="1457" spans="9:9">
      <c r="I1457" s="157">
        <v>180</v>
      </c>
    </row>
    <row r="1458" spans="9:9">
      <c r="I1458" s="157" t="s">
        <v>817</v>
      </c>
    </row>
    <row r="1459" spans="9:9">
      <c r="I1459" s="157" t="s">
        <v>452</v>
      </c>
    </row>
    <row r="1460" spans="9:9">
      <c r="I1460" s="157" t="s">
        <v>638</v>
      </c>
    </row>
    <row r="1461" spans="9:9">
      <c r="I1461" s="157" t="s">
        <v>67</v>
      </c>
    </row>
    <row r="1462" spans="9:9">
      <c r="I1462" s="157">
        <v>3</v>
      </c>
    </row>
    <row r="1463" spans="9:9">
      <c r="I1463" s="157" t="s">
        <v>452</v>
      </c>
    </row>
    <row r="1464" spans="9:9">
      <c r="I1464" s="157" t="s">
        <v>682</v>
      </c>
    </row>
    <row r="1465" spans="9:9">
      <c r="I1465" s="157" t="s">
        <v>67</v>
      </c>
    </row>
    <row r="1466" spans="9:9">
      <c r="I1466" s="157">
        <v>1</v>
      </c>
    </row>
    <row r="1467" spans="9:9">
      <c r="I1467" s="157" t="s">
        <v>818</v>
      </c>
    </row>
    <row r="1468" spans="9:9">
      <c r="I1468" s="157" t="s">
        <v>50</v>
      </c>
    </row>
    <row r="1469" spans="9:9">
      <c r="I1469" s="157">
        <v>3.1</v>
      </c>
    </row>
    <row r="1470" spans="9:9">
      <c r="I1470" s="157" t="s">
        <v>819</v>
      </c>
    </row>
    <row r="1471" spans="9:9">
      <c r="I1471" s="157" t="s">
        <v>19</v>
      </c>
    </row>
    <row r="1472" spans="9:9">
      <c r="I1472" s="157">
        <v>5</v>
      </c>
    </row>
    <row r="1473" spans="9:9">
      <c r="I1473" s="157" t="s">
        <v>820</v>
      </c>
    </row>
    <row r="1474" spans="9:9">
      <c r="I1474" s="157" t="s">
        <v>409</v>
      </c>
    </row>
    <row r="1475" spans="9:9">
      <c r="I1475" s="157" t="s">
        <v>821</v>
      </c>
    </row>
    <row r="1476" spans="9:9">
      <c r="I1476" s="157" t="s">
        <v>822</v>
      </c>
    </row>
    <row r="1477" spans="9:9">
      <c r="I1477" s="157" t="s">
        <v>85</v>
      </c>
    </row>
    <row r="1478" spans="9:9">
      <c r="I1478" s="157" t="s">
        <v>412</v>
      </c>
    </row>
    <row r="1479" spans="9:9">
      <c r="I1479" s="157" t="s">
        <v>413</v>
      </c>
    </row>
    <row r="1480" spans="9:9">
      <c r="I1480" s="157" t="s">
        <v>414</v>
      </c>
    </row>
    <row r="1481" spans="9:9">
      <c r="I1481" s="157" t="s">
        <v>823</v>
      </c>
    </row>
    <row r="1482" spans="9:9">
      <c r="I1482" s="157" t="s">
        <v>452</v>
      </c>
    </row>
    <row r="1483" spans="9:9">
      <c r="I1483" s="157" t="s">
        <v>824</v>
      </c>
    </row>
    <row r="1484" spans="9:9">
      <c r="I1484" s="157" t="s">
        <v>67</v>
      </c>
    </row>
    <row r="1485" spans="9:9">
      <c r="I1485" s="157">
        <v>1.2</v>
      </c>
    </row>
    <row r="1486" spans="9:9">
      <c r="I1486" s="157" t="s">
        <v>452</v>
      </c>
    </row>
    <row r="1487" spans="9:9">
      <c r="I1487" s="157" t="s">
        <v>825</v>
      </c>
    </row>
    <row r="1488" spans="9:9">
      <c r="I1488" s="157" t="s">
        <v>67</v>
      </c>
    </row>
    <row r="1489" spans="9:9">
      <c r="I1489" s="157">
        <v>1.2</v>
      </c>
    </row>
    <row r="1490" spans="9:9">
      <c r="I1490" s="157" t="s">
        <v>452</v>
      </c>
    </row>
    <row r="1491" spans="9:9">
      <c r="I1491" s="157" t="s">
        <v>826</v>
      </c>
    </row>
    <row r="1492" spans="9:9">
      <c r="I1492" s="157" t="s">
        <v>67</v>
      </c>
    </row>
    <row r="1493" spans="9:9">
      <c r="I1493" s="157">
        <v>1.3</v>
      </c>
    </row>
    <row r="1494" spans="9:9">
      <c r="I1494" s="157" t="s">
        <v>452</v>
      </c>
    </row>
    <row r="1495" spans="9:9">
      <c r="I1495" s="157" t="s">
        <v>827</v>
      </c>
    </row>
    <row r="1496" spans="9:9">
      <c r="I1496" s="157" t="s">
        <v>67</v>
      </c>
    </row>
    <row r="1497" spans="9:9">
      <c r="I1497" s="157">
        <v>1.4</v>
      </c>
    </row>
    <row r="1498" spans="9:9">
      <c r="I1498" s="157" t="s">
        <v>452</v>
      </c>
    </row>
    <row r="1499" spans="9:9">
      <c r="I1499" s="157" t="s">
        <v>828</v>
      </c>
    </row>
    <row r="1500" spans="9:9">
      <c r="I1500" s="157" t="s">
        <v>67</v>
      </c>
    </row>
    <row r="1501" spans="9:9">
      <c r="I1501" s="157">
        <v>1.4</v>
      </c>
    </row>
    <row r="1502" spans="9:9">
      <c r="I1502" s="157" t="s">
        <v>829</v>
      </c>
    </row>
    <row r="1503" spans="9:9">
      <c r="I1503" s="157" t="s">
        <v>452</v>
      </c>
    </row>
    <row r="1504" spans="9:9">
      <c r="I1504" s="157" t="s">
        <v>830</v>
      </c>
    </row>
    <row r="1505" spans="9:9">
      <c r="I1505" s="157" t="s">
        <v>67</v>
      </c>
    </row>
    <row r="1506" spans="9:9">
      <c r="I1506" s="157">
        <v>1.3</v>
      </c>
    </row>
    <row r="1507" spans="9:9">
      <c r="I1507" s="157" t="s">
        <v>452</v>
      </c>
    </row>
    <row r="1508" spans="9:9">
      <c r="I1508" s="157" t="s">
        <v>824</v>
      </c>
    </row>
    <row r="1509" spans="9:9">
      <c r="I1509" s="157" t="s">
        <v>67</v>
      </c>
    </row>
    <row r="1510" spans="9:9">
      <c r="I1510" s="157">
        <v>1.3</v>
      </c>
    </row>
    <row r="1511" spans="9:9">
      <c r="I1511" s="157" t="s">
        <v>452</v>
      </c>
    </row>
    <row r="1512" spans="9:9">
      <c r="I1512" s="157" t="s">
        <v>825</v>
      </c>
    </row>
    <row r="1513" spans="9:9">
      <c r="I1513" s="157" t="s">
        <v>67</v>
      </c>
    </row>
    <row r="1514" spans="9:9">
      <c r="I1514" s="157">
        <v>1.3</v>
      </c>
    </row>
    <row r="1515" spans="9:9">
      <c r="I1515" s="157" t="s">
        <v>452</v>
      </c>
    </row>
    <row r="1516" spans="9:9">
      <c r="I1516" s="157" t="s">
        <v>826</v>
      </c>
    </row>
    <row r="1517" spans="9:9">
      <c r="I1517" s="157" t="s">
        <v>67</v>
      </c>
    </row>
    <row r="1518" spans="9:9">
      <c r="I1518" s="157">
        <v>1.4</v>
      </c>
    </row>
    <row r="1519" spans="9:9">
      <c r="I1519" s="157" t="s">
        <v>452</v>
      </c>
    </row>
    <row r="1520" spans="9:9">
      <c r="I1520" s="157" t="s">
        <v>827</v>
      </c>
    </row>
    <row r="1521" spans="9:9">
      <c r="I1521" s="157" t="s">
        <v>67</v>
      </c>
    </row>
    <row r="1522" spans="9:9">
      <c r="I1522" s="157">
        <v>1.5</v>
      </c>
    </row>
    <row r="1523" spans="9:9">
      <c r="I1523" s="157" t="s">
        <v>831</v>
      </c>
    </row>
    <row r="1524" spans="9:9">
      <c r="I1524" s="157" t="s">
        <v>452</v>
      </c>
    </row>
    <row r="1525" spans="9:9">
      <c r="I1525" s="157" t="s">
        <v>830</v>
      </c>
    </row>
    <row r="1526" spans="9:9">
      <c r="I1526" s="157" t="s">
        <v>67</v>
      </c>
    </row>
    <row r="1527" spans="9:9">
      <c r="I1527" s="157">
        <v>1.2</v>
      </c>
    </row>
    <row r="1528" spans="9:9">
      <c r="I1528" s="157" t="s">
        <v>452</v>
      </c>
    </row>
    <row r="1529" spans="9:9">
      <c r="I1529" s="157" t="s">
        <v>832</v>
      </c>
    </row>
    <row r="1530" spans="9:9">
      <c r="I1530" s="157" t="s">
        <v>67</v>
      </c>
    </row>
    <row r="1531" spans="9:9">
      <c r="I1531" s="157">
        <v>1.2</v>
      </c>
    </row>
    <row r="1532" spans="9:9">
      <c r="I1532" s="157" t="s">
        <v>452</v>
      </c>
    </row>
    <row r="1533" spans="9:9">
      <c r="I1533" s="157" t="s">
        <v>825</v>
      </c>
    </row>
    <row r="1534" spans="9:9">
      <c r="I1534" s="157" t="s">
        <v>67</v>
      </c>
    </row>
    <row r="1535" spans="9:9">
      <c r="I1535" s="157">
        <v>1.2</v>
      </c>
    </row>
    <row r="1536" spans="9:9">
      <c r="I1536" s="157" t="s">
        <v>452</v>
      </c>
    </row>
    <row r="1537" spans="9:9">
      <c r="I1537" s="157" t="s">
        <v>826</v>
      </c>
    </row>
    <row r="1538" spans="9:9">
      <c r="I1538" s="157" t="s">
        <v>67</v>
      </c>
    </row>
    <row r="1539" spans="9:9">
      <c r="I1539" s="157">
        <v>1.3</v>
      </c>
    </row>
    <row r="1540" spans="9:9">
      <c r="I1540" s="157" t="s">
        <v>452</v>
      </c>
    </row>
    <row r="1541" spans="9:9">
      <c r="I1541" s="157" t="s">
        <v>827</v>
      </c>
    </row>
    <row r="1542" spans="9:9">
      <c r="I1542" s="157" t="s">
        <v>67</v>
      </c>
    </row>
    <row r="1543" spans="9:9">
      <c r="I1543" s="157">
        <v>1.3</v>
      </c>
    </row>
    <row r="1544" spans="9:9">
      <c r="I1544" s="157" t="s">
        <v>452</v>
      </c>
    </row>
    <row r="1545" spans="9:9">
      <c r="I1545" s="157" t="s">
        <v>833</v>
      </c>
    </row>
    <row r="1546" spans="9:9">
      <c r="I1546" s="157" t="s">
        <v>67</v>
      </c>
    </row>
    <row r="1547" spans="9:9">
      <c r="I1547" s="157">
        <v>1.3</v>
      </c>
    </row>
    <row r="1548" spans="9:9">
      <c r="I1548" s="157" t="s">
        <v>834</v>
      </c>
    </row>
    <row r="1549" spans="9:9">
      <c r="I1549" s="157" t="s">
        <v>452</v>
      </c>
    </row>
    <row r="1550" spans="9:9">
      <c r="I1550" s="157" t="s">
        <v>835</v>
      </c>
    </row>
    <row r="1551" spans="9:9">
      <c r="I1551" s="157" t="s">
        <v>67</v>
      </c>
    </row>
    <row r="1552" spans="9:9">
      <c r="I1552" s="157">
        <v>2.5</v>
      </c>
    </row>
    <row r="1553" spans="9:9">
      <c r="I1553" s="157" t="s">
        <v>452</v>
      </c>
    </row>
    <row r="1554" spans="9:9">
      <c r="I1554" s="157" t="s">
        <v>836</v>
      </c>
    </row>
    <row r="1555" spans="9:9">
      <c r="I1555" s="157" t="s">
        <v>67</v>
      </c>
    </row>
    <row r="1556" spans="9:9">
      <c r="I1556" s="157">
        <v>4.5</v>
      </c>
    </row>
    <row r="1557" spans="9:9">
      <c r="I1557" s="157" t="s">
        <v>837</v>
      </c>
    </row>
    <row r="1558" spans="9:9">
      <c r="I1558" s="157" t="s">
        <v>452</v>
      </c>
    </row>
    <row r="1559" spans="9:9">
      <c r="I1559" s="157" t="s">
        <v>838</v>
      </c>
    </row>
    <row r="1560" spans="9:9">
      <c r="I1560" s="157" t="s">
        <v>67</v>
      </c>
    </row>
    <row r="1561" spans="9:9">
      <c r="I1561" s="157">
        <v>0.15</v>
      </c>
    </row>
    <row r="1562" spans="9:9">
      <c r="I1562" s="157" t="s">
        <v>452</v>
      </c>
    </row>
    <row r="1563" spans="9:9">
      <c r="I1563" s="157" t="s">
        <v>839</v>
      </c>
    </row>
    <row r="1564" spans="9:9">
      <c r="I1564" s="157" t="s">
        <v>67</v>
      </c>
    </row>
    <row r="1565" spans="9:9">
      <c r="I1565" s="157">
        <v>0.65</v>
      </c>
    </row>
    <row r="1566" spans="9:9">
      <c r="I1566" s="157" t="s">
        <v>840</v>
      </c>
    </row>
    <row r="1567" spans="9:9">
      <c r="I1567" s="157" t="s">
        <v>452</v>
      </c>
    </row>
    <row r="1568" spans="9:9">
      <c r="I1568" s="157" t="s">
        <v>841</v>
      </c>
    </row>
    <row r="1569" spans="9:9">
      <c r="I1569" s="157" t="s">
        <v>67</v>
      </c>
    </row>
    <row r="1570" spans="9:9">
      <c r="I1570" s="157">
        <v>4</v>
      </c>
    </row>
    <row r="1571" spans="9:9">
      <c r="I1571" s="157" t="s">
        <v>842</v>
      </c>
    </row>
    <row r="1572" spans="9:9">
      <c r="I1572" s="157" t="s">
        <v>452</v>
      </c>
    </row>
    <row r="1573" spans="9:9">
      <c r="I1573" s="157" t="s">
        <v>843</v>
      </c>
    </row>
    <row r="1574" spans="9:9">
      <c r="I1574" s="157" t="s">
        <v>67</v>
      </c>
    </row>
    <row r="1575" spans="9:9">
      <c r="I1575" s="157">
        <v>1</v>
      </c>
    </row>
    <row r="1576" spans="9:9">
      <c r="I1576" s="157" t="s">
        <v>844</v>
      </c>
    </row>
    <row r="1577" spans="9:9">
      <c r="I1577" s="157" t="s">
        <v>452</v>
      </c>
    </row>
    <row r="1578" spans="9:9">
      <c r="I1578" s="157" t="s">
        <v>845</v>
      </c>
    </row>
    <row r="1579" spans="9:9">
      <c r="I1579" s="157" t="s">
        <v>59</v>
      </c>
    </row>
    <row r="1580" spans="9:9">
      <c r="I1580" s="157">
        <v>1.25</v>
      </c>
    </row>
    <row r="1581" spans="9:9">
      <c r="I1581" s="157" t="s">
        <v>846</v>
      </c>
    </row>
    <row r="1582" spans="9:9">
      <c r="I1582" s="157" t="s">
        <v>452</v>
      </c>
    </row>
    <row r="1583" spans="9:9">
      <c r="I1583" s="157" t="s">
        <v>847</v>
      </c>
    </row>
    <row r="1584" spans="9:9">
      <c r="I1584" s="157" t="s">
        <v>59</v>
      </c>
    </row>
    <row r="1585" spans="9:9">
      <c r="I1585" s="157">
        <v>0.31</v>
      </c>
    </row>
    <row r="1586" spans="9:9">
      <c r="I1586" s="157" t="s">
        <v>848</v>
      </c>
    </row>
    <row r="1587" spans="9:9">
      <c r="I1587" s="157" t="s">
        <v>452</v>
      </c>
    </row>
    <row r="1588" spans="9:9">
      <c r="I1588" s="157" t="s">
        <v>849</v>
      </c>
    </row>
    <row r="1589" spans="9:9">
      <c r="I1589" s="157" t="s">
        <v>59</v>
      </c>
    </row>
    <row r="1590" spans="9:9">
      <c r="I1590" s="157">
        <v>0.45</v>
      </c>
    </row>
    <row r="1591" spans="9:9">
      <c r="I1591" s="157" t="s">
        <v>452</v>
      </c>
    </row>
    <row r="1592" spans="9:9">
      <c r="I1592" s="157" t="s">
        <v>850</v>
      </c>
    </row>
    <row r="1593" spans="9:9">
      <c r="I1593" s="157" t="s">
        <v>59</v>
      </c>
    </row>
    <row r="1594" spans="9:9">
      <c r="I1594" s="157">
        <v>1.01</v>
      </c>
    </row>
    <row r="1595" spans="9:9">
      <c r="I1595" s="157" t="s">
        <v>851</v>
      </c>
    </row>
    <row r="1596" spans="9:9">
      <c r="I1596" s="157" t="s">
        <v>452</v>
      </c>
    </row>
    <row r="1597" spans="9:9">
      <c r="I1597" s="157" t="s">
        <v>852</v>
      </c>
    </row>
    <row r="1598" spans="9:9">
      <c r="I1598" s="157" t="s">
        <v>59</v>
      </c>
    </row>
    <row r="1599" spans="9:9">
      <c r="I1599" s="157">
        <v>0.45</v>
      </c>
    </row>
    <row r="1600" spans="9:9">
      <c r="I1600" s="157" t="s">
        <v>853</v>
      </c>
    </row>
    <row r="1601" spans="9:9">
      <c r="I1601" s="157" t="s">
        <v>452</v>
      </c>
    </row>
    <row r="1602" spans="9:9">
      <c r="I1602" s="157" t="s">
        <v>854</v>
      </c>
    </row>
    <row r="1603" spans="9:9">
      <c r="I1603" s="157" t="s">
        <v>59</v>
      </c>
    </row>
    <row r="1604" spans="9:9">
      <c r="I1604" s="157">
        <v>0.35</v>
      </c>
    </row>
    <row r="1605" spans="9:9">
      <c r="I1605" s="157" t="s">
        <v>855</v>
      </c>
    </row>
    <row r="1606" spans="9:9">
      <c r="I1606" s="157" t="s">
        <v>409</v>
      </c>
    </row>
    <row r="1607" spans="9:9">
      <c r="I1607" s="157" t="s">
        <v>856</v>
      </c>
    </row>
    <row r="1608" spans="9:9">
      <c r="I1608" s="157" t="s">
        <v>857</v>
      </c>
    </row>
    <row r="1609" spans="9:9">
      <c r="I1609" s="157" t="s">
        <v>85</v>
      </c>
    </row>
    <row r="1610" spans="9:9">
      <c r="I1610" s="157" t="s">
        <v>412</v>
      </c>
    </row>
    <row r="1611" spans="9:9">
      <c r="I1611" s="157" t="s">
        <v>413</v>
      </c>
    </row>
    <row r="1612" spans="9:9">
      <c r="I1612" s="157" t="s">
        <v>414</v>
      </c>
    </row>
    <row r="1613" spans="9:9">
      <c r="I1613" s="157" t="s">
        <v>858</v>
      </c>
    </row>
    <row r="1614" spans="9:9">
      <c r="I1614" s="157" t="s">
        <v>67</v>
      </c>
    </row>
    <row r="1615" spans="9:9">
      <c r="I1615" s="157">
        <v>1.8</v>
      </c>
    </row>
    <row r="1616" spans="9:9">
      <c r="I1616" s="157" t="s">
        <v>859</v>
      </c>
    </row>
    <row r="1617" spans="9:9">
      <c r="I1617" s="157" t="s">
        <v>452</v>
      </c>
    </row>
    <row r="1618" spans="9:9">
      <c r="I1618" s="157" t="s">
        <v>860</v>
      </c>
    </row>
    <row r="1619" spans="9:9">
      <c r="I1619" s="157" t="s">
        <v>67</v>
      </c>
    </row>
    <row r="1620" spans="9:9">
      <c r="I1620" s="157">
        <v>1.25</v>
      </c>
    </row>
    <row r="1621" spans="9:9">
      <c r="I1621" s="157" t="s">
        <v>452</v>
      </c>
    </row>
    <row r="1622" spans="9:9">
      <c r="I1622" s="157" t="s">
        <v>861</v>
      </c>
    </row>
    <row r="1623" spans="9:9">
      <c r="I1623" s="157" t="s">
        <v>67</v>
      </c>
    </row>
    <row r="1624" spans="9:9">
      <c r="I1624" s="157">
        <v>1.35</v>
      </c>
    </row>
    <row r="1625" spans="9:9">
      <c r="I1625" s="157" t="s">
        <v>452</v>
      </c>
    </row>
    <row r="1626" spans="9:9">
      <c r="I1626" s="157" t="s">
        <v>862</v>
      </c>
    </row>
    <row r="1627" spans="9:9">
      <c r="I1627" s="157" t="s">
        <v>67</v>
      </c>
    </row>
    <row r="1628" spans="9:9">
      <c r="I1628" s="157">
        <v>1.45</v>
      </c>
    </row>
    <row r="1629" spans="9:9">
      <c r="I1629" s="157" t="s">
        <v>863</v>
      </c>
    </row>
    <row r="1630" spans="9:9">
      <c r="I1630" s="157" t="s">
        <v>452</v>
      </c>
    </row>
    <row r="1631" spans="9:9">
      <c r="I1631" s="157" t="s">
        <v>864</v>
      </c>
    </row>
    <row r="1632" spans="9:9">
      <c r="I1632" s="157" t="s">
        <v>67</v>
      </c>
    </row>
    <row r="1633" spans="9:9">
      <c r="I1633" s="157">
        <v>1</v>
      </c>
    </row>
    <row r="1634" spans="9:9">
      <c r="I1634" s="157" t="s">
        <v>452</v>
      </c>
    </row>
    <row r="1635" spans="9:9">
      <c r="I1635" s="157" t="s">
        <v>865</v>
      </c>
    </row>
    <row r="1636" spans="9:9">
      <c r="I1636" s="157" t="s">
        <v>67</v>
      </c>
    </row>
    <row r="1637" spans="9:9">
      <c r="I1637" s="157">
        <v>1.1000000000000001</v>
      </c>
    </row>
    <row r="1638" spans="9:9">
      <c r="I1638" s="157" t="s">
        <v>452</v>
      </c>
    </row>
    <row r="1639" spans="9:9">
      <c r="I1639" s="157" t="s">
        <v>866</v>
      </c>
    </row>
    <row r="1640" spans="9:9">
      <c r="I1640" s="157" t="s">
        <v>67</v>
      </c>
    </row>
    <row r="1641" spans="9:9">
      <c r="I1641" s="157">
        <v>1.1000000000000001</v>
      </c>
    </row>
    <row r="1642" spans="9:9">
      <c r="I1642" s="157" t="s">
        <v>452</v>
      </c>
    </row>
    <row r="1643" spans="9:9">
      <c r="I1643" s="157" t="s">
        <v>867</v>
      </c>
    </row>
    <row r="1644" spans="9:9">
      <c r="I1644" s="157" t="s">
        <v>67</v>
      </c>
    </row>
    <row r="1645" spans="9:9">
      <c r="I1645" s="157">
        <v>1.2</v>
      </c>
    </row>
    <row r="1646" spans="9:9">
      <c r="I1646" s="157" t="s">
        <v>452</v>
      </c>
    </row>
    <row r="1647" spans="9:9">
      <c r="I1647" s="157" t="s">
        <v>868</v>
      </c>
    </row>
    <row r="1648" spans="9:9">
      <c r="I1648" s="157" t="s">
        <v>67</v>
      </c>
    </row>
    <row r="1649" spans="9:9">
      <c r="I1649" s="157">
        <v>2</v>
      </c>
    </row>
    <row r="1650" spans="9:9">
      <c r="I1650" s="157" t="s">
        <v>452</v>
      </c>
    </row>
    <row r="1651" spans="9:9">
      <c r="I1651" s="157" t="s">
        <v>869</v>
      </c>
    </row>
    <row r="1652" spans="9:9">
      <c r="I1652" s="157" t="s">
        <v>59</v>
      </c>
    </row>
    <row r="1653" spans="9:9">
      <c r="I1653" s="157">
        <v>0.35</v>
      </c>
    </row>
    <row r="1654" spans="9:9">
      <c r="I1654" s="157" t="s">
        <v>870</v>
      </c>
    </row>
    <row r="1655" spans="9:9">
      <c r="I1655" s="157" t="s">
        <v>452</v>
      </c>
    </row>
    <row r="1656" spans="9:9">
      <c r="I1656" s="157" t="s">
        <v>871</v>
      </c>
    </row>
    <row r="1657" spans="9:9">
      <c r="I1657" s="157" t="s">
        <v>67</v>
      </c>
    </row>
    <row r="1658" spans="9:9">
      <c r="I1658" s="157">
        <v>1.25</v>
      </c>
    </row>
    <row r="1659" spans="9:9">
      <c r="I1659" s="157" t="s">
        <v>452</v>
      </c>
    </row>
    <row r="1660" spans="9:9">
      <c r="I1660" s="157" t="s">
        <v>872</v>
      </c>
    </row>
    <row r="1661" spans="9:9">
      <c r="I1661" s="157" t="s">
        <v>67</v>
      </c>
    </row>
    <row r="1662" spans="9:9">
      <c r="I1662" s="157">
        <v>1.6</v>
      </c>
    </row>
    <row r="1663" spans="9:9">
      <c r="I1663" s="157" t="s">
        <v>452</v>
      </c>
    </row>
    <row r="1664" spans="9:9">
      <c r="I1664" s="157" t="s">
        <v>873</v>
      </c>
    </row>
    <row r="1665" spans="9:9">
      <c r="I1665" s="157" t="s">
        <v>67</v>
      </c>
    </row>
    <row r="1666" spans="9:9">
      <c r="I1666" s="157">
        <v>1.35</v>
      </c>
    </row>
    <row r="1667" spans="9:9">
      <c r="I1667" s="157" t="s">
        <v>874</v>
      </c>
    </row>
    <row r="1668" spans="9:9">
      <c r="I1668" s="157" t="s">
        <v>19</v>
      </c>
    </row>
    <row r="1669" spans="9:9">
      <c r="I1669" s="157">
        <v>0.8</v>
      </c>
    </row>
    <row r="1670" spans="9:9">
      <c r="I1670" s="157" t="s">
        <v>875</v>
      </c>
    </row>
    <row r="1671" spans="9:9">
      <c r="I1671" s="157" t="s">
        <v>59</v>
      </c>
    </row>
    <row r="1672" spans="9:9">
      <c r="I1672" s="157">
        <v>1.5</v>
      </c>
    </row>
    <row r="1673" spans="9:9">
      <c r="I1673" s="157" t="s">
        <v>876</v>
      </c>
    </row>
    <row r="1674" spans="9:9">
      <c r="I1674" s="157" t="s">
        <v>877</v>
      </c>
    </row>
    <row r="1675" spans="9:9">
      <c r="I1675" s="157" t="s">
        <v>85</v>
      </c>
    </row>
    <row r="1676" spans="9:9">
      <c r="I1676" s="157" t="s">
        <v>412</v>
      </c>
    </row>
    <row r="1677" spans="9:9">
      <c r="I1677" s="157" t="s">
        <v>413</v>
      </c>
    </row>
    <row r="1678" spans="9:9">
      <c r="I1678" s="157" t="s">
        <v>414</v>
      </c>
    </row>
    <row r="1679" spans="9:9">
      <c r="I1679" s="157" t="s">
        <v>878</v>
      </c>
    </row>
    <row r="1680" spans="9:9">
      <c r="I1680" s="157" t="s">
        <v>59</v>
      </c>
    </row>
    <row r="1681" spans="9:9">
      <c r="I1681" s="157">
        <v>0.3</v>
      </c>
    </row>
    <row r="1682" spans="9:9">
      <c r="I1682" s="157" t="s">
        <v>879</v>
      </c>
    </row>
    <row r="1683" spans="9:9">
      <c r="I1683" s="157" t="s">
        <v>59</v>
      </c>
    </row>
    <row r="1684" spans="9:9">
      <c r="I1684" s="157">
        <v>0.5</v>
      </c>
    </row>
    <row r="1685" spans="9:9">
      <c r="I1685" s="157" t="s">
        <v>880</v>
      </c>
    </row>
    <row r="1686" spans="9:9">
      <c r="I1686" s="157" t="s">
        <v>59</v>
      </c>
    </row>
    <row r="1687" spans="9:9">
      <c r="I1687" s="157">
        <v>0.2</v>
      </c>
    </row>
    <row r="1688" spans="9:9">
      <c r="I1688" s="157" t="s">
        <v>881</v>
      </c>
    </row>
    <row r="1689" spans="9:9">
      <c r="I1689" s="157" t="s">
        <v>19</v>
      </c>
    </row>
    <row r="1690" spans="9:9">
      <c r="I1690" s="157">
        <v>0.5</v>
      </c>
    </row>
    <row r="1691" spans="9:9">
      <c r="I1691" s="157" t="s">
        <v>882</v>
      </c>
    </row>
    <row r="1692" spans="9:9">
      <c r="I1692" s="157" t="s">
        <v>452</v>
      </c>
    </row>
    <row r="1693" spans="9:9">
      <c r="I1693" s="157" t="s">
        <v>883</v>
      </c>
    </row>
    <row r="1694" spans="9:9">
      <c r="I1694" s="157" t="s">
        <v>19</v>
      </c>
    </row>
    <row r="1695" spans="9:9">
      <c r="I1695" s="157">
        <v>4</v>
      </c>
    </row>
    <row r="1696" spans="9:9">
      <c r="I1696" s="157" t="s">
        <v>452</v>
      </c>
    </row>
    <row r="1697" spans="9:9">
      <c r="I1697" s="157" t="s">
        <v>884</v>
      </c>
    </row>
    <row r="1698" spans="9:9">
      <c r="I1698" s="157" t="s">
        <v>67</v>
      </c>
    </row>
    <row r="1699" spans="9:9">
      <c r="I1699" s="157">
        <v>0.3</v>
      </c>
    </row>
    <row r="1700" spans="9:9">
      <c r="I1700" s="157" t="s">
        <v>885</v>
      </c>
    </row>
    <row r="1701" spans="9:9">
      <c r="I1701" s="157" t="s">
        <v>409</v>
      </c>
    </row>
    <row r="1702" spans="9:9">
      <c r="I1702" s="157" t="s">
        <v>886</v>
      </c>
    </row>
    <row r="1703" spans="9:9">
      <c r="I1703" s="157" t="s">
        <v>887</v>
      </c>
    </row>
    <row r="1704" spans="9:9">
      <c r="I1704" s="157" t="s">
        <v>85</v>
      </c>
    </row>
    <row r="1705" spans="9:9">
      <c r="I1705" s="157" t="s">
        <v>412</v>
      </c>
    </row>
    <row r="1706" spans="9:9">
      <c r="I1706" s="157" t="s">
        <v>413</v>
      </c>
    </row>
    <row r="1707" spans="9:9">
      <c r="I1707" s="157" t="s">
        <v>414</v>
      </c>
    </row>
    <row r="1708" spans="9:9">
      <c r="I1708" s="157" t="s">
        <v>888</v>
      </c>
    </row>
    <row r="1709" spans="9:9">
      <c r="I1709" s="157" t="s">
        <v>420</v>
      </c>
    </row>
    <row r="1710" spans="9:9">
      <c r="I1710" s="157" t="s">
        <v>67</v>
      </c>
    </row>
    <row r="1711" spans="9:9">
      <c r="I1711" s="157">
        <v>0.4</v>
      </c>
    </row>
    <row r="1712" spans="9:9">
      <c r="I1712" s="157" t="s">
        <v>421</v>
      </c>
    </row>
    <row r="1713" spans="9:9">
      <c r="I1713" s="157" t="s">
        <v>19</v>
      </c>
    </row>
    <row r="1714" spans="9:9">
      <c r="I1714" s="157">
        <v>0.4</v>
      </c>
    </row>
    <row r="1715" spans="9:9">
      <c r="I1715" s="157" t="s">
        <v>422</v>
      </c>
    </row>
    <row r="1716" spans="9:9">
      <c r="I1716" s="157" t="s">
        <v>67</v>
      </c>
    </row>
    <row r="1717" spans="9:9">
      <c r="I1717" s="157">
        <v>0.3</v>
      </c>
    </row>
    <row r="1718" spans="9:9">
      <c r="I1718" s="157" t="s">
        <v>423</v>
      </c>
    </row>
    <row r="1719" spans="9:9">
      <c r="I1719" s="157" t="s">
        <v>67</v>
      </c>
    </row>
    <row r="1720" spans="9:9">
      <c r="I1720" s="157">
        <v>0.5</v>
      </c>
    </row>
    <row r="1721" spans="9:9">
      <c r="I1721" s="157" t="s">
        <v>424</v>
      </c>
    </row>
    <row r="1722" spans="9:9">
      <c r="I1722" s="157" t="s">
        <v>59</v>
      </c>
    </row>
    <row r="1723" spans="9:9">
      <c r="I1723" s="157">
        <v>1</v>
      </c>
    </row>
    <row r="1724" spans="9:9">
      <c r="I1724" s="157" t="s">
        <v>425</v>
      </c>
    </row>
    <row r="1725" spans="9:9">
      <c r="I1725" s="157" t="s">
        <v>889</v>
      </c>
    </row>
    <row r="1726" spans="9:9">
      <c r="I1726" s="157" t="s">
        <v>19</v>
      </c>
    </row>
    <row r="1727" spans="9:9">
      <c r="I1727" s="157">
        <v>10</v>
      </c>
    </row>
    <row r="1728" spans="9:9">
      <c r="I1728" s="157" t="s">
        <v>890</v>
      </c>
    </row>
    <row r="1729" spans="9:9">
      <c r="I1729" s="157" t="s">
        <v>19</v>
      </c>
    </row>
    <row r="1730" spans="9:9">
      <c r="I1730" s="157">
        <v>5</v>
      </c>
    </row>
    <row r="1731" spans="9:9">
      <c r="I1731" s="157" t="s">
        <v>427</v>
      </c>
    </row>
    <row r="1732" spans="9:9">
      <c r="I1732" s="157" t="s">
        <v>19</v>
      </c>
    </row>
    <row r="1733" spans="9:9">
      <c r="I1733" s="157">
        <v>15</v>
      </c>
    </row>
    <row r="1734" spans="9:9">
      <c r="I1734" s="157" t="s">
        <v>429</v>
      </c>
    </row>
    <row r="1735" spans="9:9">
      <c r="I1735" s="157" t="s">
        <v>19</v>
      </c>
    </row>
    <row r="1736" spans="9:9">
      <c r="I1736" s="157">
        <v>0.5</v>
      </c>
    </row>
    <row r="1737" spans="9:9">
      <c r="I1737" s="157" t="s">
        <v>67</v>
      </c>
    </row>
    <row r="1738" spans="9:9">
      <c r="I1738" s="157">
        <v>0.05</v>
      </c>
    </row>
    <row r="1739" spans="9:9">
      <c r="I1739" s="157" t="s">
        <v>430</v>
      </c>
    </row>
    <row r="1740" spans="9:9">
      <c r="I1740" s="157" t="s">
        <v>19</v>
      </c>
    </row>
    <row r="1741" spans="9:9">
      <c r="I1741" s="157">
        <v>5</v>
      </c>
    </row>
    <row r="1742" spans="9:9">
      <c r="I1742" s="157" t="s">
        <v>431</v>
      </c>
    </row>
    <row r="1743" spans="9:9">
      <c r="I1743" s="157" t="s">
        <v>19</v>
      </c>
    </row>
    <row r="1744" spans="9:9">
      <c r="I1744" s="157">
        <v>3</v>
      </c>
    </row>
    <row r="1745" spans="9:9">
      <c r="I1745" s="157" t="s">
        <v>432</v>
      </c>
    </row>
    <row r="1746" spans="9:9">
      <c r="I1746" s="157" t="s">
        <v>19</v>
      </c>
    </row>
    <row r="1747" spans="9:9">
      <c r="I1747" s="157">
        <v>10</v>
      </c>
    </row>
    <row r="1748" spans="9:9">
      <c r="I1748" s="157" t="s">
        <v>891</v>
      </c>
    </row>
    <row r="1749" spans="9:9">
      <c r="I1749" s="157" t="s">
        <v>19</v>
      </c>
    </row>
    <row r="1750" spans="9:9">
      <c r="I1750" s="157">
        <v>1.25</v>
      </c>
    </row>
    <row r="1751" spans="9:9">
      <c r="I1751" s="157" t="s">
        <v>435</v>
      </c>
    </row>
    <row r="1752" spans="9:9">
      <c r="I1752" s="157" t="s">
        <v>436</v>
      </c>
    </row>
    <row r="1753" spans="9:9">
      <c r="I1753" s="157" t="s">
        <v>59</v>
      </c>
    </row>
    <row r="1754" spans="9:9">
      <c r="I1754" s="157">
        <v>0.15</v>
      </c>
    </row>
    <row r="1755" spans="9:9">
      <c r="I1755" s="157" t="s">
        <v>892</v>
      </c>
    </row>
    <row r="1756" spans="9:9">
      <c r="I1756" s="157" t="s">
        <v>438</v>
      </c>
    </row>
    <row r="1757" spans="9:9">
      <c r="I1757" s="157">
        <v>0.2</v>
      </c>
    </row>
    <row r="1758" spans="9:9">
      <c r="I1758" s="157" t="s">
        <v>439</v>
      </c>
    </row>
    <row r="1759" spans="9:9">
      <c r="I1759" s="157" t="s">
        <v>19</v>
      </c>
    </row>
    <row r="1760" spans="9:9">
      <c r="I1760" s="157">
        <v>4</v>
      </c>
    </row>
    <row r="1761" spans="9:9">
      <c r="I1761" s="157" t="s">
        <v>440</v>
      </c>
    </row>
    <row r="1762" spans="9:9">
      <c r="I1762" s="157" t="s">
        <v>59</v>
      </c>
    </row>
    <row r="1763" spans="9:9">
      <c r="I1763" s="157">
        <v>0.25</v>
      </c>
    </row>
    <row r="1764" spans="9:9">
      <c r="I1764" s="157" t="s">
        <v>441</v>
      </c>
    </row>
    <row r="1765" spans="9:9">
      <c r="I1765" s="157" t="s">
        <v>19</v>
      </c>
    </row>
    <row r="1766" spans="9:9">
      <c r="I1766" s="157">
        <v>8</v>
      </c>
    </row>
    <row r="1767" spans="9:9">
      <c r="I1767" s="157" t="s">
        <v>442</v>
      </c>
    </row>
    <row r="1768" spans="9:9">
      <c r="I1768" s="157" t="s">
        <v>19</v>
      </c>
    </row>
    <row r="1769" spans="9:9">
      <c r="I1769" s="157">
        <v>4</v>
      </c>
    </row>
    <row r="1770" spans="9:9">
      <c r="I1770" s="157" t="s">
        <v>443</v>
      </c>
    </row>
    <row r="1771" spans="9:9">
      <c r="I1771" s="157" t="s">
        <v>444</v>
      </c>
    </row>
    <row r="1772" spans="9:9">
      <c r="I1772" s="157" t="s">
        <v>19</v>
      </c>
    </row>
    <row r="1773" spans="9:9">
      <c r="I1773" s="157">
        <v>5</v>
      </c>
    </row>
    <row r="1774" spans="9:9">
      <c r="I1774" s="157" t="s">
        <v>445</v>
      </c>
    </row>
    <row r="1775" spans="9:9">
      <c r="I1775" s="157" t="s">
        <v>19</v>
      </c>
    </row>
    <row r="1776" spans="9:9">
      <c r="I1776" s="157">
        <v>1</v>
      </c>
    </row>
    <row r="1777" spans="9:9">
      <c r="I1777" s="157" t="s">
        <v>893</v>
      </c>
    </row>
    <row r="1778" spans="9:9">
      <c r="I1778" s="157" t="s">
        <v>19</v>
      </c>
    </row>
    <row r="1779" spans="9:9">
      <c r="I1779" s="157">
        <v>1</v>
      </c>
    </row>
    <row r="1780" spans="9:9">
      <c r="I1780" s="157" t="s">
        <v>447</v>
      </c>
    </row>
    <row r="1781" spans="9:9">
      <c r="I1781" s="157" t="s">
        <v>19</v>
      </c>
    </row>
    <row r="1782" spans="9:9">
      <c r="I1782" s="157">
        <v>3</v>
      </c>
    </row>
    <row r="1783" spans="9:9">
      <c r="I1783" s="157" t="s">
        <v>448</v>
      </c>
    </row>
    <row r="1784" spans="9:9">
      <c r="I1784" s="157" t="s">
        <v>59</v>
      </c>
    </row>
    <row r="1785" spans="9:9">
      <c r="I1785" s="157">
        <v>0.6</v>
      </c>
    </row>
    <row r="1786" spans="9:9">
      <c r="I1786" s="157" t="s">
        <v>449</v>
      </c>
    </row>
    <row r="1787" spans="9:9">
      <c r="I1787" s="157" t="s">
        <v>59</v>
      </c>
    </row>
    <row r="1788" spans="9:9">
      <c r="I1788" s="157">
        <v>0.2</v>
      </c>
    </row>
    <row r="1789" spans="9:9">
      <c r="I1789" s="157" t="s">
        <v>437</v>
      </c>
    </row>
    <row r="1790" spans="9:9">
      <c r="I1790" s="157" t="s">
        <v>438</v>
      </c>
    </row>
    <row r="1791" spans="9:9">
      <c r="I1791" s="157">
        <v>0.25</v>
      </c>
    </row>
    <row r="1792" spans="9:9">
      <c r="I1792" s="157" t="s">
        <v>894</v>
      </c>
    </row>
  </sheetData>
  <mergeCells count="2">
    <mergeCell ref="B31:C31"/>
    <mergeCell ref="B34:D34"/>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6:XEO44"/>
  <sheetViews>
    <sheetView showGridLines="0" topLeftCell="A10" workbookViewId="0">
      <selection activeCell="E17" sqref="E17"/>
    </sheetView>
  </sheetViews>
  <sheetFormatPr baseColWidth="10" defaultRowHeight="12.75"/>
  <cols>
    <col min="1" max="2" width="11.42578125" style="70"/>
    <col min="3" max="3" width="24.140625" style="70" customWidth="1"/>
    <col min="4" max="5" width="11.42578125" style="70"/>
    <col min="6" max="6" width="16.7109375" style="70" customWidth="1"/>
    <col min="7" max="7" width="19.5703125" style="70" customWidth="1"/>
    <col min="8" max="9" width="11.42578125" style="70"/>
    <col min="10" max="574" width="0" style="70" hidden="1" customWidth="1"/>
    <col min="575" max="589" width="11.42578125" style="70" hidden="1" customWidth="1"/>
    <col min="590" max="5839" width="0" style="70" hidden="1" customWidth="1"/>
    <col min="5840" max="5854" width="11.42578125" style="70" hidden="1" customWidth="1"/>
    <col min="5855" max="11104" width="0" style="70" hidden="1" customWidth="1"/>
    <col min="11105" max="11119" width="11.42578125" style="70" hidden="1" customWidth="1"/>
    <col min="11120" max="16369" width="0" style="70" hidden="1" customWidth="1"/>
    <col min="16370" max="16384" width="11.42578125" style="70" hidden="1" customWidth="1"/>
  </cols>
  <sheetData>
    <row r="6" spans="3:7" ht="13.5" thickBot="1">
      <c r="C6" s="232" t="s">
        <v>209</v>
      </c>
      <c r="F6" s="157" t="s">
        <v>1185</v>
      </c>
    </row>
    <row r="7" spans="3:7">
      <c r="C7" s="226" t="s">
        <v>119</v>
      </c>
      <c r="D7" s="227" t="s">
        <v>0</v>
      </c>
      <c r="E7" s="227" t="s">
        <v>120</v>
      </c>
      <c r="F7" s="228" t="s">
        <v>121</v>
      </c>
      <c r="G7" s="229" t="s">
        <v>122</v>
      </c>
    </row>
    <row r="8" spans="3:7">
      <c r="C8" s="89" t="s">
        <v>123</v>
      </c>
      <c r="D8" s="161" t="s">
        <v>18</v>
      </c>
      <c r="E8" s="161">
        <v>1.5</v>
      </c>
      <c r="F8" s="161">
        <f>C.Horaire!$C$13*E8</f>
        <v>31.531742549999997</v>
      </c>
      <c r="G8" s="233"/>
    </row>
    <row r="9" spans="3:7">
      <c r="C9" s="89" t="s">
        <v>124</v>
      </c>
      <c r="D9" s="161" t="s">
        <v>64</v>
      </c>
      <c r="E9" s="161">
        <v>400</v>
      </c>
      <c r="F9" s="161">
        <f>Apro.Chantier!P13*E9</f>
        <v>92.4</v>
      </c>
      <c r="G9" s="233"/>
    </row>
    <row r="10" spans="3:7">
      <c r="C10" s="89" t="s">
        <v>125</v>
      </c>
      <c r="D10" s="161" t="s">
        <v>126</v>
      </c>
      <c r="E10" s="161">
        <v>1</v>
      </c>
      <c r="F10" s="161">
        <f>E10*Apro.Chantier!$P$19</f>
        <v>18.899999999999999</v>
      </c>
      <c r="G10" s="233"/>
    </row>
    <row r="11" spans="3:7">
      <c r="C11" s="89" t="s">
        <v>127</v>
      </c>
      <c r="D11" s="161" t="s">
        <v>128</v>
      </c>
      <c r="E11" s="161">
        <v>0</v>
      </c>
      <c r="F11" s="161"/>
      <c r="G11" s="233"/>
    </row>
    <row r="12" spans="3:7" ht="13.5" thickBot="1">
      <c r="C12" s="90" t="s">
        <v>129</v>
      </c>
      <c r="D12" s="234"/>
      <c r="E12" s="234"/>
      <c r="F12" s="234">
        <f>SUM(F8:F11)</f>
        <v>142.83174255</v>
      </c>
      <c r="G12" s="235">
        <f>SUM(F9:F10)</f>
        <v>111.30000000000001</v>
      </c>
    </row>
    <row r="13" spans="3:7">
      <c r="D13" s="236"/>
      <c r="E13" s="236"/>
      <c r="F13" s="236"/>
    </row>
    <row r="14" spans="3:7" ht="13.5" thickBot="1">
      <c r="C14" s="232" t="s">
        <v>210</v>
      </c>
      <c r="D14" s="236"/>
      <c r="E14" s="236"/>
      <c r="F14" s="157" t="s">
        <v>1185</v>
      </c>
    </row>
    <row r="15" spans="3:7">
      <c r="C15" s="226" t="s">
        <v>119</v>
      </c>
      <c r="D15" s="230" t="s">
        <v>0</v>
      </c>
      <c r="E15" s="230" t="s">
        <v>120</v>
      </c>
      <c r="F15" s="231" t="s">
        <v>121</v>
      </c>
      <c r="G15" s="229" t="s">
        <v>122</v>
      </c>
    </row>
    <row r="16" spans="3:7">
      <c r="C16" s="89" t="s">
        <v>123</v>
      </c>
      <c r="D16" s="161" t="s">
        <v>18</v>
      </c>
      <c r="E16" s="161">
        <v>1.5</v>
      </c>
      <c r="F16" s="161">
        <f>E16*C.Horaire!$C$13</f>
        <v>31.531742549999997</v>
      </c>
      <c r="G16" s="233"/>
    </row>
    <row r="17" spans="3:7">
      <c r="C17" s="89" t="s">
        <v>124</v>
      </c>
      <c r="D17" s="161" t="s">
        <v>64</v>
      </c>
      <c r="E17" s="161">
        <v>350</v>
      </c>
      <c r="F17" s="161">
        <f>Apro.Chantier!$P$13*E17</f>
        <v>80.850000000000009</v>
      </c>
      <c r="G17" s="233"/>
    </row>
    <row r="18" spans="3:7">
      <c r="C18" s="89" t="s">
        <v>125</v>
      </c>
      <c r="D18" s="161" t="s">
        <v>126</v>
      </c>
      <c r="E18" s="161">
        <v>1</v>
      </c>
      <c r="F18" s="161">
        <f>E18*Apro.Chantier!$P$19</f>
        <v>18.899999999999999</v>
      </c>
      <c r="G18" s="233"/>
    </row>
    <row r="19" spans="3:7">
      <c r="C19" s="89" t="s">
        <v>127</v>
      </c>
      <c r="D19" s="161" t="s">
        <v>128</v>
      </c>
      <c r="E19" s="161">
        <v>0</v>
      </c>
      <c r="F19" s="161"/>
      <c r="G19" s="233"/>
    </row>
    <row r="20" spans="3:7" ht="13.5" thickBot="1">
      <c r="C20" s="90" t="s">
        <v>129</v>
      </c>
      <c r="D20" s="234"/>
      <c r="E20" s="234"/>
      <c r="F20" s="234">
        <f>SUM(F16:F19)</f>
        <v>131.28174255000002</v>
      </c>
      <c r="G20" s="235">
        <f>SUM(F17:F18)</f>
        <v>99.75</v>
      </c>
    </row>
    <row r="21" spans="3:7">
      <c r="D21" s="236"/>
      <c r="E21" s="236"/>
      <c r="F21" s="236"/>
    </row>
    <row r="22" spans="3:7" ht="13.5" thickBot="1">
      <c r="C22" s="232" t="s">
        <v>211</v>
      </c>
      <c r="D22" s="236"/>
      <c r="E22" s="236"/>
      <c r="F22" s="79" t="s">
        <v>1185</v>
      </c>
    </row>
    <row r="23" spans="3:7">
      <c r="C23" s="226" t="s">
        <v>119</v>
      </c>
      <c r="D23" s="230" t="s">
        <v>0</v>
      </c>
      <c r="E23" s="230" t="s">
        <v>120</v>
      </c>
      <c r="F23" s="231" t="s">
        <v>121</v>
      </c>
      <c r="G23" s="229" t="s">
        <v>122</v>
      </c>
    </row>
    <row r="24" spans="3:7">
      <c r="C24" s="89" t="s">
        <v>123</v>
      </c>
      <c r="D24" s="161" t="s">
        <v>18</v>
      </c>
      <c r="E24" s="161">
        <v>1.5</v>
      </c>
      <c r="F24" s="161">
        <f>E24*C.Horaire!$C$13</f>
        <v>31.531742549999997</v>
      </c>
      <c r="G24" s="233"/>
    </row>
    <row r="25" spans="3:7">
      <c r="C25" s="89" t="s">
        <v>124</v>
      </c>
      <c r="D25" s="161" t="s">
        <v>64</v>
      </c>
      <c r="E25" s="161">
        <v>250</v>
      </c>
      <c r="F25" s="161">
        <f>Apro.Chantier!$P$13*E25</f>
        <v>57.75</v>
      </c>
      <c r="G25" s="233"/>
    </row>
    <row r="26" spans="3:7">
      <c r="C26" s="89" t="s">
        <v>125</v>
      </c>
      <c r="D26" s="161" t="s">
        <v>126</v>
      </c>
      <c r="E26" s="161">
        <v>1</v>
      </c>
      <c r="F26" s="161">
        <f>E26*Apro.Chantier!$P$19</f>
        <v>18.899999999999999</v>
      </c>
      <c r="G26" s="233"/>
    </row>
    <row r="27" spans="3:7">
      <c r="C27" s="89" t="s">
        <v>127</v>
      </c>
      <c r="D27" s="161" t="s">
        <v>128</v>
      </c>
      <c r="E27" s="161">
        <v>0</v>
      </c>
      <c r="F27" s="161"/>
      <c r="G27" s="233"/>
    </row>
    <row r="28" spans="3:7" ht="13.5" thickBot="1">
      <c r="C28" s="90" t="s">
        <v>129</v>
      </c>
      <c r="D28" s="234"/>
      <c r="E28" s="234"/>
      <c r="F28" s="234">
        <f>SUM(F24:F27)</f>
        <v>108.18174255</v>
      </c>
      <c r="G28" s="235">
        <f>SUM(F25:F26)</f>
        <v>76.650000000000006</v>
      </c>
    </row>
    <row r="29" spans="3:7">
      <c r="D29" s="236"/>
      <c r="E29" s="236"/>
      <c r="F29" s="236"/>
    </row>
    <row r="30" spans="3:7" ht="13.5" thickBot="1">
      <c r="C30" s="232" t="s">
        <v>212</v>
      </c>
      <c r="D30" s="236"/>
      <c r="E30" s="236"/>
      <c r="F30" s="157" t="s">
        <v>1185</v>
      </c>
    </row>
    <row r="31" spans="3:7">
      <c r="C31" s="226" t="s">
        <v>119</v>
      </c>
      <c r="D31" s="230" t="s">
        <v>0</v>
      </c>
      <c r="E31" s="230" t="s">
        <v>120</v>
      </c>
      <c r="F31" s="231" t="s">
        <v>121</v>
      </c>
      <c r="G31" s="229" t="s">
        <v>122</v>
      </c>
    </row>
    <row r="32" spans="3:7">
      <c r="C32" s="89" t="s">
        <v>123</v>
      </c>
      <c r="D32" s="161" t="s">
        <v>18</v>
      </c>
      <c r="E32" s="161">
        <v>1.5</v>
      </c>
      <c r="F32" s="161">
        <f>E32*C.Horaire!$C$13</f>
        <v>31.531742549999997</v>
      </c>
      <c r="G32" s="233"/>
    </row>
    <row r="33" spans="3:7">
      <c r="C33" s="89" t="s">
        <v>124</v>
      </c>
      <c r="D33" s="161" t="s">
        <v>64</v>
      </c>
      <c r="E33" s="161">
        <v>400</v>
      </c>
      <c r="F33" s="161">
        <f>Apro.Chantier!$P$13*E33</f>
        <v>92.4</v>
      </c>
      <c r="G33" s="233"/>
    </row>
    <row r="34" spans="3:7">
      <c r="C34" s="89" t="s">
        <v>130</v>
      </c>
      <c r="D34" s="161" t="s">
        <v>126</v>
      </c>
      <c r="E34" s="161">
        <v>1</v>
      </c>
      <c r="F34" s="161">
        <f>E34*Apro.Chantier!$P$15</f>
        <v>162.75</v>
      </c>
      <c r="G34" s="233"/>
    </row>
    <row r="35" spans="3:7">
      <c r="C35" s="89" t="s">
        <v>127</v>
      </c>
      <c r="D35" s="161" t="s">
        <v>128</v>
      </c>
      <c r="E35" s="161">
        <v>0</v>
      </c>
      <c r="F35" s="161"/>
      <c r="G35" s="233"/>
    </row>
    <row r="36" spans="3:7" ht="13.5" thickBot="1">
      <c r="C36" s="90" t="s">
        <v>129</v>
      </c>
      <c r="D36" s="234"/>
      <c r="E36" s="234"/>
      <c r="F36" s="234">
        <f>SUM(F32:F35)</f>
        <v>286.68174254999997</v>
      </c>
      <c r="G36" s="235">
        <f>SUM(F33:F34)</f>
        <v>255.15</v>
      </c>
    </row>
    <row r="37" spans="3:7">
      <c r="C37" s="237"/>
      <c r="D37" s="238"/>
      <c r="E37" s="238"/>
      <c r="F37" s="238"/>
      <c r="G37" s="239"/>
    </row>
    <row r="38" spans="3:7" ht="13.5" thickBot="1">
      <c r="C38" s="232" t="s">
        <v>213</v>
      </c>
      <c r="D38" s="236"/>
      <c r="E38" s="236"/>
      <c r="F38" s="157" t="s">
        <v>1185</v>
      </c>
    </row>
    <row r="39" spans="3:7">
      <c r="C39" s="226" t="s">
        <v>119</v>
      </c>
      <c r="D39" s="230" t="s">
        <v>0</v>
      </c>
      <c r="E39" s="230" t="s">
        <v>120</v>
      </c>
      <c r="F39" s="231" t="s">
        <v>121</v>
      </c>
      <c r="G39" s="229" t="s">
        <v>122</v>
      </c>
    </row>
    <row r="40" spans="3:7">
      <c r="C40" s="89" t="s">
        <v>123</v>
      </c>
      <c r="D40" s="161" t="s">
        <v>18</v>
      </c>
      <c r="E40" s="161">
        <v>1.5</v>
      </c>
      <c r="F40" s="161">
        <f>E40*C.Horaire!$C$13</f>
        <v>31.531742549999997</v>
      </c>
      <c r="G40" s="233"/>
    </row>
    <row r="41" spans="3:7">
      <c r="C41" s="89" t="s">
        <v>124</v>
      </c>
      <c r="D41" s="161" t="s">
        <v>64</v>
      </c>
      <c r="E41" s="161">
        <v>400</v>
      </c>
      <c r="F41" s="161">
        <f>Apro.Chantier!$P$13*E41</f>
        <v>92.4</v>
      </c>
      <c r="G41" s="233"/>
    </row>
    <row r="42" spans="3:7">
      <c r="C42" s="89" t="s">
        <v>130</v>
      </c>
      <c r="D42" s="161" t="s">
        <v>126</v>
      </c>
      <c r="E42" s="161">
        <v>1</v>
      </c>
      <c r="F42" s="161">
        <f>E42*Apro.Chantier!$P$15</f>
        <v>162.75</v>
      </c>
      <c r="G42" s="233"/>
    </row>
    <row r="43" spans="3:7">
      <c r="C43" s="89" t="s">
        <v>55</v>
      </c>
      <c r="D43" s="161" t="s">
        <v>73</v>
      </c>
      <c r="E43" s="161">
        <v>8</v>
      </c>
      <c r="F43" s="161">
        <f>Apro.Chantier!$P$68</f>
        <v>54.704999999999998</v>
      </c>
      <c r="G43" s="233"/>
    </row>
    <row r="44" spans="3:7" ht="13.5" thickBot="1">
      <c r="C44" s="90" t="s">
        <v>129</v>
      </c>
      <c r="D44" s="234"/>
      <c r="E44" s="234"/>
      <c r="F44" s="234">
        <f>SUM(F40:F43)</f>
        <v>341.38674254999995</v>
      </c>
      <c r="G44" s="235">
        <f>SUM(F41:F43)</f>
        <v>309.85500000000002</v>
      </c>
    </row>
  </sheetData>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rgb="FFC00000"/>
  </sheetPr>
  <dimension ref="A6:XEO715"/>
  <sheetViews>
    <sheetView showGridLines="0" topLeftCell="A70" workbookViewId="0">
      <selection activeCell="G23" sqref="G23"/>
    </sheetView>
  </sheetViews>
  <sheetFormatPr baseColWidth="10" defaultRowHeight="12.75" outlineLevelRow="1"/>
  <cols>
    <col min="1" max="1" width="11.42578125" style="70"/>
    <col min="2" max="2" width="26.7109375" style="70" customWidth="1"/>
    <col min="3" max="3" width="11.42578125" style="70"/>
    <col min="4" max="4" width="21.7109375" style="79" customWidth="1"/>
    <col min="5" max="5" width="24.42578125" style="646" customWidth="1"/>
    <col min="6" max="6" width="18.140625" style="70" customWidth="1"/>
    <col min="7" max="7" width="11.85546875" style="70" bestFit="1" customWidth="1"/>
    <col min="8" max="10" width="11.42578125" style="70" hidden="1" customWidth="1"/>
    <col min="11" max="11" width="7.5703125" style="70" hidden="1" customWidth="1"/>
    <col min="12" max="22" width="11.42578125" style="70" hidden="1" customWidth="1"/>
    <col min="23" max="23" width="9.7109375" style="70" hidden="1" customWidth="1"/>
    <col min="24" max="36" width="11.42578125" style="70" hidden="1" customWidth="1"/>
    <col min="37" max="37" width="8.42578125" style="70" hidden="1" customWidth="1"/>
    <col min="38" max="51" width="11.42578125" style="70" hidden="1" customWidth="1"/>
    <col min="52" max="52" width="3" style="70" hidden="1" customWidth="1"/>
    <col min="53" max="56" width="11.42578125" style="70" hidden="1" customWidth="1"/>
    <col min="57" max="57" width="10" style="70" hidden="1" customWidth="1"/>
    <col min="58" max="65" width="11.42578125" style="70" hidden="1" customWidth="1"/>
    <col min="66" max="66" width="4.5703125" style="70" hidden="1" customWidth="1"/>
    <col min="67" max="72" width="11.42578125" style="70" hidden="1" customWidth="1"/>
    <col min="73" max="73" width="2" style="70" hidden="1" customWidth="1"/>
    <col min="74" max="88" width="11.42578125" style="70" hidden="1" customWidth="1"/>
    <col min="89" max="7160" width="0" style="70" hidden="1" customWidth="1"/>
    <col min="7161" max="7171" width="11.42578125" style="70" hidden="1" customWidth="1"/>
    <col min="7172" max="7172" width="10.5703125" style="70" hidden="1" customWidth="1"/>
    <col min="7173" max="7185" width="11.42578125" style="70" hidden="1" customWidth="1"/>
    <col min="7186" max="7186" width="9.42578125" style="70" hidden="1" customWidth="1"/>
    <col min="7187" max="7196" width="11.42578125" style="70" hidden="1" customWidth="1"/>
    <col min="7197" max="7197" width="9.28515625" style="70" hidden="1" customWidth="1"/>
    <col min="7198" max="7209" width="11.42578125" style="70" hidden="1" customWidth="1"/>
    <col min="7210" max="7210" width="8.5703125" style="70" hidden="1" customWidth="1"/>
    <col min="7211" max="7221" width="11.42578125" style="70" hidden="1" customWidth="1"/>
    <col min="7222" max="7222" width="8" style="70" hidden="1" customWidth="1"/>
    <col min="7223" max="7234" width="11.42578125" style="70" hidden="1" customWidth="1"/>
    <col min="7235" max="7235" width="3.140625" style="70" hidden="1" customWidth="1"/>
    <col min="7236" max="7249" width="11.42578125" style="70" hidden="1" customWidth="1"/>
    <col min="7250" max="7250" width="3.28515625" style="70" hidden="1" customWidth="1"/>
    <col min="7251" max="7261" width="11.42578125" style="70" hidden="1" customWidth="1"/>
    <col min="7262" max="7262" width="4.140625" style="70" hidden="1" customWidth="1"/>
    <col min="7263" max="7274" width="11.42578125" style="70" hidden="1" customWidth="1"/>
    <col min="7275" max="7275" width="0.5703125" style="70" hidden="1" customWidth="1"/>
    <col min="7276" max="7286" width="11.42578125" style="70" hidden="1" customWidth="1"/>
    <col min="7287" max="7287" width="7.5703125" style="70" hidden="1" customWidth="1"/>
    <col min="7288" max="7298" width="11.42578125" style="70" hidden="1" customWidth="1"/>
    <col min="7299" max="7299" width="9.7109375" style="70" hidden="1" customWidth="1"/>
    <col min="7300" max="7312" width="11.42578125" style="70" hidden="1" customWidth="1"/>
    <col min="7313" max="7313" width="8.42578125" style="70" hidden="1" customWidth="1"/>
    <col min="7314" max="7327" width="11.42578125" style="70" hidden="1" customWidth="1"/>
    <col min="7328" max="7328" width="3" style="70" hidden="1" customWidth="1"/>
    <col min="7329" max="7332" width="11.42578125" style="70" hidden="1" customWidth="1"/>
    <col min="7333" max="7333" width="10" style="70" hidden="1" customWidth="1"/>
    <col min="7334" max="7341" width="11.42578125" style="70" hidden="1" customWidth="1"/>
    <col min="7342" max="7342" width="4.5703125" style="70" hidden="1" customWidth="1"/>
    <col min="7343" max="7348" width="11.42578125" style="70" hidden="1" customWidth="1"/>
    <col min="7349" max="7349" width="2" style="70" hidden="1" customWidth="1"/>
    <col min="7350" max="7364" width="11.42578125" style="70" hidden="1" customWidth="1"/>
    <col min="7365" max="8964" width="0" style="70" hidden="1" customWidth="1"/>
    <col min="8965" max="8975" width="11.42578125" style="70" hidden="1" customWidth="1"/>
    <col min="8976" max="8976" width="10.5703125" style="70" hidden="1" customWidth="1"/>
    <col min="8977" max="8989" width="11.42578125" style="70" hidden="1" customWidth="1"/>
    <col min="8990" max="8990" width="9.42578125" style="70" hidden="1" customWidth="1"/>
    <col min="8991" max="9000" width="11.42578125" style="70" hidden="1" customWidth="1"/>
    <col min="9001" max="9001" width="9.28515625" style="70" hidden="1" customWidth="1"/>
    <col min="9002" max="9013" width="11.42578125" style="70" hidden="1" customWidth="1"/>
    <col min="9014" max="9014" width="8.5703125" style="70" hidden="1" customWidth="1"/>
    <col min="9015" max="9025" width="11.42578125" style="70" hidden="1" customWidth="1"/>
    <col min="9026" max="9026" width="8" style="70" hidden="1" customWidth="1"/>
    <col min="9027" max="9038" width="11.42578125" style="70" hidden="1" customWidth="1"/>
    <col min="9039" max="9039" width="3.140625" style="70" hidden="1" customWidth="1"/>
    <col min="9040" max="9053" width="11.42578125" style="70" hidden="1" customWidth="1"/>
    <col min="9054" max="9054" width="3.28515625" style="70" hidden="1" customWidth="1"/>
    <col min="9055" max="9065" width="11.42578125" style="70" hidden="1" customWidth="1"/>
    <col min="9066" max="9066" width="4.140625" style="70" hidden="1" customWidth="1"/>
    <col min="9067" max="9078" width="11.42578125" style="70" hidden="1" customWidth="1"/>
    <col min="9079" max="9079" width="0.5703125" style="70" hidden="1" customWidth="1"/>
    <col min="9080" max="9090" width="11.42578125" style="70" hidden="1" customWidth="1"/>
    <col min="9091" max="9091" width="7.5703125" style="70" hidden="1" customWidth="1"/>
    <col min="9092" max="9102" width="11.42578125" style="70" hidden="1" customWidth="1"/>
    <col min="9103" max="9103" width="9.7109375" style="70" hidden="1" customWidth="1"/>
    <col min="9104" max="9116" width="11.42578125" style="70" hidden="1" customWidth="1"/>
    <col min="9117" max="9117" width="8.42578125" style="70" hidden="1" customWidth="1"/>
    <col min="9118" max="9131" width="11.42578125" style="70" hidden="1" customWidth="1"/>
    <col min="9132" max="9132" width="3" style="70" hidden="1" customWidth="1"/>
    <col min="9133" max="9136" width="11.42578125" style="70" hidden="1" customWidth="1"/>
    <col min="9137" max="9137" width="10" style="70" hidden="1" customWidth="1"/>
    <col min="9138" max="9145" width="11.42578125" style="70" hidden="1" customWidth="1"/>
    <col min="9146" max="9146" width="4.5703125" style="70" hidden="1" customWidth="1"/>
    <col min="9147" max="9152" width="11.42578125" style="70" hidden="1" customWidth="1"/>
    <col min="9153" max="9153" width="2" style="70" hidden="1" customWidth="1"/>
    <col min="9154" max="9168" width="11.42578125" style="70" hidden="1" customWidth="1"/>
    <col min="9169" max="10768" width="0" style="70" hidden="1" customWidth="1"/>
    <col min="10769" max="10779" width="11.42578125" style="70" hidden="1" customWidth="1"/>
    <col min="10780" max="10780" width="10.5703125" style="70" hidden="1" customWidth="1"/>
    <col min="10781" max="10793" width="11.42578125" style="70" hidden="1" customWidth="1"/>
    <col min="10794" max="10794" width="9.42578125" style="70" hidden="1" customWidth="1"/>
    <col min="10795" max="10804" width="11.42578125" style="70" hidden="1" customWidth="1"/>
    <col min="10805" max="10805" width="9.28515625" style="70" hidden="1" customWidth="1"/>
    <col min="10806" max="10817" width="11.42578125" style="70" hidden="1" customWidth="1"/>
    <col min="10818" max="10818" width="8.5703125" style="70" hidden="1" customWidth="1"/>
    <col min="10819" max="10829" width="11.42578125" style="70" hidden="1" customWidth="1"/>
    <col min="10830" max="10830" width="8" style="70" hidden="1" customWidth="1"/>
    <col min="10831" max="10842" width="11.42578125" style="70" hidden="1" customWidth="1"/>
    <col min="10843" max="10843" width="3.140625" style="70" hidden="1" customWidth="1"/>
    <col min="10844" max="10857" width="11.42578125" style="70" hidden="1" customWidth="1"/>
    <col min="10858" max="10858" width="3.28515625" style="70" hidden="1" customWidth="1"/>
    <col min="10859" max="10869" width="11.42578125" style="70" hidden="1" customWidth="1"/>
    <col min="10870" max="10870" width="4.140625" style="70" hidden="1" customWidth="1"/>
    <col min="10871" max="10882" width="11.42578125" style="70" hidden="1" customWidth="1"/>
    <col min="10883" max="10883" width="0.5703125" style="70" hidden="1" customWidth="1"/>
    <col min="10884" max="10894" width="11.42578125" style="70" hidden="1" customWidth="1"/>
    <col min="10895" max="10895" width="7.5703125" style="70" hidden="1" customWidth="1"/>
    <col min="10896" max="10906" width="11.42578125" style="70" hidden="1" customWidth="1"/>
    <col min="10907" max="10907" width="9.7109375" style="70" hidden="1" customWidth="1"/>
    <col min="10908" max="10920" width="11.42578125" style="70" hidden="1" customWidth="1"/>
    <col min="10921" max="10921" width="8.42578125" style="70" hidden="1" customWidth="1"/>
    <col min="10922" max="10935" width="11.42578125" style="70" hidden="1" customWidth="1"/>
    <col min="10936" max="10936" width="3" style="70" hidden="1" customWidth="1"/>
    <col min="10937" max="10940" width="11.42578125" style="70" hidden="1" customWidth="1"/>
    <col min="10941" max="10941" width="10" style="70" hidden="1" customWidth="1"/>
    <col min="10942" max="10949" width="11.42578125" style="70" hidden="1" customWidth="1"/>
    <col min="10950" max="10950" width="4.5703125" style="70" hidden="1" customWidth="1"/>
    <col min="10951" max="10956" width="11.42578125" style="70" hidden="1" customWidth="1"/>
    <col min="10957" max="10957" width="2" style="70" hidden="1" customWidth="1"/>
    <col min="10958" max="10972" width="11.42578125" style="70" hidden="1" customWidth="1"/>
    <col min="10973" max="12572" width="0" style="70" hidden="1" customWidth="1"/>
    <col min="12573" max="12583" width="11.42578125" style="70" hidden="1" customWidth="1"/>
    <col min="12584" max="12584" width="10.5703125" style="70" hidden="1" customWidth="1"/>
    <col min="12585" max="12597" width="11.42578125" style="70" hidden="1" customWidth="1"/>
    <col min="12598" max="12598" width="9.42578125" style="70" hidden="1" customWidth="1"/>
    <col min="12599" max="12608" width="11.42578125" style="70" hidden="1" customWidth="1"/>
    <col min="12609" max="12609" width="9.28515625" style="70" hidden="1" customWidth="1"/>
    <col min="12610" max="12621" width="11.42578125" style="70" hidden="1" customWidth="1"/>
    <col min="12622" max="12622" width="8.5703125" style="70" hidden="1" customWidth="1"/>
    <col min="12623" max="12633" width="11.42578125" style="70" hidden="1" customWidth="1"/>
    <col min="12634" max="12634" width="8" style="70" hidden="1" customWidth="1"/>
    <col min="12635" max="12646" width="11.42578125" style="70" hidden="1" customWidth="1"/>
    <col min="12647" max="12647" width="3.140625" style="70" hidden="1" customWidth="1"/>
    <col min="12648" max="12661" width="11.42578125" style="70" hidden="1" customWidth="1"/>
    <col min="12662" max="12662" width="3.28515625" style="70" hidden="1" customWidth="1"/>
    <col min="12663" max="12673" width="11.42578125" style="70" hidden="1" customWidth="1"/>
    <col min="12674" max="12674" width="4.140625" style="70" hidden="1" customWidth="1"/>
    <col min="12675" max="12686" width="11.42578125" style="70" hidden="1" customWidth="1"/>
    <col min="12687" max="12687" width="0.5703125" style="70" hidden="1" customWidth="1"/>
    <col min="12688" max="12698" width="11.42578125" style="70" hidden="1" customWidth="1"/>
    <col min="12699" max="12699" width="7.5703125" style="70" hidden="1" customWidth="1"/>
    <col min="12700" max="12710" width="11.42578125" style="70" hidden="1" customWidth="1"/>
    <col min="12711" max="12711" width="9.7109375" style="70" hidden="1" customWidth="1"/>
    <col min="12712" max="12724" width="11.42578125" style="70" hidden="1" customWidth="1"/>
    <col min="12725" max="12725" width="8.42578125" style="70" hidden="1" customWidth="1"/>
    <col min="12726" max="12739" width="11.42578125" style="70" hidden="1" customWidth="1"/>
    <col min="12740" max="12740" width="3" style="70" hidden="1" customWidth="1"/>
    <col min="12741" max="12744" width="11.42578125" style="70" hidden="1" customWidth="1"/>
    <col min="12745" max="12745" width="10" style="70" hidden="1" customWidth="1"/>
    <col min="12746" max="12753" width="11.42578125" style="70" hidden="1" customWidth="1"/>
    <col min="12754" max="12754" width="4.5703125" style="70" hidden="1" customWidth="1"/>
    <col min="12755" max="12760" width="11.42578125" style="70" hidden="1" customWidth="1"/>
    <col min="12761" max="12761" width="2" style="70" hidden="1" customWidth="1"/>
    <col min="12762" max="12776" width="11.42578125" style="70" hidden="1" customWidth="1"/>
    <col min="12777" max="14376" width="0" style="70" hidden="1" customWidth="1"/>
    <col min="14377" max="14387" width="11.42578125" style="70" hidden="1" customWidth="1"/>
    <col min="14388" max="14388" width="10.5703125" style="70" hidden="1" customWidth="1"/>
    <col min="14389" max="14401" width="11.42578125" style="70" hidden="1" customWidth="1"/>
    <col min="14402" max="14402" width="9.42578125" style="70" hidden="1" customWidth="1"/>
    <col min="14403" max="14412" width="11.42578125" style="70" hidden="1" customWidth="1"/>
    <col min="14413" max="14413" width="9.28515625" style="70" hidden="1" customWidth="1"/>
    <col min="14414" max="14425" width="11.42578125" style="70" hidden="1" customWidth="1"/>
    <col min="14426" max="14426" width="8.5703125" style="70" hidden="1" customWidth="1"/>
    <col min="14427" max="14437" width="11.42578125" style="70" hidden="1" customWidth="1"/>
    <col min="14438" max="14438" width="8" style="70" hidden="1" customWidth="1"/>
    <col min="14439" max="14450" width="11.42578125" style="70" hidden="1" customWidth="1"/>
    <col min="14451" max="14451" width="3.140625" style="70" hidden="1" customWidth="1"/>
    <col min="14452" max="14465" width="11.42578125" style="70" hidden="1" customWidth="1"/>
    <col min="14466" max="14466" width="3.28515625" style="70" hidden="1" customWidth="1"/>
    <col min="14467" max="14477" width="11.42578125" style="70" hidden="1" customWidth="1"/>
    <col min="14478" max="14478" width="4.140625" style="70" hidden="1" customWidth="1"/>
    <col min="14479" max="14490" width="11.42578125" style="70" hidden="1" customWidth="1"/>
    <col min="14491" max="14491" width="0.5703125" style="70" hidden="1" customWidth="1"/>
    <col min="14492" max="14502" width="11.42578125" style="70" hidden="1" customWidth="1"/>
    <col min="14503" max="14503" width="7.5703125" style="70" hidden="1" customWidth="1"/>
    <col min="14504" max="14514" width="11.42578125" style="70" hidden="1" customWidth="1"/>
    <col min="14515" max="14515" width="9.7109375" style="70" hidden="1" customWidth="1"/>
    <col min="14516" max="14528" width="11.42578125" style="70" hidden="1" customWidth="1"/>
    <col min="14529" max="14529" width="8.42578125" style="70" hidden="1" customWidth="1"/>
    <col min="14530" max="14543" width="11.42578125" style="70" hidden="1" customWidth="1"/>
    <col min="14544" max="14544" width="3" style="70" hidden="1" customWidth="1"/>
    <col min="14545" max="14548" width="11.42578125" style="70" hidden="1" customWidth="1"/>
    <col min="14549" max="14549" width="10" style="70" hidden="1" customWidth="1"/>
    <col min="14550" max="14557" width="11.42578125" style="70" hidden="1" customWidth="1"/>
    <col min="14558" max="14558" width="4.5703125" style="70" hidden="1" customWidth="1"/>
    <col min="14559" max="14564" width="11.42578125" style="70" hidden="1" customWidth="1"/>
    <col min="14565" max="14565" width="2" style="70" hidden="1" customWidth="1"/>
    <col min="14566" max="14580" width="11.42578125" style="70" hidden="1" customWidth="1"/>
    <col min="14581" max="16180" width="0" style="70" hidden="1" customWidth="1"/>
    <col min="16181" max="16191" width="11.42578125" style="70" hidden="1" customWidth="1"/>
    <col min="16192" max="16192" width="10.5703125" style="70" hidden="1" customWidth="1"/>
    <col min="16193" max="16205" width="11.42578125" style="70" hidden="1" customWidth="1"/>
    <col min="16206" max="16206" width="9.42578125" style="70" hidden="1" customWidth="1"/>
    <col min="16207" max="16216" width="11.42578125" style="70" hidden="1" customWidth="1"/>
    <col min="16217" max="16217" width="9.28515625" style="70" hidden="1" customWidth="1"/>
    <col min="16218" max="16229" width="11.42578125" style="70" hidden="1" customWidth="1"/>
    <col min="16230" max="16230" width="8.5703125" style="70" hidden="1" customWidth="1"/>
    <col min="16231" max="16241" width="11.42578125" style="70" hidden="1" customWidth="1"/>
    <col min="16242" max="16242" width="8" style="70" hidden="1" customWidth="1"/>
    <col min="16243" max="16254" width="11.42578125" style="70" hidden="1" customWidth="1"/>
    <col min="16255" max="16255" width="3.140625" style="70" hidden="1" customWidth="1"/>
    <col min="16256" max="16269" width="11.42578125" style="70" hidden="1" customWidth="1"/>
    <col min="16270" max="16270" width="3.28515625" style="70" hidden="1" customWidth="1"/>
    <col min="16271" max="16281" width="11.42578125" style="70" hidden="1" customWidth="1"/>
    <col min="16282" max="16282" width="4.140625" style="70" hidden="1" customWidth="1"/>
    <col min="16283" max="16294" width="11.42578125" style="70" hidden="1" customWidth="1"/>
    <col min="16295" max="16295" width="0.5703125" style="70" hidden="1" customWidth="1"/>
    <col min="16296" max="16306" width="11.42578125" style="70" hidden="1" customWidth="1"/>
    <col min="16307" max="16307" width="7.5703125" style="70" hidden="1" customWidth="1"/>
    <col min="16308" max="16318" width="11.42578125" style="70" hidden="1" customWidth="1"/>
    <col min="16319" max="16319" width="9.7109375" style="70" hidden="1" customWidth="1"/>
    <col min="16320" max="16332" width="11.42578125" style="70" hidden="1" customWidth="1"/>
    <col min="16333" max="16333" width="8.42578125" style="70" hidden="1" customWidth="1"/>
    <col min="16334" max="16347" width="11.42578125" style="70" hidden="1" customWidth="1"/>
    <col min="16348" max="16348" width="3" style="70" hidden="1" customWidth="1"/>
    <col min="16349" max="16352" width="11.42578125" style="70" hidden="1" customWidth="1"/>
    <col min="16353" max="16353" width="10" style="70" hidden="1" customWidth="1"/>
    <col min="16354" max="16361" width="11.42578125" style="70" hidden="1" customWidth="1"/>
    <col min="16362" max="16362" width="4.5703125" style="70" hidden="1" customWidth="1"/>
    <col min="16363" max="16368" width="11.42578125" style="70" hidden="1" customWidth="1"/>
    <col min="16369" max="16369" width="2" style="70" hidden="1" customWidth="1"/>
    <col min="16370" max="16384" width="11.42578125" style="70" hidden="1" customWidth="1"/>
  </cols>
  <sheetData>
    <row r="6" spans="2:6" ht="15" customHeight="1">
      <c r="C6" s="1145" t="s">
        <v>131</v>
      </c>
      <c r="D6" s="1146"/>
      <c r="E6" s="1147"/>
    </row>
    <row r="9" spans="2:6" ht="13.5" thickBot="1">
      <c r="B9" s="340" t="s">
        <v>398</v>
      </c>
      <c r="C9" s="341"/>
      <c r="D9" s="342" t="s">
        <v>134</v>
      </c>
      <c r="E9" s="641"/>
      <c r="F9" s="343" t="s">
        <v>132</v>
      </c>
    </row>
    <row r="10" spans="2:6" ht="13.5" thickBot="1">
      <c r="B10" s="240" t="s">
        <v>275</v>
      </c>
      <c r="C10" s="241"/>
      <c r="D10" s="242"/>
      <c r="E10" s="642" t="s">
        <v>133</v>
      </c>
      <c r="F10" s="243">
        <f>SUM($F$12:$F$15)</f>
        <v>1160.4749438842105</v>
      </c>
    </row>
    <row r="11" spans="2:6">
      <c r="B11" s="244" t="s">
        <v>119</v>
      </c>
      <c r="C11" s="245" t="s">
        <v>0</v>
      </c>
      <c r="D11" s="245" t="s">
        <v>120</v>
      </c>
      <c r="E11" s="643" t="s">
        <v>121</v>
      </c>
      <c r="F11" s="245" t="s">
        <v>135</v>
      </c>
    </row>
    <row r="12" spans="2:6">
      <c r="B12" s="246" t="s">
        <v>137</v>
      </c>
      <c r="C12" s="247" t="s">
        <v>50</v>
      </c>
      <c r="D12" s="248">
        <v>0.26</v>
      </c>
      <c r="E12" s="644">
        <f>Apro.Chantier!$P$23</f>
        <v>546</v>
      </c>
      <c r="F12" s="250">
        <f>E12*D12</f>
        <v>141.96</v>
      </c>
    </row>
    <row r="13" spans="2:6">
      <c r="B13" s="76" t="s">
        <v>138</v>
      </c>
      <c r="C13" s="343" t="s">
        <v>59</v>
      </c>
      <c r="D13" s="344">
        <v>48</v>
      </c>
      <c r="E13" s="645">
        <f>Apro.Chantier!$P$30</f>
        <v>18.578947368421051</v>
      </c>
      <c r="F13" s="345">
        <f>D13*E13</f>
        <v>891.78947368421041</v>
      </c>
    </row>
    <row r="14" spans="2:6">
      <c r="B14" s="251" t="s">
        <v>139</v>
      </c>
      <c r="C14" s="247" t="s">
        <v>64</v>
      </c>
      <c r="D14" s="344">
        <v>0.5</v>
      </c>
      <c r="E14" s="645">
        <f>Apro.Chantier!$P$69</f>
        <v>1.1970000000000001</v>
      </c>
      <c r="F14" s="346">
        <f>D14*E14</f>
        <v>0.59850000000000003</v>
      </c>
    </row>
    <row r="15" spans="2:6">
      <c r="B15" s="246" t="s">
        <v>7</v>
      </c>
      <c r="C15" s="247" t="s">
        <v>18</v>
      </c>
      <c r="D15" s="248">
        <v>6</v>
      </c>
      <c r="E15" s="644">
        <f>C.Horaire!$C$13</f>
        <v>21.021161699999997</v>
      </c>
      <c r="F15" s="249">
        <f>E15*D15</f>
        <v>126.12697019999999</v>
      </c>
    </row>
    <row r="16" spans="2:6">
      <c r="B16" s="252"/>
      <c r="C16" s="252"/>
      <c r="D16" s="253"/>
    </row>
    <row r="18" spans="2:6" ht="13.5" thickBot="1">
      <c r="B18" s="347" t="s">
        <v>140</v>
      </c>
      <c r="C18" s="347"/>
      <c r="D18" s="348" t="s">
        <v>134</v>
      </c>
      <c r="E18" s="647"/>
      <c r="F18" s="343" t="s">
        <v>132</v>
      </c>
    </row>
    <row r="19" spans="2:6" ht="13.5" thickBot="1">
      <c r="B19" s="240" t="s">
        <v>141</v>
      </c>
      <c r="C19" s="241"/>
      <c r="D19" s="242"/>
      <c r="E19" s="642" t="s">
        <v>133</v>
      </c>
      <c r="F19" s="243">
        <f>SUM(F21:F24)</f>
        <v>286.83276090000004</v>
      </c>
    </row>
    <row r="20" spans="2:6">
      <c r="B20" s="244" t="s">
        <v>119</v>
      </c>
      <c r="C20" s="245" t="s">
        <v>0</v>
      </c>
      <c r="D20" s="245" t="s">
        <v>120</v>
      </c>
      <c r="E20" s="643" t="s">
        <v>121</v>
      </c>
      <c r="F20" s="245" t="s">
        <v>135</v>
      </c>
    </row>
    <row r="21" spans="2:6">
      <c r="B21" s="246" t="s">
        <v>137</v>
      </c>
      <c r="C21" s="247" t="s">
        <v>50</v>
      </c>
      <c r="D21" s="254">
        <v>0.44</v>
      </c>
      <c r="E21" s="644">
        <f>Apro.Chantier!$P$23</f>
        <v>546</v>
      </c>
      <c r="F21" s="255">
        <f>E21*D21</f>
        <v>240.24</v>
      </c>
    </row>
    <row r="22" spans="2:6">
      <c r="B22" s="76" t="s">
        <v>143</v>
      </c>
      <c r="C22" s="343" t="s">
        <v>0</v>
      </c>
      <c r="D22" s="349">
        <v>1</v>
      </c>
      <c r="E22" s="645">
        <f>Apro.Chantier!$P$37</f>
        <v>3.3534375000000001</v>
      </c>
      <c r="F22" s="350">
        <f>D22*E22</f>
        <v>3.3534375000000001</v>
      </c>
    </row>
    <row r="23" spans="2:6">
      <c r="B23" s="251" t="s">
        <v>139</v>
      </c>
      <c r="C23" s="247" t="s">
        <v>64</v>
      </c>
      <c r="D23" s="349">
        <v>1</v>
      </c>
      <c r="E23" s="645">
        <f>Apro.Chantier!$P$69</f>
        <v>1.1970000000000001</v>
      </c>
      <c r="F23" s="350">
        <f>D23*E23</f>
        <v>1.1970000000000001</v>
      </c>
    </row>
    <row r="24" spans="2:6">
      <c r="B24" s="246" t="s">
        <v>7</v>
      </c>
      <c r="C24" s="247" t="s">
        <v>18</v>
      </c>
      <c r="D24" s="254">
        <v>2</v>
      </c>
      <c r="E24" s="644">
        <f>C.Horaire!$C$13</f>
        <v>21.021161699999997</v>
      </c>
      <c r="F24" s="256">
        <f>E24*D24</f>
        <v>42.042323399999994</v>
      </c>
    </row>
    <row r="25" spans="2:6">
      <c r="B25" s="252"/>
      <c r="C25" s="257"/>
      <c r="D25" s="258"/>
      <c r="E25" s="648"/>
      <c r="F25" s="259"/>
    </row>
    <row r="26" spans="2:6">
      <c r="B26" s="252"/>
      <c r="C26" s="252"/>
      <c r="D26" s="253"/>
    </row>
    <row r="27" spans="2:6">
      <c r="B27" s="252"/>
      <c r="C27" s="252"/>
      <c r="D27" s="253"/>
    </row>
    <row r="28" spans="2:6" ht="15" customHeight="1">
      <c r="B28" s="252"/>
      <c r="C28" s="1145" t="s">
        <v>146</v>
      </c>
      <c r="D28" s="1146"/>
      <c r="E28" s="1147"/>
    </row>
    <row r="29" spans="2:6">
      <c r="B29" s="252"/>
      <c r="C29" s="252"/>
      <c r="D29" s="351"/>
    </row>
    <row r="32" spans="2:6" ht="13.5" thickBot="1">
      <c r="B32" s="352" t="s">
        <v>147</v>
      </c>
      <c r="C32" s="353"/>
      <c r="D32" s="354" t="s">
        <v>134</v>
      </c>
      <c r="E32" s="649"/>
      <c r="F32" s="260" t="s">
        <v>142</v>
      </c>
    </row>
    <row r="33" spans="2:6" ht="13.5" thickBot="1">
      <c r="B33" s="240" t="s">
        <v>148</v>
      </c>
      <c r="C33" s="241"/>
      <c r="D33" s="261"/>
      <c r="E33" s="650" t="s">
        <v>133</v>
      </c>
      <c r="F33" s="243">
        <f>SUM(F35)</f>
        <v>20</v>
      </c>
    </row>
    <row r="34" spans="2:6">
      <c r="B34" s="244" t="s">
        <v>119</v>
      </c>
      <c r="C34" s="245" t="s">
        <v>0</v>
      </c>
      <c r="D34" s="245" t="s">
        <v>120</v>
      </c>
      <c r="E34" s="651" t="s">
        <v>121</v>
      </c>
      <c r="F34" s="262" t="s">
        <v>135</v>
      </c>
    </row>
    <row r="35" spans="2:6">
      <c r="B35" s="246" t="s">
        <v>144</v>
      </c>
      <c r="C35" s="247" t="s">
        <v>145</v>
      </c>
      <c r="D35" s="263">
        <v>0.08</v>
      </c>
      <c r="E35" s="652">
        <f>Temps.U!$E$6</f>
        <v>250</v>
      </c>
      <c r="F35" s="155">
        <f>D35*E35</f>
        <v>20</v>
      </c>
    </row>
    <row r="37" spans="2:6">
      <c r="B37" s="355"/>
    </row>
    <row r="38" spans="2:6">
      <c r="B38" s="264" t="s">
        <v>266</v>
      </c>
      <c r="C38" s="265"/>
      <c r="D38" s="266" t="s">
        <v>134</v>
      </c>
      <c r="E38" s="653"/>
      <c r="F38" s="247" t="s">
        <v>189</v>
      </c>
    </row>
    <row r="39" spans="2:6">
      <c r="B39" s="240" t="s">
        <v>276</v>
      </c>
      <c r="C39" s="241"/>
      <c r="D39" s="261"/>
      <c r="E39" s="654" t="s">
        <v>133</v>
      </c>
      <c r="F39" s="267">
        <f>SUM(F41:F42)</f>
        <v>5.2166929359999994</v>
      </c>
    </row>
    <row r="40" spans="2:6">
      <c r="B40" s="268" t="s">
        <v>119</v>
      </c>
      <c r="C40" s="269" t="s">
        <v>0</v>
      </c>
      <c r="D40" s="269" t="s">
        <v>120</v>
      </c>
      <c r="E40" s="655" t="s">
        <v>121</v>
      </c>
      <c r="F40" s="269" t="s">
        <v>135</v>
      </c>
    </row>
    <row r="41" spans="2:6">
      <c r="B41" s="246" t="s">
        <v>52</v>
      </c>
      <c r="C41" s="247" t="s">
        <v>67</v>
      </c>
      <c r="D41" s="270">
        <v>1</v>
      </c>
      <c r="E41" s="652">
        <f>Apro.Chantier!$P$27</f>
        <v>3.5350000000000001</v>
      </c>
      <c r="F41" s="155">
        <f>E41*D41</f>
        <v>3.5350000000000001</v>
      </c>
    </row>
    <row r="42" spans="2:6">
      <c r="B42" s="246" t="s">
        <v>7</v>
      </c>
      <c r="C42" s="247" t="s">
        <v>18</v>
      </c>
      <c r="D42" s="270">
        <v>0.08</v>
      </c>
      <c r="E42" s="656">
        <f>C.Horaire!$C$13</f>
        <v>21.021161699999997</v>
      </c>
      <c r="F42" s="271">
        <f>E42*D42</f>
        <v>1.6816929359999997</v>
      </c>
    </row>
    <row r="43" spans="2:6">
      <c r="B43" s="252"/>
      <c r="C43" s="252"/>
      <c r="D43" s="253"/>
      <c r="E43" s="657"/>
      <c r="F43" s="356"/>
    </row>
    <row r="44" spans="2:6">
      <c r="B44" s="355"/>
    </row>
    <row r="45" spans="2:6" ht="13.5" thickBot="1">
      <c r="B45" s="272" t="s">
        <v>208</v>
      </c>
      <c r="C45" s="273"/>
      <c r="D45" s="274" t="s">
        <v>134</v>
      </c>
      <c r="E45" s="658"/>
      <c r="F45" s="260" t="s">
        <v>165</v>
      </c>
    </row>
    <row r="46" spans="2:6" ht="13.5" thickBot="1">
      <c r="B46" s="240" t="s">
        <v>207</v>
      </c>
      <c r="C46" s="241"/>
      <c r="D46" s="242"/>
      <c r="E46" s="650" t="s">
        <v>133</v>
      </c>
      <c r="F46" s="275">
        <f>SUM(F48:F51)</f>
        <v>24.927127251310345</v>
      </c>
    </row>
    <row r="47" spans="2:6">
      <c r="B47" s="244" t="s">
        <v>119</v>
      </c>
      <c r="C47" s="245" t="s">
        <v>0</v>
      </c>
      <c r="D47" s="245" t="s">
        <v>120</v>
      </c>
      <c r="E47" s="651" t="s">
        <v>121</v>
      </c>
      <c r="F47" s="262" t="s">
        <v>135</v>
      </c>
    </row>
    <row r="48" spans="2:6">
      <c r="B48" s="246" t="s">
        <v>160</v>
      </c>
      <c r="C48" s="247" t="s">
        <v>43</v>
      </c>
      <c r="D48" s="276">
        <v>0.16</v>
      </c>
      <c r="E48" s="652">
        <f>Apro.Chantier!$E$5</f>
        <v>104.7375</v>
      </c>
      <c r="F48" s="155">
        <f>D48*E48</f>
        <v>16.757999999999999</v>
      </c>
    </row>
    <row r="49" spans="2:6">
      <c r="B49" s="246" t="s">
        <v>51</v>
      </c>
      <c r="C49" s="247" t="s">
        <v>43</v>
      </c>
      <c r="D49" s="276">
        <v>0.5</v>
      </c>
      <c r="E49" s="652">
        <f>Apro.Chantier!$P$27</f>
        <v>3.5350000000000001</v>
      </c>
      <c r="F49" s="155">
        <f>D49*E49</f>
        <v>1.7675000000000001</v>
      </c>
    </row>
    <row r="50" spans="2:6">
      <c r="B50" s="246" t="s">
        <v>182</v>
      </c>
      <c r="C50" s="247" t="s">
        <v>64</v>
      </c>
      <c r="D50" s="277">
        <v>1</v>
      </c>
      <c r="E50" s="652">
        <f>Apro.Chantier!$P$29</f>
        <v>3.0382413793103447</v>
      </c>
      <c r="F50" s="155">
        <f>D50*E50</f>
        <v>3.0382413793103447</v>
      </c>
    </row>
    <row r="51" spans="2:6">
      <c r="B51" s="246" t="s">
        <v>7</v>
      </c>
      <c r="C51" s="247" t="s">
        <v>18</v>
      </c>
      <c r="D51" s="278">
        <v>0.16</v>
      </c>
      <c r="E51" s="652">
        <f>C.Horaire!$C$13</f>
        <v>21.021161699999997</v>
      </c>
      <c r="F51" s="155">
        <f>D51*E51</f>
        <v>3.3633858719999994</v>
      </c>
    </row>
    <row r="52" spans="2:6">
      <c r="B52" s="252"/>
      <c r="C52" s="252"/>
      <c r="D52" s="279"/>
    </row>
    <row r="53" spans="2:6">
      <c r="B53" s="357"/>
    </row>
    <row r="54" spans="2:6" ht="13.5" thickBot="1">
      <c r="B54" s="272" t="s">
        <v>220</v>
      </c>
      <c r="C54" s="273"/>
      <c r="D54" s="274" t="s">
        <v>134</v>
      </c>
      <c r="E54" s="658"/>
      <c r="F54" s="260" t="s">
        <v>180</v>
      </c>
    </row>
    <row r="55" spans="2:6" ht="13.5" thickBot="1">
      <c r="B55" s="240" t="s">
        <v>277</v>
      </c>
      <c r="C55" s="241"/>
      <c r="D55" s="242"/>
      <c r="E55" s="650" t="s">
        <v>133</v>
      </c>
      <c r="F55" s="275">
        <f>SUM(F57:F62)</f>
        <v>29.547960021710342</v>
      </c>
    </row>
    <row r="56" spans="2:6">
      <c r="B56" s="244" t="s">
        <v>119</v>
      </c>
      <c r="C56" s="245" t="s">
        <v>0</v>
      </c>
      <c r="D56" s="245" t="s">
        <v>120</v>
      </c>
      <c r="E56" s="651" t="s">
        <v>121</v>
      </c>
      <c r="F56" s="262" t="s">
        <v>135</v>
      </c>
    </row>
    <row r="57" spans="2:6">
      <c r="B57" s="246" t="s">
        <v>160</v>
      </c>
      <c r="C57" s="247" t="s">
        <v>43</v>
      </c>
      <c r="D57" s="280">
        <v>7.0000000000000007E-2</v>
      </c>
      <c r="E57" s="652">
        <f>Apro.Chantier!$E$5</f>
        <v>104.7375</v>
      </c>
      <c r="F57" s="155">
        <f t="shared" ref="F57:F62" si="0">D57*E57</f>
        <v>7.3316250000000007</v>
      </c>
    </row>
    <row r="58" spans="2:6">
      <c r="B58" s="246" t="s">
        <v>51</v>
      </c>
      <c r="C58" s="247" t="s">
        <v>43</v>
      </c>
      <c r="D58" s="280">
        <v>0.36</v>
      </c>
      <c r="E58" s="652">
        <f>Apro.Chantier!$P$27</f>
        <v>3.5350000000000001</v>
      </c>
      <c r="F58" s="155">
        <f t="shared" si="0"/>
        <v>1.2726</v>
      </c>
    </row>
    <row r="59" spans="2:6">
      <c r="B59" s="246" t="s">
        <v>182</v>
      </c>
      <c r="C59" s="247" t="s">
        <v>163</v>
      </c>
      <c r="D59" s="281">
        <v>1</v>
      </c>
      <c r="E59" s="652">
        <f>Apro.Chantier!$P$29</f>
        <v>3.0382413793103447</v>
      </c>
      <c r="F59" s="155">
        <f t="shared" si="0"/>
        <v>3.0382413793103447</v>
      </c>
    </row>
    <row r="60" spans="2:6">
      <c r="B60" s="246" t="s">
        <v>139</v>
      </c>
      <c r="C60" s="247" t="s">
        <v>163</v>
      </c>
      <c r="D60" s="282">
        <v>0.01</v>
      </c>
      <c r="E60" s="645">
        <f>Apro.Chantier!$P$69</f>
        <v>1.1970000000000001</v>
      </c>
      <c r="F60" s="155">
        <f t="shared" si="0"/>
        <v>1.1970000000000001E-2</v>
      </c>
    </row>
    <row r="61" spans="2:6">
      <c r="B61" s="246" t="s">
        <v>221</v>
      </c>
      <c r="C61" s="247"/>
      <c r="D61" s="283">
        <v>1</v>
      </c>
      <c r="E61" s="652">
        <f>Apro.Chantier!H7</f>
        <v>16.38</v>
      </c>
      <c r="F61" s="155">
        <f t="shared" si="0"/>
        <v>16.38</v>
      </c>
    </row>
    <row r="62" spans="2:6">
      <c r="B62" s="246" t="s">
        <v>7</v>
      </c>
      <c r="C62" s="247" t="s">
        <v>18</v>
      </c>
      <c r="D62" s="283">
        <v>7.1999999999999995E-2</v>
      </c>
      <c r="E62" s="652">
        <f>C.Horaire!$C$13</f>
        <v>21.021161699999997</v>
      </c>
      <c r="F62" s="155">
        <f t="shared" si="0"/>
        <v>1.5135236423999996</v>
      </c>
    </row>
    <row r="64" spans="2:6">
      <c r="B64" s="357"/>
    </row>
    <row r="65" spans="2:7" ht="13.5" thickBot="1">
      <c r="B65" s="272" t="s">
        <v>222</v>
      </c>
      <c r="C65" s="273"/>
      <c r="D65" s="274" t="s">
        <v>134</v>
      </c>
      <c r="E65" s="658"/>
      <c r="F65" s="260" t="s">
        <v>189</v>
      </c>
    </row>
    <row r="66" spans="2:7" ht="13.5" thickBot="1">
      <c r="B66" s="240" t="s">
        <v>278</v>
      </c>
      <c r="C66" s="241"/>
      <c r="D66" s="242"/>
      <c r="E66" s="650" t="s">
        <v>133</v>
      </c>
      <c r="F66" s="275">
        <f>SUM(F68:F69)</f>
        <v>5.1652367549999996</v>
      </c>
    </row>
    <row r="67" spans="2:7">
      <c r="B67" s="244" t="s">
        <v>119</v>
      </c>
      <c r="C67" s="245" t="s">
        <v>0</v>
      </c>
      <c r="D67" s="245" t="s">
        <v>120</v>
      </c>
      <c r="E67" s="651" t="s">
        <v>121</v>
      </c>
      <c r="F67" s="262" t="s">
        <v>135</v>
      </c>
    </row>
    <row r="68" spans="2:7">
      <c r="B68" s="246" t="s">
        <v>181</v>
      </c>
      <c r="C68" s="247" t="s">
        <v>43</v>
      </c>
      <c r="D68" s="276">
        <v>2.5000000000000001E-2</v>
      </c>
      <c r="E68" s="652">
        <f>Apro.Chantier!$E$6</f>
        <v>80.482500000000002</v>
      </c>
      <c r="F68" s="155">
        <f>D68*E68</f>
        <v>2.0120625000000003</v>
      </c>
    </row>
    <row r="69" spans="2:7">
      <c r="B69" s="246" t="s">
        <v>7</v>
      </c>
      <c r="C69" s="247" t="s">
        <v>18</v>
      </c>
      <c r="D69" s="270">
        <v>0.15</v>
      </c>
      <c r="E69" s="652">
        <f>C.Horaire!$C$13</f>
        <v>21.021161699999997</v>
      </c>
      <c r="F69" s="155">
        <f>D69*E69</f>
        <v>3.1531742549999993</v>
      </c>
    </row>
    <row r="71" spans="2:7">
      <c r="B71" s="357"/>
    </row>
    <row r="72" spans="2:7" ht="13.5" thickBot="1">
      <c r="B72" s="272" t="s">
        <v>227</v>
      </c>
      <c r="C72" s="273"/>
      <c r="D72" s="274" t="s">
        <v>134</v>
      </c>
      <c r="E72" s="658"/>
      <c r="F72" s="260" t="s">
        <v>189</v>
      </c>
    </row>
    <row r="73" spans="2:7" ht="13.5" thickBot="1">
      <c r="B73" s="240" t="s">
        <v>223</v>
      </c>
      <c r="C73" s="241"/>
      <c r="D73" s="242"/>
      <c r="E73" s="650" t="s">
        <v>133</v>
      </c>
      <c r="F73" s="275">
        <f>SUM(F75:F80)</f>
        <v>73.316306182272712</v>
      </c>
    </row>
    <row r="74" spans="2:7">
      <c r="B74" s="244" t="s">
        <v>119</v>
      </c>
      <c r="C74" s="245" t="s">
        <v>0</v>
      </c>
      <c r="D74" s="245" t="s">
        <v>120</v>
      </c>
      <c r="E74" s="651" t="s">
        <v>121</v>
      </c>
      <c r="F74" s="262" t="s">
        <v>135</v>
      </c>
    </row>
    <row r="75" spans="2:7">
      <c r="B75" s="246" t="s">
        <v>160</v>
      </c>
      <c r="C75" s="247" t="s">
        <v>43</v>
      </c>
      <c r="D75" s="254">
        <v>0.11</v>
      </c>
      <c r="E75" s="652">
        <f>Apro.Chantier!$E$5</f>
        <v>104.7375</v>
      </c>
      <c r="F75" s="155">
        <f t="shared" ref="F75:F80" si="1">D75*E75</f>
        <v>11.521125</v>
      </c>
    </row>
    <row r="76" spans="2:7">
      <c r="B76" s="246" t="s">
        <v>224</v>
      </c>
      <c r="C76" s="247" t="s">
        <v>0</v>
      </c>
      <c r="D76" s="254">
        <v>12.5</v>
      </c>
      <c r="E76" s="652">
        <f>Apro.Chantier!$P$21</f>
        <v>2.2324999999999999</v>
      </c>
      <c r="F76" s="155">
        <f t="shared" si="1"/>
        <v>27.90625</v>
      </c>
    </row>
    <row r="77" spans="2:7">
      <c r="B77" s="246" t="s">
        <v>225</v>
      </c>
      <c r="C77" s="247" t="s">
        <v>163</v>
      </c>
      <c r="D77" s="254">
        <v>0.21</v>
      </c>
      <c r="E77" s="652">
        <f>Apro.Chantier!$P$26</f>
        <v>4.7937272727272724</v>
      </c>
      <c r="F77" s="155">
        <f t="shared" si="1"/>
        <v>1.0066827272727272</v>
      </c>
    </row>
    <row r="78" spans="2:7">
      <c r="B78" s="246" t="s">
        <v>226</v>
      </c>
      <c r="C78" s="247" t="s">
        <v>43</v>
      </c>
      <c r="D78" s="254">
        <v>0.03</v>
      </c>
      <c r="E78" s="652">
        <f>Apro.Chantier!$E$7</f>
        <v>267.90750000000003</v>
      </c>
      <c r="F78" s="155">
        <f t="shared" si="1"/>
        <v>8.0372250000000012</v>
      </c>
    </row>
    <row r="79" spans="2:7">
      <c r="B79" s="246" t="s">
        <v>61</v>
      </c>
      <c r="C79" s="247" t="s">
        <v>163</v>
      </c>
      <c r="D79" s="254">
        <v>0.2</v>
      </c>
      <c r="E79" s="652">
        <f>Apro.Chantier!$P$37</f>
        <v>3.3534375000000001</v>
      </c>
      <c r="F79" s="155">
        <f t="shared" si="1"/>
        <v>0.6706875000000001</v>
      </c>
      <c r="G79" s="79"/>
    </row>
    <row r="80" spans="2:7">
      <c r="B80" s="246" t="s">
        <v>7</v>
      </c>
      <c r="C80" s="247" t="s">
        <v>18</v>
      </c>
      <c r="D80" s="254">
        <v>1.1499999999999999</v>
      </c>
      <c r="E80" s="652">
        <f>C.Horaire!$C$13</f>
        <v>21.021161699999997</v>
      </c>
      <c r="F80" s="155">
        <f t="shared" si="1"/>
        <v>24.174335954999993</v>
      </c>
      <c r="G80" s="358"/>
    </row>
    <row r="82" spans="2:6">
      <c r="B82" s="355"/>
      <c r="C82" s="257"/>
    </row>
    <row r="83" spans="2:6" ht="13.5" thickBot="1">
      <c r="B83" s="272" t="s">
        <v>231</v>
      </c>
      <c r="C83" s="273"/>
      <c r="D83" s="274" t="s">
        <v>134</v>
      </c>
      <c r="E83" s="658"/>
      <c r="F83" s="260" t="s">
        <v>189</v>
      </c>
    </row>
    <row r="84" spans="2:6" ht="13.5" thickBot="1">
      <c r="B84" s="240" t="s">
        <v>230</v>
      </c>
      <c r="C84" s="241"/>
      <c r="D84" s="242"/>
      <c r="E84" s="650" t="s">
        <v>133</v>
      </c>
      <c r="F84" s="275">
        <f>SUM(F86:F89)</f>
        <v>16.716080765999997</v>
      </c>
    </row>
    <row r="85" spans="2:6">
      <c r="B85" s="244" t="s">
        <v>119</v>
      </c>
      <c r="C85" s="245" t="s">
        <v>0</v>
      </c>
      <c r="D85" s="245" t="s">
        <v>120</v>
      </c>
      <c r="E85" s="651" t="s">
        <v>121</v>
      </c>
      <c r="F85" s="262" t="s">
        <v>135</v>
      </c>
    </row>
    <row r="86" spans="2:6">
      <c r="B86" s="246" t="s">
        <v>234</v>
      </c>
      <c r="C86" s="247" t="s">
        <v>67</v>
      </c>
      <c r="D86" s="254">
        <v>1</v>
      </c>
      <c r="E86" s="652">
        <f>Apro.Chantier!$P$39</f>
        <v>0.73499991600000003</v>
      </c>
      <c r="F86" s="155">
        <f>D86*E86</f>
        <v>0.73499991600000003</v>
      </c>
    </row>
    <row r="87" spans="2:6">
      <c r="B87" s="246"/>
      <c r="C87" s="247"/>
      <c r="D87" s="254"/>
      <c r="E87" s="652"/>
      <c r="F87" s="155"/>
    </row>
    <row r="88" spans="2:6">
      <c r="B88" s="246" t="s">
        <v>365</v>
      </c>
      <c r="C88" s="247" t="s">
        <v>67</v>
      </c>
      <c r="D88" s="254">
        <v>0.1</v>
      </c>
      <c r="E88" s="652">
        <f>Apro.Chantier!P68</f>
        <v>54.704999999999998</v>
      </c>
      <c r="F88" s="155">
        <f>D88*E88</f>
        <v>5.4705000000000004</v>
      </c>
    </row>
    <row r="89" spans="2:6">
      <c r="B89" s="246" t="s">
        <v>7</v>
      </c>
      <c r="C89" s="247" t="s">
        <v>18</v>
      </c>
      <c r="D89" s="254">
        <v>0.5</v>
      </c>
      <c r="E89" s="652">
        <f>C.Horaire!$C$13</f>
        <v>21.021161699999997</v>
      </c>
      <c r="F89" s="155">
        <f>D89*E89</f>
        <v>10.510580849999998</v>
      </c>
    </row>
    <row r="90" spans="2:6">
      <c r="B90" s="359"/>
    </row>
    <row r="93" spans="2:6" ht="15" customHeight="1">
      <c r="B93" s="351"/>
      <c r="C93" s="1145" t="s">
        <v>151</v>
      </c>
      <c r="D93" s="1146"/>
      <c r="E93" s="1147"/>
    </row>
    <row r="94" spans="2:6">
      <c r="B94" s="351"/>
      <c r="D94" s="351"/>
    </row>
    <row r="95" spans="2:6">
      <c r="B95" s="351"/>
    </row>
    <row r="96" spans="2:6">
      <c r="B96" s="351"/>
    </row>
    <row r="97" spans="2:6" ht="13.5" thickBot="1">
      <c r="B97" s="284" t="s">
        <v>236</v>
      </c>
      <c r="C97" s="285"/>
      <c r="D97" s="286" t="s">
        <v>134</v>
      </c>
      <c r="E97" s="659"/>
      <c r="F97" s="287" t="s">
        <v>155</v>
      </c>
    </row>
    <row r="98" spans="2:6" ht="13.5" thickBot="1">
      <c r="B98" s="288" t="s">
        <v>235</v>
      </c>
      <c r="C98" s="289"/>
      <c r="D98" s="290"/>
      <c r="E98" s="650" t="s">
        <v>133</v>
      </c>
      <c r="F98" s="275">
        <f>SUM(F100:F102)</f>
        <v>48.315871274999992</v>
      </c>
    </row>
    <row r="99" spans="2:6">
      <c r="B99" s="268" t="s">
        <v>119</v>
      </c>
      <c r="C99" s="269" t="s">
        <v>0</v>
      </c>
      <c r="D99" s="269" t="s">
        <v>120</v>
      </c>
      <c r="E99" s="655" t="s">
        <v>121</v>
      </c>
      <c r="F99" s="269" t="s">
        <v>135</v>
      </c>
    </row>
    <row r="100" spans="2:6">
      <c r="B100" s="291" t="s">
        <v>157</v>
      </c>
      <c r="C100" s="287" t="s">
        <v>50</v>
      </c>
      <c r="D100" s="292">
        <v>1</v>
      </c>
      <c r="E100" s="652">
        <f>Apro.Chantier!$P$17</f>
        <v>22.05</v>
      </c>
      <c r="F100" s="292">
        <f>D100*E100</f>
        <v>22.05</v>
      </c>
    </row>
    <row r="101" spans="2:6">
      <c r="B101" s="246" t="s">
        <v>149</v>
      </c>
      <c r="C101" s="247" t="s">
        <v>50</v>
      </c>
      <c r="D101" s="292">
        <v>1</v>
      </c>
      <c r="E101" s="652">
        <v>10.5</v>
      </c>
      <c r="F101" s="292">
        <f>D101*E101</f>
        <v>10.5</v>
      </c>
    </row>
    <row r="102" spans="2:6">
      <c r="B102" s="291" t="s">
        <v>158</v>
      </c>
      <c r="C102" s="287" t="s">
        <v>18</v>
      </c>
      <c r="D102" s="292">
        <v>0.75</v>
      </c>
      <c r="E102" s="652">
        <f>C.Horaire!$C$13</f>
        <v>21.021161699999997</v>
      </c>
      <c r="F102" s="292">
        <f>D102*E102</f>
        <v>15.765871274999999</v>
      </c>
    </row>
    <row r="103" spans="2:6">
      <c r="E103" s="660"/>
      <c r="F103" s="237"/>
    </row>
    <row r="104" spans="2:6">
      <c r="B104" s="357"/>
      <c r="C104" s="293"/>
      <c r="D104" s="294"/>
      <c r="E104" s="661"/>
      <c r="F104" s="295"/>
    </row>
    <row r="105" spans="2:6" ht="13.5" thickBot="1">
      <c r="B105" s="272" t="s">
        <v>238</v>
      </c>
      <c r="C105" s="273"/>
      <c r="D105" s="274" t="s">
        <v>134</v>
      </c>
      <c r="E105" s="658"/>
      <c r="F105" s="247" t="s">
        <v>136</v>
      </c>
    </row>
    <row r="106" spans="2:6" ht="13.5" thickBot="1">
      <c r="B106" s="240" t="s">
        <v>237</v>
      </c>
      <c r="C106" s="241"/>
      <c r="D106" s="242"/>
      <c r="E106" s="650" t="s">
        <v>133</v>
      </c>
      <c r="F106" s="275">
        <f>SUM(F108:F112)</f>
        <v>38.276481506666663</v>
      </c>
    </row>
    <row r="107" spans="2:6">
      <c r="B107" s="244" t="s">
        <v>119</v>
      </c>
      <c r="C107" s="245" t="s">
        <v>0</v>
      </c>
      <c r="D107" s="245" t="s">
        <v>120</v>
      </c>
      <c r="E107" s="643" t="s">
        <v>121</v>
      </c>
      <c r="F107" s="245" t="s">
        <v>135</v>
      </c>
    </row>
    <row r="108" spans="2:6">
      <c r="B108" s="292" t="s">
        <v>160</v>
      </c>
      <c r="C108" s="99" t="s">
        <v>43</v>
      </c>
      <c r="D108" s="296">
        <v>0.12</v>
      </c>
      <c r="E108" s="644">
        <f>Apro.Chantier!$E$5</f>
        <v>104.7375</v>
      </c>
      <c r="F108" s="149">
        <f>D108*E108</f>
        <v>12.568499999999998</v>
      </c>
    </row>
    <row r="109" spans="2:6">
      <c r="B109" s="297" t="s">
        <v>221</v>
      </c>
      <c r="C109" s="292" t="s">
        <v>67</v>
      </c>
      <c r="D109" s="296">
        <v>1</v>
      </c>
      <c r="E109" s="644">
        <f>Apro.Chantier!$H$7</f>
        <v>16.38</v>
      </c>
      <c r="F109" s="256">
        <f>D109*E109</f>
        <v>16.38</v>
      </c>
    </row>
    <row r="110" spans="2:6">
      <c r="B110" s="292" t="s">
        <v>239</v>
      </c>
      <c r="C110" s="99" t="s">
        <v>64</v>
      </c>
      <c r="D110" s="296">
        <v>1.87</v>
      </c>
      <c r="E110" s="644">
        <f>Apro.Chantier!$P$31</f>
        <v>0.84959848484848477</v>
      </c>
      <c r="F110" s="149">
        <f>D110*E110</f>
        <v>1.5887491666666667</v>
      </c>
    </row>
    <row r="111" spans="2:6">
      <c r="B111" s="292" t="s">
        <v>52</v>
      </c>
      <c r="C111" s="99" t="s">
        <v>67</v>
      </c>
      <c r="D111" s="296">
        <v>1</v>
      </c>
      <c r="E111" s="644">
        <f>Apro.Chantier!$P$27</f>
        <v>3.5350000000000001</v>
      </c>
      <c r="F111" s="149">
        <f>D111*E111</f>
        <v>3.5350000000000001</v>
      </c>
    </row>
    <row r="112" spans="2:6">
      <c r="B112" s="292" t="s">
        <v>158</v>
      </c>
      <c r="C112" s="99" t="s">
        <v>18</v>
      </c>
      <c r="D112" s="298">
        <v>0.2</v>
      </c>
      <c r="E112" s="644">
        <f>C.Horaire!$C$13</f>
        <v>21.021161699999997</v>
      </c>
      <c r="F112" s="99">
        <f>D112*E112</f>
        <v>4.2042323399999999</v>
      </c>
    </row>
    <row r="116" spans="2:6" ht="15" customHeight="1">
      <c r="B116" s="355"/>
      <c r="C116" s="1145" t="s">
        <v>152</v>
      </c>
      <c r="D116" s="1146"/>
      <c r="E116" s="1147"/>
    </row>
    <row r="117" spans="2:6">
      <c r="B117" s="355"/>
    </row>
    <row r="118" spans="2:6">
      <c r="B118" s="355"/>
    </row>
    <row r="119" spans="2:6">
      <c r="B119" s="355"/>
    </row>
    <row r="120" spans="2:6" ht="13.5" thickBot="1">
      <c r="B120" s="272" t="s">
        <v>242</v>
      </c>
      <c r="C120" s="273"/>
      <c r="D120" s="274" t="s">
        <v>134</v>
      </c>
      <c r="E120" s="658"/>
      <c r="F120" s="260" t="s">
        <v>165</v>
      </c>
    </row>
    <row r="121" spans="2:6" ht="13.5" thickBot="1">
      <c r="B121" s="240" t="s">
        <v>241</v>
      </c>
      <c r="C121" s="241"/>
      <c r="D121" s="242"/>
      <c r="E121" s="650" t="s">
        <v>133</v>
      </c>
      <c r="F121" s="275">
        <f>SUM(F123:F124)</f>
        <v>9.9706441170000009</v>
      </c>
    </row>
    <row r="122" spans="2:6">
      <c r="B122" s="244" t="s">
        <v>119</v>
      </c>
      <c r="C122" s="245" t="s">
        <v>0</v>
      </c>
      <c r="D122" s="245" t="s">
        <v>120</v>
      </c>
      <c r="E122" s="651" t="s">
        <v>121</v>
      </c>
      <c r="F122" s="262" t="s">
        <v>135</v>
      </c>
    </row>
    <row r="123" spans="2:6">
      <c r="B123" s="246" t="s">
        <v>243</v>
      </c>
      <c r="C123" s="247" t="s">
        <v>59</v>
      </c>
      <c r="D123" s="254">
        <v>0.03</v>
      </c>
      <c r="E123" s="652">
        <f>Apro.Chantier!$E$8</f>
        <v>325.34775000000002</v>
      </c>
      <c r="F123" s="155">
        <f>D123*E123</f>
        <v>9.7604325000000003</v>
      </c>
    </row>
    <row r="124" spans="2:6">
      <c r="B124" s="246" t="s">
        <v>7</v>
      </c>
      <c r="C124" s="247" t="s">
        <v>18</v>
      </c>
      <c r="D124" s="254">
        <v>0.01</v>
      </c>
      <c r="E124" s="652">
        <f>C.Horaire!$C$13</f>
        <v>21.021161699999997</v>
      </c>
      <c r="F124" s="155">
        <f>D124*E124</f>
        <v>0.21021161699999996</v>
      </c>
    </row>
    <row r="126" spans="2:6">
      <c r="B126" s="357"/>
    </row>
    <row r="127" spans="2:6" ht="13.5" thickBot="1">
      <c r="B127" s="272" t="s">
        <v>245</v>
      </c>
      <c r="C127" s="273"/>
      <c r="D127" s="748" t="s">
        <v>134</v>
      </c>
      <c r="E127" s="658"/>
      <c r="F127" s="260" t="s">
        <v>189</v>
      </c>
    </row>
    <row r="128" spans="2:6" ht="13.5" thickBot="1">
      <c r="B128" s="240" t="s">
        <v>244</v>
      </c>
      <c r="C128" s="241"/>
      <c r="D128" s="242"/>
      <c r="E128" s="650" t="s">
        <v>133</v>
      </c>
      <c r="F128" s="275">
        <f>SUM(F130:F135)</f>
        <v>64.937306182272721</v>
      </c>
    </row>
    <row r="129" spans="2:6">
      <c r="B129" s="244" t="s">
        <v>119</v>
      </c>
      <c r="C129" s="245" t="s">
        <v>0</v>
      </c>
      <c r="D129" s="245" t="s">
        <v>120</v>
      </c>
      <c r="E129" s="651" t="s">
        <v>121</v>
      </c>
      <c r="F129" s="262" t="s">
        <v>135</v>
      </c>
    </row>
    <row r="130" spans="2:6">
      <c r="B130" s="246" t="s">
        <v>160</v>
      </c>
      <c r="C130" s="247" t="s">
        <v>43</v>
      </c>
      <c r="D130" s="254">
        <v>0.03</v>
      </c>
      <c r="E130" s="652">
        <f>Apro.Chantier!$E$5</f>
        <v>104.7375</v>
      </c>
      <c r="F130" s="155">
        <f t="shared" ref="F130:F135" si="2">D130*E130</f>
        <v>3.1421249999999996</v>
      </c>
    </row>
    <row r="131" spans="2:6">
      <c r="B131" s="246" t="s">
        <v>224</v>
      </c>
      <c r="C131" s="247" t="s">
        <v>0</v>
      </c>
      <c r="D131" s="254">
        <v>12.5</v>
      </c>
      <c r="E131" s="652">
        <f>Apro.Chantier!$P$21</f>
        <v>2.2324999999999999</v>
      </c>
      <c r="F131" s="155">
        <f t="shared" si="2"/>
        <v>27.90625</v>
      </c>
    </row>
    <row r="132" spans="2:6">
      <c r="B132" s="246" t="s">
        <v>225</v>
      </c>
      <c r="C132" s="247" t="s">
        <v>163</v>
      </c>
      <c r="D132" s="254">
        <v>0.21</v>
      </c>
      <c r="E132" s="652">
        <f>Apro.Chantier!$P$26</f>
        <v>4.7937272727272724</v>
      </c>
      <c r="F132" s="155">
        <f t="shared" si="2"/>
        <v>1.0066827272727272</v>
      </c>
    </row>
    <row r="133" spans="2:6">
      <c r="B133" s="246" t="s">
        <v>226</v>
      </c>
      <c r="C133" s="247" t="s">
        <v>43</v>
      </c>
      <c r="D133" s="254">
        <v>0.03</v>
      </c>
      <c r="E133" s="652">
        <f>Apro.Chantier!$E$7</f>
        <v>267.90750000000003</v>
      </c>
      <c r="F133" s="155">
        <f t="shared" si="2"/>
        <v>8.0372250000000012</v>
      </c>
    </row>
    <row r="134" spans="2:6">
      <c r="B134" s="246" t="s">
        <v>61</v>
      </c>
      <c r="C134" s="247" t="s">
        <v>163</v>
      </c>
      <c r="D134" s="254">
        <v>0.2</v>
      </c>
      <c r="E134" s="652">
        <f>Apro.Chantier!$P$37</f>
        <v>3.3534375000000001</v>
      </c>
      <c r="F134" s="155">
        <f t="shared" si="2"/>
        <v>0.6706875000000001</v>
      </c>
    </row>
    <row r="135" spans="2:6">
      <c r="B135" s="246" t="s">
        <v>7</v>
      </c>
      <c r="C135" s="247" t="s">
        <v>18</v>
      </c>
      <c r="D135" s="254">
        <v>1.1499999999999999</v>
      </c>
      <c r="E135" s="652">
        <f>C.Horaire!$C$13</f>
        <v>21.021161699999997</v>
      </c>
      <c r="F135" s="155">
        <f t="shared" si="2"/>
        <v>24.174335954999993</v>
      </c>
    </row>
    <row r="137" spans="2:6">
      <c r="B137" s="357"/>
    </row>
    <row r="138" spans="2:6" ht="13.5" thickBot="1">
      <c r="B138" s="272" t="s">
        <v>247</v>
      </c>
      <c r="C138" s="273"/>
      <c r="D138" s="274" t="s">
        <v>134</v>
      </c>
      <c r="E138" s="658"/>
      <c r="F138" s="260" t="s">
        <v>189</v>
      </c>
    </row>
    <row r="139" spans="2:6" ht="13.5" thickBot="1">
      <c r="B139" s="240" t="s">
        <v>246</v>
      </c>
      <c r="C139" s="241"/>
      <c r="D139" s="242"/>
      <c r="E139" s="650" t="s">
        <v>133</v>
      </c>
      <c r="F139" s="275">
        <f>SUM(F141:F146)</f>
        <v>48.087099932272722</v>
      </c>
    </row>
    <row r="140" spans="2:6">
      <c r="B140" s="244" t="s">
        <v>119</v>
      </c>
      <c r="C140" s="245" t="s">
        <v>0</v>
      </c>
      <c r="D140" s="245" t="s">
        <v>120</v>
      </c>
      <c r="E140" s="651" t="s">
        <v>121</v>
      </c>
      <c r="F140" s="262" t="s">
        <v>135</v>
      </c>
    </row>
    <row r="141" spans="2:6">
      <c r="B141" s="246" t="s">
        <v>160</v>
      </c>
      <c r="C141" s="247" t="s">
        <v>43</v>
      </c>
      <c r="D141" s="254">
        <v>7.4999999999999997E-3</v>
      </c>
      <c r="E141" s="652">
        <f>Apro.Chantier!$E$5</f>
        <v>104.7375</v>
      </c>
      <c r="F141" s="155">
        <f t="shared" ref="F141:F146" si="3">D141*E141</f>
        <v>0.7855312499999999</v>
      </c>
    </row>
    <row r="142" spans="2:6">
      <c r="B142" s="246" t="s">
        <v>248</v>
      </c>
      <c r="C142" s="247" t="s">
        <v>0</v>
      </c>
      <c r="D142" s="254">
        <v>12.5</v>
      </c>
      <c r="E142" s="652">
        <f>Apro.Chantier!$P$22</f>
        <v>1.3945000000000001</v>
      </c>
      <c r="F142" s="155">
        <f t="shared" si="3"/>
        <v>17.431250000000002</v>
      </c>
    </row>
    <row r="143" spans="2:6">
      <c r="B143" s="246" t="s">
        <v>225</v>
      </c>
      <c r="C143" s="247" t="s">
        <v>163</v>
      </c>
      <c r="D143" s="254">
        <v>0.21</v>
      </c>
      <c r="E143" s="652">
        <f>Apro.Chantier!$P$26</f>
        <v>4.7937272727272724</v>
      </c>
      <c r="F143" s="155">
        <f t="shared" si="3"/>
        <v>1.0066827272727272</v>
      </c>
    </row>
    <row r="144" spans="2:6">
      <c r="B144" s="246" t="s">
        <v>226</v>
      </c>
      <c r="C144" s="247" t="s">
        <v>43</v>
      </c>
      <c r="D144" s="254">
        <v>1.4999999999999999E-2</v>
      </c>
      <c r="E144" s="652">
        <f>Apro.Chantier!$E$7</f>
        <v>267.90750000000003</v>
      </c>
      <c r="F144" s="155">
        <f t="shared" si="3"/>
        <v>4.0186125000000006</v>
      </c>
    </row>
    <row r="145" spans="2:6">
      <c r="B145" s="246" t="s">
        <v>61</v>
      </c>
      <c r="C145" s="247" t="s">
        <v>163</v>
      </c>
      <c r="D145" s="254">
        <v>0.2</v>
      </c>
      <c r="E145" s="652">
        <f>Apro.Chantier!$P$37</f>
        <v>3.3534375000000001</v>
      </c>
      <c r="F145" s="155">
        <f t="shared" si="3"/>
        <v>0.6706875000000001</v>
      </c>
    </row>
    <row r="146" spans="2:6">
      <c r="B146" s="246" t="s">
        <v>7</v>
      </c>
      <c r="C146" s="247" t="s">
        <v>18</v>
      </c>
      <c r="D146" s="254">
        <v>1.1499999999999999</v>
      </c>
      <c r="E146" s="652">
        <f>C.Horaire!$C$13</f>
        <v>21.021161699999997</v>
      </c>
      <c r="F146" s="155">
        <f t="shared" si="3"/>
        <v>24.174335954999993</v>
      </c>
    </row>
    <row r="148" spans="2:6">
      <c r="B148" s="357"/>
    </row>
    <row r="149" spans="2:6" ht="13.5" thickBot="1">
      <c r="B149" s="272" t="s">
        <v>252</v>
      </c>
      <c r="C149" s="273"/>
      <c r="D149" s="274" t="s">
        <v>134</v>
      </c>
      <c r="E149" s="658"/>
      <c r="F149" s="260" t="s">
        <v>255</v>
      </c>
    </row>
    <row r="150" spans="2:6" ht="13.5" thickBot="1">
      <c r="B150" s="240" t="s">
        <v>249</v>
      </c>
      <c r="C150" s="241"/>
      <c r="D150" s="242"/>
      <c r="E150" s="650" t="s">
        <v>133</v>
      </c>
      <c r="F150" s="275">
        <f>SUM(F152:F157)</f>
        <v>574.33535612727269</v>
      </c>
    </row>
    <row r="151" spans="2:6">
      <c r="B151" s="244" t="s">
        <v>119</v>
      </c>
      <c r="C151" s="245" t="s">
        <v>0</v>
      </c>
      <c r="D151" s="245" t="s">
        <v>120</v>
      </c>
      <c r="E151" s="651" t="s">
        <v>121</v>
      </c>
      <c r="F151" s="262" t="s">
        <v>135</v>
      </c>
    </row>
    <row r="152" spans="2:6">
      <c r="B152" s="246" t="s">
        <v>150</v>
      </c>
      <c r="C152" s="247" t="s">
        <v>43</v>
      </c>
      <c r="D152" s="276">
        <v>1</v>
      </c>
      <c r="E152" s="652">
        <f>Apro.Chantier!$E$4</f>
        <v>116.86500000000001</v>
      </c>
      <c r="F152" s="155">
        <f>D152*E152</f>
        <v>116.86500000000001</v>
      </c>
    </row>
    <row r="153" spans="2:6">
      <c r="B153" s="246" t="s">
        <v>225</v>
      </c>
      <c r="C153" s="247" t="s">
        <v>163</v>
      </c>
      <c r="D153" s="299">
        <v>65</v>
      </c>
      <c r="E153" s="652">
        <f>Apro.Chantier!$P$26</f>
        <v>4.7937272727272724</v>
      </c>
      <c r="F153" s="155">
        <f>D153*E153</f>
        <v>311.5922727272727</v>
      </c>
    </row>
    <row r="154" spans="2:6">
      <c r="B154" s="246" t="s">
        <v>137</v>
      </c>
      <c r="C154" s="247" t="s">
        <v>50</v>
      </c>
      <c r="D154" s="299">
        <v>0.16</v>
      </c>
      <c r="E154" s="644">
        <f>Apro.Chantier!$P$23</f>
        <v>546</v>
      </c>
      <c r="F154" s="300">
        <f>E154*D154</f>
        <v>87.36</v>
      </c>
    </row>
    <row r="155" spans="2:6">
      <c r="B155" s="246" t="s">
        <v>221</v>
      </c>
      <c r="C155" s="247" t="s">
        <v>67</v>
      </c>
      <c r="D155" s="270">
        <v>1</v>
      </c>
      <c r="E155" s="644">
        <f>Apro.Chantier!$H$7</f>
        <v>16.38</v>
      </c>
      <c r="F155" s="155">
        <f>D155*E155</f>
        <v>16.38</v>
      </c>
    </row>
    <row r="156" spans="2:6">
      <c r="B156" s="246" t="s">
        <v>178</v>
      </c>
      <c r="C156" s="247" t="s">
        <v>163</v>
      </c>
      <c r="D156" s="299">
        <v>0.08</v>
      </c>
      <c r="E156" s="645">
        <f>Apro.Chantier!$P$69</f>
        <v>1.1970000000000001</v>
      </c>
      <c r="F156" s="155">
        <f>D156*E156</f>
        <v>9.5760000000000012E-2</v>
      </c>
    </row>
    <row r="157" spans="2:6">
      <c r="B157" s="246" t="s">
        <v>7</v>
      </c>
      <c r="C157" s="247" t="s">
        <v>18</v>
      </c>
      <c r="D157" s="270">
        <v>2</v>
      </c>
      <c r="E157" s="652">
        <f>C.Horaire!$C$13</f>
        <v>21.021161699999997</v>
      </c>
      <c r="F157" s="155">
        <f>D157*E157</f>
        <v>42.042323399999994</v>
      </c>
    </row>
    <row r="159" spans="2:6">
      <c r="B159" s="357" t="s">
        <v>21</v>
      </c>
    </row>
    <row r="160" spans="2:6" ht="13.5" thickBot="1">
      <c r="B160" s="272" t="s">
        <v>257</v>
      </c>
      <c r="C160" s="273"/>
      <c r="D160" s="274" t="s">
        <v>134</v>
      </c>
      <c r="E160" s="658"/>
      <c r="F160" s="260" t="s">
        <v>256</v>
      </c>
    </row>
    <row r="161" spans="2:6" ht="13.5" thickBot="1">
      <c r="B161" s="240" t="s">
        <v>279</v>
      </c>
      <c r="C161" s="241"/>
      <c r="D161" s="242"/>
      <c r="E161" s="650" t="s">
        <v>133</v>
      </c>
      <c r="F161" s="275">
        <f>SUM(F163:F168)</f>
        <v>511.69369425450344</v>
      </c>
    </row>
    <row r="162" spans="2:6">
      <c r="B162" s="244" t="s">
        <v>119</v>
      </c>
      <c r="C162" s="245" t="s">
        <v>0</v>
      </c>
      <c r="D162" s="245" t="s">
        <v>120</v>
      </c>
      <c r="E162" s="651" t="s">
        <v>121</v>
      </c>
      <c r="F162" s="262" t="s">
        <v>135</v>
      </c>
    </row>
    <row r="163" spans="2:6">
      <c r="B163" s="246" t="s">
        <v>150</v>
      </c>
      <c r="C163" s="247" t="s">
        <v>43</v>
      </c>
      <c r="D163" s="276">
        <v>1</v>
      </c>
      <c r="E163" s="652">
        <f>Apro.Chantier!$E$4</f>
        <v>116.86500000000001</v>
      </c>
      <c r="F163" s="155">
        <f>D163*E163</f>
        <v>116.86500000000001</v>
      </c>
    </row>
    <row r="164" spans="2:6">
      <c r="B164" s="246" t="s">
        <v>254</v>
      </c>
      <c r="C164" s="247" t="s">
        <v>163</v>
      </c>
      <c r="D164" s="299">
        <v>102</v>
      </c>
      <c r="E164" s="652">
        <f>Apro.Chantier!$P$32</f>
        <v>2.4406922632794457</v>
      </c>
      <c r="F164" s="155">
        <f>D164*E164</f>
        <v>248.95061085450345</v>
      </c>
    </row>
    <row r="165" spans="2:6">
      <c r="B165" s="246" t="s">
        <v>137</v>
      </c>
      <c r="C165" s="247" t="s">
        <v>50</v>
      </c>
      <c r="D165" s="299">
        <v>0.16</v>
      </c>
      <c r="E165" s="644">
        <f>Apro.Chantier!$P$23</f>
        <v>546</v>
      </c>
      <c r="F165" s="300">
        <f>E165*D165</f>
        <v>87.36</v>
      </c>
    </row>
    <row r="166" spans="2:6">
      <c r="B166" s="246" t="s">
        <v>221</v>
      </c>
      <c r="C166" s="247" t="s">
        <v>67</v>
      </c>
      <c r="D166" s="270">
        <v>1</v>
      </c>
      <c r="E166" s="652">
        <f>Apro.Chantier!$H$7</f>
        <v>16.38</v>
      </c>
      <c r="F166" s="155">
        <f>D166*E166</f>
        <v>16.38</v>
      </c>
    </row>
    <row r="167" spans="2:6">
      <c r="B167" s="246" t="s">
        <v>178</v>
      </c>
      <c r="C167" s="247" t="s">
        <v>163</v>
      </c>
      <c r="D167" s="299">
        <v>0.08</v>
      </c>
      <c r="E167" s="645">
        <f>Apro.Chantier!$P$69</f>
        <v>1.1970000000000001</v>
      </c>
      <c r="F167" s="155">
        <f>D167*E167</f>
        <v>9.5760000000000012E-2</v>
      </c>
    </row>
    <row r="168" spans="2:6">
      <c r="B168" s="246" t="s">
        <v>7</v>
      </c>
      <c r="C168" s="247" t="s">
        <v>18</v>
      </c>
      <c r="D168" s="270">
        <v>2</v>
      </c>
      <c r="E168" s="652">
        <f>C.Horaire!$C$13</f>
        <v>21.021161699999997</v>
      </c>
      <c r="F168" s="155">
        <f>D168*E168</f>
        <v>42.042323399999994</v>
      </c>
    </row>
    <row r="170" spans="2:6">
      <c r="B170" s="360"/>
    </row>
    <row r="171" spans="2:6" ht="13.5" thickBot="1">
      <c r="B171" s="272" t="s">
        <v>903</v>
      </c>
      <c r="C171" s="273"/>
      <c r="D171" s="274" t="s">
        <v>134</v>
      </c>
      <c r="E171" s="658"/>
      <c r="F171" s="260" t="s">
        <v>256</v>
      </c>
    </row>
    <row r="172" spans="2:6" ht="13.5" thickBot="1">
      <c r="B172" s="240" t="s">
        <v>280</v>
      </c>
      <c r="C172" s="241"/>
      <c r="D172" s="242"/>
      <c r="E172" s="650" t="s">
        <v>133</v>
      </c>
      <c r="F172" s="275">
        <f>SUM(F174:F179)</f>
        <v>515.5857561272727</v>
      </c>
    </row>
    <row r="173" spans="2:6">
      <c r="B173" s="244" t="s">
        <v>119</v>
      </c>
      <c r="C173" s="245" t="s">
        <v>0</v>
      </c>
      <c r="D173" s="245" t="s">
        <v>120</v>
      </c>
      <c r="E173" s="651" t="s">
        <v>121</v>
      </c>
      <c r="F173" s="262" t="s">
        <v>135</v>
      </c>
    </row>
    <row r="174" spans="2:6">
      <c r="B174" s="246" t="s">
        <v>150</v>
      </c>
      <c r="C174" s="247" t="s">
        <v>43</v>
      </c>
      <c r="D174" s="276">
        <v>1</v>
      </c>
      <c r="E174" s="652">
        <f>Apro.Chantier!$E$4</f>
        <v>116.86500000000001</v>
      </c>
      <c r="F174" s="155">
        <f>D174*E174</f>
        <v>116.86500000000001</v>
      </c>
    </row>
    <row r="175" spans="2:6">
      <c r="B175" s="246" t="s">
        <v>225</v>
      </c>
      <c r="C175" s="247" t="s">
        <v>163</v>
      </c>
      <c r="D175" s="299">
        <v>65</v>
      </c>
      <c r="E175" s="652">
        <f>Apro.Chantier!$P$26</f>
        <v>4.7937272727272724</v>
      </c>
      <c r="F175" s="155">
        <f>D175*E175</f>
        <v>311.5922727272727</v>
      </c>
    </row>
    <row r="176" spans="2:6">
      <c r="B176" s="246" t="s">
        <v>137</v>
      </c>
      <c r="C176" s="247" t="s">
        <v>50</v>
      </c>
      <c r="D176" s="299">
        <v>0.08</v>
      </c>
      <c r="E176" s="644">
        <f>Apro.Chantier!$P$23</f>
        <v>546</v>
      </c>
      <c r="F176" s="300">
        <f>E176*D176</f>
        <v>43.68</v>
      </c>
    </row>
    <row r="177" spans="2:6">
      <c r="B177" s="246" t="s">
        <v>221</v>
      </c>
      <c r="C177" s="247" t="s">
        <v>67</v>
      </c>
      <c r="D177" s="270">
        <v>0.08</v>
      </c>
      <c r="E177" s="652">
        <f>Apro.Chantier!$H$7</f>
        <v>16.38</v>
      </c>
      <c r="F177" s="155">
        <f>D177*E177</f>
        <v>1.3104</v>
      </c>
    </row>
    <row r="178" spans="2:6">
      <c r="B178" s="246" t="s">
        <v>178</v>
      </c>
      <c r="C178" s="247" t="s">
        <v>163</v>
      </c>
      <c r="D178" s="299">
        <v>0.08</v>
      </c>
      <c r="E178" s="645">
        <f>Apro.Chantier!$P$69</f>
        <v>1.1970000000000001</v>
      </c>
      <c r="F178" s="155">
        <f>D178*E178</f>
        <v>9.5760000000000012E-2</v>
      </c>
    </row>
    <row r="179" spans="2:6">
      <c r="B179" s="246" t="s">
        <v>7</v>
      </c>
      <c r="C179" s="247" t="s">
        <v>18</v>
      </c>
      <c r="D179" s="270">
        <v>2</v>
      </c>
      <c r="E179" s="652">
        <f>C.Horaire!$C$13</f>
        <v>21.021161699999997</v>
      </c>
      <c r="F179" s="155">
        <f>D179*E179</f>
        <v>42.042323399999994</v>
      </c>
    </row>
    <row r="181" spans="2:6">
      <c r="B181" s="357"/>
    </row>
    <row r="182" spans="2:6" ht="13.5" thickBot="1">
      <c r="B182" s="284" t="s">
        <v>261</v>
      </c>
      <c r="C182" s="285"/>
      <c r="D182" s="274" t="s">
        <v>134</v>
      </c>
      <c r="E182" s="659"/>
      <c r="F182" s="287" t="s">
        <v>260</v>
      </c>
    </row>
    <row r="183" spans="2:6" ht="13.5" thickBot="1">
      <c r="B183" s="288" t="s">
        <v>259</v>
      </c>
      <c r="C183" s="289"/>
      <c r="D183" s="290"/>
      <c r="E183" s="650" t="s">
        <v>133</v>
      </c>
      <c r="F183" s="275">
        <f>SUM(F185:F186)</f>
        <v>22.498063349999999</v>
      </c>
    </row>
    <row r="184" spans="2:6">
      <c r="B184" s="268" t="s">
        <v>119</v>
      </c>
      <c r="C184" s="269" t="s">
        <v>0</v>
      </c>
      <c r="D184" s="269" t="s">
        <v>120</v>
      </c>
      <c r="E184" s="655" t="s">
        <v>121</v>
      </c>
      <c r="F184" s="269" t="s">
        <v>135</v>
      </c>
    </row>
    <row r="185" spans="2:6">
      <c r="B185" s="246" t="s">
        <v>149</v>
      </c>
      <c r="C185" s="247" t="s">
        <v>0</v>
      </c>
      <c r="D185" s="292">
        <v>1</v>
      </c>
      <c r="E185" s="652">
        <f>Apro.Chantier!$P$41</f>
        <v>11.9874825</v>
      </c>
      <c r="F185" s="292">
        <f>D185*E185</f>
        <v>11.9874825</v>
      </c>
    </row>
    <row r="186" spans="2:6">
      <c r="B186" s="291" t="s">
        <v>158</v>
      </c>
      <c r="C186" s="287" t="s">
        <v>18</v>
      </c>
      <c r="D186" s="292">
        <v>0.5</v>
      </c>
      <c r="E186" s="652">
        <f>C.Horaire!$C$13</f>
        <v>21.021161699999997</v>
      </c>
      <c r="F186" s="292">
        <f>D186*E186</f>
        <v>10.510580849999998</v>
      </c>
    </row>
    <row r="188" spans="2:6">
      <c r="B188" s="361"/>
    </row>
    <row r="190" spans="2:6" ht="13.5" thickBot="1">
      <c r="B190" s="272" t="s">
        <v>1099</v>
      </c>
      <c r="C190" s="273"/>
      <c r="D190" s="274" t="s">
        <v>134</v>
      </c>
      <c r="E190" s="658"/>
      <c r="F190" s="260" t="s">
        <v>189</v>
      </c>
    </row>
    <row r="191" spans="2:6" ht="13.5" thickBot="1">
      <c r="B191" s="240" t="s">
        <v>1174</v>
      </c>
      <c r="C191" s="241"/>
      <c r="D191" s="242"/>
      <c r="E191" s="650" t="s">
        <v>133</v>
      </c>
      <c r="F191" s="275">
        <f>SUM(F193:F198)</f>
        <v>27.595270882307688</v>
      </c>
    </row>
    <row r="192" spans="2:6">
      <c r="B192" s="244" t="s">
        <v>119</v>
      </c>
      <c r="C192" s="245" t="s">
        <v>0</v>
      </c>
      <c r="D192" s="245" t="s">
        <v>120</v>
      </c>
      <c r="E192" s="651" t="s">
        <v>121</v>
      </c>
      <c r="F192" s="262" t="s">
        <v>135</v>
      </c>
    </row>
    <row r="193" spans="2:7">
      <c r="B193" s="246" t="s">
        <v>351</v>
      </c>
      <c r="C193" s="247" t="s">
        <v>59</v>
      </c>
      <c r="D193" s="276">
        <v>1</v>
      </c>
      <c r="E193" s="652">
        <f>Apro.Chantier!$P$63</f>
        <v>2.3975</v>
      </c>
      <c r="F193" s="155">
        <f>D193*E193</f>
        <v>2.3975</v>
      </c>
    </row>
    <row r="194" spans="2:7">
      <c r="B194" s="246" t="s">
        <v>352</v>
      </c>
      <c r="C194" s="247" t="s">
        <v>59</v>
      </c>
      <c r="D194" s="299">
        <v>1</v>
      </c>
      <c r="E194" s="652">
        <f>Apro.Chantier!$P$62</f>
        <v>1.5776249999999998</v>
      </c>
      <c r="F194" s="155">
        <f>D194*E194</f>
        <v>1.5776249999999998</v>
      </c>
    </row>
    <row r="195" spans="2:7">
      <c r="B195" s="246" t="s">
        <v>83</v>
      </c>
      <c r="C195" s="247" t="s">
        <v>67</v>
      </c>
      <c r="D195" s="299">
        <v>1</v>
      </c>
      <c r="E195" s="644">
        <f>Apro.Chantier!$P$61</f>
        <v>5.7548076923076925</v>
      </c>
      <c r="F195" s="300">
        <f>E195*D195</f>
        <v>5.7548076923076925</v>
      </c>
    </row>
    <row r="196" spans="2:7">
      <c r="B196" s="246" t="s">
        <v>347</v>
      </c>
      <c r="C196" s="247" t="s">
        <v>59</v>
      </c>
      <c r="D196" s="270">
        <v>1</v>
      </c>
      <c r="E196" s="652">
        <f>Apro.Chantier!$P$65</f>
        <v>1.0505250000000002</v>
      </c>
      <c r="F196" s="155">
        <f>D196*E196</f>
        <v>1.0505250000000002</v>
      </c>
    </row>
    <row r="197" spans="2:7">
      <c r="B197" s="246" t="s">
        <v>84</v>
      </c>
      <c r="C197" s="247" t="s">
        <v>0</v>
      </c>
      <c r="D197" s="299">
        <v>1</v>
      </c>
      <c r="E197" s="645">
        <f>Apro.Chantier!$P$66</f>
        <v>2.1</v>
      </c>
      <c r="F197" s="155">
        <f>D197*E197</f>
        <v>2.1</v>
      </c>
    </row>
    <row r="198" spans="2:7">
      <c r="B198" s="246" t="s">
        <v>7</v>
      </c>
      <c r="C198" s="247" t="s">
        <v>18</v>
      </c>
      <c r="D198" s="270">
        <v>0.7</v>
      </c>
      <c r="E198" s="652">
        <f>C.Horaire!$C$13</f>
        <v>21.021161699999997</v>
      </c>
      <c r="F198" s="155">
        <f>D198*E198</f>
        <v>14.714813189999997</v>
      </c>
      <c r="G198" s="358"/>
    </row>
    <row r="199" spans="2:7">
      <c r="G199" s="358"/>
    </row>
    <row r="202" spans="2:7" ht="15" customHeight="1">
      <c r="C202" s="1145" t="s">
        <v>153</v>
      </c>
      <c r="D202" s="1146"/>
      <c r="E202" s="1147"/>
      <c r="G202" s="358"/>
    </row>
    <row r="204" spans="2:7">
      <c r="D204" s="70"/>
    </row>
    <row r="206" spans="2:7" ht="13.5" thickBot="1">
      <c r="B206" s="301" t="s">
        <v>264</v>
      </c>
      <c r="C206" s="302"/>
      <c r="D206" s="266" t="s">
        <v>134</v>
      </c>
      <c r="E206" s="662"/>
      <c r="F206" s="287" t="s">
        <v>265</v>
      </c>
    </row>
    <row r="207" spans="2:7" ht="13.5" thickBot="1">
      <c r="B207" s="303" t="s">
        <v>263</v>
      </c>
      <c r="C207" s="304"/>
      <c r="D207" s="305"/>
      <c r="E207" s="663" t="s">
        <v>133</v>
      </c>
      <c r="F207" s="275">
        <f>SUM(F209:F216)</f>
        <v>122.53881582016666</v>
      </c>
    </row>
    <row r="208" spans="2:7">
      <c r="B208" s="306" t="s">
        <v>119</v>
      </c>
      <c r="C208" s="307" t="s">
        <v>0</v>
      </c>
      <c r="D208" s="307" t="s">
        <v>120</v>
      </c>
      <c r="E208" s="664" t="s">
        <v>121</v>
      </c>
      <c r="F208" s="307" t="s">
        <v>135</v>
      </c>
    </row>
    <row r="209" spans="2:6" ht="15" customHeight="1">
      <c r="B209" s="308" t="s">
        <v>183</v>
      </c>
      <c r="C209" s="247" t="s">
        <v>67</v>
      </c>
      <c r="D209" s="309">
        <v>1</v>
      </c>
      <c r="E209" s="652">
        <f>Apro.Chantier!$P$73</f>
        <v>54.6</v>
      </c>
      <c r="F209" s="155">
        <f t="shared" ref="F209:F216" si="4">D209*E209</f>
        <v>54.6</v>
      </c>
    </row>
    <row r="210" spans="2:6">
      <c r="B210" s="246" t="s">
        <v>184</v>
      </c>
      <c r="C210" s="247" t="s">
        <v>64</v>
      </c>
      <c r="D210" s="309">
        <v>1.87</v>
      </c>
      <c r="E210" s="652">
        <f>Apro.Chantier!$P$31</f>
        <v>0.84959848484848477</v>
      </c>
      <c r="F210" s="155">
        <f t="shared" si="4"/>
        <v>1.5887491666666667</v>
      </c>
    </row>
    <row r="211" spans="2:6">
      <c r="B211" s="246" t="s">
        <v>273</v>
      </c>
      <c r="C211" s="247" t="s">
        <v>43</v>
      </c>
      <c r="D211" s="309">
        <v>0.05</v>
      </c>
      <c r="E211" s="652">
        <f>Apro.Chantier!$E$4</f>
        <v>116.86500000000001</v>
      </c>
      <c r="F211" s="155">
        <f t="shared" si="4"/>
        <v>5.8432500000000012</v>
      </c>
    </row>
    <row r="212" spans="2:6">
      <c r="B212" s="246" t="s">
        <v>176</v>
      </c>
      <c r="C212" s="260" t="s">
        <v>67</v>
      </c>
      <c r="D212" s="271">
        <v>0.03</v>
      </c>
      <c r="E212" s="656">
        <f>Apro.Chantier!$H$7</f>
        <v>16.38</v>
      </c>
      <c r="F212" s="271">
        <f t="shared" si="4"/>
        <v>0.49139999999999995</v>
      </c>
    </row>
    <row r="213" spans="2:6">
      <c r="B213" s="246" t="s">
        <v>185</v>
      </c>
      <c r="C213" s="247" t="s">
        <v>18</v>
      </c>
      <c r="D213" s="309">
        <v>0.08</v>
      </c>
      <c r="E213" s="652">
        <f>C.Horaire!$C$13</f>
        <v>21.021161699999997</v>
      </c>
      <c r="F213" s="155">
        <f t="shared" si="4"/>
        <v>1.6816929359999997</v>
      </c>
    </row>
    <row r="214" spans="2:6">
      <c r="B214" s="246" t="s">
        <v>186</v>
      </c>
      <c r="C214" s="247" t="s">
        <v>18</v>
      </c>
      <c r="D214" s="309">
        <v>1.1499999999999999</v>
      </c>
      <c r="E214" s="652">
        <f>C.Horaire!$C$13</f>
        <v>21.021161699999997</v>
      </c>
      <c r="F214" s="155">
        <f t="shared" si="4"/>
        <v>24.174335954999993</v>
      </c>
    </row>
    <row r="215" spans="2:6" ht="15" customHeight="1">
      <c r="B215" s="308" t="s">
        <v>177</v>
      </c>
      <c r="C215" s="247" t="s">
        <v>18</v>
      </c>
      <c r="D215" s="310">
        <v>1.5</v>
      </c>
      <c r="E215" s="652">
        <f>C.Horaire!$C$13</f>
        <v>21.021161699999997</v>
      </c>
      <c r="F215" s="155">
        <f t="shared" si="4"/>
        <v>31.531742549999997</v>
      </c>
    </row>
    <row r="216" spans="2:6" ht="14.25" customHeight="1">
      <c r="B216" s="246" t="s">
        <v>187</v>
      </c>
      <c r="C216" s="247" t="s">
        <v>18</v>
      </c>
      <c r="D216" s="309">
        <v>0.125</v>
      </c>
      <c r="E216" s="652">
        <f>C.Horaire!$C$13</f>
        <v>21.021161699999997</v>
      </c>
      <c r="F216" s="155">
        <f t="shared" si="4"/>
        <v>2.6276452124999996</v>
      </c>
    </row>
    <row r="217" spans="2:6">
      <c r="C217" s="274"/>
      <c r="D217" s="274"/>
      <c r="E217" s="665"/>
      <c r="F217" s="274"/>
    </row>
    <row r="218" spans="2:6">
      <c r="B218" s="361" t="s">
        <v>156</v>
      </c>
    </row>
    <row r="219" spans="2:6">
      <c r="B219" s="359"/>
      <c r="C219" s="339"/>
      <c r="D219" s="362"/>
      <c r="E219" s="666"/>
      <c r="F219" s="339"/>
    </row>
    <row r="220" spans="2:6">
      <c r="B220" s="1138" t="s">
        <v>134</v>
      </c>
      <c r="C220" s="1139"/>
      <c r="D220" s="1139"/>
      <c r="E220" s="1139"/>
      <c r="F220" s="1140"/>
    </row>
    <row r="221" spans="2:6" ht="13.5" thickBot="1">
      <c r="B221" s="306" t="s">
        <v>1176</v>
      </c>
      <c r="C221" s="1138"/>
      <c r="D221" s="1139"/>
      <c r="E221" s="1140"/>
      <c r="F221" s="247" t="s">
        <v>142</v>
      </c>
    </row>
    <row r="222" spans="2:6" ht="13.5" thickBot="1">
      <c r="B222" s="311" t="s">
        <v>1175</v>
      </c>
      <c r="C222" s="312"/>
      <c r="D222" s="313"/>
      <c r="E222" s="663" t="s">
        <v>133</v>
      </c>
      <c r="F222" s="275">
        <f>SUM(F224:F229)</f>
        <v>262.25737019999997</v>
      </c>
    </row>
    <row r="223" spans="2:6">
      <c r="B223" s="268" t="s">
        <v>119</v>
      </c>
      <c r="C223" s="269" t="s">
        <v>0</v>
      </c>
      <c r="D223" s="269" t="s">
        <v>120</v>
      </c>
      <c r="E223" s="655" t="s">
        <v>121</v>
      </c>
      <c r="F223" s="269" t="s">
        <v>135</v>
      </c>
    </row>
    <row r="224" spans="2:6">
      <c r="B224" s="246" t="s">
        <v>150</v>
      </c>
      <c r="C224" s="247" t="s">
        <v>43</v>
      </c>
      <c r="D224" s="314">
        <v>1</v>
      </c>
      <c r="E224" s="652">
        <f>Apro.Chantier!$E$4</f>
        <v>116.86500000000001</v>
      </c>
      <c r="F224" s="155">
        <f t="shared" ref="F224:F229" si="5">D224*E224</f>
        <v>116.86500000000001</v>
      </c>
    </row>
    <row r="225" spans="2:6">
      <c r="B225" s="246" t="s">
        <v>175</v>
      </c>
      <c r="C225" s="247" t="s">
        <v>19</v>
      </c>
      <c r="D225" s="314">
        <v>1</v>
      </c>
      <c r="E225" s="652">
        <f>Apro.Chantier!H7</f>
        <v>16.38</v>
      </c>
      <c r="F225" s="155">
        <f t="shared" si="5"/>
        <v>16.38</v>
      </c>
    </row>
    <row r="226" spans="2:6">
      <c r="B226" s="246" t="s">
        <v>176</v>
      </c>
      <c r="C226" s="247" t="s">
        <v>67</v>
      </c>
      <c r="D226" s="315">
        <v>0.03</v>
      </c>
      <c r="E226" s="652">
        <f>Apro.Chantier!$H$7</f>
        <v>16.38</v>
      </c>
      <c r="F226" s="155">
        <f t="shared" si="5"/>
        <v>0.49139999999999995</v>
      </c>
    </row>
    <row r="227" spans="2:6">
      <c r="B227" s="246" t="s">
        <v>178</v>
      </c>
      <c r="C227" s="247" t="s">
        <v>163</v>
      </c>
      <c r="D227" s="316">
        <v>2</v>
      </c>
      <c r="E227" s="656">
        <f>Apro.Chantier!$P$69</f>
        <v>1.1970000000000001</v>
      </c>
      <c r="F227" s="271">
        <f t="shared" si="5"/>
        <v>2.3940000000000001</v>
      </c>
    </row>
    <row r="228" spans="2:6">
      <c r="B228" s="246" t="s">
        <v>174</v>
      </c>
      <c r="C228" s="247" t="s">
        <v>18</v>
      </c>
      <c r="D228" s="314">
        <v>2.5</v>
      </c>
      <c r="E228" s="652">
        <f>C.Horaire!$C$13</f>
        <v>21.021161699999997</v>
      </c>
      <c r="F228" s="155">
        <f>D228*E228</f>
        <v>52.55290424999999</v>
      </c>
    </row>
    <row r="229" spans="2:6" outlineLevel="1">
      <c r="B229" s="308" t="s">
        <v>177</v>
      </c>
      <c r="C229" s="247" t="s">
        <v>18</v>
      </c>
      <c r="D229" s="314">
        <v>3.5</v>
      </c>
      <c r="E229" s="652">
        <f>C.Horaire!$C$13</f>
        <v>21.021161699999997</v>
      </c>
      <c r="F229" s="155">
        <f t="shared" si="5"/>
        <v>73.574065949999991</v>
      </c>
    </row>
    <row r="230" spans="2:6" outlineLevel="1">
      <c r="B230" s="252"/>
      <c r="C230" s="252"/>
      <c r="D230" s="317"/>
      <c r="E230" s="667"/>
      <c r="F230" s="318"/>
    </row>
    <row r="231" spans="2:6" outlineLevel="1">
      <c r="B231" s="252"/>
      <c r="C231" s="252"/>
      <c r="D231" s="317"/>
      <c r="E231" s="668"/>
      <c r="F231" s="319"/>
    </row>
    <row r="232" spans="2:6" ht="15" customHeight="1" outlineLevel="1">
      <c r="C232" s="1145" t="s">
        <v>159</v>
      </c>
      <c r="D232" s="1146"/>
      <c r="E232" s="1147"/>
    </row>
    <row r="233" spans="2:6">
      <c r="B233" s="355"/>
    </row>
    <row r="234" spans="2:6">
      <c r="B234" s="355"/>
    </row>
    <row r="235" spans="2:6">
      <c r="B235" s="1138" t="s">
        <v>134</v>
      </c>
      <c r="C235" s="1139"/>
      <c r="D235" s="1139"/>
      <c r="E235" s="1139"/>
      <c r="F235" s="1140"/>
    </row>
    <row r="236" spans="2:6" ht="13.5" thickBot="1">
      <c r="B236" s="1141" t="s">
        <v>919</v>
      </c>
      <c r="C236" s="1142"/>
      <c r="D236" s="1142"/>
      <c r="E236" s="1144"/>
      <c r="F236" s="287" t="s">
        <v>295</v>
      </c>
    </row>
    <row r="237" spans="2:6" ht="13.5" thickBot="1">
      <c r="B237" s="311" t="s">
        <v>285</v>
      </c>
      <c r="C237" s="312"/>
      <c r="D237" s="313"/>
      <c r="E237" s="663" t="s">
        <v>133</v>
      </c>
      <c r="F237" s="275">
        <f>SUM(F239:F241)</f>
        <v>19.604622764999998</v>
      </c>
    </row>
    <row r="238" spans="2:6">
      <c r="B238" s="268" t="s">
        <v>119</v>
      </c>
      <c r="C238" s="269" t="s">
        <v>0</v>
      </c>
      <c r="D238" s="269" t="s">
        <v>120</v>
      </c>
      <c r="E238" s="655" t="s">
        <v>121</v>
      </c>
      <c r="F238" s="269" t="s">
        <v>135</v>
      </c>
    </row>
    <row r="239" spans="2:6">
      <c r="B239" s="291" t="s">
        <v>298</v>
      </c>
      <c r="C239" s="287" t="s">
        <v>64</v>
      </c>
      <c r="D239" s="292">
        <v>1</v>
      </c>
      <c r="E239" s="652">
        <f>Apro.Chantier!$P$34</f>
        <v>8.0450999999999997</v>
      </c>
      <c r="F239" s="292">
        <f>D239*E239</f>
        <v>8.0450999999999997</v>
      </c>
    </row>
    <row r="240" spans="2:6">
      <c r="B240" s="246" t="s">
        <v>287</v>
      </c>
      <c r="C240" s="247" t="s">
        <v>262</v>
      </c>
      <c r="D240" s="292">
        <v>1</v>
      </c>
      <c r="E240" s="652">
        <f>Apro.Chantier!$P$66</f>
        <v>2.1</v>
      </c>
      <c r="F240" s="292">
        <f>D240*E240</f>
        <v>2.1</v>
      </c>
    </row>
    <row r="241" spans="2:6">
      <c r="B241" s="291" t="s">
        <v>158</v>
      </c>
      <c r="C241" s="287" t="s">
        <v>18</v>
      </c>
      <c r="D241" s="292">
        <v>0.45</v>
      </c>
      <c r="E241" s="652">
        <f>C.Horaire!$C$13</f>
        <v>21.021161699999997</v>
      </c>
      <c r="F241" s="292">
        <f>D241*E241</f>
        <v>9.4595227649999991</v>
      </c>
    </row>
    <row r="244" spans="2:6">
      <c r="B244" s="1138" t="s">
        <v>134</v>
      </c>
      <c r="C244" s="1139"/>
      <c r="D244" s="1139"/>
      <c r="E244" s="1139"/>
      <c r="F244" s="1140"/>
    </row>
    <row r="245" spans="2:6" ht="13.5" thickBot="1">
      <c r="B245" s="1141" t="s">
        <v>917</v>
      </c>
      <c r="C245" s="1142"/>
      <c r="D245" s="1142"/>
      <c r="E245" s="1144"/>
      <c r="F245" s="287" t="s">
        <v>295</v>
      </c>
    </row>
    <row r="246" spans="2:6" ht="13.5" thickBot="1">
      <c r="B246" s="311" t="s">
        <v>296</v>
      </c>
      <c r="C246" s="312"/>
      <c r="D246" s="313"/>
      <c r="E246" s="663" t="s">
        <v>133</v>
      </c>
      <c r="F246" s="275">
        <f>SUM(F248:F250)</f>
        <v>15.986182764999999</v>
      </c>
    </row>
    <row r="247" spans="2:6">
      <c r="B247" s="268" t="s">
        <v>119</v>
      </c>
      <c r="C247" s="269" t="s">
        <v>0</v>
      </c>
      <c r="D247" s="269" t="s">
        <v>120</v>
      </c>
      <c r="E247" s="655" t="s">
        <v>121</v>
      </c>
      <c r="F247" s="269" t="s">
        <v>135</v>
      </c>
    </row>
    <row r="248" spans="2:6">
      <c r="B248" s="291" t="s">
        <v>297</v>
      </c>
      <c r="C248" s="287" t="s">
        <v>64</v>
      </c>
      <c r="D248" s="292">
        <v>1</v>
      </c>
      <c r="E248" s="652">
        <f>Apro.Chantier!$P$33</f>
        <v>4.42666</v>
      </c>
      <c r="F248" s="292">
        <f>D248*E248</f>
        <v>4.42666</v>
      </c>
    </row>
    <row r="249" spans="2:6">
      <c r="B249" s="246" t="s">
        <v>287</v>
      </c>
      <c r="C249" s="247" t="s">
        <v>262</v>
      </c>
      <c r="D249" s="292">
        <v>1</v>
      </c>
      <c r="E249" s="652">
        <f>Apro.Chantier!$P$66</f>
        <v>2.1</v>
      </c>
      <c r="F249" s="292">
        <f>D249*E249</f>
        <v>2.1</v>
      </c>
    </row>
    <row r="250" spans="2:6">
      <c r="B250" s="291" t="s">
        <v>158</v>
      </c>
      <c r="C250" s="287" t="s">
        <v>18</v>
      </c>
      <c r="D250" s="292">
        <v>0.45</v>
      </c>
      <c r="E250" s="652">
        <f>C.Horaire!$C$13</f>
        <v>21.021161699999997</v>
      </c>
      <c r="F250" s="292">
        <f>D250*E250</f>
        <v>9.4595227649999991</v>
      </c>
    </row>
    <row r="252" spans="2:6">
      <c r="B252" s="355"/>
    </row>
    <row r="253" spans="2:6">
      <c r="B253" s="1138" t="s">
        <v>134</v>
      </c>
      <c r="C253" s="1139"/>
      <c r="D253" s="1139"/>
      <c r="E253" s="1139"/>
      <c r="F253" s="1140"/>
    </row>
    <row r="254" spans="2:6" ht="13.5" thickBot="1">
      <c r="B254" s="1141" t="s">
        <v>918</v>
      </c>
      <c r="C254" s="1142"/>
      <c r="D254" s="1142"/>
      <c r="E254" s="1144"/>
      <c r="F254" s="287" t="s">
        <v>265</v>
      </c>
    </row>
    <row r="255" spans="2:6" ht="13.5" thickBot="1">
      <c r="B255" s="311" t="s">
        <v>907</v>
      </c>
      <c r="C255" s="312"/>
      <c r="D255" s="313"/>
      <c r="E255" s="663" t="s">
        <v>133</v>
      </c>
      <c r="F255" s="275">
        <f>SUM(F257:F260)</f>
        <v>33.414470133421048</v>
      </c>
    </row>
    <row r="256" spans="2:6">
      <c r="B256" s="268" t="s">
        <v>119</v>
      </c>
      <c r="C256" s="269" t="s">
        <v>0</v>
      </c>
      <c r="D256" s="269" t="s">
        <v>120</v>
      </c>
      <c r="E256" s="655" t="s">
        <v>121</v>
      </c>
      <c r="F256" s="269" t="s">
        <v>135</v>
      </c>
    </row>
    <row r="257" spans="2:6">
      <c r="B257" s="291" t="s">
        <v>301</v>
      </c>
      <c r="C257" s="287" t="s">
        <v>64</v>
      </c>
      <c r="D257" s="292">
        <v>1</v>
      </c>
      <c r="E257" s="652">
        <f>Apro.Chantier!$P$30</f>
        <v>18.578947368421051</v>
      </c>
      <c r="F257" s="292">
        <f>D257*E257</f>
        <v>18.578947368421051</v>
      </c>
    </row>
    <row r="258" spans="2:6">
      <c r="B258" s="246" t="s">
        <v>287</v>
      </c>
      <c r="C258" s="247" t="s">
        <v>262</v>
      </c>
      <c r="D258" s="292">
        <v>1</v>
      </c>
      <c r="E258" s="652">
        <f>Apro.Chantier!$P$66</f>
        <v>2.1</v>
      </c>
      <c r="F258" s="292">
        <f>D258*E258</f>
        <v>2.1</v>
      </c>
    </row>
    <row r="259" spans="2:6">
      <c r="B259" s="291" t="s">
        <v>304</v>
      </c>
      <c r="C259" s="287" t="s">
        <v>67</v>
      </c>
      <c r="D259" s="292">
        <v>1</v>
      </c>
      <c r="E259" s="652">
        <f>Apro.Chantier!$P$50</f>
        <v>3.2760000000000002</v>
      </c>
      <c r="F259" s="292">
        <f>D259*E259</f>
        <v>3.2760000000000002</v>
      </c>
    </row>
    <row r="260" spans="2:6">
      <c r="B260" s="291" t="s">
        <v>158</v>
      </c>
      <c r="C260" s="287" t="s">
        <v>18</v>
      </c>
      <c r="D260" s="292">
        <v>0.45</v>
      </c>
      <c r="E260" s="652">
        <f>C.Horaire!$C$13</f>
        <v>21.021161699999997</v>
      </c>
      <c r="F260" s="292">
        <f>D260*E260</f>
        <v>9.4595227649999991</v>
      </c>
    </row>
    <row r="262" spans="2:6">
      <c r="B262" s="357"/>
    </row>
    <row r="263" spans="2:6">
      <c r="B263" s="1138" t="s">
        <v>134</v>
      </c>
      <c r="C263" s="1139"/>
      <c r="D263" s="1139"/>
      <c r="E263" s="1139"/>
      <c r="F263" s="1140"/>
    </row>
    <row r="264" spans="2:6" ht="13.5" thickBot="1">
      <c r="B264" s="1141" t="s">
        <v>920</v>
      </c>
      <c r="C264" s="1142"/>
      <c r="D264" s="1142"/>
      <c r="E264" s="1144"/>
      <c r="F264" s="287" t="s">
        <v>295</v>
      </c>
    </row>
    <row r="265" spans="2:6" ht="13.5" thickBot="1">
      <c r="B265" s="311" t="s">
        <v>906</v>
      </c>
      <c r="C265" s="312"/>
      <c r="D265" s="313"/>
      <c r="E265" s="663" t="s">
        <v>133</v>
      </c>
      <c r="F265" s="275">
        <f>SUM(F267:F270)</f>
        <v>42.660522764999996</v>
      </c>
    </row>
    <row r="266" spans="2:6">
      <c r="B266" s="268" t="s">
        <v>119</v>
      </c>
      <c r="C266" s="269" t="s">
        <v>0</v>
      </c>
      <c r="D266" s="269" t="s">
        <v>120</v>
      </c>
      <c r="E266" s="655" t="s">
        <v>121</v>
      </c>
      <c r="F266" s="269" t="s">
        <v>135</v>
      </c>
    </row>
    <row r="267" spans="2:6">
      <c r="B267" s="291" t="s">
        <v>367</v>
      </c>
      <c r="C267" s="287" t="s">
        <v>59</v>
      </c>
      <c r="D267" s="292">
        <v>1</v>
      </c>
      <c r="E267" s="652">
        <f>Apro.Chantier!$P$49</f>
        <v>27.824999999999999</v>
      </c>
      <c r="F267" s="292">
        <f>D267*E267</f>
        <v>27.824999999999999</v>
      </c>
    </row>
    <row r="268" spans="2:6">
      <c r="B268" s="246" t="s">
        <v>287</v>
      </c>
      <c r="C268" s="247" t="s">
        <v>262</v>
      </c>
      <c r="D268" s="292">
        <v>1</v>
      </c>
      <c r="E268" s="652">
        <f>Apro.Chantier!$P$66</f>
        <v>2.1</v>
      </c>
      <c r="F268" s="292">
        <f>D268*E268</f>
        <v>2.1</v>
      </c>
    </row>
    <row r="269" spans="2:6">
      <c r="B269" s="291" t="s">
        <v>304</v>
      </c>
      <c r="C269" s="287" t="s">
        <v>67</v>
      </c>
      <c r="D269" s="292">
        <v>1</v>
      </c>
      <c r="E269" s="652">
        <f>Apro.Chantier!$P$50</f>
        <v>3.2760000000000002</v>
      </c>
      <c r="F269" s="292">
        <f>D269*E269</f>
        <v>3.2760000000000002</v>
      </c>
    </row>
    <row r="270" spans="2:6" ht="16.5" customHeight="1">
      <c r="B270" s="291" t="s">
        <v>158</v>
      </c>
      <c r="C270" s="287" t="s">
        <v>18</v>
      </c>
      <c r="D270" s="292">
        <v>0.45</v>
      </c>
      <c r="E270" s="652">
        <f>C.Horaire!$C$13</f>
        <v>21.021161699999997</v>
      </c>
      <c r="F270" s="292">
        <f>D270*E270</f>
        <v>9.4595227649999991</v>
      </c>
    </row>
    <row r="273" spans="2:6">
      <c r="B273" s="1138" t="s">
        <v>134</v>
      </c>
      <c r="C273" s="1139"/>
      <c r="D273" s="1139"/>
      <c r="E273" s="1139"/>
      <c r="F273" s="1140"/>
    </row>
    <row r="274" spans="2:6" ht="13.5" thickBot="1">
      <c r="B274" s="1141" t="s">
        <v>921</v>
      </c>
      <c r="C274" s="1142"/>
      <c r="D274" s="1142"/>
      <c r="E274" s="1143"/>
      <c r="F274" s="323" t="s">
        <v>295</v>
      </c>
    </row>
    <row r="275" spans="2:6" ht="13.5" thickBot="1">
      <c r="B275" s="311" t="s">
        <v>905</v>
      </c>
      <c r="C275" s="312"/>
      <c r="D275" s="313"/>
      <c r="E275" s="650" t="s">
        <v>133</v>
      </c>
      <c r="F275" s="324">
        <f>SUM(F277:F280)</f>
        <v>53.16052276500001</v>
      </c>
    </row>
    <row r="276" spans="2:6">
      <c r="B276" s="268" t="s">
        <v>119</v>
      </c>
      <c r="C276" s="269" t="s">
        <v>0</v>
      </c>
      <c r="D276" s="269" t="s">
        <v>120</v>
      </c>
      <c r="E276" s="655" t="s">
        <v>121</v>
      </c>
      <c r="F276" s="269" t="s">
        <v>135</v>
      </c>
    </row>
    <row r="277" spans="2:6">
      <c r="B277" s="291" t="s">
        <v>368</v>
      </c>
      <c r="C277" s="287" t="s">
        <v>59</v>
      </c>
      <c r="D277" s="292">
        <v>1</v>
      </c>
      <c r="E277" s="652">
        <f>Apro.Chantier!$P$42</f>
        <v>38.325000000000003</v>
      </c>
      <c r="F277" s="292">
        <f>D277*E277</f>
        <v>38.325000000000003</v>
      </c>
    </row>
    <row r="278" spans="2:6">
      <c r="B278" s="246" t="s">
        <v>287</v>
      </c>
      <c r="C278" s="247" t="s">
        <v>262</v>
      </c>
      <c r="D278" s="292">
        <v>1</v>
      </c>
      <c r="E278" s="652">
        <f>Apro.Chantier!$P$66</f>
        <v>2.1</v>
      </c>
      <c r="F278" s="292">
        <f>D278*E278</f>
        <v>2.1</v>
      </c>
    </row>
    <row r="279" spans="2:6">
      <c r="B279" s="291" t="s">
        <v>304</v>
      </c>
      <c r="C279" s="287" t="s">
        <v>67</v>
      </c>
      <c r="D279" s="292">
        <v>1</v>
      </c>
      <c r="E279" s="652">
        <f>Apro.Chantier!$P$50</f>
        <v>3.2760000000000002</v>
      </c>
      <c r="F279" s="292">
        <f>D279*E279</f>
        <v>3.2760000000000002</v>
      </c>
    </row>
    <row r="280" spans="2:6">
      <c r="B280" s="291" t="s">
        <v>158</v>
      </c>
      <c r="C280" s="287" t="s">
        <v>18</v>
      </c>
      <c r="D280" s="292">
        <v>0.45</v>
      </c>
      <c r="E280" s="652">
        <f>C.Horaire!$C$13</f>
        <v>21.021161699999997</v>
      </c>
      <c r="F280" s="292">
        <f>D280*E280</f>
        <v>9.4595227649999991</v>
      </c>
    </row>
    <row r="283" spans="2:6">
      <c r="B283" s="1138" t="s">
        <v>134</v>
      </c>
      <c r="C283" s="1139"/>
      <c r="D283" s="1139"/>
      <c r="E283" s="1139"/>
      <c r="F283" s="1140"/>
    </row>
    <row r="284" spans="2:6" ht="13.5" thickBot="1">
      <c r="B284" s="1141" t="s">
        <v>922</v>
      </c>
      <c r="C284" s="1142"/>
      <c r="D284" s="1142"/>
      <c r="E284" s="1144"/>
      <c r="F284" s="287" t="s">
        <v>295</v>
      </c>
    </row>
    <row r="285" spans="2:6" ht="13.5" thickBot="1">
      <c r="B285" s="311" t="s">
        <v>904</v>
      </c>
      <c r="C285" s="312"/>
      <c r="D285" s="313"/>
      <c r="E285" s="663" t="s">
        <v>133</v>
      </c>
      <c r="F285" s="275">
        <f>SUM(F287:F291)</f>
        <v>56.436522765000007</v>
      </c>
    </row>
    <row r="286" spans="2:6">
      <c r="B286" s="268" t="s">
        <v>119</v>
      </c>
      <c r="C286" s="269" t="s">
        <v>0</v>
      </c>
      <c r="D286" s="269" t="s">
        <v>120</v>
      </c>
      <c r="E286" s="655" t="s">
        <v>121</v>
      </c>
      <c r="F286" s="269" t="s">
        <v>135</v>
      </c>
    </row>
    <row r="287" spans="2:6">
      <c r="B287" s="291" t="s">
        <v>161</v>
      </c>
      <c r="C287" s="287" t="s">
        <v>59</v>
      </c>
      <c r="D287" s="292">
        <v>1</v>
      </c>
      <c r="E287" s="652">
        <f>Apro.Chantier!$P$47</f>
        <v>38.325000000000003</v>
      </c>
      <c r="F287" s="292">
        <f>D287*E287</f>
        <v>38.325000000000003</v>
      </c>
    </row>
    <row r="288" spans="2:6">
      <c r="B288" s="246" t="s">
        <v>287</v>
      </c>
      <c r="C288" s="247" t="s">
        <v>262</v>
      </c>
      <c r="D288" s="292">
        <v>1</v>
      </c>
      <c r="E288" s="652">
        <f>Apro.Chantier!$P$66</f>
        <v>2.1</v>
      </c>
      <c r="F288" s="292">
        <f>D288*E288</f>
        <v>2.1</v>
      </c>
    </row>
    <row r="289" spans="2:6">
      <c r="B289" s="291" t="s">
        <v>304</v>
      </c>
      <c r="C289" s="287" t="s">
        <v>67</v>
      </c>
      <c r="D289" s="292">
        <v>1</v>
      </c>
      <c r="E289" s="652">
        <f>Apro.Chantier!$P$50</f>
        <v>3.2760000000000002</v>
      </c>
      <c r="F289" s="292">
        <f>D289*E289</f>
        <v>3.2760000000000002</v>
      </c>
    </row>
    <row r="290" spans="2:6">
      <c r="B290" s="291" t="s">
        <v>332</v>
      </c>
      <c r="C290" s="343" t="s">
        <v>59</v>
      </c>
      <c r="D290" s="343">
        <v>1</v>
      </c>
      <c r="E290" s="669">
        <f>Apro.Chantier!$P$67</f>
        <v>3.2760000000000002</v>
      </c>
      <c r="F290" s="292">
        <f>D290*E290</f>
        <v>3.2760000000000002</v>
      </c>
    </row>
    <row r="291" spans="2:6">
      <c r="B291" s="291" t="s">
        <v>158</v>
      </c>
      <c r="C291" s="287" t="s">
        <v>18</v>
      </c>
      <c r="D291" s="292">
        <v>0.45</v>
      </c>
      <c r="E291" s="652">
        <f>C.Horaire!$C$13</f>
        <v>21.021161699999997</v>
      </c>
      <c r="F291" s="292">
        <f>D291*E291</f>
        <v>9.4595227649999991</v>
      </c>
    </row>
    <row r="293" spans="2:6">
      <c r="B293" s="355"/>
    </row>
    <row r="294" spans="2:6">
      <c r="B294" s="1138" t="s">
        <v>134</v>
      </c>
      <c r="C294" s="1139"/>
      <c r="D294" s="1139"/>
      <c r="E294" s="1139"/>
      <c r="F294" s="1140"/>
    </row>
    <row r="295" spans="2:6" ht="13.5" thickBot="1">
      <c r="B295" s="1141" t="s">
        <v>923</v>
      </c>
      <c r="C295" s="1142"/>
      <c r="D295" s="1142"/>
      <c r="E295" s="1144"/>
      <c r="F295" s="287" t="s">
        <v>295</v>
      </c>
    </row>
    <row r="296" spans="2:6" ht="13.5" thickBot="1">
      <c r="B296" s="311" t="s">
        <v>908</v>
      </c>
      <c r="C296" s="312"/>
      <c r="D296" s="313"/>
      <c r="E296" s="663" t="s">
        <v>133</v>
      </c>
      <c r="F296" s="275">
        <f>SUM(F298:F302)</f>
        <v>56.436522765000007</v>
      </c>
    </row>
    <row r="297" spans="2:6">
      <c r="B297" s="268" t="s">
        <v>119</v>
      </c>
      <c r="C297" s="269" t="s">
        <v>0</v>
      </c>
      <c r="D297" s="269" t="s">
        <v>120</v>
      </c>
      <c r="E297" s="655" t="s">
        <v>121</v>
      </c>
      <c r="F297" s="269" t="s">
        <v>135</v>
      </c>
    </row>
    <row r="298" spans="2:6">
      <c r="B298" s="291" t="s">
        <v>369</v>
      </c>
      <c r="C298" s="287" t="s">
        <v>59</v>
      </c>
      <c r="D298" s="292">
        <v>1</v>
      </c>
      <c r="E298" s="652">
        <f>Apro.Chantier!P48</f>
        <v>38.325000000000003</v>
      </c>
      <c r="F298" s="292">
        <f>D298*E298</f>
        <v>38.325000000000003</v>
      </c>
    </row>
    <row r="299" spans="2:6">
      <c r="B299" s="246" t="s">
        <v>287</v>
      </c>
      <c r="C299" s="247" t="s">
        <v>262</v>
      </c>
      <c r="D299" s="292">
        <v>1</v>
      </c>
      <c r="E299" s="652">
        <f>Apro.Chantier!$P$66</f>
        <v>2.1</v>
      </c>
      <c r="F299" s="292">
        <f>D299*E299</f>
        <v>2.1</v>
      </c>
    </row>
    <row r="300" spans="2:6">
      <c r="B300" s="291" t="s">
        <v>304</v>
      </c>
      <c r="C300" s="287" t="s">
        <v>67</v>
      </c>
      <c r="D300" s="292">
        <v>1</v>
      </c>
      <c r="E300" s="652">
        <f>Apro.Chantier!$P$50</f>
        <v>3.2760000000000002</v>
      </c>
      <c r="F300" s="292">
        <f>D300*E300</f>
        <v>3.2760000000000002</v>
      </c>
    </row>
    <row r="301" spans="2:6">
      <c r="B301" s="76" t="s">
        <v>332</v>
      </c>
      <c r="C301" s="343" t="s">
        <v>59</v>
      </c>
      <c r="D301" s="343">
        <v>1</v>
      </c>
      <c r="E301" s="669">
        <f>Apro.Chantier!$P$67</f>
        <v>3.2760000000000002</v>
      </c>
      <c r="F301" s="292">
        <f>D301*E301</f>
        <v>3.2760000000000002</v>
      </c>
    </row>
    <row r="302" spans="2:6">
      <c r="B302" s="291" t="s">
        <v>158</v>
      </c>
      <c r="C302" s="287" t="s">
        <v>18</v>
      </c>
      <c r="D302" s="292">
        <v>0.45</v>
      </c>
      <c r="E302" s="652">
        <f>C.Horaire!$C$13</f>
        <v>21.021161699999997</v>
      </c>
      <c r="F302" s="292">
        <f>D302*E302</f>
        <v>9.4595227649999991</v>
      </c>
    </row>
    <row r="304" spans="2:6">
      <c r="B304" s="355"/>
    </row>
    <row r="305" spans="2:6">
      <c r="B305" s="1138" t="s">
        <v>134</v>
      </c>
      <c r="C305" s="1139"/>
      <c r="D305" s="1139"/>
      <c r="E305" s="1139"/>
      <c r="F305" s="1140"/>
    </row>
    <row r="306" spans="2:6" ht="13.5" thickBot="1">
      <c r="B306" s="1141" t="s">
        <v>924</v>
      </c>
      <c r="C306" s="1142"/>
      <c r="D306" s="1142"/>
      <c r="E306" s="1144"/>
      <c r="F306" s="287" t="s">
        <v>295</v>
      </c>
    </row>
    <row r="307" spans="2:6" ht="13.5" thickBot="1">
      <c r="B307" s="311" t="s">
        <v>909</v>
      </c>
      <c r="C307" s="312"/>
      <c r="D307" s="313"/>
      <c r="E307" s="663" t="s">
        <v>133</v>
      </c>
      <c r="F307" s="275">
        <f>SUM(F309:F313)</f>
        <v>37.536522765000001</v>
      </c>
    </row>
    <row r="308" spans="2:6">
      <c r="B308" s="268" t="s">
        <v>119</v>
      </c>
      <c r="C308" s="269" t="s">
        <v>0</v>
      </c>
      <c r="D308" s="269" t="s">
        <v>120</v>
      </c>
      <c r="E308" s="655" t="s">
        <v>121</v>
      </c>
      <c r="F308" s="269" t="s">
        <v>135</v>
      </c>
    </row>
    <row r="309" spans="2:6">
      <c r="B309" s="291" t="s">
        <v>370</v>
      </c>
      <c r="C309" s="287" t="s">
        <v>59</v>
      </c>
      <c r="D309" s="292">
        <v>1</v>
      </c>
      <c r="E309" s="652">
        <f>Apro.Chantier!$P$45</f>
        <v>19.425000000000001</v>
      </c>
      <c r="F309" s="292">
        <f>D309*E309</f>
        <v>19.425000000000001</v>
      </c>
    </row>
    <row r="310" spans="2:6">
      <c r="B310" s="246" t="s">
        <v>287</v>
      </c>
      <c r="C310" s="247" t="s">
        <v>262</v>
      </c>
      <c r="D310" s="292">
        <v>1</v>
      </c>
      <c r="E310" s="652">
        <f>Apro.Chantier!$P$66</f>
        <v>2.1</v>
      </c>
      <c r="F310" s="292">
        <f>D310*E310</f>
        <v>2.1</v>
      </c>
    </row>
    <row r="311" spans="2:6">
      <c r="B311" s="291" t="s">
        <v>304</v>
      </c>
      <c r="C311" s="287" t="s">
        <v>67</v>
      </c>
      <c r="D311" s="292">
        <v>1</v>
      </c>
      <c r="E311" s="652">
        <f>Apro.Chantier!$P$50</f>
        <v>3.2760000000000002</v>
      </c>
      <c r="F311" s="292">
        <f>D311*E311</f>
        <v>3.2760000000000002</v>
      </c>
    </row>
    <row r="312" spans="2:6">
      <c r="B312" s="76" t="s">
        <v>332</v>
      </c>
      <c r="C312" s="343" t="s">
        <v>59</v>
      </c>
      <c r="D312" s="343">
        <v>1</v>
      </c>
      <c r="E312" s="669">
        <f>Apro.Chantier!$P$67</f>
        <v>3.2760000000000002</v>
      </c>
      <c r="F312" s="292">
        <f>D312*E312</f>
        <v>3.2760000000000002</v>
      </c>
    </row>
    <row r="313" spans="2:6">
      <c r="B313" s="291" t="s">
        <v>158</v>
      </c>
      <c r="C313" s="287" t="s">
        <v>18</v>
      </c>
      <c r="D313" s="292">
        <v>0.45</v>
      </c>
      <c r="E313" s="652">
        <f>C.Horaire!$C$13</f>
        <v>21.021161699999997</v>
      </c>
      <c r="F313" s="292">
        <f>D313*E313</f>
        <v>9.4595227649999991</v>
      </c>
    </row>
    <row r="315" spans="2:6">
      <c r="B315" s="237"/>
      <c r="D315" s="70"/>
    </row>
    <row r="316" spans="2:6">
      <c r="B316" s="1138" t="s">
        <v>134</v>
      </c>
      <c r="C316" s="1139"/>
      <c r="D316" s="1139"/>
      <c r="E316" s="1139"/>
      <c r="F316" s="1140"/>
    </row>
    <row r="317" spans="2:6" ht="13.5" thickBot="1">
      <c r="B317" s="1141" t="s">
        <v>925</v>
      </c>
      <c r="C317" s="1142"/>
      <c r="D317" s="1142"/>
      <c r="E317" s="1144"/>
      <c r="F317" s="287" t="s">
        <v>295</v>
      </c>
    </row>
    <row r="318" spans="2:6" ht="13.5" thickBot="1">
      <c r="B318" s="1148" t="s">
        <v>162</v>
      </c>
      <c r="C318" s="1149"/>
      <c r="D318" s="1150"/>
      <c r="E318" s="663" t="s">
        <v>133</v>
      </c>
      <c r="F318" s="275">
        <f>SUM(F320:F324)</f>
        <v>37.536522765000001</v>
      </c>
    </row>
    <row r="319" spans="2:6">
      <c r="B319" s="268" t="s">
        <v>119</v>
      </c>
      <c r="C319" s="269" t="s">
        <v>0</v>
      </c>
      <c r="D319" s="269" t="s">
        <v>120</v>
      </c>
      <c r="E319" s="655" t="s">
        <v>121</v>
      </c>
      <c r="F319" s="269" t="s">
        <v>135</v>
      </c>
    </row>
    <row r="320" spans="2:6">
      <c r="B320" s="291" t="s">
        <v>370</v>
      </c>
      <c r="C320" s="287" t="s">
        <v>59</v>
      </c>
      <c r="D320" s="292">
        <v>1</v>
      </c>
      <c r="E320" s="652">
        <f>Apro.Chantier!$P$43</f>
        <v>19.425000000000001</v>
      </c>
      <c r="F320" s="292">
        <f>D320*E320</f>
        <v>19.425000000000001</v>
      </c>
    </row>
    <row r="321" spans="2:6">
      <c r="B321" s="246" t="s">
        <v>287</v>
      </c>
      <c r="C321" s="247" t="s">
        <v>262</v>
      </c>
      <c r="D321" s="292">
        <v>1</v>
      </c>
      <c r="E321" s="652">
        <f>Apro.Chantier!$P$66</f>
        <v>2.1</v>
      </c>
      <c r="F321" s="292">
        <f>D321*E321</f>
        <v>2.1</v>
      </c>
    </row>
    <row r="322" spans="2:6">
      <c r="B322" s="291" t="s">
        <v>304</v>
      </c>
      <c r="C322" s="287" t="s">
        <v>67</v>
      </c>
      <c r="D322" s="292">
        <v>1</v>
      </c>
      <c r="E322" s="652">
        <f>Apro.Chantier!$P$50</f>
        <v>3.2760000000000002</v>
      </c>
      <c r="F322" s="292">
        <f>D322*E322</f>
        <v>3.2760000000000002</v>
      </c>
    </row>
    <row r="323" spans="2:6">
      <c r="B323" s="76" t="s">
        <v>332</v>
      </c>
      <c r="C323" s="343" t="s">
        <v>59</v>
      </c>
      <c r="D323" s="343">
        <v>1</v>
      </c>
      <c r="E323" s="669">
        <f>Apro.Chantier!$P$67</f>
        <v>3.2760000000000002</v>
      </c>
      <c r="F323" s="292">
        <f>D323*E323</f>
        <v>3.2760000000000002</v>
      </c>
    </row>
    <row r="324" spans="2:6">
      <c r="B324" s="291" t="s">
        <v>158</v>
      </c>
      <c r="C324" s="287" t="s">
        <v>18</v>
      </c>
      <c r="D324" s="292">
        <v>0.45</v>
      </c>
      <c r="E324" s="652">
        <f>C.Horaire!$C$13</f>
        <v>21.021161699999997</v>
      </c>
      <c r="F324" s="292">
        <f>D324*E324</f>
        <v>9.4595227649999991</v>
      </c>
    </row>
    <row r="326" spans="2:6">
      <c r="D326" s="70"/>
    </row>
    <row r="327" spans="2:6">
      <c r="B327" s="1138" t="s">
        <v>134</v>
      </c>
      <c r="C327" s="1139"/>
      <c r="D327" s="1139"/>
      <c r="E327" s="1139"/>
      <c r="F327" s="1140"/>
    </row>
    <row r="328" spans="2:6" ht="13.5" thickBot="1">
      <c r="B328" s="1141" t="s">
        <v>926</v>
      </c>
      <c r="C328" s="1142"/>
      <c r="D328" s="1142"/>
      <c r="E328" s="1144"/>
      <c r="F328" s="287" t="s">
        <v>295</v>
      </c>
    </row>
    <row r="329" spans="2:6" ht="13.5" thickBot="1">
      <c r="B329" s="1148" t="s">
        <v>371</v>
      </c>
      <c r="C329" s="1149"/>
      <c r="D329" s="1150"/>
      <c r="E329" s="663" t="s">
        <v>133</v>
      </c>
      <c r="F329" s="275">
        <f>SUM(F331:F336)</f>
        <v>75.861522765000018</v>
      </c>
    </row>
    <row r="330" spans="2:6">
      <c r="B330" s="268" t="s">
        <v>119</v>
      </c>
      <c r="C330" s="269" t="s">
        <v>0</v>
      </c>
      <c r="D330" s="269" t="s">
        <v>120</v>
      </c>
      <c r="E330" s="655" t="s">
        <v>121</v>
      </c>
      <c r="F330" s="269" t="s">
        <v>135</v>
      </c>
    </row>
    <row r="331" spans="2:6">
      <c r="B331" s="291" t="s">
        <v>373</v>
      </c>
      <c r="C331" s="287" t="s">
        <v>59</v>
      </c>
      <c r="D331" s="292">
        <v>1</v>
      </c>
      <c r="E331" s="652">
        <f>Apro.Chantier!$P$44</f>
        <v>19.425000000000001</v>
      </c>
      <c r="F331" s="292">
        <f t="shared" ref="F331:F336" si="6">D331*E331</f>
        <v>19.425000000000001</v>
      </c>
    </row>
    <row r="332" spans="2:6">
      <c r="B332" s="246" t="s">
        <v>287</v>
      </c>
      <c r="C332" s="247" t="s">
        <v>262</v>
      </c>
      <c r="D332" s="292">
        <v>1</v>
      </c>
      <c r="E332" s="652">
        <f>Apro.Chantier!$P$66</f>
        <v>2.1</v>
      </c>
      <c r="F332" s="292">
        <f t="shared" si="6"/>
        <v>2.1</v>
      </c>
    </row>
    <row r="333" spans="2:6">
      <c r="B333" s="246" t="s">
        <v>372</v>
      </c>
      <c r="C333" s="247" t="s">
        <v>59</v>
      </c>
      <c r="D333" s="292">
        <v>1</v>
      </c>
      <c r="E333" s="652">
        <f>Apro.Chantier!$P$46</f>
        <v>38.325000000000003</v>
      </c>
      <c r="F333" s="292">
        <f t="shared" si="6"/>
        <v>38.325000000000003</v>
      </c>
    </row>
    <row r="334" spans="2:6">
      <c r="B334" s="291" t="s">
        <v>304</v>
      </c>
      <c r="C334" s="287" t="s">
        <v>67</v>
      </c>
      <c r="D334" s="292">
        <v>1</v>
      </c>
      <c r="E334" s="652">
        <f>Apro.Chantier!$P$50</f>
        <v>3.2760000000000002</v>
      </c>
      <c r="F334" s="292">
        <f t="shared" si="6"/>
        <v>3.2760000000000002</v>
      </c>
    </row>
    <row r="335" spans="2:6">
      <c r="B335" s="76" t="s">
        <v>332</v>
      </c>
      <c r="C335" s="343" t="s">
        <v>59</v>
      </c>
      <c r="D335" s="343">
        <v>1</v>
      </c>
      <c r="E335" s="669">
        <f>Apro.Chantier!$P$67</f>
        <v>3.2760000000000002</v>
      </c>
      <c r="F335" s="292">
        <f t="shared" si="6"/>
        <v>3.2760000000000002</v>
      </c>
    </row>
    <row r="336" spans="2:6">
      <c r="B336" s="291" t="s">
        <v>158</v>
      </c>
      <c r="C336" s="287" t="s">
        <v>18</v>
      </c>
      <c r="D336" s="292">
        <v>0.45</v>
      </c>
      <c r="E336" s="652">
        <f>C.Horaire!$C$13</f>
        <v>21.021161699999997</v>
      </c>
      <c r="F336" s="292">
        <f t="shared" si="6"/>
        <v>9.4595227649999991</v>
      </c>
    </row>
    <row r="339" spans="2:6">
      <c r="B339" s="1138" t="s">
        <v>134</v>
      </c>
      <c r="C339" s="1139"/>
      <c r="D339" s="1139"/>
      <c r="E339" s="1139"/>
      <c r="F339" s="1140"/>
    </row>
    <row r="340" spans="2:6" ht="13.5" thickBot="1">
      <c r="B340" s="325" t="s">
        <v>927</v>
      </c>
      <c r="C340" s="326"/>
      <c r="D340" s="327"/>
      <c r="E340" s="670"/>
      <c r="F340" s="287" t="s">
        <v>295</v>
      </c>
    </row>
    <row r="341" spans="2:6" ht="13.5" thickBot="1">
      <c r="B341" s="1148" t="s">
        <v>374</v>
      </c>
      <c r="C341" s="1149"/>
      <c r="D341" s="1150"/>
      <c r="E341" s="663" t="s">
        <v>133</v>
      </c>
      <c r="F341" s="275">
        <f>SUM(F343:F347)</f>
        <v>56.436522765000007</v>
      </c>
    </row>
    <row r="342" spans="2:6">
      <c r="B342" s="268" t="s">
        <v>119</v>
      </c>
      <c r="C342" s="269" t="s">
        <v>0</v>
      </c>
      <c r="D342" s="269" t="s">
        <v>120</v>
      </c>
      <c r="E342" s="655" t="s">
        <v>121</v>
      </c>
      <c r="F342" s="269" t="s">
        <v>135</v>
      </c>
    </row>
    <row r="343" spans="2:6">
      <c r="B343" s="291" t="s">
        <v>370</v>
      </c>
      <c r="C343" s="287" t="s">
        <v>59</v>
      </c>
      <c r="D343" s="292">
        <v>1</v>
      </c>
      <c r="E343" s="652">
        <f>Apro.Chantier!$P$46</f>
        <v>38.325000000000003</v>
      </c>
      <c r="F343" s="292">
        <f>D343*E343</f>
        <v>38.325000000000003</v>
      </c>
    </row>
    <row r="344" spans="2:6">
      <c r="B344" s="246" t="s">
        <v>287</v>
      </c>
      <c r="C344" s="247" t="s">
        <v>262</v>
      </c>
      <c r="D344" s="292">
        <v>1</v>
      </c>
      <c r="E344" s="652">
        <f>Apro.Chantier!$P$66</f>
        <v>2.1</v>
      </c>
      <c r="F344" s="292">
        <f>D344*E344</f>
        <v>2.1</v>
      </c>
    </row>
    <row r="345" spans="2:6">
      <c r="B345" s="291" t="s">
        <v>304</v>
      </c>
      <c r="C345" s="287" t="s">
        <v>67</v>
      </c>
      <c r="D345" s="292">
        <v>1</v>
      </c>
      <c r="E345" s="652">
        <f>Apro.Chantier!$P$50</f>
        <v>3.2760000000000002</v>
      </c>
      <c r="F345" s="292">
        <f>D345*E345</f>
        <v>3.2760000000000002</v>
      </c>
    </row>
    <row r="346" spans="2:6">
      <c r="B346" s="76" t="s">
        <v>332</v>
      </c>
      <c r="C346" s="76" t="s">
        <v>0</v>
      </c>
      <c r="D346" s="343">
        <v>1</v>
      </c>
      <c r="E346" s="669">
        <f>Apro.Chantier!$P$67</f>
        <v>3.2760000000000002</v>
      </c>
      <c r="F346" s="292">
        <f>D346*E346</f>
        <v>3.2760000000000002</v>
      </c>
    </row>
    <row r="347" spans="2:6">
      <c r="B347" s="291" t="s">
        <v>158</v>
      </c>
      <c r="C347" s="287" t="s">
        <v>18</v>
      </c>
      <c r="D347" s="292">
        <v>0.45</v>
      </c>
      <c r="E347" s="652">
        <f>C.Horaire!$C$13</f>
        <v>21.021161699999997</v>
      </c>
      <c r="F347" s="292">
        <f>D347*E347</f>
        <v>9.4595227649999991</v>
      </c>
    </row>
    <row r="350" spans="2:6">
      <c r="B350" s="328"/>
      <c r="C350" s="1151" t="s">
        <v>190</v>
      </c>
      <c r="D350" s="1152"/>
      <c r="E350" s="1153"/>
      <c r="F350" s="294"/>
    </row>
    <row r="351" spans="2:6">
      <c r="B351" s="328"/>
      <c r="C351" s="321"/>
      <c r="D351" s="321"/>
      <c r="E351" s="661"/>
      <c r="F351" s="294"/>
    </row>
    <row r="352" spans="2:6">
      <c r="B352" s="328"/>
      <c r="C352" s="328"/>
      <c r="D352" s="328"/>
      <c r="E352" s="671"/>
      <c r="F352" s="294"/>
    </row>
    <row r="353" spans="2:6">
      <c r="B353" s="1138" t="s">
        <v>134</v>
      </c>
      <c r="C353" s="1139"/>
      <c r="D353" s="1139"/>
      <c r="E353" s="1139"/>
      <c r="F353" s="1140"/>
    </row>
    <row r="354" spans="2:6">
      <c r="B354" s="329" t="s">
        <v>913</v>
      </c>
      <c r="C354" s="1139"/>
      <c r="D354" s="1139"/>
      <c r="E354" s="1140"/>
      <c r="F354" s="247" t="s">
        <v>136</v>
      </c>
    </row>
    <row r="355" spans="2:6">
      <c r="B355" s="240" t="s">
        <v>916</v>
      </c>
      <c r="C355" s="241"/>
      <c r="D355" s="241"/>
      <c r="E355" s="654" t="s">
        <v>133</v>
      </c>
      <c r="F355" s="267">
        <f>SUM(F357:F359)</f>
        <v>28.003494119999999</v>
      </c>
    </row>
    <row r="356" spans="2:6">
      <c r="B356" s="245" t="s">
        <v>119</v>
      </c>
      <c r="C356" s="245" t="s">
        <v>0</v>
      </c>
      <c r="D356" s="245" t="s">
        <v>120</v>
      </c>
      <c r="E356" s="655" t="s">
        <v>121</v>
      </c>
      <c r="F356" s="245" t="s">
        <v>135</v>
      </c>
    </row>
    <row r="357" spans="2:6">
      <c r="B357" s="246" t="s">
        <v>191</v>
      </c>
      <c r="C357" s="247" t="s">
        <v>43</v>
      </c>
      <c r="D357" s="309">
        <v>1.4999999999999999E-2</v>
      </c>
      <c r="E357" s="652">
        <f>Apro.Chantier!$E$8</f>
        <v>325.34775000000002</v>
      </c>
      <c r="F357" s="155">
        <f>D357*E357</f>
        <v>4.8802162500000001</v>
      </c>
    </row>
    <row r="358" spans="2:6">
      <c r="B358" s="246" t="s">
        <v>192</v>
      </c>
      <c r="C358" s="247" t="s">
        <v>18</v>
      </c>
      <c r="D358" s="314">
        <v>0.2</v>
      </c>
      <c r="E358" s="652">
        <f>C.Horaire!$C$13</f>
        <v>21.021161699999997</v>
      </c>
      <c r="F358" s="155">
        <f>D358*E358</f>
        <v>4.2042323399999999</v>
      </c>
    </row>
    <row r="359" spans="2:6">
      <c r="B359" s="246" t="s">
        <v>7</v>
      </c>
      <c r="C359" s="247" t="s">
        <v>18</v>
      </c>
      <c r="D359" s="155">
        <v>0.9</v>
      </c>
      <c r="E359" s="652">
        <f>C.Horaire!$C$13</f>
        <v>21.021161699999997</v>
      </c>
      <c r="F359" s="155">
        <f>D359*E359</f>
        <v>18.919045529999998</v>
      </c>
    </row>
    <row r="360" spans="2:6">
      <c r="B360" s="252"/>
      <c r="C360" s="252"/>
      <c r="D360" s="317"/>
      <c r="E360" s="667"/>
      <c r="F360" s="318"/>
    </row>
    <row r="361" spans="2:6">
      <c r="B361" s="252"/>
      <c r="C361" s="252"/>
      <c r="D361" s="293"/>
      <c r="E361" s="672"/>
      <c r="F361" s="257"/>
    </row>
    <row r="362" spans="2:6">
      <c r="B362" s="1138" t="s">
        <v>134</v>
      </c>
      <c r="C362" s="1139"/>
      <c r="D362" s="1139"/>
      <c r="E362" s="1139"/>
      <c r="F362" s="1140"/>
    </row>
    <row r="363" spans="2:6" ht="13.5" thickBot="1">
      <c r="B363" s="329" t="s">
        <v>914</v>
      </c>
      <c r="C363" s="1139"/>
      <c r="D363" s="1139"/>
      <c r="E363" s="1155"/>
      <c r="F363" s="260" t="s">
        <v>136</v>
      </c>
    </row>
    <row r="364" spans="2:6" ht="13.5" thickBot="1">
      <c r="B364" s="240" t="s">
        <v>915</v>
      </c>
      <c r="C364" s="241"/>
      <c r="D364" s="241"/>
      <c r="E364" s="650" t="s">
        <v>133</v>
      </c>
      <c r="F364" s="275">
        <f>SUM(F366:F367)</f>
        <v>22.172523029999997</v>
      </c>
    </row>
    <row r="365" spans="2:6">
      <c r="B365" s="245" t="s">
        <v>119</v>
      </c>
      <c r="C365" s="245" t="s">
        <v>0</v>
      </c>
      <c r="D365" s="245" t="s">
        <v>120</v>
      </c>
      <c r="E365" s="673" t="s">
        <v>121</v>
      </c>
      <c r="F365" s="262" t="s">
        <v>135</v>
      </c>
    </row>
    <row r="366" spans="2:6">
      <c r="B366" s="246" t="s">
        <v>191</v>
      </c>
      <c r="C366" s="247" t="s">
        <v>43</v>
      </c>
      <c r="D366" s="309">
        <v>0.01</v>
      </c>
      <c r="E366" s="652">
        <f>Apro.Chantier!$E$8</f>
        <v>325.34775000000002</v>
      </c>
      <c r="F366" s="155">
        <f>D366*E366</f>
        <v>3.2534775000000002</v>
      </c>
    </row>
    <row r="367" spans="2:6">
      <c r="B367" s="246" t="s">
        <v>7</v>
      </c>
      <c r="C367" s="247" t="s">
        <v>18</v>
      </c>
      <c r="D367" s="155">
        <v>0.9</v>
      </c>
      <c r="E367" s="652">
        <f>C.Horaire!$C$13</f>
        <v>21.021161699999997</v>
      </c>
      <c r="F367" s="155">
        <f>D367*E367</f>
        <v>18.919045529999998</v>
      </c>
    </row>
    <row r="368" spans="2:6">
      <c r="B368" s="252"/>
      <c r="C368" s="252"/>
      <c r="D368" s="317"/>
      <c r="E368" s="667"/>
      <c r="F368" s="318"/>
    </row>
    <row r="370" spans="2:6" ht="15" customHeight="1">
      <c r="C370" s="1145" t="s">
        <v>164</v>
      </c>
      <c r="D370" s="1146"/>
      <c r="E370" s="1147"/>
    </row>
    <row r="373" spans="2:6">
      <c r="B373" s="1138" t="s">
        <v>134</v>
      </c>
      <c r="C373" s="1139"/>
      <c r="D373" s="1139"/>
      <c r="E373" s="1139"/>
      <c r="F373" s="1140"/>
    </row>
    <row r="374" spans="2:6" ht="13.5" thickBot="1">
      <c r="B374" s="329" t="s">
        <v>929</v>
      </c>
      <c r="C374" s="1139"/>
      <c r="D374" s="1139"/>
      <c r="E374" s="1155"/>
      <c r="F374" s="260" t="s">
        <v>377</v>
      </c>
    </row>
    <row r="375" spans="2:6" ht="13.5" thickBot="1">
      <c r="B375" s="240" t="s">
        <v>375</v>
      </c>
      <c r="C375" s="241"/>
      <c r="D375" s="241"/>
      <c r="E375" s="650" t="s">
        <v>133</v>
      </c>
      <c r="F375" s="275">
        <f>SUM(F377:F379)</f>
        <v>121.93310388</v>
      </c>
    </row>
    <row r="376" spans="2:6">
      <c r="B376" s="245" t="s">
        <v>119</v>
      </c>
      <c r="C376" s="245" t="s">
        <v>0</v>
      </c>
      <c r="D376" s="245" t="s">
        <v>120</v>
      </c>
      <c r="E376" s="673" t="s">
        <v>121</v>
      </c>
      <c r="F376" s="262" t="s">
        <v>135</v>
      </c>
    </row>
    <row r="377" spans="2:6">
      <c r="B377" s="246" t="s">
        <v>191</v>
      </c>
      <c r="C377" s="247" t="s">
        <v>43</v>
      </c>
      <c r="D377" s="309">
        <v>0.01</v>
      </c>
      <c r="E377" s="652">
        <f>Apro.Chantier!$E$8</f>
        <v>325.34775000000002</v>
      </c>
      <c r="F377" s="155">
        <f>D377*E377</f>
        <v>3.2534775000000002</v>
      </c>
    </row>
    <row r="378" spans="2:6">
      <c r="B378" s="246" t="s">
        <v>376</v>
      </c>
      <c r="C378" s="247" t="s">
        <v>59</v>
      </c>
      <c r="D378" s="309">
        <v>1</v>
      </c>
      <c r="E378" s="652">
        <f>Apro.Chantier!$P$57</f>
        <v>89.25</v>
      </c>
      <c r="F378" s="155">
        <f>D378*E378</f>
        <v>89.25</v>
      </c>
    </row>
    <row r="379" spans="2:6">
      <c r="B379" s="246" t="s">
        <v>7</v>
      </c>
      <c r="C379" s="247" t="s">
        <v>18</v>
      </c>
      <c r="D379" s="155">
        <v>1.4</v>
      </c>
      <c r="E379" s="652">
        <f>C.Horaire!$C$13</f>
        <v>21.021161699999997</v>
      </c>
      <c r="F379" s="155">
        <f>D379*E379</f>
        <v>29.429626379999995</v>
      </c>
    </row>
    <row r="382" spans="2:6">
      <c r="B382" s="1156" t="s">
        <v>134</v>
      </c>
      <c r="C382" s="1157"/>
      <c r="D382" s="1157"/>
      <c r="E382" s="1157"/>
      <c r="F382" s="1140"/>
    </row>
    <row r="383" spans="2:6" ht="13.5" thickBot="1">
      <c r="B383" s="329" t="s">
        <v>928</v>
      </c>
      <c r="C383" s="330"/>
      <c r="D383" s="330"/>
      <c r="E383" s="674"/>
      <c r="F383" s="331" t="s">
        <v>180</v>
      </c>
    </row>
    <row r="384" spans="2:6" ht="13.5" thickBot="1">
      <c r="B384" s="303" t="s">
        <v>378</v>
      </c>
      <c r="C384" s="304"/>
      <c r="D384" s="304"/>
      <c r="E384" s="663" t="s">
        <v>133</v>
      </c>
      <c r="F384" s="275">
        <f>SUM(F386:F390)</f>
        <v>1623.345543034091</v>
      </c>
    </row>
    <row r="385" spans="2:6">
      <c r="B385" s="245" t="s">
        <v>119</v>
      </c>
      <c r="C385" s="245" t="s">
        <v>0</v>
      </c>
      <c r="D385" s="245" t="s">
        <v>120</v>
      </c>
      <c r="E385" s="673" t="s">
        <v>121</v>
      </c>
      <c r="F385" s="262" t="s">
        <v>135</v>
      </c>
    </row>
    <row r="386" spans="2:6">
      <c r="B386" s="246" t="s">
        <v>150</v>
      </c>
      <c r="C386" s="247" t="s">
        <v>43</v>
      </c>
      <c r="D386" s="276">
        <v>2</v>
      </c>
      <c r="E386" s="652">
        <f>Apro.Chantier!$E$4</f>
        <v>116.86500000000001</v>
      </c>
      <c r="F386" s="155">
        <f>D386*E386</f>
        <v>233.73000000000002</v>
      </c>
    </row>
    <row r="387" spans="2:6">
      <c r="B387" s="246" t="s">
        <v>137</v>
      </c>
      <c r="C387" s="247" t="s">
        <v>50</v>
      </c>
      <c r="D387" s="248">
        <v>1</v>
      </c>
      <c r="E387" s="644">
        <f>Apro.Chantier!$P$23</f>
        <v>546</v>
      </c>
      <c r="F387" s="250">
        <f>E387*D387</f>
        <v>546</v>
      </c>
    </row>
    <row r="388" spans="2:6">
      <c r="B388" s="246" t="s">
        <v>221</v>
      </c>
      <c r="C388" s="247" t="s">
        <v>67</v>
      </c>
      <c r="D388" s="270">
        <v>6</v>
      </c>
      <c r="E388" s="652">
        <f>Apro.Chantier!$H$7</f>
        <v>16.38</v>
      </c>
      <c r="F388" s="155">
        <f>D388*E388</f>
        <v>98.28</v>
      </c>
    </row>
    <row r="389" spans="2:6">
      <c r="B389" s="246" t="s">
        <v>225</v>
      </c>
      <c r="C389" s="247" t="s">
        <v>163</v>
      </c>
      <c r="D389" s="299">
        <v>150</v>
      </c>
      <c r="E389" s="652">
        <f>Apro.Chantier!$P$26</f>
        <v>4.7937272727272724</v>
      </c>
      <c r="F389" s="155">
        <f>D389*E389</f>
        <v>719.05909090909086</v>
      </c>
    </row>
    <row r="390" spans="2:6">
      <c r="B390" s="246" t="s">
        <v>7</v>
      </c>
      <c r="C390" s="247" t="s">
        <v>18</v>
      </c>
      <c r="D390" s="155">
        <v>1.25</v>
      </c>
      <c r="E390" s="652">
        <f>C.Horaire!$C$13</f>
        <v>21.021161699999997</v>
      </c>
      <c r="F390" s="155">
        <f>D390*E390</f>
        <v>26.276452124999995</v>
      </c>
    </row>
    <row r="393" spans="2:6" ht="15" customHeight="1">
      <c r="C393" s="1145" t="s">
        <v>166</v>
      </c>
      <c r="D393" s="1146"/>
      <c r="E393" s="1147"/>
    </row>
    <row r="396" spans="2:6">
      <c r="B396" s="1154" t="s">
        <v>134</v>
      </c>
      <c r="C396" s="1154"/>
      <c r="D396" s="1154"/>
      <c r="E396" s="1154"/>
      <c r="F396" s="1154"/>
    </row>
    <row r="397" spans="2:6" ht="13.5" thickBot="1">
      <c r="B397" s="306" t="s">
        <v>931</v>
      </c>
      <c r="C397" s="1154"/>
      <c r="D397" s="1154"/>
      <c r="E397" s="1154"/>
      <c r="F397" s="247" t="s">
        <v>136</v>
      </c>
    </row>
    <row r="398" spans="2:6" ht="13.5" thickBot="1">
      <c r="B398" s="303" t="s">
        <v>1100</v>
      </c>
      <c r="C398" s="304"/>
      <c r="D398" s="304"/>
      <c r="E398" s="663" t="s">
        <v>133</v>
      </c>
      <c r="F398" s="275">
        <f>SUM(F400:F404)</f>
        <v>62.082591059999999</v>
      </c>
    </row>
    <row r="399" spans="2:6">
      <c r="B399" s="245" t="s">
        <v>119</v>
      </c>
      <c r="C399" s="245" t="s">
        <v>0</v>
      </c>
      <c r="D399" s="245" t="s">
        <v>120</v>
      </c>
      <c r="E399" s="673" t="s">
        <v>121</v>
      </c>
      <c r="F399" s="262" t="s">
        <v>135</v>
      </c>
    </row>
    <row r="400" spans="2:6">
      <c r="B400" s="246" t="s">
        <v>381</v>
      </c>
      <c r="C400" s="247" t="s">
        <v>67</v>
      </c>
      <c r="D400" s="309">
        <v>1</v>
      </c>
      <c r="E400" s="652">
        <f>Apro.Chantier!$P$58</f>
        <v>21.21</v>
      </c>
      <c r="F400" s="155">
        <f>D400*E400</f>
        <v>21.21</v>
      </c>
    </row>
    <row r="401" spans="2:6">
      <c r="B401" s="246" t="s">
        <v>382</v>
      </c>
      <c r="C401" s="247" t="s">
        <v>43</v>
      </c>
      <c r="D401" s="314">
        <v>0.05</v>
      </c>
      <c r="E401" s="652">
        <f>Apro.Chantier!$P$16</f>
        <v>39.9</v>
      </c>
      <c r="F401" s="155">
        <f>D401*E401</f>
        <v>1.9950000000000001</v>
      </c>
    </row>
    <row r="402" spans="2:6">
      <c r="B402" s="246" t="s">
        <v>383</v>
      </c>
      <c r="C402" s="247" t="s">
        <v>64</v>
      </c>
      <c r="D402" s="314">
        <v>3.5</v>
      </c>
      <c r="E402" s="652">
        <f>Apro.Chantier!$P$14</f>
        <v>0.23100000000000001</v>
      </c>
      <c r="F402" s="155">
        <f>D402*E402</f>
        <v>0.8085</v>
      </c>
    </row>
    <row r="403" spans="2:6">
      <c r="B403" s="246" t="s">
        <v>384</v>
      </c>
      <c r="C403" s="246" t="s">
        <v>1186</v>
      </c>
      <c r="D403" s="332">
        <v>1</v>
      </c>
      <c r="E403" s="652">
        <f>Apro.Chantier!$P$14</f>
        <v>0.23100000000000001</v>
      </c>
      <c r="F403" s="333">
        <f>D403*E403</f>
        <v>0.23100000000000001</v>
      </c>
    </row>
    <row r="404" spans="2:6">
      <c r="B404" s="246" t="s">
        <v>380</v>
      </c>
      <c r="C404" s="247" t="s">
        <v>18</v>
      </c>
      <c r="D404" s="155">
        <v>1.8</v>
      </c>
      <c r="E404" s="652">
        <f>C.Horaire!$C$13</f>
        <v>21.021161699999997</v>
      </c>
      <c r="F404" s="155">
        <f>D404*E404</f>
        <v>37.838091059999996</v>
      </c>
    </row>
    <row r="405" spans="2:6">
      <c r="B405" s="76" t="s">
        <v>930</v>
      </c>
      <c r="C405" s="76" t="s">
        <v>391</v>
      </c>
      <c r="D405" s="333"/>
      <c r="E405" s="749"/>
      <c r="F405" s="750">
        <f>SUM(F401:F404)</f>
        <v>40.872591059999998</v>
      </c>
    </row>
    <row r="407" spans="2:6">
      <c r="B407" s="355"/>
    </row>
    <row r="408" spans="2:6">
      <c r="B408" s="1154" t="s">
        <v>134</v>
      </c>
      <c r="C408" s="1154"/>
      <c r="D408" s="1154"/>
      <c r="E408" s="1154"/>
      <c r="F408" s="1154"/>
    </row>
    <row r="409" spans="2:6" ht="13.5" thickBot="1">
      <c r="B409" s="306" t="s">
        <v>932</v>
      </c>
      <c r="C409" s="1154"/>
      <c r="D409" s="1154"/>
      <c r="E409" s="1154"/>
      <c r="F409" s="247" t="s">
        <v>136</v>
      </c>
    </row>
    <row r="410" spans="2:6" ht="13.5" thickBot="1">
      <c r="B410" s="303" t="s">
        <v>1101</v>
      </c>
      <c r="C410" s="304"/>
      <c r="D410" s="304"/>
      <c r="E410" s="663" t="s">
        <v>133</v>
      </c>
      <c r="F410" s="275">
        <f>SUM(F412:F416)</f>
        <v>113.27489681740633</v>
      </c>
    </row>
    <row r="411" spans="2:6">
      <c r="B411" s="245" t="s">
        <v>119</v>
      </c>
      <c r="C411" s="245" t="s">
        <v>0</v>
      </c>
      <c r="D411" s="245" t="s">
        <v>120</v>
      </c>
      <c r="E411" s="673" t="s">
        <v>121</v>
      </c>
      <c r="F411" s="262" t="s">
        <v>135</v>
      </c>
    </row>
    <row r="412" spans="2:6">
      <c r="B412" s="246" t="s">
        <v>385</v>
      </c>
      <c r="C412" s="247" t="s">
        <v>67</v>
      </c>
      <c r="D412" s="309">
        <v>1</v>
      </c>
      <c r="E412" s="652">
        <f>Apro.Chantier!$P$59</f>
        <v>21.21</v>
      </c>
      <c r="F412" s="155">
        <f>D412*E412</f>
        <v>21.21</v>
      </c>
    </row>
    <row r="413" spans="2:6">
      <c r="B413" s="246" t="s">
        <v>379</v>
      </c>
      <c r="C413" s="247" t="s">
        <v>43</v>
      </c>
      <c r="D413" s="314">
        <v>3</v>
      </c>
      <c r="E413" s="652">
        <f>Apro.Chantier!$P$60</f>
        <v>2.7314524495677235</v>
      </c>
      <c r="F413" s="155">
        <f>D413*E413</f>
        <v>8.1943573487031713</v>
      </c>
    </row>
    <row r="414" spans="2:6">
      <c r="B414" s="246" t="s">
        <v>7</v>
      </c>
      <c r="C414" s="247" t="s">
        <v>18</v>
      </c>
      <c r="D414" s="155">
        <v>1.8</v>
      </c>
      <c r="E414" s="652">
        <f>C.Horaire!$C$13</f>
        <v>21.021161699999997</v>
      </c>
      <c r="F414" s="155">
        <f>D414*E414</f>
        <v>37.838091059999996</v>
      </c>
    </row>
    <row r="415" spans="2:6">
      <c r="B415" s="76" t="s">
        <v>933</v>
      </c>
      <c r="C415" s="246" t="s">
        <v>946</v>
      </c>
      <c r="D415" s="332"/>
      <c r="E415" s="749"/>
      <c r="F415" s="750">
        <f>SUM(F413:F414)</f>
        <v>46.032448408703168</v>
      </c>
    </row>
    <row r="418" spans="2:6" ht="15" customHeight="1">
      <c r="C418" s="1145" t="s">
        <v>167</v>
      </c>
      <c r="D418" s="1146"/>
      <c r="E418" s="1147"/>
    </row>
    <row r="421" spans="2:6">
      <c r="B421" s="1154" t="s">
        <v>134</v>
      </c>
      <c r="C421" s="1154"/>
      <c r="D421" s="1154"/>
      <c r="E421" s="1154"/>
      <c r="F421" s="1154"/>
    </row>
    <row r="422" spans="2:6" ht="13.5" thickBot="1">
      <c r="B422" s="306" t="s">
        <v>934</v>
      </c>
      <c r="C422" s="1154"/>
      <c r="D422" s="1154"/>
      <c r="E422" s="1154"/>
      <c r="F422" s="247" t="s">
        <v>136</v>
      </c>
    </row>
    <row r="423" spans="2:6" ht="13.5" thickBot="1">
      <c r="B423" s="303" t="s">
        <v>168</v>
      </c>
      <c r="C423" s="304"/>
      <c r="D423" s="304"/>
      <c r="E423" s="663" t="s">
        <v>133</v>
      </c>
      <c r="F423" s="275">
        <f>SUM(F425:F428)</f>
        <v>15.755290424999998</v>
      </c>
    </row>
    <row r="424" spans="2:6">
      <c r="B424" s="245" t="s">
        <v>119</v>
      </c>
      <c r="C424" s="245" t="s">
        <v>0</v>
      </c>
      <c r="D424" s="245" t="s">
        <v>120</v>
      </c>
      <c r="E424" s="673" t="s">
        <v>121</v>
      </c>
      <c r="F424" s="262" t="s">
        <v>135</v>
      </c>
    </row>
    <row r="425" spans="2:6">
      <c r="B425" s="212" t="s">
        <v>56</v>
      </c>
      <c r="C425" s="247" t="s">
        <v>67</v>
      </c>
      <c r="D425" s="309">
        <v>1</v>
      </c>
      <c r="E425" s="652">
        <f>Apro.Chantier!$P$51</f>
        <v>6.6360000000000001</v>
      </c>
      <c r="F425" s="155">
        <f>D425*E425</f>
        <v>6.6360000000000001</v>
      </c>
    </row>
    <row r="426" spans="2:6">
      <c r="B426" s="212" t="s">
        <v>57</v>
      </c>
      <c r="C426" s="247" t="s">
        <v>67</v>
      </c>
      <c r="D426" s="309">
        <v>1</v>
      </c>
      <c r="E426" s="652">
        <f>Apro.Chantier!$P$52</f>
        <v>1.7640000000000002</v>
      </c>
      <c r="F426" s="155">
        <f>D426*E426</f>
        <v>1.7640000000000002</v>
      </c>
    </row>
    <row r="427" spans="2:6">
      <c r="B427" s="246" t="s">
        <v>386</v>
      </c>
      <c r="C427" s="247"/>
      <c r="D427" s="314">
        <v>1</v>
      </c>
      <c r="E427" s="652">
        <f>Apro.Chantier!$P$66</f>
        <v>2.1</v>
      </c>
      <c r="F427" s="155">
        <f>D427*E427</f>
        <v>2.1</v>
      </c>
    </row>
    <row r="428" spans="2:6">
      <c r="B428" s="246" t="s">
        <v>7</v>
      </c>
      <c r="C428" s="247" t="s">
        <v>18</v>
      </c>
      <c r="D428" s="155">
        <v>0.25</v>
      </c>
      <c r="E428" s="652">
        <f>C.Horaire!$C$13</f>
        <v>21.021161699999997</v>
      </c>
      <c r="F428" s="155">
        <f>D428*E428</f>
        <v>5.2552904249999992</v>
      </c>
    </row>
    <row r="431" spans="2:6">
      <c r="B431" s="1154" t="s">
        <v>134</v>
      </c>
      <c r="C431" s="1154"/>
      <c r="D431" s="1154"/>
      <c r="E431" s="1154"/>
      <c r="F431" s="1154"/>
    </row>
    <row r="432" spans="2:6" ht="13.5" thickBot="1">
      <c r="B432" s="306" t="s">
        <v>935</v>
      </c>
      <c r="C432" s="1154"/>
      <c r="D432" s="1154"/>
      <c r="E432" s="1154"/>
      <c r="F432" s="247" t="s">
        <v>136</v>
      </c>
    </row>
    <row r="433" spans="2:6" ht="13.5" thickBot="1">
      <c r="B433" s="303" t="s">
        <v>170</v>
      </c>
      <c r="C433" s="304"/>
      <c r="D433" s="304"/>
      <c r="E433" s="663" t="s">
        <v>133</v>
      </c>
      <c r="F433" s="275">
        <f>SUM(F435:F438)</f>
        <v>10.660636578846153</v>
      </c>
    </row>
    <row r="434" spans="2:6">
      <c r="B434" s="245" t="s">
        <v>119</v>
      </c>
      <c r="C434" s="245" t="s">
        <v>0</v>
      </c>
      <c r="D434" s="245" t="s">
        <v>120</v>
      </c>
      <c r="E434" s="673" t="s">
        <v>121</v>
      </c>
      <c r="F434" s="262" t="s">
        <v>135</v>
      </c>
    </row>
    <row r="435" spans="2:6">
      <c r="B435" s="212" t="s">
        <v>60</v>
      </c>
      <c r="C435" s="247" t="s">
        <v>67</v>
      </c>
      <c r="D435" s="309">
        <v>1</v>
      </c>
      <c r="E435" s="652">
        <f>Apro.Chantier!$P$55</f>
        <v>1.5413461538461539</v>
      </c>
      <c r="F435" s="155">
        <f>D435*E435</f>
        <v>1.5413461538461539</v>
      </c>
    </row>
    <row r="436" spans="2:6">
      <c r="B436" s="212" t="s">
        <v>57</v>
      </c>
      <c r="C436" s="247" t="s">
        <v>67</v>
      </c>
      <c r="D436" s="309">
        <v>1</v>
      </c>
      <c r="E436" s="652">
        <f>Apro.Chantier!$P$52</f>
        <v>1.7640000000000002</v>
      </c>
      <c r="F436" s="155">
        <f>D436*E436</f>
        <v>1.7640000000000002</v>
      </c>
    </row>
    <row r="437" spans="2:6">
      <c r="B437" s="246" t="s">
        <v>386</v>
      </c>
      <c r="C437" s="247"/>
      <c r="D437" s="314">
        <v>1</v>
      </c>
      <c r="E437" s="652">
        <f>Apro.Chantier!$P$66</f>
        <v>2.1</v>
      </c>
      <c r="F437" s="155">
        <f>D437*E437</f>
        <v>2.1</v>
      </c>
    </row>
    <row r="438" spans="2:6">
      <c r="B438" s="246" t="s">
        <v>7</v>
      </c>
      <c r="C438" s="247" t="s">
        <v>18</v>
      </c>
      <c r="D438" s="155">
        <v>0.25</v>
      </c>
      <c r="E438" s="652">
        <f>C.Horaire!$C$13</f>
        <v>21.021161699999997</v>
      </c>
      <c r="F438" s="155">
        <f>D438*E438</f>
        <v>5.2552904249999992</v>
      </c>
    </row>
    <row r="441" spans="2:6">
      <c r="B441" s="1154" t="s">
        <v>134</v>
      </c>
      <c r="C441" s="1154"/>
      <c r="D441" s="1154"/>
      <c r="E441" s="1154"/>
      <c r="F441" s="1154"/>
    </row>
    <row r="442" spans="2:6" ht="13.5" thickBot="1">
      <c r="B442" s="306" t="s">
        <v>936</v>
      </c>
      <c r="C442" s="1154"/>
      <c r="D442" s="1154"/>
      <c r="E442" s="1154"/>
      <c r="F442" s="247" t="s">
        <v>136</v>
      </c>
    </row>
    <row r="443" spans="2:6" ht="13.5" thickBot="1">
      <c r="B443" s="303" t="s">
        <v>169</v>
      </c>
      <c r="C443" s="304"/>
      <c r="D443" s="304"/>
      <c r="E443" s="663" t="s">
        <v>133</v>
      </c>
      <c r="F443" s="275">
        <f>SUM(F445:F448)</f>
        <v>11.711694663846153</v>
      </c>
    </row>
    <row r="444" spans="2:6">
      <c r="B444" s="245" t="s">
        <v>119</v>
      </c>
      <c r="C444" s="245" t="s">
        <v>0</v>
      </c>
      <c r="D444" s="245" t="s">
        <v>120</v>
      </c>
      <c r="E444" s="673" t="s">
        <v>121</v>
      </c>
      <c r="F444" s="262" t="s">
        <v>135</v>
      </c>
    </row>
    <row r="445" spans="2:6">
      <c r="B445" s="212" t="s">
        <v>60</v>
      </c>
      <c r="C445" s="247" t="s">
        <v>67</v>
      </c>
      <c r="D445" s="309">
        <v>1</v>
      </c>
      <c r="E445" s="652">
        <f>Apro.Chantier!$P$55</f>
        <v>1.5413461538461539</v>
      </c>
      <c r="F445" s="155">
        <f>D445*E445</f>
        <v>1.5413461538461539</v>
      </c>
    </row>
    <row r="446" spans="2:6">
      <c r="B446" s="212" t="s">
        <v>57</v>
      </c>
      <c r="C446" s="247" t="s">
        <v>67</v>
      </c>
      <c r="D446" s="309">
        <v>1</v>
      </c>
      <c r="E446" s="652">
        <f>Apro.Chantier!$P$52</f>
        <v>1.7640000000000002</v>
      </c>
      <c r="F446" s="155">
        <f>D446*E446</f>
        <v>1.7640000000000002</v>
      </c>
    </row>
    <row r="447" spans="2:6">
      <c r="B447" s="246" t="s">
        <v>386</v>
      </c>
      <c r="C447" s="247"/>
      <c r="D447" s="314">
        <v>1</v>
      </c>
      <c r="E447" s="652">
        <f>Apro.Chantier!$P$66</f>
        <v>2.1</v>
      </c>
      <c r="F447" s="155">
        <f>D447*E447</f>
        <v>2.1</v>
      </c>
    </row>
    <row r="448" spans="2:6">
      <c r="B448" s="246" t="s">
        <v>7</v>
      </c>
      <c r="C448" s="247" t="s">
        <v>18</v>
      </c>
      <c r="D448" s="155">
        <v>0.3</v>
      </c>
      <c r="E448" s="652">
        <f>C.Horaire!$C$13</f>
        <v>21.021161699999997</v>
      </c>
      <c r="F448" s="155">
        <f>D448*E448</f>
        <v>6.3063485099999985</v>
      </c>
    </row>
    <row r="451" spans="2:6">
      <c r="B451" s="1154" t="s">
        <v>134</v>
      </c>
      <c r="C451" s="1154"/>
      <c r="D451" s="1154"/>
      <c r="E451" s="1154"/>
      <c r="F451" s="1154"/>
    </row>
    <row r="452" spans="2:6" ht="13.5" thickBot="1">
      <c r="B452" s="306" t="s">
        <v>937</v>
      </c>
      <c r="C452" s="1154"/>
      <c r="D452" s="1154"/>
      <c r="E452" s="1154"/>
      <c r="F452" s="247" t="s">
        <v>136</v>
      </c>
    </row>
    <row r="453" spans="2:6" ht="13.5" thickBot="1">
      <c r="B453" s="303" t="s">
        <v>171</v>
      </c>
      <c r="C453" s="304"/>
      <c r="D453" s="304"/>
      <c r="E453" s="663" t="s">
        <v>133</v>
      </c>
      <c r="F453" s="275">
        <f>SUM(F455:F458)</f>
        <v>11.135290425000001</v>
      </c>
    </row>
    <row r="454" spans="2:6">
      <c r="B454" s="245" t="s">
        <v>119</v>
      </c>
      <c r="C454" s="245" t="s">
        <v>0</v>
      </c>
      <c r="D454" s="245" t="s">
        <v>120</v>
      </c>
      <c r="E454" s="673" t="s">
        <v>121</v>
      </c>
      <c r="F454" s="262" t="s">
        <v>135</v>
      </c>
    </row>
    <row r="455" spans="2:6">
      <c r="B455" s="212" t="s">
        <v>58</v>
      </c>
      <c r="C455" s="247" t="s">
        <v>67</v>
      </c>
      <c r="D455" s="309">
        <v>1</v>
      </c>
      <c r="E455" s="652">
        <f>Apro.Chantier!$P$53</f>
        <v>2.016</v>
      </c>
      <c r="F455" s="155">
        <f>D455*E455</f>
        <v>2.016</v>
      </c>
    </row>
    <row r="456" spans="2:6">
      <c r="B456" s="212" t="s">
        <v>57</v>
      </c>
      <c r="C456" s="247" t="s">
        <v>67</v>
      </c>
      <c r="D456" s="309">
        <v>1</v>
      </c>
      <c r="E456" s="652">
        <f>Apro.Chantier!$P$52</f>
        <v>1.7640000000000002</v>
      </c>
      <c r="F456" s="155">
        <f>D456*E456</f>
        <v>1.7640000000000002</v>
      </c>
    </row>
    <row r="457" spans="2:6">
      <c r="B457" s="246" t="s">
        <v>386</v>
      </c>
      <c r="C457" s="247"/>
      <c r="D457" s="314">
        <v>1</v>
      </c>
      <c r="E457" s="652">
        <f>Apro.Chantier!$P$66</f>
        <v>2.1</v>
      </c>
      <c r="F457" s="155">
        <f>D457*E457</f>
        <v>2.1</v>
      </c>
    </row>
    <row r="458" spans="2:6">
      <c r="B458" s="246" t="s">
        <v>7</v>
      </c>
      <c r="C458" s="247" t="s">
        <v>18</v>
      </c>
      <c r="D458" s="155">
        <v>0.25</v>
      </c>
      <c r="E458" s="652">
        <f>C.Horaire!$C$13</f>
        <v>21.021161699999997</v>
      </c>
      <c r="F458" s="155">
        <f>D458*E458</f>
        <v>5.2552904249999992</v>
      </c>
    </row>
    <row r="461" spans="2:6">
      <c r="B461" s="1154" t="s">
        <v>134</v>
      </c>
      <c r="C461" s="1154"/>
      <c r="D461" s="1154"/>
      <c r="E461" s="1154"/>
      <c r="F461" s="1154"/>
    </row>
    <row r="462" spans="2:6" ht="13.5" thickBot="1">
      <c r="B462" s="306" t="s">
        <v>938</v>
      </c>
      <c r="C462" s="1154"/>
      <c r="D462" s="1154"/>
      <c r="E462" s="1154"/>
      <c r="F462" s="247" t="s">
        <v>136</v>
      </c>
    </row>
    <row r="463" spans="2:6" ht="13.5" thickBot="1">
      <c r="B463" s="303" t="s">
        <v>387</v>
      </c>
      <c r="C463" s="304"/>
      <c r="D463" s="304"/>
      <c r="E463" s="663" t="s">
        <v>133</v>
      </c>
      <c r="F463" s="275">
        <f>SUM(F465:F468)</f>
        <v>25.765489940909088</v>
      </c>
    </row>
    <row r="464" spans="2:6">
      <c r="B464" s="245" t="s">
        <v>119</v>
      </c>
      <c r="C464" s="245" t="s">
        <v>0</v>
      </c>
      <c r="D464" s="245" t="s">
        <v>120</v>
      </c>
      <c r="E464" s="673" t="s">
        <v>121</v>
      </c>
      <c r="F464" s="262" t="s">
        <v>135</v>
      </c>
    </row>
    <row r="465" spans="2:6">
      <c r="B465" s="212" t="s">
        <v>63</v>
      </c>
      <c r="C465" s="247" t="s">
        <v>67</v>
      </c>
      <c r="D465" s="309">
        <v>1</v>
      </c>
      <c r="E465" s="652">
        <f>Apro.Chantier!$P$56</f>
        <v>11.390909090909091</v>
      </c>
      <c r="F465" s="155">
        <f>D465*E465</f>
        <v>11.390909090909091</v>
      </c>
    </row>
    <row r="466" spans="2:6">
      <c r="B466" s="212" t="s">
        <v>57</v>
      </c>
      <c r="C466" s="247" t="s">
        <v>67</v>
      </c>
      <c r="D466" s="309">
        <v>1</v>
      </c>
      <c r="E466" s="652">
        <f>Apro.Chantier!$P$52</f>
        <v>1.7640000000000002</v>
      </c>
      <c r="F466" s="155">
        <f>D466*E466</f>
        <v>1.7640000000000002</v>
      </c>
    </row>
    <row r="467" spans="2:6">
      <c r="B467" s="246" t="s">
        <v>386</v>
      </c>
      <c r="C467" s="247"/>
      <c r="D467" s="314">
        <v>1</v>
      </c>
      <c r="E467" s="652">
        <f>Apro.Chantier!$P$66</f>
        <v>2.1</v>
      </c>
      <c r="F467" s="155">
        <f>D467*E467</f>
        <v>2.1</v>
      </c>
    </row>
    <row r="468" spans="2:6">
      <c r="B468" s="246" t="s">
        <v>7</v>
      </c>
      <c r="C468" s="247" t="s">
        <v>18</v>
      </c>
      <c r="D468" s="155">
        <v>0.5</v>
      </c>
      <c r="E468" s="652">
        <f>C.Horaire!$C$13</f>
        <v>21.021161699999997</v>
      </c>
      <c r="F468" s="155">
        <f>D468*E468</f>
        <v>10.510580849999998</v>
      </c>
    </row>
    <row r="471" spans="2:6" ht="15" customHeight="1">
      <c r="B471" s="334"/>
      <c r="C471" s="1145" t="s">
        <v>172</v>
      </c>
      <c r="D471" s="1146"/>
      <c r="E471" s="1147"/>
      <c r="F471" s="334"/>
    </row>
    <row r="472" spans="2:6">
      <c r="B472" s="335"/>
      <c r="C472" s="334"/>
      <c r="D472" s="334"/>
      <c r="E472" s="672"/>
      <c r="F472" s="257"/>
    </row>
    <row r="473" spans="2:6">
      <c r="B473" s="355"/>
      <c r="C473" s="257"/>
      <c r="D473" s="320"/>
      <c r="E473" s="675"/>
      <c r="F473" s="253"/>
    </row>
    <row r="474" spans="2:6">
      <c r="B474" s="1154" t="s">
        <v>134</v>
      </c>
      <c r="C474" s="1154"/>
      <c r="D474" s="1154"/>
      <c r="E474" s="1154"/>
      <c r="F474" s="1154"/>
    </row>
    <row r="475" spans="2:6" ht="13.5" thickBot="1">
      <c r="B475" s="306"/>
      <c r="C475" s="1154"/>
      <c r="D475" s="1154"/>
      <c r="E475" s="1154"/>
      <c r="F475" s="247" t="s">
        <v>136</v>
      </c>
    </row>
    <row r="476" spans="2:6" ht="13.5" thickBot="1">
      <c r="B476" s="303" t="s">
        <v>173</v>
      </c>
      <c r="C476" s="304"/>
      <c r="D476" s="304"/>
      <c r="E476" s="663" t="s">
        <v>133</v>
      </c>
      <c r="F476" s="275">
        <f>SUM(F478:F484)</f>
        <v>30.26438705230769</v>
      </c>
    </row>
    <row r="477" spans="2:6">
      <c r="B477" s="245" t="s">
        <v>119</v>
      </c>
      <c r="C477" s="245" t="s">
        <v>0</v>
      </c>
      <c r="D477" s="245" t="s">
        <v>120</v>
      </c>
      <c r="E477" s="673" t="s">
        <v>121</v>
      </c>
      <c r="F477" s="262" t="s">
        <v>135</v>
      </c>
    </row>
    <row r="478" spans="2:6">
      <c r="B478" s="212" t="s">
        <v>352</v>
      </c>
      <c r="C478" s="247" t="s">
        <v>59</v>
      </c>
      <c r="D478" s="309">
        <v>1</v>
      </c>
      <c r="E478" s="652">
        <f>Apro.Chantier!$P$62</f>
        <v>1.5776249999999998</v>
      </c>
      <c r="F478" s="155">
        <f t="shared" ref="F478:F484" si="7">D478*E478</f>
        <v>1.5776249999999998</v>
      </c>
    </row>
    <row r="479" spans="2:6">
      <c r="B479" s="212" t="s">
        <v>351</v>
      </c>
      <c r="C479" s="247" t="s">
        <v>59</v>
      </c>
      <c r="D479" s="309">
        <v>1</v>
      </c>
      <c r="E479" s="652">
        <f>Apro.Chantier!$P$63</f>
        <v>2.3975</v>
      </c>
      <c r="F479" s="155">
        <f t="shared" si="7"/>
        <v>2.3975</v>
      </c>
    </row>
    <row r="480" spans="2:6">
      <c r="B480" s="212" t="s">
        <v>83</v>
      </c>
      <c r="C480" s="247" t="s">
        <v>67</v>
      </c>
      <c r="D480" s="309">
        <v>1</v>
      </c>
      <c r="E480" s="652">
        <f>Apro.Chantier!$P$61</f>
        <v>5.7548076923076925</v>
      </c>
      <c r="F480" s="155">
        <f t="shared" si="7"/>
        <v>5.7548076923076925</v>
      </c>
    </row>
    <row r="481" spans="2:6">
      <c r="B481" s="212" t="s">
        <v>347</v>
      </c>
      <c r="C481" s="247" t="s">
        <v>59</v>
      </c>
      <c r="D481" s="309">
        <v>1</v>
      </c>
      <c r="E481" s="652">
        <f>Apro.Chantier!$P$65</f>
        <v>1.0505250000000002</v>
      </c>
      <c r="F481" s="155">
        <f t="shared" si="7"/>
        <v>1.0505250000000002</v>
      </c>
    </row>
    <row r="482" spans="2:6">
      <c r="B482" s="212" t="s">
        <v>343</v>
      </c>
      <c r="C482" s="247" t="s">
        <v>67</v>
      </c>
      <c r="D482" s="309">
        <v>1</v>
      </c>
      <c r="E482" s="652">
        <f>Apro.Chantier!$P$64</f>
        <v>0.56700000000000006</v>
      </c>
      <c r="F482" s="155">
        <f t="shared" si="7"/>
        <v>0.56700000000000006</v>
      </c>
    </row>
    <row r="483" spans="2:6">
      <c r="B483" s="246" t="s">
        <v>386</v>
      </c>
      <c r="C483" s="247"/>
      <c r="D483" s="314">
        <v>1</v>
      </c>
      <c r="E483" s="652">
        <f>Apro.Chantier!$P$66</f>
        <v>2.1</v>
      </c>
      <c r="F483" s="155">
        <f t="shared" si="7"/>
        <v>2.1</v>
      </c>
    </row>
    <row r="484" spans="2:6">
      <c r="B484" s="246" t="s">
        <v>7</v>
      </c>
      <c r="C484" s="247" t="s">
        <v>18</v>
      </c>
      <c r="D484" s="155">
        <v>0.8</v>
      </c>
      <c r="E484" s="652">
        <f>C.Horaire!$C$13</f>
        <v>21.021161699999997</v>
      </c>
      <c r="F484" s="155">
        <f t="shared" si="7"/>
        <v>16.81692936</v>
      </c>
    </row>
    <row r="485" spans="2:6">
      <c r="B485" s="252"/>
      <c r="C485" s="257"/>
      <c r="D485" s="253"/>
      <c r="E485" s="675"/>
      <c r="F485" s="253"/>
    </row>
    <row r="486" spans="2:6">
      <c r="B486" s="252"/>
      <c r="C486" s="257"/>
      <c r="D486" s="253"/>
      <c r="E486" s="675"/>
      <c r="F486" s="253"/>
    </row>
    <row r="487" spans="2:6">
      <c r="B487" s="252"/>
      <c r="C487" s="257"/>
      <c r="D487" s="253"/>
      <c r="E487" s="675"/>
      <c r="F487" s="253"/>
    </row>
    <row r="488" spans="2:6">
      <c r="B488" s="252"/>
      <c r="C488" s="1145" t="s">
        <v>401</v>
      </c>
      <c r="D488" s="1146"/>
      <c r="E488" s="1147"/>
      <c r="F488" s="253"/>
    </row>
    <row r="489" spans="2:6">
      <c r="B489" s="252"/>
      <c r="C489" s="257"/>
      <c r="D489" s="253"/>
      <c r="E489" s="675"/>
      <c r="F489" s="253"/>
    </row>
    <row r="490" spans="2:6">
      <c r="B490" s="1138" t="s">
        <v>134</v>
      </c>
      <c r="C490" s="1139"/>
      <c r="D490" s="1139"/>
      <c r="E490" s="1139"/>
      <c r="F490" s="1140"/>
    </row>
    <row r="491" spans="2:6" ht="13.5" thickBot="1">
      <c r="B491" s="336" t="s">
        <v>1091</v>
      </c>
      <c r="C491" s="1138"/>
      <c r="D491" s="1139"/>
      <c r="E491" s="1140"/>
      <c r="F491" s="247" t="s">
        <v>136</v>
      </c>
    </row>
    <row r="492" spans="2:6" ht="13.5" thickBot="1">
      <c r="B492" s="303" t="s">
        <v>1090</v>
      </c>
      <c r="C492" s="304"/>
      <c r="D492" s="304"/>
      <c r="E492" s="663" t="s">
        <v>133</v>
      </c>
      <c r="F492" s="275">
        <f>F495</f>
        <v>189</v>
      </c>
    </row>
    <row r="493" spans="2:6">
      <c r="B493" s="245" t="s">
        <v>119</v>
      </c>
      <c r="C493" s="245" t="s">
        <v>0</v>
      </c>
      <c r="D493" s="245" t="s">
        <v>120</v>
      </c>
      <c r="E493" s="673" t="s">
        <v>121</v>
      </c>
      <c r="F493" s="262" t="s">
        <v>135</v>
      </c>
    </row>
    <row r="494" spans="2:6">
      <c r="B494" s="246" t="s">
        <v>1089</v>
      </c>
      <c r="C494" s="247" t="s">
        <v>50</v>
      </c>
      <c r="D494" s="315">
        <v>1</v>
      </c>
      <c r="E494" s="652">
        <f>Apro.Chantier!$P$24</f>
        <v>189</v>
      </c>
      <c r="F494" s="155">
        <f>D494*E494</f>
        <v>189</v>
      </c>
    </row>
    <row r="495" spans="2:6">
      <c r="B495" s="252"/>
      <c r="C495" s="252"/>
      <c r="D495" s="337"/>
      <c r="E495" s="676" t="s">
        <v>133</v>
      </c>
      <c r="F495" s="338">
        <f>SUM(F494:F494)</f>
        <v>189</v>
      </c>
    </row>
    <row r="496" spans="2:6">
      <c r="B496" s="252"/>
      <c r="C496" s="252"/>
      <c r="D496" s="317"/>
      <c r="E496" s="668"/>
      <c r="F496" s="319"/>
    </row>
    <row r="499" spans="2:6">
      <c r="B499" s="1138" t="s">
        <v>134</v>
      </c>
      <c r="C499" s="1139"/>
      <c r="D499" s="1139"/>
      <c r="E499" s="1139"/>
      <c r="F499" s="1140"/>
    </row>
    <row r="500" spans="2:6" ht="13.5" thickBot="1">
      <c r="B500" s="306" t="s">
        <v>154</v>
      </c>
      <c r="C500" s="1138"/>
      <c r="D500" s="1139"/>
      <c r="E500" s="1140"/>
      <c r="F500" s="247" t="s">
        <v>136</v>
      </c>
    </row>
    <row r="501" spans="2:6" ht="13.5" thickBot="1">
      <c r="B501" s="303" t="s">
        <v>188</v>
      </c>
      <c r="C501" s="304"/>
      <c r="D501" s="304"/>
      <c r="E501" s="663" t="s">
        <v>133</v>
      </c>
      <c r="F501" s="275">
        <f>SUM(F503:F664)</f>
        <v>4913.0853286794527</v>
      </c>
    </row>
    <row r="502" spans="2:6">
      <c r="B502" s="245" t="s">
        <v>119</v>
      </c>
      <c r="C502" s="245" t="s">
        <v>0</v>
      </c>
      <c r="D502" s="245" t="s">
        <v>120</v>
      </c>
      <c r="E502" s="673" t="s">
        <v>121</v>
      </c>
      <c r="F502" s="262" t="s">
        <v>135</v>
      </c>
    </row>
    <row r="503" spans="2:6">
      <c r="B503" s="246" t="s">
        <v>179</v>
      </c>
      <c r="C503" s="247" t="s">
        <v>67</v>
      </c>
      <c r="D503" s="315">
        <v>1</v>
      </c>
      <c r="E503" s="652">
        <v>30</v>
      </c>
      <c r="F503" s="155">
        <f>D503*E503</f>
        <v>30</v>
      </c>
    </row>
    <row r="504" spans="2:6">
      <c r="B504" s="246" t="s">
        <v>7</v>
      </c>
      <c r="C504" s="247" t="s">
        <v>18</v>
      </c>
      <c r="D504" s="155">
        <v>0.3</v>
      </c>
      <c r="E504" s="652">
        <v>18.2</v>
      </c>
      <c r="F504" s="155">
        <f>D504*E504</f>
        <v>5.46</v>
      </c>
    </row>
    <row r="505" spans="2:6">
      <c r="B505" s="252"/>
      <c r="C505" s="252"/>
      <c r="D505" s="337"/>
      <c r="E505" s="676" t="s">
        <v>133</v>
      </c>
      <c r="F505" s="338">
        <f>SUM(F503:F504)</f>
        <v>35.46</v>
      </c>
    </row>
    <row r="506" spans="2:6">
      <c r="B506" s="252"/>
      <c r="C506" s="252"/>
      <c r="D506" s="317"/>
      <c r="E506" s="668"/>
      <c r="F506" s="319"/>
    </row>
    <row r="507" spans="2:6">
      <c r="B507" s="252"/>
      <c r="C507" s="252"/>
      <c r="D507" s="317"/>
      <c r="E507" s="668"/>
      <c r="F507" s="319"/>
    </row>
    <row r="508" spans="2:6">
      <c r="B508" s="252"/>
      <c r="C508" s="252"/>
      <c r="D508" s="317"/>
      <c r="E508" s="668"/>
      <c r="F508" s="319"/>
    </row>
    <row r="509" spans="2:6">
      <c r="B509" s="1154" t="s">
        <v>134</v>
      </c>
      <c r="C509" s="1154"/>
      <c r="D509" s="1154"/>
      <c r="E509" s="1154"/>
      <c r="F509" s="1154"/>
    </row>
    <row r="510" spans="2:6" ht="13.5" thickBot="1">
      <c r="B510" s="306" t="s">
        <v>938</v>
      </c>
      <c r="C510" s="1154"/>
      <c r="D510" s="1154"/>
      <c r="E510" s="1154"/>
      <c r="F510" s="247" t="s">
        <v>136</v>
      </c>
    </row>
    <row r="511" spans="2:6" ht="13.5" thickBot="1">
      <c r="B511" s="303" t="s">
        <v>1095</v>
      </c>
      <c r="C511" s="304"/>
      <c r="D511" s="304"/>
      <c r="E511" s="663" t="s">
        <v>133</v>
      </c>
      <c r="F511" s="275">
        <f>SUM(F513:F516)</f>
        <v>69.767361215909091</v>
      </c>
    </row>
    <row r="512" spans="2:6">
      <c r="B512" s="245" t="s">
        <v>119</v>
      </c>
      <c r="C512" s="245" t="s">
        <v>0</v>
      </c>
      <c r="D512" s="245" t="s">
        <v>120</v>
      </c>
      <c r="E512" s="673" t="s">
        <v>121</v>
      </c>
      <c r="F512" s="262" t="s">
        <v>135</v>
      </c>
    </row>
    <row r="513" spans="2:7">
      <c r="B513" s="212" t="s">
        <v>63</v>
      </c>
      <c r="C513" s="247" t="s">
        <v>67</v>
      </c>
      <c r="D513" s="309">
        <v>1</v>
      </c>
      <c r="E513" s="652">
        <f>Apro.Chantier!$P$56</f>
        <v>11.390909090909091</v>
      </c>
      <c r="F513" s="155">
        <f>D513*E513</f>
        <v>11.390909090909091</v>
      </c>
    </row>
    <row r="514" spans="2:7">
      <c r="B514" s="212" t="s">
        <v>1096</v>
      </c>
      <c r="C514" s="247" t="s">
        <v>67</v>
      </c>
      <c r="D514" s="309">
        <v>1</v>
      </c>
      <c r="E514" s="652">
        <v>30</v>
      </c>
      <c r="F514" s="155">
        <f>D514*E514</f>
        <v>30</v>
      </c>
    </row>
    <row r="515" spans="2:7">
      <c r="B515" s="246" t="s">
        <v>386</v>
      </c>
      <c r="C515" s="247"/>
      <c r="D515" s="314">
        <v>1</v>
      </c>
      <c r="E515" s="652">
        <f>Apro.Chantier!$P$66</f>
        <v>2.1</v>
      </c>
      <c r="F515" s="155">
        <f>D515*E515</f>
        <v>2.1</v>
      </c>
    </row>
    <row r="516" spans="2:7">
      <c r="B516" s="246" t="s">
        <v>7</v>
      </c>
      <c r="C516" s="247" t="s">
        <v>18</v>
      </c>
      <c r="D516" s="155">
        <v>1.25</v>
      </c>
      <c r="E516" s="652">
        <f>C.Horaire!$C$13</f>
        <v>21.021161699999997</v>
      </c>
      <c r="F516" s="155">
        <f>D516*E516</f>
        <v>26.276452124999995</v>
      </c>
    </row>
    <row r="517" spans="2:7">
      <c r="B517" s="252"/>
      <c r="C517" s="252"/>
      <c r="D517" s="317"/>
      <c r="E517" s="668"/>
      <c r="F517" s="319"/>
    </row>
    <row r="518" spans="2:7">
      <c r="B518" s="252"/>
      <c r="C518" s="252"/>
      <c r="D518" s="317"/>
      <c r="E518" s="668"/>
      <c r="F518" s="319"/>
    </row>
    <row r="519" spans="2:7">
      <c r="B519" s="252"/>
      <c r="C519" s="1145" t="s">
        <v>1058</v>
      </c>
      <c r="D519" s="1146"/>
      <c r="E519" s="1147"/>
      <c r="F519" s="319"/>
    </row>
    <row r="520" spans="2:7">
      <c r="B520" s="252"/>
      <c r="C520" s="252"/>
      <c r="D520" s="317"/>
      <c r="E520" s="668"/>
      <c r="F520" s="319"/>
    </row>
    <row r="521" spans="2:7">
      <c r="B521" s="252"/>
      <c r="C521" s="252"/>
      <c r="D521" s="317"/>
      <c r="E521" s="668"/>
      <c r="F521" s="319"/>
    </row>
    <row r="522" spans="2:7">
      <c r="B522" s="1154" t="s">
        <v>134</v>
      </c>
      <c r="C522" s="1154"/>
      <c r="D522" s="1154"/>
      <c r="E522" s="1154"/>
      <c r="F522" s="1154"/>
    </row>
    <row r="523" spans="2:7" ht="13.5" thickBot="1">
      <c r="B523" s="306"/>
      <c r="C523" s="1154"/>
      <c r="D523" s="1154"/>
      <c r="E523" s="1154"/>
      <c r="F523" s="247" t="s">
        <v>180</v>
      </c>
      <c r="G523" s="70">
        <v>507</v>
      </c>
    </row>
    <row r="524" spans="2:7" ht="13.5" thickBot="1">
      <c r="B524" s="303" t="s">
        <v>1059</v>
      </c>
      <c r="C524" s="304"/>
      <c r="D524" s="304"/>
      <c r="E524" s="663" t="s">
        <v>133</v>
      </c>
      <c r="F524" s="275">
        <f>SUM(F526:F531)</f>
        <v>293.25522764999999</v>
      </c>
      <c r="G524" s="70">
        <v>508</v>
      </c>
    </row>
    <row r="525" spans="2:7">
      <c r="B525" s="245" t="s">
        <v>119</v>
      </c>
      <c r="C525" s="245" t="s">
        <v>0</v>
      </c>
      <c r="D525" s="245" t="s">
        <v>120</v>
      </c>
      <c r="E525" s="673" t="s">
        <v>121</v>
      </c>
      <c r="F525" s="262" t="s">
        <v>135</v>
      </c>
      <c r="G525" s="70">
        <v>509</v>
      </c>
    </row>
    <row r="526" spans="2:7">
      <c r="B526" s="212" t="s">
        <v>1039</v>
      </c>
      <c r="C526" s="247" t="s">
        <v>0</v>
      </c>
      <c r="D526" s="309">
        <v>1</v>
      </c>
      <c r="E526" s="652">
        <f>Apro.Chantier!$P$75</f>
        <v>158.55000000000001</v>
      </c>
      <c r="F526" s="155">
        <f t="shared" ref="F526:F531" si="8">D526*E526</f>
        <v>158.55000000000001</v>
      </c>
      <c r="G526" s="70">
        <v>510</v>
      </c>
    </row>
    <row r="527" spans="2:7">
      <c r="B527" s="212" t="s">
        <v>1047</v>
      </c>
      <c r="C527" s="247" t="s">
        <v>0</v>
      </c>
      <c r="D527" s="309">
        <v>1</v>
      </c>
      <c r="E527" s="652">
        <f>Apro.Chantier!$P$83</f>
        <v>16.8</v>
      </c>
      <c r="F527" s="155">
        <f t="shared" si="8"/>
        <v>16.8</v>
      </c>
      <c r="G527" s="70">
        <v>511</v>
      </c>
    </row>
    <row r="528" spans="2:7">
      <c r="B528" s="212" t="s">
        <v>1060</v>
      </c>
      <c r="C528" s="247" t="s">
        <v>286</v>
      </c>
      <c r="D528" s="309">
        <v>1</v>
      </c>
      <c r="E528" s="652">
        <f>Apro.Chantier!$P$86</f>
        <v>9.4499999999999993</v>
      </c>
      <c r="F528" s="155">
        <f t="shared" si="8"/>
        <v>9.4499999999999993</v>
      </c>
      <c r="G528" s="70">
        <v>512</v>
      </c>
    </row>
    <row r="529" spans="2:7">
      <c r="B529" s="212" t="s">
        <v>1061</v>
      </c>
      <c r="C529" s="247" t="s">
        <v>59</v>
      </c>
      <c r="D529" s="309">
        <v>3</v>
      </c>
      <c r="E529" s="652">
        <f>Apro.Chantier!$P$90</f>
        <v>3.57</v>
      </c>
      <c r="F529" s="155">
        <f t="shared" si="8"/>
        <v>10.709999999999999</v>
      </c>
      <c r="G529" s="70">
        <v>513</v>
      </c>
    </row>
    <row r="530" spans="2:7">
      <c r="B530" s="246" t="s">
        <v>1057</v>
      </c>
      <c r="C530" s="247" t="s">
        <v>286</v>
      </c>
      <c r="D530" s="314">
        <v>1</v>
      </c>
      <c r="E530" s="652">
        <f>Apro.Chantier!$P$93</f>
        <v>3.15</v>
      </c>
      <c r="F530" s="155">
        <f t="shared" si="8"/>
        <v>3.15</v>
      </c>
      <c r="G530" s="70">
        <v>514</v>
      </c>
    </row>
    <row r="531" spans="2:7">
      <c r="B531" s="246" t="s">
        <v>7</v>
      </c>
      <c r="C531" s="247" t="s">
        <v>18</v>
      </c>
      <c r="D531" s="155">
        <v>4.5</v>
      </c>
      <c r="E531" s="652">
        <f>C.Horaire!$C$13</f>
        <v>21.021161699999997</v>
      </c>
      <c r="F531" s="155">
        <f t="shared" si="8"/>
        <v>94.595227649999984</v>
      </c>
      <c r="G531" s="70">
        <v>515</v>
      </c>
    </row>
    <row r="532" spans="2:7">
      <c r="B532" s="252"/>
      <c r="C532" s="252"/>
      <c r="D532" s="317"/>
      <c r="E532" s="668"/>
      <c r="F532" s="319"/>
      <c r="G532" s="70">
        <v>516</v>
      </c>
    </row>
    <row r="533" spans="2:7">
      <c r="B533" s="252"/>
      <c r="C533" s="252"/>
      <c r="D533" s="317"/>
      <c r="E533" s="668"/>
      <c r="F533" s="319"/>
      <c r="G533" s="70">
        <v>517</v>
      </c>
    </row>
    <row r="534" spans="2:7">
      <c r="B534" s="1154" t="s">
        <v>134</v>
      </c>
      <c r="C534" s="1154"/>
      <c r="D534" s="1154"/>
      <c r="E534" s="1154"/>
      <c r="F534" s="1154"/>
      <c r="G534" s="70">
        <v>518</v>
      </c>
    </row>
    <row r="535" spans="2:7" ht="13.5" thickBot="1">
      <c r="B535" s="306"/>
      <c r="C535" s="1154"/>
      <c r="D535" s="1154"/>
      <c r="E535" s="1154"/>
      <c r="F535" s="247" t="s">
        <v>180</v>
      </c>
      <c r="G535" s="70">
        <v>519</v>
      </c>
    </row>
    <row r="536" spans="2:7" ht="13.5" thickBot="1">
      <c r="B536" s="303" t="s">
        <v>1062</v>
      </c>
      <c r="C536" s="304"/>
      <c r="D536" s="304"/>
      <c r="E536" s="663" t="s">
        <v>133</v>
      </c>
      <c r="F536" s="275">
        <f>SUM(F538:F543)</f>
        <v>305.64522764999998</v>
      </c>
      <c r="G536" s="70">
        <v>520</v>
      </c>
    </row>
    <row r="537" spans="2:7">
      <c r="B537" s="245" t="s">
        <v>119</v>
      </c>
      <c r="C537" s="245" t="s">
        <v>0</v>
      </c>
      <c r="D537" s="245" t="s">
        <v>120</v>
      </c>
      <c r="E537" s="673" t="s">
        <v>121</v>
      </c>
      <c r="F537" s="262" t="s">
        <v>135</v>
      </c>
      <c r="G537" s="70">
        <v>521</v>
      </c>
    </row>
    <row r="538" spans="2:7">
      <c r="B538" s="212" t="s">
        <v>1073</v>
      </c>
      <c r="C538" s="247" t="s">
        <v>0</v>
      </c>
      <c r="D538" s="309">
        <v>1</v>
      </c>
      <c r="E538" s="652">
        <f>Apro.Chantier!$P$75</f>
        <v>158.55000000000001</v>
      </c>
      <c r="F538" s="155">
        <f t="shared" ref="F538:F543" si="9">D538*E538</f>
        <v>158.55000000000001</v>
      </c>
      <c r="G538" s="70">
        <v>522</v>
      </c>
    </row>
    <row r="539" spans="2:7">
      <c r="B539" s="212" t="s">
        <v>1072</v>
      </c>
      <c r="C539" s="247" t="s">
        <v>0</v>
      </c>
      <c r="D539" s="309">
        <v>1</v>
      </c>
      <c r="E539" s="652">
        <f>Apro.Chantier!$P$81</f>
        <v>27.3</v>
      </c>
      <c r="F539" s="155">
        <f t="shared" si="9"/>
        <v>27.3</v>
      </c>
      <c r="G539" s="70">
        <v>523</v>
      </c>
    </row>
    <row r="540" spans="2:7">
      <c r="B540" s="212" t="s">
        <v>1060</v>
      </c>
      <c r="C540" s="247" t="s">
        <v>286</v>
      </c>
      <c r="D540" s="309">
        <v>1</v>
      </c>
      <c r="E540" s="652">
        <f>Apro.Chantier!$P$86</f>
        <v>9.4499999999999993</v>
      </c>
      <c r="F540" s="155">
        <f t="shared" si="9"/>
        <v>9.4499999999999993</v>
      </c>
      <c r="G540" s="70">
        <v>524</v>
      </c>
    </row>
    <row r="541" spans="2:7">
      <c r="B541" s="212" t="s">
        <v>1076</v>
      </c>
      <c r="C541" s="247" t="s">
        <v>59</v>
      </c>
      <c r="D541" s="309">
        <v>3</v>
      </c>
      <c r="E541" s="652">
        <f>Apro.Chantier!$P$91</f>
        <v>4.2</v>
      </c>
      <c r="F541" s="155">
        <f t="shared" si="9"/>
        <v>12.600000000000001</v>
      </c>
      <c r="G541" s="70">
        <v>525</v>
      </c>
    </row>
    <row r="542" spans="2:7">
      <c r="B542" s="246" t="s">
        <v>1057</v>
      </c>
      <c r="C542" s="247" t="s">
        <v>286</v>
      </c>
      <c r="D542" s="314">
        <v>1</v>
      </c>
      <c r="E542" s="652">
        <f>Apro.Chantier!$P$93</f>
        <v>3.15</v>
      </c>
      <c r="F542" s="155">
        <f t="shared" si="9"/>
        <v>3.15</v>
      </c>
      <c r="G542" s="70">
        <v>526</v>
      </c>
    </row>
    <row r="543" spans="2:7">
      <c r="B543" s="246" t="s">
        <v>7</v>
      </c>
      <c r="C543" s="247" t="s">
        <v>18</v>
      </c>
      <c r="D543" s="155">
        <v>4.5</v>
      </c>
      <c r="E543" s="652">
        <f>C.Horaire!$C$13</f>
        <v>21.021161699999997</v>
      </c>
      <c r="F543" s="155">
        <f t="shared" si="9"/>
        <v>94.595227649999984</v>
      </c>
      <c r="G543" s="70">
        <v>527</v>
      </c>
    </row>
    <row r="544" spans="2:7">
      <c r="B544" s="252"/>
      <c r="C544" s="252"/>
      <c r="D544" s="317"/>
      <c r="E544" s="668"/>
      <c r="F544" s="319"/>
      <c r="G544" s="70">
        <v>528</v>
      </c>
    </row>
    <row r="545" spans="2:7">
      <c r="B545" s="252"/>
      <c r="C545" s="252"/>
      <c r="D545" s="317"/>
      <c r="E545" s="668"/>
      <c r="F545" s="319"/>
      <c r="G545" s="70">
        <v>529</v>
      </c>
    </row>
    <row r="546" spans="2:7">
      <c r="B546" s="1154" t="s">
        <v>134</v>
      </c>
      <c r="C546" s="1154"/>
      <c r="D546" s="1154"/>
      <c r="E546" s="1154"/>
      <c r="F546" s="1154"/>
      <c r="G546" s="70">
        <v>530</v>
      </c>
    </row>
    <row r="547" spans="2:7" ht="13.5" thickBot="1">
      <c r="B547" s="306"/>
      <c r="C547" s="1154"/>
      <c r="D547" s="1154"/>
      <c r="E547" s="1154"/>
      <c r="F547" s="247" t="s">
        <v>180</v>
      </c>
      <c r="G547" s="70">
        <v>531</v>
      </c>
    </row>
    <row r="548" spans="2:7" ht="13.5" thickBot="1">
      <c r="B548" s="303" t="s">
        <v>1063</v>
      </c>
      <c r="C548" s="304"/>
      <c r="D548" s="304"/>
      <c r="E548" s="663" t="s">
        <v>133</v>
      </c>
      <c r="F548" s="275">
        <f>SUM(F550:F555)</f>
        <v>221.61348509999999</v>
      </c>
      <c r="G548" s="70">
        <v>532</v>
      </c>
    </row>
    <row r="549" spans="2:7">
      <c r="B549" s="245" t="s">
        <v>119</v>
      </c>
      <c r="C549" s="245" t="s">
        <v>0</v>
      </c>
      <c r="D549" s="245" t="s">
        <v>120</v>
      </c>
      <c r="E549" s="673" t="s">
        <v>121</v>
      </c>
      <c r="F549" s="262" t="s">
        <v>135</v>
      </c>
      <c r="G549" s="70">
        <v>533</v>
      </c>
    </row>
    <row r="550" spans="2:7">
      <c r="B550" s="212" t="s">
        <v>1074</v>
      </c>
      <c r="C550" s="247" t="s">
        <v>0</v>
      </c>
      <c r="D550" s="309">
        <v>1</v>
      </c>
      <c r="E550" s="652">
        <f>Apro.Chantier!$P$79</f>
        <v>106.05</v>
      </c>
      <c r="F550" s="155">
        <f t="shared" ref="F550:F555" si="10">D550*E550</f>
        <v>106.05</v>
      </c>
      <c r="G550" s="70">
        <v>534</v>
      </c>
    </row>
    <row r="551" spans="2:7">
      <c r="B551" s="212" t="s">
        <v>1072</v>
      </c>
      <c r="C551" s="247" t="s">
        <v>0</v>
      </c>
      <c r="D551" s="309">
        <v>1</v>
      </c>
      <c r="E551" s="652">
        <f>Apro.Chantier!$P$81</f>
        <v>27.3</v>
      </c>
      <c r="F551" s="155">
        <f t="shared" si="10"/>
        <v>27.3</v>
      </c>
      <c r="G551" s="70">
        <v>535</v>
      </c>
    </row>
    <row r="552" spans="2:7">
      <c r="B552" s="212" t="s">
        <v>1060</v>
      </c>
      <c r="C552" s="247" t="s">
        <v>286</v>
      </c>
      <c r="D552" s="309">
        <v>1</v>
      </c>
      <c r="E552" s="652">
        <f>Apro.Chantier!$P$86</f>
        <v>9.4499999999999993</v>
      </c>
      <c r="F552" s="155">
        <f t="shared" si="10"/>
        <v>9.4499999999999993</v>
      </c>
      <c r="G552" s="70">
        <v>536</v>
      </c>
    </row>
    <row r="553" spans="2:7">
      <c r="B553" s="212" t="s">
        <v>1076</v>
      </c>
      <c r="C553" s="247" t="s">
        <v>59</v>
      </c>
      <c r="D553" s="309">
        <v>3</v>
      </c>
      <c r="E553" s="652">
        <f>Apro.Chantier!$P$91</f>
        <v>4.2</v>
      </c>
      <c r="F553" s="155">
        <f t="shared" si="10"/>
        <v>12.600000000000001</v>
      </c>
      <c r="G553" s="70">
        <v>537</v>
      </c>
    </row>
    <row r="554" spans="2:7">
      <c r="B554" s="246" t="s">
        <v>1057</v>
      </c>
      <c r="C554" s="247" t="s">
        <v>286</v>
      </c>
      <c r="D554" s="314">
        <v>1</v>
      </c>
      <c r="E554" s="652">
        <f>Apro.Chantier!$P$93</f>
        <v>3.15</v>
      </c>
      <c r="F554" s="155">
        <f t="shared" si="10"/>
        <v>3.15</v>
      </c>
      <c r="G554" s="70">
        <v>538</v>
      </c>
    </row>
    <row r="555" spans="2:7">
      <c r="B555" s="246" t="s">
        <v>7</v>
      </c>
      <c r="C555" s="247" t="s">
        <v>18</v>
      </c>
      <c r="D555" s="155">
        <v>3</v>
      </c>
      <c r="E555" s="652">
        <f>C.Horaire!$C$13</f>
        <v>21.021161699999997</v>
      </c>
      <c r="F555" s="155">
        <f t="shared" si="10"/>
        <v>63.063485099999994</v>
      </c>
      <c r="G555" s="70">
        <v>539</v>
      </c>
    </row>
    <row r="556" spans="2:7">
      <c r="B556" s="252"/>
      <c r="C556" s="252"/>
      <c r="D556" s="317"/>
      <c r="E556" s="668"/>
      <c r="F556" s="319"/>
      <c r="G556" s="70">
        <v>540</v>
      </c>
    </row>
    <row r="557" spans="2:7">
      <c r="B557" s="252"/>
      <c r="C557" s="252"/>
      <c r="D557" s="317"/>
      <c r="E557" s="668"/>
      <c r="F557" s="319"/>
      <c r="G557" s="70">
        <v>541</v>
      </c>
    </row>
    <row r="558" spans="2:7">
      <c r="B558" s="1154" t="s">
        <v>134</v>
      </c>
      <c r="C558" s="1154"/>
      <c r="D558" s="1154"/>
      <c r="E558" s="1154"/>
      <c r="F558" s="1154"/>
      <c r="G558" s="70">
        <v>542</v>
      </c>
    </row>
    <row r="559" spans="2:7" ht="13.5" thickBot="1">
      <c r="B559" s="306"/>
      <c r="C559" s="1154"/>
      <c r="D559" s="1154"/>
      <c r="E559" s="1154"/>
      <c r="F559" s="247" t="s">
        <v>180</v>
      </c>
      <c r="G559" s="70">
        <v>543</v>
      </c>
    </row>
    <row r="560" spans="2:7" ht="13.5" thickBot="1">
      <c r="B560" s="303" t="s">
        <v>1064</v>
      </c>
      <c r="C560" s="304"/>
      <c r="D560" s="304"/>
      <c r="E560" s="663" t="s">
        <v>133</v>
      </c>
      <c r="F560" s="275">
        <f>SUM(F562:F567)</f>
        <v>358.14522764999998</v>
      </c>
      <c r="G560" s="70">
        <v>544</v>
      </c>
    </row>
    <row r="561" spans="2:7">
      <c r="B561" s="245" t="s">
        <v>119</v>
      </c>
      <c r="C561" s="245" t="s">
        <v>0</v>
      </c>
      <c r="D561" s="245" t="s">
        <v>120</v>
      </c>
      <c r="E561" s="673" t="s">
        <v>121</v>
      </c>
      <c r="F561" s="262" t="s">
        <v>135</v>
      </c>
      <c r="G561" s="70">
        <v>545</v>
      </c>
    </row>
    <row r="562" spans="2:7">
      <c r="B562" s="212" t="s">
        <v>1075</v>
      </c>
      <c r="C562" s="247" t="s">
        <v>0</v>
      </c>
      <c r="D562" s="309">
        <v>1</v>
      </c>
      <c r="E562" s="652">
        <f>Apro.Chantier!$P$74</f>
        <v>211.05</v>
      </c>
      <c r="F562" s="155">
        <f t="shared" ref="F562:F567" si="11">D562*E562</f>
        <v>211.05</v>
      </c>
      <c r="G562" s="70">
        <v>546</v>
      </c>
    </row>
    <row r="563" spans="2:7">
      <c r="B563" s="212" t="s">
        <v>1072</v>
      </c>
      <c r="C563" s="247" t="s">
        <v>0</v>
      </c>
      <c r="D563" s="309">
        <v>1</v>
      </c>
      <c r="E563" s="652">
        <f>Apro.Chantier!$P$82</f>
        <v>27.3</v>
      </c>
      <c r="F563" s="155">
        <f t="shared" si="11"/>
        <v>27.3</v>
      </c>
      <c r="G563" s="70">
        <v>547</v>
      </c>
    </row>
    <row r="564" spans="2:7">
      <c r="B564" s="212" t="s">
        <v>1060</v>
      </c>
      <c r="C564" s="247" t="s">
        <v>286</v>
      </c>
      <c r="D564" s="309">
        <v>1</v>
      </c>
      <c r="E564" s="652">
        <f>Apro.Chantier!$P$86</f>
        <v>9.4499999999999993</v>
      </c>
      <c r="F564" s="155">
        <f t="shared" si="11"/>
        <v>9.4499999999999993</v>
      </c>
      <c r="G564" s="70">
        <v>548</v>
      </c>
    </row>
    <row r="565" spans="2:7">
      <c r="B565" s="212" t="s">
        <v>1076</v>
      </c>
      <c r="C565" s="247" t="s">
        <v>59</v>
      </c>
      <c r="D565" s="309">
        <v>3</v>
      </c>
      <c r="E565" s="652">
        <f>Apro.Chantier!$P$91</f>
        <v>4.2</v>
      </c>
      <c r="F565" s="155">
        <f t="shared" si="11"/>
        <v>12.600000000000001</v>
      </c>
      <c r="G565" s="70">
        <v>549</v>
      </c>
    </row>
    <row r="566" spans="2:7">
      <c r="B566" s="246" t="s">
        <v>1057</v>
      </c>
      <c r="C566" s="247" t="s">
        <v>286</v>
      </c>
      <c r="D566" s="314">
        <v>1</v>
      </c>
      <c r="E566" s="652">
        <f>Apro.Chantier!$P$93</f>
        <v>3.15</v>
      </c>
      <c r="F566" s="155">
        <f t="shared" si="11"/>
        <v>3.15</v>
      </c>
      <c r="G566" s="70">
        <v>550</v>
      </c>
    </row>
    <row r="567" spans="2:7">
      <c r="B567" s="246" t="s">
        <v>7</v>
      </c>
      <c r="C567" s="247" t="s">
        <v>18</v>
      </c>
      <c r="D567" s="155">
        <v>4.5</v>
      </c>
      <c r="E567" s="652">
        <f>C.Horaire!$C$13</f>
        <v>21.021161699999997</v>
      </c>
      <c r="F567" s="155">
        <f t="shared" si="11"/>
        <v>94.595227649999984</v>
      </c>
      <c r="G567" s="70">
        <v>551</v>
      </c>
    </row>
    <row r="568" spans="2:7">
      <c r="B568" s="252"/>
      <c r="C568" s="252"/>
      <c r="D568" s="317"/>
      <c r="E568" s="668"/>
      <c r="F568" s="319"/>
      <c r="G568" s="70">
        <v>552</v>
      </c>
    </row>
    <row r="569" spans="2:7">
      <c r="B569" s="252"/>
      <c r="C569" s="252"/>
      <c r="D569" s="317"/>
      <c r="E569" s="668"/>
      <c r="F569" s="319"/>
      <c r="G569" s="70">
        <v>553</v>
      </c>
    </row>
    <row r="570" spans="2:7">
      <c r="B570" s="1154" t="s">
        <v>134</v>
      </c>
      <c r="C570" s="1154"/>
      <c r="D570" s="1154"/>
      <c r="E570" s="1154"/>
      <c r="F570" s="1154"/>
      <c r="G570" s="70">
        <v>554</v>
      </c>
    </row>
    <row r="571" spans="2:7" ht="13.5" thickBot="1">
      <c r="B571" s="306"/>
      <c r="C571" s="1154"/>
      <c r="D571" s="1154"/>
      <c r="E571" s="1154"/>
      <c r="F571" s="247" t="s">
        <v>180</v>
      </c>
      <c r="G571" s="70">
        <v>555</v>
      </c>
    </row>
    <row r="572" spans="2:7" ht="13.5" thickBot="1">
      <c r="B572" s="303" t="s">
        <v>1065</v>
      </c>
      <c r="C572" s="304"/>
      <c r="D572" s="304"/>
      <c r="E572" s="663" t="s">
        <v>133</v>
      </c>
      <c r="F572" s="275">
        <f>SUM(F574:F579)</f>
        <v>265.71348510000001</v>
      </c>
      <c r="G572" s="70">
        <v>556</v>
      </c>
    </row>
    <row r="573" spans="2:7">
      <c r="B573" s="245" t="s">
        <v>119</v>
      </c>
      <c r="C573" s="245" t="s">
        <v>0</v>
      </c>
      <c r="D573" s="245" t="s">
        <v>120</v>
      </c>
      <c r="E573" s="673" t="s">
        <v>121</v>
      </c>
      <c r="F573" s="262" t="s">
        <v>135</v>
      </c>
      <c r="G573" s="70">
        <v>557</v>
      </c>
    </row>
    <row r="574" spans="2:7">
      <c r="B574" s="212" t="s">
        <v>1046</v>
      </c>
      <c r="C574" s="247" t="s">
        <v>0</v>
      </c>
      <c r="D574" s="309">
        <v>1</v>
      </c>
      <c r="E574" s="652">
        <f>Apro.Chantier!$P$78</f>
        <v>158.55000000000001</v>
      </c>
      <c r="F574" s="155">
        <f t="shared" ref="F574:F579" si="12">D574*E574</f>
        <v>158.55000000000001</v>
      </c>
      <c r="G574" s="70">
        <v>558</v>
      </c>
    </row>
    <row r="575" spans="2:7">
      <c r="B575" s="212" t="s">
        <v>1047</v>
      </c>
      <c r="C575" s="247" t="s">
        <v>0</v>
      </c>
      <c r="D575" s="309">
        <v>1</v>
      </c>
      <c r="E575" s="652">
        <f>Apro.Chantier!$P$84</f>
        <v>18.899999999999999</v>
      </c>
      <c r="F575" s="155">
        <f t="shared" si="12"/>
        <v>18.899999999999999</v>
      </c>
      <c r="G575" s="70">
        <v>559</v>
      </c>
    </row>
    <row r="576" spans="2:7">
      <c r="B576" s="212" t="s">
        <v>1060</v>
      </c>
      <c r="C576" s="247" t="s">
        <v>286</v>
      </c>
      <c r="D576" s="309">
        <v>1</v>
      </c>
      <c r="E576" s="652">
        <f>Apro.Chantier!$P$86</f>
        <v>9.4499999999999993</v>
      </c>
      <c r="F576" s="155">
        <f t="shared" si="12"/>
        <v>9.4499999999999993</v>
      </c>
      <c r="G576" s="70">
        <v>560</v>
      </c>
    </row>
    <row r="577" spans="2:7">
      <c r="B577" s="212" t="s">
        <v>1076</v>
      </c>
      <c r="C577" s="247" t="s">
        <v>59</v>
      </c>
      <c r="D577" s="309">
        <v>3</v>
      </c>
      <c r="E577" s="652">
        <f>Apro.Chantier!$P$91</f>
        <v>4.2</v>
      </c>
      <c r="F577" s="155">
        <f t="shared" si="12"/>
        <v>12.600000000000001</v>
      </c>
      <c r="G577" s="70">
        <v>561</v>
      </c>
    </row>
    <row r="578" spans="2:7">
      <c r="B578" s="246" t="s">
        <v>1057</v>
      </c>
      <c r="C578" s="247" t="s">
        <v>286</v>
      </c>
      <c r="D578" s="314">
        <v>1</v>
      </c>
      <c r="E578" s="652">
        <f>Apro.Chantier!$P$93</f>
        <v>3.15</v>
      </c>
      <c r="F578" s="155">
        <f t="shared" si="12"/>
        <v>3.15</v>
      </c>
      <c r="G578" s="70">
        <v>562</v>
      </c>
    </row>
    <row r="579" spans="2:7">
      <c r="B579" s="246" t="s">
        <v>7</v>
      </c>
      <c r="C579" s="247" t="s">
        <v>18</v>
      </c>
      <c r="D579" s="155">
        <v>3</v>
      </c>
      <c r="E579" s="652">
        <f>C.Horaire!$C$13</f>
        <v>21.021161699999997</v>
      </c>
      <c r="F579" s="155">
        <f t="shared" si="12"/>
        <v>63.063485099999994</v>
      </c>
      <c r="G579" s="70">
        <v>563</v>
      </c>
    </row>
    <row r="580" spans="2:7">
      <c r="B580" s="252"/>
      <c r="C580" s="252"/>
      <c r="D580" s="317"/>
      <c r="E580" s="668"/>
      <c r="F580" s="319"/>
      <c r="G580" s="70">
        <v>564</v>
      </c>
    </row>
    <row r="581" spans="2:7">
      <c r="B581" s="252"/>
      <c r="C581" s="252"/>
      <c r="D581" s="317"/>
      <c r="E581" s="668"/>
      <c r="F581" s="319"/>
      <c r="G581" s="70">
        <v>565</v>
      </c>
    </row>
    <row r="582" spans="2:7">
      <c r="B582" s="1154" t="s">
        <v>134</v>
      </c>
      <c r="C582" s="1154"/>
      <c r="D582" s="1154"/>
      <c r="E582" s="1154"/>
      <c r="F582" s="1154"/>
      <c r="G582" s="70">
        <v>566</v>
      </c>
    </row>
    <row r="583" spans="2:7" ht="13.5" thickBot="1">
      <c r="B583" s="306"/>
      <c r="C583" s="1154"/>
      <c r="D583" s="1154"/>
      <c r="E583" s="1154"/>
      <c r="F583" s="247" t="s">
        <v>180</v>
      </c>
      <c r="G583" s="70">
        <v>567</v>
      </c>
    </row>
    <row r="584" spans="2:7" ht="13.5" thickBot="1">
      <c r="B584" s="303" t="s">
        <v>1066</v>
      </c>
      <c r="C584" s="304"/>
      <c r="D584" s="304"/>
      <c r="E584" s="663" t="s">
        <v>133</v>
      </c>
      <c r="F584" s="275">
        <f>SUM(F586:F591)</f>
        <v>221.61348509999999</v>
      </c>
      <c r="G584" s="70">
        <v>568</v>
      </c>
    </row>
    <row r="585" spans="2:7">
      <c r="B585" s="245" t="s">
        <v>119</v>
      </c>
      <c r="C585" s="245" t="s">
        <v>0</v>
      </c>
      <c r="D585" s="245" t="s">
        <v>120</v>
      </c>
      <c r="E585" s="673" t="s">
        <v>121</v>
      </c>
      <c r="F585" s="262" t="s">
        <v>135</v>
      </c>
      <c r="G585" s="70">
        <v>569</v>
      </c>
    </row>
    <row r="586" spans="2:7">
      <c r="B586" s="212" t="s">
        <v>1040</v>
      </c>
      <c r="C586" s="247" t="s">
        <v>0</v>
      </c>
      <c r="D586" s="309">
        <v>1</v>
      </c>
      <c r="E586" s="652">
        <f>Apro.Chantier!$P$77</f>
        <v>106.05</v>
      </c>
      <c r="F586" s="155">
        <f t="shared" ref="F586:F591" si="13">D586*E586</f>
        <v>106.05</v>
      </c>
      <c r="G586" s="70">
        <v>570</v>
      </c>
    </row>
    <row r="587" spans="2:7">
      <c r="B587" s="212" t="s">
        <v>1072</v>
      </c>
      <c r="C587" s="247" t="s">
        <v>0</v>
      </c>
      <c r="D587" s="309">
        <v>1</v>
      </c>
      <c r="E587" s="652">
        <f>Apro.Chantier!$P$80</f>
        <v>27.3</v>
      </c>
      <c r="F587" s="155">
        <f t="shared" si="13"/>
        <v>27.3</v>
      </c>
      <c r="G587" s="70">
        <v>571</v>
      </c>
    </row>
    <row r="588" spans="2:7">
      <c r="B588" s="212" t="s">
        <v>1060</v>
      </c>
      <c r="C588" s="247" t="s">
        <v>286</v>
      </c>
      <c r="D588" s="309">
        <v>1</v>
      </c>
      <c r="E588" s="652">
        <f>Apro.Chantier!$P$86</f>
        <v>9.4499999999999993</v>
      </c>
      <c r="F588" s="155">
        <f t="shared" si="13"/>
        <v>9.4499999999999993</v>
      </c>
      <c r="G588" s="70">
        <v>572</v>
      </c>
    </row>
    <row r="589" spans="2:7">
      <c r="B589" s="212" t="s">
        <v>1076</v>
      </c>
      <c r="C589" s="247" t="s">
        <v>59</v>
      </c>
      <c r="D589" s="309">
        <v>3</v>
      </c>
      <c r="E589" s="652">
        <f>Apro.Chantier!$P$91</f>
        <v>4.2</v>
      </c>
      <c r="F589" s="155">
        <f t="shared" si="13"/>
        <v>12.600000000000001</v>
      </c>
      <c r="G589" s="70">
        <v>573</v>
      </c>
    </row>
    <row r="590" spans="2:7">
      <c r="B590" s="246" t="s">
        <v>1057</v>
      </c>
      <c r="C590" s="247" t="s">
        <v>286</v>
      </c>
      <c r="D590" s="314">
        <v>1</v>
      </c>
      <c r="E590" s="652">
        <f>Apro.Chantier!$P$93</f>
        <v>3.15</v>
      </c>
      <c r="F590" s="155">
        <f t="shared" si="13"/>
        <v>3.15</v>
      </c>
      <c r="G590" s="70">
        <v>574</v>
      </c>
    </row>
    <row r="591" spans="2:7">
      <c r="B591" s="246" t="s">
        <v>7</v>
      </c>
      <c r="C591" s="247" t="s">
        <v>18</v>
      </c>
      <c r="D591" s="155">
        <v>3</v>
      </c>
      <c r="E591" s="652">
        <f>C.Horaire!$C$13</f>
        <v>21.021161699999997</v>
      </c>
      <c r="F591" s="155">
        <f t="shared" si="13"/>
        <v>63.063485099999994</v>
      </c>
      <c r="G591" s="70">
        <v>575</v>
      </c>
    </row>
    <row r="592" spans="2:7">
      <c r="B592" s="252"/>
      <c r="C592" s="252"/>
      <c r="D592" s="317"/>
      <c r="E592" s="668"/>
      <c r="F592" s="319"/>
      <c r="G592" s="70">
        <v>576</v>
      </c>
    </row>
    <row r="593" spans="2:7">
      <c r="B593" s="252"/>
      <c r="C593" s="252"/>
      <c r="D593" s="317"/>
      <c r="E593" s="668"/>
      <c r="F593" s="319"/>
      <c r="G593" s="70">
        <v>577</v>
      </c>
    </row>
    <row r="594" spans="2:7">
      <c r="B594" s="1154" t="s">
        <v>134</v>
      </c>
      <c r="C594" s="1154"/>
      <c r="D594" s="1154"/>
      <c r="E594" s="1154"/>
      <c r="F594" s="1154"/>
      <c r="G594" s="70">
        <v>578</v>
      </c>
    </row>
    <row r="595" spans="2:7" ht="13.5" thickBot="1">
      <c r="B595" s="306"/>
      <c r="C595" s="1154"/>
      <c r="D595" s="1154"/>
      <c r="E595" s="1154"/>
      <c r="F595" s="247" t="s">
        <v>180</v>
      </c>
      <c r="G595" s="70">
        <v>579</v>
      </c>
    </row>
    <row r="596" spans="2:7" ht="13.5" thickBot="1">
      <c r="B596" s="303" t="s">
        <v>1067</v>
      </c>
      <c r="C596" s="304"/>
      <c r="D596" s="304"/>
      <c r="E596" s="663" t="s">
        <v>133</v>
      </c>
      <c r="F596" s="275">
        <f>SUM(F598:F603)</f>
        <v>164.62704583181818</v>
      </c>
      <c r="G596" s="70">
        <v>580</v>
      </c>
    </row>
    <row r="597" spans="2:7">
      <c r="B597" s="245" t="s">
        <v>119</v>
      </c>
      <c r="C597" s="245" t="s">
        <v>0</v>
      </c>
      <c r="D597" s="245" t="s">
        <v>120</v>
      </c>
      <c r="E597" s="673" t="s">
        <v>121</v>
      </c>
      <c r="F597" s="262" t="s">
        <v>135</v>
      </c>
      <c r="G597" s="70">
        <v>581</v>
      </c>
    </row>
    <row r="598" spans="2:7">
      <c r="B598" s="212" t="s">
        <v>1077</v>
      </c>
      <c r="C598" s="247" t="s">
        <v>0</v>
      </c>
      <c r="D598" s="309">
        <v>1</v>
      </c>
      <c r="E598" s="652">
        <f>Apro.Chantier!$P$89</f>
        <v>22.05</v>
      </c>
      <c r="F598" s="155">
        <f t="shared" ref="F598:F603" si="14">D598*E598</f>
        <v>22.05</v>
      </c>
      <c r="G598" s="70">
        <v>582</v>
      </c>
    </row>
    <row r="599" spans="2:7">
      <c r="B599" s="212" t="s">
        <v>1060</v>
      </c>
      <c r="C599" s="247" t="s">
        <v>286</v>
      </c>
      <c r="D599" s="309">
        <v>1</v>
      </c>
      <c r="E599" s="652">
        <f>Apro.Chantier!$P$86</f>
        <v>9.4499999999999993</v>
      </c>
      <c r="F599" s="155">
        <f t="shared" si="14"/>
        <v>9.4499999999999993</v>
      </c>
      <c r="G599" s="70">
        <v>583</v>
      </c>
    </row>
    <row r="600" spans="2:7">
      <c r="B600" s="212" t="s">
        <v>1076</v>
      </c>
      <c r="C600" s="247" t="s">
        <v>59</v>
      </c>
      <c r="D600" s="309">
        <v>3</v>
      </c>
      <c r="E600" s="652">
        <f>Apro.Chantier!$P$91</f>
        <v>4.2</v>
      </c>
      <c r="F600" s="155">
        <f t="shared" si="14"/>
        <v>12.600000000000001</v>
      </c>
      <c r="G600" s="70">
        <v>584</v>
      </c>
    </row>
    <row r="601" spans="2:7">
      <c r="B601" s="212" t="s">
        <v>63</v>
      </c>
      <c r="C601" s="247" t="s">
        <v>67</v>
      </c>
      <c r="D601" s="309">
        <v>2</v>
      </c>
      <c r="E601" s="652">
        <f>Apro.Chantier!$P$56</f>
        <v>11.390909090909091</v>
      </c>
      <c r="F601" s="155">
        <f t="shared" si="14"/>
        <v>22.781818181818181</v>
      </c>
      <c r="G601" s="70">
        <v>585</v>
      </c>
    </row>
    <row r="602" spans="2:7">
      <c r="B602" s="246" t="s">
        <v>1057</v>
      </c>
      <c r="C602" s="247" t="s">
        <v>286</v>
      </c>
      <c r="D602" s="314">
        <v>1</v>
      </c>
      <c r="E602" s="652">
        <f>Apro.Chantier!$P$93</f>
        <v>3.15</v>
      </c>
      <c r="F602" s="155">
        <f t="shared" si="14"/>
        <v>3.15</v>
      </c>
      <c r="G602" s="70">
        <v>586</v>
      </c>
    </row>
    <row r="603" spans="2:7">
      <c r="B603" s="246" t="s">
        <v>7</v>
      </c>
      <c r="C603" s="247" t="s">
        <v>18</v>
      </c>
      <c r="D603" s="155">
        <v>4.5</v>
      </c>
      <c r="E603" s="652">
        <f>C.Horaire!$C$13</f>
        <v>21.021161699999997</v>
      </c>
      <c r="F603" s="155">
        <f t="shared" si="14"/>
        <v>94.595227649999984</v>
      </c>
      <c r="G603" s="70">
        <v>587</v>
      </c>
    </row>
    <row r="604" spans="2:7">
      <c r="B604" s="252"/>
      <c r="C604" s="252"/>
      <c r="D604" s="317"/>
      <c r="E604" s="668"/>
      <c r="F604" s="319"/>
      <c r="G604" s="70">
        <v>588</v>
      </c>
    </row>
    <row r="605" spans="2:7">
      <c r="B605" s="252"/>
      <c r="C605" s="252"/>
      <c r="D605" s="317"/>
      <c r="E605" s="668"/>
      <c r="F605" s="319"/>
      <c r="G605" s="70">
        <v>589</v>
      </c>
    </row>
    <row r="606" spans="2:7">
      <c r="B606" s="1154" t="s">
        <v>134</v>
      </c>
      <c r="C606" s="1154"/>
      <c r="D606" s="1154"/>
      <c r="E606" s="1154"/>
      <c r="F606" s="1154"/>
      <c r="G606" s="70">
        <v>590</v>
      </c>
    </row>
    <row r="607" spans="2:7" ht="13.5" thickBot="1">
      <c r="B607" s="306"/>
      <c r="C607" s="1154"/>
      <c r="D607" s="1154"/>
      <c r="E607" s="1154"/>
      <c r="F607" s="247" t="s">
        <v>180</v>
      </c>
      <c r="G607" s="70">
        <v>591</v>
      </c>
    </row>
    <row r="608" spans="2:7" ht="13.5" thickBot="1">
      <c r="B608" s="303" t="s">
        <v>1068</v>
      </c>
      <c r="C608" s="304"/>
      <c r="D608" s="304"/>
      <c r="E608" s="663" t="s">
        <v>133</v>
      </c>
      <c r="F608" s="275">
        <f>SUM(F610:F613)</f>
        <v>60.931742549999996</v>
      </c>
      <c r="G608" s="70">
        <v>592</v>
      </c>
    </row>
    <row r="609" spans="2:7">
      <c r="B609" s="245" t="s">
        <v>119</v>
      </c>
      <c r="C609" s="245" t="s">
        <v>0</v>
      </c>
      <c r="D609" s="245" t="s">
        <v>120</v>
      </c>
      <c r="E609" s="673" t="s">
        <v>121</v>
      </c>
      <c r="F609" s="262" t="s">
        <v>135</v>
      </c>
      <c r="G609" s="70">
        <v>593</v>
      </c>
    </row>
    <row r="610" spans="2:7">
      <c r="B610" s="212" t="s">
        <v>1078</v>
      </c>
      <c r="C610" s="247" t="s">
        <v>0</v>
      </c>
      <c r="D610" s="309">
        <v>1</v>
      </c>
      <c r="E610" s="652">
        <f>Apro.Chantier!$P$83</f>
        <v>16.8</v>
      </c>
      <c r="F610" s="155">
        <f>D610*E610</f>
        <v>16.8</v>
      </c>
      <c r="G610" s="70">
        <v>594</v>
      </c>
    </row>
    <row r="611" spans="2:7">
      <c r="B611" s="212" t="s">
        <v>1060</v>
      </c>
      <c r="C611" s="247" t="s">
        <v>286</v>
      </c>
      <c r="D611" s="309">
        <v>1</v>
      </c>
      <c r="E611" s="652">
        <f>Apro.Chantier!$P$86</f>
        <v>9.4499999999999993</v>
      </c>
      <c r="F611" s="155">
        <f>D611*E611</f>
        <v>9.4499999999999993</v>
      </c>
      <c r="G611" s="70">
        <v>595</v>
      </c>
    </row>
    <row r="612" spans="2:7">
      <c r="B612" s="246" t="s">
        <v>1057</v>
      </c>
      <c r="C612" s="247" t="s">
        <v>286</v>
      </c>
      <c r="D612" s="314">
        <v>1</v>
      </c>
      <c r="E612" s="652">
        <f>Apro.Chantier!$P$93</f>
        <v>3.15</v>
      </c>
      <c r="F612" s="155">
        <f>D612*E612</f>
        <v>3.15</v>
      </c>
      <c r="G612" s="70">
        <v>596</v>
      </c>
    </row>
    <row r="613" spans="2:7">
      <c r="B613" s="246" t="s">
        <v>7</v>
      </c>
      <c r="C613" s="247" t="s">
        <v>18</v>
      </c>
      <c r="D613" s="155">
        <v>1.5</v>
      </c>
      <c r="E613" s="652">
        <f>C.Horaire!$C$13</f>
        <v>21.021161699999997</v>
      </c>
      <c r="F613" s="155">
        <f>D613*E613</f>
        <v>31.531742549999997</v>
      </c>
      <c r="G613" s="70">
        <v>597</v>
      </c>
    </row>
    <row r="614" spans="2:7">
      <c r="B614" s="252"/>
      <c r="C614" s="252"/>
      <c r="D614" s="317"/>
      <c r="E614" s="668"/>
      <c r="F614" s="319"/>
      <c r="G614" s="70">
        <v>598</v>
      </c>
    </row>
    <row r="615" spans="2:7">
      <c r="B615" s="252"/>
      <c r="C615" s="252"/>
      <c r="D615" s="317"/>
      <c r="E615" s="668"/>
      <c r="F615" s="319"/>
      <c r="G615" s="70">
        <v>599</v>
      </c>
    </row>
    <row r="616" spans="2:7">
      <c r="B616" s="1154" t="s">
        <v>134</v>
      </c>
      <c r="C616" s="1154"/>
      <c r="D616" s="1154"/>
      <c r="E616" s="1154"/>
      <c r="F616" s="1154"/>
      <c r="G616" s="70">
        <v>600</v>
      </c>
    </row>
    <row r="617" spans="2:7" ht="13.5" thickBot="1">
      <c r="B617" s="306"/>
      <c r="C617" s="1154"/>
      <c r="D617" s="1154"/>
      <c r="E617" s="1154"/>
      <c r="F617" s="247" t="s">
        <v>180</v>
      </c>
      <c r="G617" s="70">
        <v>601</v>
      </c>
    </row>
    <row r="618" spans="2:7" ht="13.5" thickBot="1">
      <c r="B618" s="303" t="s">
        <v>1069</v>
      </c>
      <c r="C618" s="304"/>
      <c r="D618" s="304"/>
      <c r="E618" s="663" t="s">
        <v>133</v>
      </c>
      <c r="F618" s="275">
        <f>SUM(F620:F623)</f>
        <v>63.03174254999999</v>
      </c>
      <c r="G618" s="70">
        <v>602</v>
      </c>
    </row>
    <row r="619" spans="2:7">
      <c r="B619" s="245" t="s">
        <v>119</v>
      </c>
      <c r="C619" s="245" t="s">
        <v>0</v>
      </c>
      <c r="D619" s="245" t="s">
        <v>120</v>
      </c>
      <c r="E619" s="673" t="s">
        <v>121</v>
      </c>
      <c r="F619" s="262" t="s">
        <v>135</v>
      </c>
      <c r="G619" s="70">
        <v>603</v>
      </c>
    </row>
    <row r="620" spans="2:7">
      <c r="B620" s="212" t="s">
        <v>1079</v>
      </c>
      <c r="C620" s="247" t="s">
        <v>0</v>
      </c>
      <c r="D620" s="309">
        <v>1</v>
      </c>
      <c r="E620" s="652">
        <f>Apro.Chantier!$P$84</f>
        <v>18.899999999999999</v>
      </c>
      <c r="F620" s="155">
        <f>D620*E620</f>
        <v>18.899999999999999</v>
      </c>
      <c r="G620" s="70">
        <v>604</v>
      </c>
    </row>
    <row r="621" spans="2:7">
      <c r="B621" s="212" t="s">
        <v>1060</v>
      </c>
      <c r="C621" s="247" t="s">
        <v>286</v>
      </c>
      <c r="D621" s="309">
        <v>1</v>
      </c>
      <c r="E621" s="652">
        <f>Apro.Chantier!$P$86</f>
        <v>9.4499999999999993</v>
      </c>
      <c r="F621" s="155">
        <f>D621*E621</f>
        <v>9.4499999999999993</v>
      </c>
      <c r="G621" s="70">
        <v>605</v>
      </c>
    </row>
    <row r="622" spans="2:7">
      <c r="B622" s="246" t="s">
        <v>1057</v>
      </c>
      <c r="C622" s="247" t="s">
        <v>286</v>
      </c>
      <c r="D622" s="314">
        <v>1</v>
      </c>
      <c r="E622" s="652">
        <f>Apro.Chantier!$P$93</f>
        <v>3.15</v>
      </c>
      <c r="F622" s="155">
        <f>D622*E622</f>
        <v>3.15</v>
      </c>
      <c r="G622" s="70">
        <v>606</v>
      </c>
    </row>
    <row r="623" spans="2:7">
      <c r="B623" s="246" t="s">
        <v>7</v>
      </c>
      <c r="C623" s="247" t="s">
        <v>18</v>
      </c>
      <c r="D623" s="155">
        <v>1.5</v>
      </c>
      <c r="E623" s="652">
        <f>C.Horaire!$C$13</f>
        <v>21.021161699999997</v>
      </c>
      <c r="F623" s="155">
        <f>D623*E623</f>
        <v>31.531742549999997</v>
      </c>
      <c r="G623" s="70">
        <v>607</v>
      </c>
    </row>
    <row r="624" spans="2:7">
      <c r="B624" s="252"/>
      <c r="C624" s="252"/>
      <c r="D624" s="317"/>
      <c r="E624" s="668"/>
      <c r="F624" s="319"/>
      <c r="G624" s="70">
        <v>608</v>
      </c>
    </row>
    <row r="625" spans="2:7">
      <c r="B625" s="252"/>
      <c r="C625" s="252"/>
      <c r="D625" s="317"/>
      <c r="E625" s="668"/>
      <c r="F625" s="319"/>
      <c r="G625" s="70">
        <v>609</v>
      </c>
    </row>
    <row r="626" spans="2:7">
      <c r="B626" s="1154" t="s">
        <v>134</v>
      </c>
      <c r="C626" s="1154"/>
      <c r="D626" s="1154"/>
      <c r="E626" s="1154"/>
      <c r="F626" s="1154"/>
      <c r="G626" s="70">
        <v>610</v>
      </c>
    </row>
    <row r="627" spans="2:7" ht="13.5" thickBot="1">
      <c r="B627" s="306"/>
      <c r="C627" s="1154"/>
      <c r="D627" s="1154"/>
      <c r="E627" s="1154"/>
      <c r="F627" s="247" t="s">
        <v>180</v>
      </c>
      <c r="G627" s="70">
        <v>611</v>
      </c>
    </row>
    <row r="628" spans="2:7" ht="13.5" thickBot="1">
      <c r="B628" s="303" t="s">
        <v>1070</v>
      </c>
      <c r="C628" s="304"/>
      <c r="D628" s="304"/>
      <c r="E628" s="663" t="s">
        <v>133</v>
      </c>
      <c r="F628" s="275">
        <f>SUM(F630:F634)</f>
        <v>276.45522764999998</v>
      </c>
      <c r="G628" s="70">
        <v>612</v>
      </c>
    </row>
    <row r="629" spans="2:7">
      <c r="B629" s="245" t="s">
        <v>119</v>
      </c>
      <c r="C629" s="245" t="s">
        <v>0</v>
      </c>
      <c r="D629" s="245" t="s">
        <v>120</v>
      </c>
      <c r="E629" s="673" t="s">
        <v>121</v>
      </c>
      <c r="F629" s="262" t="s">
        <v>135</v>
      </c>
      <c r="G629" s="70">
        <v>613</v>
      </c>
    </row>
    <row r="630" spans="2:7">
      <c r="B630" s="212" t="s">
        <v>1070</v>
      </c>
      <c r="C630" s="247" t="s">
        <v>0</v>
      </c>
      <c r="D630" s="309">
        <v>1</v>
      </c>
      <c r="E630" s="652">
        <f>Apro.Chantier!$P$75</f>
        <v>158.55000000000001</v>
      </c>
      <c r="F630" s="155">
        <f>D630*E630</f>
        <v>158.55000000000001</v>
      </c>
      <c r="G630" s="70">
        <v>614</v>
      </c>
    </row>
    <row r="631" spans="2:7">
      <c r="B631" s="212" t="s">
        <v>1060</v>
      </c>
      <c r="C631" s="247" t="s">
        <v>286</v>
      </c>
      <c r="D631" s="309">
        <v>1</v>
      </c>
      <c r="E631" s="652">
        <f>Apro.Chantier!$P$86</f>
        <v>9.4499999999999993</v>
      </c>
      <c r="F631" s="155">
        <f>D631*E631</f>
        <v>9.4499999999999993</v>
      </c>
      <c r="G631" s="70">
        <v>615</v>
      </c>
    </row>
    <row r="632" spans="2:7">
      <c r="B632" s="212" t="s">
        <v>1061</v>
      </c>
      <c r="C632" s="247" t="s">
        <v>59</v>
      </c>
      <c r="D632" s="309">
        <v>3</v>
      </c>
      <c r="E632" s="652">
        <f>Apro.Chantier!$P$90</f>
        <v>3.57</v>
      </c>
      <c r="F632" s="155">
        <f>D632*E632</f>
        <v>10.709999999999999</v>
      </c>
      <c r="G632" s="70">
        <v>616</v>
      </c>
    </row>
    <row r="633" spans="2:7">
      <c r="B633" s="246" t="s">
        <v>1057</v>
      </c>
      <c r="C633" s="247" t="s">
        <v>286</v>
      </c>
      <c r="D633" s="314">
        <v>1</v>
      </c>
      <c r="E633" s="652">
        <f>Apro.Chantier!$P$93</f>
        <v>3.15</v>
      </c>
      <c r="F633" s="155">
        <f>D633*E633</f>
        <v>3.15</v>
      </c>
      <c r="G633" s="70">
        <v>617</v>
      </c>
    </row>
    <row r="634" spans="2:7">
      <c r="B634" s="246" t="s">
        <v>7</v>
      </c>
      <c r="C634" s="247" t="s">
        <v>18</v>
      </c>
      <c r="D634" s="155">
        <v>4.5</v>
      </c>
      <c r="E634" s="652">
        <f>C.Horaire!$C$13</f>
        <v>21.021161699999997</v>
      </c>
      <c r="F634" s="155">
        <f>D634*E634</f>
        <v>94.595227649999984</v>
      </c>
      <c r="G634" s="70">
        <v>618</v>
      </c>
    </row>
    <row r="635" spans="2:7">
      <c r="B635" s="252"/>
      <c r="C635" s="252"/>
      <c r="D635" s="317"/>
      <c r="E635" s="668"/>
      <c r="F635" s="319"/>
      <c r="G635" s="70">
        <v>619</v>
      </c>
    </row>
    <row r="636" spans="2:7">
      <c r="B636" s="252"/>
      <c r="C636" s="252"/>
      <c r="D636" s="317"/>
      <c r="E636" s="668"/>
      <c r="F636" s="319"/>
      <c r="G636" s="70">
        <v>620</v>
      </c>
    </row>
    <row r="637" spans="2:7">
      <c r="B637" s="1154" t="s">
        <v>134</v>
      </c>
      <c r="C637" s="1154"/>
      <c r="D637" s="1154"/>
      <c r="E637" s="1154"/>
      <c r="F637" s="1154"/>
      <c r="G637" s="70">
        <v>621</v>
      </c>
    </row>
    <row r="638" spans="2:7" ht="13.5" thickBot="1">
      <c r="B638" s="306"/>
      <c r="C638" s="1154"/>
      <c r="D638" s="1154"/>
      <c r="E638" s="1154"/>
      <c r="F638" s="247" t="s">
        <v>180</v>
      </c>
      <c r="G638" s="70">
        <v>622</v>
      </c>
    </row>
    <row r="639" spans="2:7" ht="13.5" thickBot="1">
      <c r="B639" s="303" t="s">
        <v>1055</v>
      </c>
      <c r="C639" s="304"/>
      <c r="D639" s="304"/>
      <c r="E639" s="663" t="s">
        <v>133</v>
      </c>
      <c r="F639" s="275">
        <f>SUM(F641:F645)</f>
        <v>70.90674254999999</v>
      </c>
      <c r="G639" s="70">
        <v>623</v>
      </c>
    </row>
    <row r="640" spans="2:7">
      <c r="B640" s="245" t="s">
        <v>119</v>
      </c>
      <c r="C640" s="245" t="s">
        <v>0</v>
      </c>
      <c r="D640" s="245" t="s">
        <v>120</v>
      </c>
      <c r="E640" s="673" t="s">
        <v>121</v>
      </c>
      <c r="F640" s="262" t="s">
        <v>135</v>
      </c>
      <c r="G640" s="70">
        <v>624</v>
      </c>
    </row>
    <row r="641" spans="2:7">
      <c r="B641" s="212" t="s">
        <v>1055</v>
      </c>
      <c r="C641" s="247" t="s">
        <v>0</v>
      </c>
      <c r="D641" s="309">
        <v>1</v>
      </c>
      <c r="E641" s="652">
        <f>Apro.Chantier!$P$87</f>
        <v>18.899999999999999</v>
      </c>
      <c r="F641" s="155">
        <f>D641*E641</f>
        <v>18.899999999999999</v>
      </c>
      <c r="G641" s="70">
        <v>625</v>
      </c>
    </row>
    <row r="642" spans="2:7">
      <c r="B642" s="212" t="s">
        <v>1060</v>
      </c>
      <c r="C642" s="247" t="s">
        <v>286</v>
      </c>
      <c r="D642" s="309">
        <v>1</v>
      </c>
      <c r="E642" s="652">
        <f>Apro.Chantier!$P$86</f>
        <v>9.4499999999999993</v>
      </c>
      <c r="F642" s="155">
        <f>D642*E642</f>
        <v>9.4499999999999993</v>
      </c>
      <c r="G642" s="70">
        <v>626</v>
      </c>
    </row>
    <row r="643" spans="2:7">
      <c r="B643" s="212" t="s">
        <v>1080</v>
      </c>
      <c r="C643" s="247" t="s">
        <v>59</v>
      </c>
      <c r="D643" s="309">
        <v>3</v>
      </c>
      <c r="E643" s="652">
        <f>Apro.Chantier!$P$85</f>
        <v>2.625</v>
      </c>
      <c r="F643" s="155">
        <f>D643*E643</f>
        <v>7.875</v>
      </c>
      <c r="G643" s="70">
        <v>627</v>
      </c>
    </row>
    <row r="644" spans="2:7">
      <c r="B644" s="246" t="s">
        <v>1057</v>
      </c>
      <c r="C644" s="247" t="s">
        <v>286</v>
      </c>
      <c r="D644" s="314">
        <v>1</v>
      </c>
      <c r="E644" s="652">
        <f>Apro.Chantier!$P$93</f>
        <v>3.15</v>
      </c>
      <c r="F644" s="155">
        <f>D644*E644</f>
        <v>3.15</v>
      </c>
      <c r="G644" s="70">
        <v>628</v>
      </c>
    </row>
    <row r="645" spans="2:7">
      <c r="B645" s="246" t="s">
        <v>7</v>
      </c>
      <c r="C645" s="247" t="s">
        <v>18</v>
      </c>
      <c r="D645" s="155">
        <v>1.5</v>
      </c>
      <c r="E645" s="652">
        <f>C.Horaire!$C$13</f>
        <v>21.021161699999997</v>
      </c>
      <c r="F645" s="155">
        <f>D645*E645</f>
        <v>31.531742549999997</v>
      </c>
      <c r="G645" s="70">
        <v>629</v>
      </c>
    </row>
    <row r="646" spans="2:7">
      <c r="B646" s="252"/>
      <c r="C646" s="252"/>
      <c r="D646" s="317"/>
      <c r="E646" s="668"/>
      <c r="F646" s="319"/>
      <c r="G646" s="70">
        <v>630</v>
      </c>
    </row>
    <row r="647" spans="2:7">
      <c r="B647" s="252"/>
      <c r="C647" s="252"/>
      <c r="D647" s="317"/>
      <c r="E647" s="668"/>
      <c r="F647" s="319"/>
      <c r="G647" s="70">
        <v>631</v>
      </c>
    </row>
    <row r="648" spans="2:7">
      <c r="B648" s="1154" t="s">
        <v>134</v>
      </c>
      <c r="C648" s="1154"/>
      <c r="D648" s="1154"/>
      <c r="E648" s="1154"/>
      <c r="F648" s="1154"/>
      <c r="G648" s="70">
        <v>632</v>
      </c>
    </row>
    <row r="649" spans="2:7" ht="13.5" thickBot="1">
      <c r="B649" s="306"/>
      <c r="C649" s="1154"/>
      <c r="D649" s="1154"/>
      <c r="E649" s="1154"/>
      <c r="F649" s="247" t="s">
        <v>1081</v>
      </c>
      <c r="G649" s="70">
        <v>633</v>
      </c>
    </row>
    <row r="650" spans="2:7" ht="13.5" thickBot="1">
      <c r="B650" s="303" t="s">
        <v>1071</v>
      </c>
      <c r="C650" s="304"/>
      <c r="D650" s="304"/>
      <c r="E650" s="663" t="s">
        <v>133</v>
      </c>
      <c r="F650" s="275">
        <f>SUM(F652:F655)</f>
        <v>42.446452124999993</v>
      </c>
      <c r="G650" s="70">
        <v>634</v>
      </c>
    </row>
    <row r="651" spans="2:7">
      <c r="B651" s="245" t="s">
        <v>119</v>
      </c>
      <c r="C651" s="245" t="s">
        <v>0</v>
      </c>
      <c r="D651" s="245" t="s">
        <v>120</v>
      </c>
      <c r="E651" s="673" t="s">
        <v>121</v>
      </c>
      <c r="F651" s="262" t="s">
        <v>135</v>
      </c>
      <c r="G651" s="70">
        <v>635</v>
      </c>
    </row>
    <row r="652" spans="2:7">
      <c r="B652" s="212" t="s">
        <v>1060</v>
      </c>
      <c r="C652" s="247" t="s">
        <v>286</v>
      </c>
      <c r="D652" s="309">
        <v>1</v>
      </c>
      <c r="E652" s="652">
        <f>Apro.Chantier!$P$86</f>
        <v>9.4499999999999993</v>
      </c>
      <c r="F652" s="155">
        <f>D652*E652</f>
        <v>9.4499999999999993</v>
      </c>
      <c r="G652" s="70">
        <v>636</v>
      </c>
    </row>
    <row r="653" spans="2:7">
      <c r="B653" s="212" t="s">
        <v>1061</v>
      </c>
      <c r="C653" s="247" t="s">
        <v>59</v>
      </c>
      <c r="D653" s="309">
        <v>1</v>
      </c>
      <c r="E653" s="652">
        <f>Apro.Chantier!$P$90</f>
        <v>3.57</v>
      </c>
      <c r="F653" s="155">
        <f>D653*E653</f>
        <v>3.57</v>
      </c>
      <c r="G653" s="70">
        <v>637</v>
      </c>
    </row>
    <row r="654" spans="2:7">
      <c r="B654" s="246" t="s">
        <v>1057</v>
      </c>
      <c r="C654" s="247" t="s">
        <v>286</v>
      </c>
      <c r="D654" s="314">
        <v>1</v>
      </c>
      <c r="E654" s="652">
        <f>Apro.Chantier!$P$93</f>
        <v>3.15</v>
      </c>
      <c r="F654" s="155">
        <f>D654*E654</f>
        <v>3.15</v>
      </c>
      <c r="G654" s="70">
        <v>638</v>
      </c>
    </row>
    <row r="655" spans="2:7">
      <c r="B655" s="246" t="s">
        <v>7</v>
      </c>
      <c r="C655" s="247" t="s">
        <v>18</v>
      </c>
      <c r="D655" s="155">
        <v>1.25</v>
      </c>
      <c r="E655" s="652">
        <f>C.Horaire!$C$13</f>
        <v>21.021161699999997</v>
      </c>
      <c r="F655" s="155">
        <f>D655*E655</f>
        <v>26.276452124999995</v>
      </c>
      <c r="G655" s="70">
        <v>639</v>
      </c>
    </row>
    <row r="656" spans="2:7">
      <c r="B656" s="252"/>
      <c r="C656" s="252"/>
      <c r="D656" s="317"/>
      <c r="E656" s="668"/>
      <c r="F656" s="319"/>
      <c r="G656" s="70">
        <v>640</v>
      </c>
    </row>
    <row r="657" spans="2:7">
      <c r="B657" s="252"/>
      <c r="C657" s="252"/>
      <c r="D657" s="317"/>
      <c r="E657" s="668"/>
      <c r="F657" s="319"/>
      <c r="G657" s="70">
        <v>641</v>
      </c>
    </row>
    <row r="658" spans="2:7">
      <c r="B658" s="1154" t="s">
        <v>134</v>
      </c>
      <c r="C658" s="1154"/>
      <c r="D658" s="1154"/>
      <c r="E658" s="1154"/>
      <c r="F658" s="1154"/>
      <c r="G658" s="70">
        <v>642</v>
      </c>
    </row>
    <row r="659" spans="2:7" ht="13.5" thickBot="1">
      <c r="B659" s="306"/>
      <c r="C659" s="1154"/>
      <c r="D659" s="1154"/>
      <c r="E659" s="1154"/>
      <c r="F659" s="247" t="s">
        <v>1081</v>
      </c>
      <c r="G659" s="70">
        <v>643</v>
      </c>
    </row>
    <row r="660" spans="2:7" ht="13.5" thickBot="1">
      <c r="B660" s="303" t="s">
        <v>1086</v>
      </c>
      <c r="C660" s="304"/>
      <c r="D660" s="304"/>
      <c r="E660" s="663" t="s">
        <v>133</v>
      </c>
      <c r="F660" s="275">
        <f>SUM(F662:F664)</f>
        <v>6.9302116169999994</v>
      </c>
      <c r="G660" s="70">
        <v>644</v>
      </c>
    </row>
    <row r="661" spans="2:7">
      <c r="B661" s="245" t="s">
        <v>119</v>
      </c>
      <c r="C661" s="245" t="s">
        <v>0</v>
      </c>
      <c r="D661" s="245" t="s">
        <v>120</v>
      </c>
      <c r="E661" s="673" t="s">
        <v>121</v>
      </c>
      <c r="F661" s="262" t="s">
        <v>135</v>
      </c>
      <c r="G661" s="70">
        <v>645</v>
      </c>
    </row>
    <row r="662" spans="2:7">
      <c r="B662" s="212" t="s">
        <v>1061</v>
      </c>
      <c r="C662" s="247" t="s">
        <v>59</v>
      </c>
      <c r="D662" s="309">
        <v>1</v>
      </c>
      <c r="E662" s="652">
        <f>Apro.Chantier!$P$90</f>
        <v>3.57</v>
      </c>
      <c r="F662" s="155">
        <f>D662*E662</f>
        <v>3.57</v>
      </c>
      <c r="G662" s="70">
        <v>646</v>
      </c>
    </row>
    <row r="663" spans="2:7">
      <c r="B663" s="246" t="s">
        <v>1057</v>
      </c>
      <c r="C663" s="247" t="s">
        <v>286</v>
      </c>
      <c r="D663" s="314">
        <v>1</v>
      </c>
      <c r="E663" s="652">
        <f>Apro.Chantier!$P$93</f>
        <v>3.15</v>
      </c>
      <c r="F663" s="155">
        <f>D663*E663</f>
        <v>3.15</v>
      </c>
      <c r="G663" s="70">
        <v>649</v>
      </c>
    </row>
    <row r="664" spans="2:7">
      <c r="B664" s="246" t="s">
        <v>7</v>
      </c>
      <c r="C664" s="247" t="s">
        <v>18</v>
      </c>
      <c r="D664" s="155">
        <v>0.01</v>
      </c>
      <c r="E664" s="652">
        <f>C.Horaire!$C$13</f>
        <v>21.021161699999997</v>
      </c>
      <c r="F664" s="155">
        <f>D664*E664</f>
        <v>0.21021161699999996</v>
      </c>
      <c r="G664" s="70">
        <v>650</v>
      </c>
    </row>
    <row r="665" spans="2:7">
      <c r="B665" s="252"/>
      <c r="C665" s="257"/>
      <c r="D665" s="253"/>
      <c r="E665" s="675"/>
      <c r="F665" s="253"/>
      <c r="G665" s="70">
        <v>651</v>
      </c>
    </row>
    <row r="666" spans="2:7">
      <c r="B666" s="1154" t="s">
        <v>134</v>
      </c>
      <c r="C666" s="1154"/>
      <c r="D666" s="1154"/>
      <c r="E666" s="1154"/>
      <c r="F666" s="1154"/>
    </row>
    <row r="667" spans="2:7" ht="13.5" thickBot="1">
      <c r="B667" s="306"/>
      <c r="C667" s="1154"/>
      <c r="D667" s="1154"/>
      <c r="E667" s="1154"/>
      <c r="F667" s="247" t="s">
        <v>1081</v>
      </c>
    </row>
    <row r="668" spans="2:7" ht="13.5" thickBot="1">
      <c r="B668" s="303" t="s">
        <v>1087</v>
      </c>
      <c r="C668" s="304"/>
      <c r="D668" s="304"/>
      <c r="E668" s="663" t="s">
        <v>133</v>
      </c>
      <c r="F668" s="275">
        <f>SUM(F670:F672)</f>
        <v>5.985211617</v>
      </c>
    </row>
    <row r="669" spans="2:7">
      <c r="B669" s="245" t="s">
        <v>119</v>
      </c>
      <c r="C669" s="245" t="s">
        <v>0</v>
      </c>
      <c r="D669" s="245" t="s">
        <v>120</v>
      </c>
      <c r="E669" s="673" t="s">
        <v>121</v>
      </c>
      <c r="F669" s="262" t="s">
        <v>135</v>
      </c>
    </row>
    <row r="670" spans="2:7">
      <c r="B670" s="212" t="s">
        <v>1080</v>
      </c>
      <c r="C670" s="247" t="s">
        <v>59</v>
      </c>
      <c r="D670" s="309">
        <v>1</v>
      </c>
      <c r="E670" s="652">
        <f>Apro.Chantier!$P$85</f>
        <v>2.625</v>
      </c>
      <c r="F670" s="155">
        <f>D670*E670</f>
        <v>2.625</v>
      </c>
    </row>
    <row r="671" spans="2:7">
      <c r="B671" s="246" t="s">
        <v>1057</v>
      </c>
      <c r="C671" s="247" t="s">
        <v>286</v>
      </c>
      <c r="D671" s="314">
        <v>1</v>
      </c>
      <c r="E671" s="652">
        <f>Apro.Chantier!$P$93</f>
        <v>3.15</v>
      </c>
      <c r="F671" s="155">
        <f>D671*E671</f>
        <v>3.15</v>
      </c>
    </row>
    <row r="672" spans="2:7">
      <c r="B672" s="246" t="s">
        <v>7</v>
      </c>
      <c r="C672" s="247" t="s">
        <v>18</v>
      </c>
      <c r="D672" s="155">
        <v>0.01</v>
      </c>
      <c r="E672" s="652">
        <f>C.Horaire!$C$13</f>
        <v>21.021161699999997</v>
      </c>
      <c r="F672" s="155">
        <f>D672*E672</f>
        <v>0.21021161699999996</v>
      </c>
    </row>
    <row r="673" spans="2:6">
      <c r="B673" s="252"/>
      <c r="C673" s="257"/>
      <c r="D673" s="253"/>
      <c r="E673" s="675"/>
      <c r="F673" s="253"/>
    </row>
    <row r="674" spans="2:6">
      <c r="B674" s="252"/>
      <c r="C674" s="257"/>
      <c r="D674" s="253"/>
      <c r="E674" s="675"/>
      <c r="F674" s="253"/>
    </row>
    <row r="675" spans="2:6">
      <c r="B675" s="1154" t="s">
        <v>134</v>
      </c>
      <c r="C675" s="1154"/>
      <c r="D675" s="1154"/>
      <c r="E675" s="1154"/>
      <c r="F675" s="1154"/>
    </row>
    <row r="676" spans="2:6" ht="13.5" thickBot="1">
      <c r="B676" s="306"/>
      <c r="C676" s="1154"/>
      <c r="D676" s="1154"/>
      <c r="E676" s="1154"/>
      <c r="F676" s="247" t="s">
        <v>1081</v>
      </c>
    </row>
    <row r="677" spans="2:6" ht="13.5" thickBot="1">
      <c r="B677" s="303" t="s">
        <v>1071</v>
      </c>
      <c r="C677" s="304"/>
      <c r="D677" s="304"/>
      <c r="E677" s="663" t="s">
        <v>133</v>
      </c>
      <c r="F677" s="275">
        <f>SUM(F679:F682)</f>
        <v>42.446452124999993</v>
      </c>
    </row>
    <row r="678" spans="2:6">
      <c r="B678" s="245" t="s">
        <v>119</v>
      </c>
      <c r="C678" s="245" t="s">
        <v>0</v>
      </c>
      <c r="D678" s="245" t="s">
        <v>120</v>
      </c>
      <c r="E678" s="673" t="s">
        <v>121</v>
      </c>
      <c r="F678" s="262" t="s">
        <v>135</v>
      </c>
    </row>
    <row r="679" spans="2:6">
      <c r="B679" s="212" t="s">
        <v>1060</v>
      </c>
      <c r="C679" s="247" t="s">
        <v>286</v>
      </c>
      <c r="D679" s="309">
        <v>1</v>
      </c>
      <c r="E679" s="652">
        <f>Apro.Chantier!$P$86</f>
        <v>9.4499999999999993</v>
      </c>
      <c r="F679" s="155">
        <f>D679*E679</f>
        <v>9.4499999999999993</v>
      </c>
    </row>
    <row r="680" spans="2:6">
      <c r="B680" s="212" t="s">
        <v>1061</v>
      </c>
      <c r="C680" s="247" t="s">
        <v>59</v>
      </c>
      <c r="D680" s="309">
        <v>1</v>
      </c>
      <c r="E680" s="652">
        <f>Apro.Chantier!$P$90</f>
        <v>3.57</v>
      </c>
      <c r="F680" s="155">
        <f>D680*E680</f>
        <v>3.57</v>
      </c>
    </row>
    <row r="681" spans="2:6">
      <c r="B681" s="246" t="s">
        <v>1057</v>
      </c>
      <c r="C681" s="247" t="s">
        <v>286</v>
      </c>
      <c r="D681" s="314">
        <v>1</v>
      </c>
      <c r="E681" s="652">
        <f>Apro.Chantier!$P$93</f>
        <v>3.15</v>
      </c>
      <c r="F681" s="155">
        <f>D681*E681</f>
        <v>3.15</v>
      </c>
    </row>
    <row r="682" spans="2:6">
      <c r="B682" s="246" t="s">
        <v>7</v>
      </c>
      <c r="C682" s="247" t="s">
        <v>18</v>
      </c>
      <c r="D682" s="155">
        <v>1.25</v>
      </c>
      <c r="E682" s="652">
        <f>C.Horaire!$C$13</f>
        <v>21.021161699999997</v>
      </c>
      <c r="F682" s="155">
        <f>D682*E682</f>
        <v>26.276452124999995</v>
      </c>
    </row>
    <row r="683" spans="2:6">
      <c r="B683" s="252"/>
      <c r="C683" s="257"/>
      <c r="D683" s="253"/>
      <c r="E683" s="675"/>
      <c r="F683" s="253"/>
    </row>
    <row r="684" spans="2:6">
      <c r="B684" s="252"/>
      <c r="C684" s="257"/>
      <c r="D684" s="253"/>
      <c r="E684" s="675"/>
      <c r="F684" s="253"/>
    </row>
    <row r="685" spans="2:6">
      <c r="B685" s="252"/>
      <c r="C685" s="257"/>
      <c r="D685" s="253"/>
      <c r="E685" s="675"/>
      <c r="F685" s="253"/>
    </row>
    <row r="686" spans="2:6">
      <c r="B686" s="252"/>
      <c r="C686" s="257"/>
      <c r="D686" s="253"/>
      <c r="E686" s="675"/>
      <c r="F686" s="253"/>
    </row>
    <row r="687" spans="2:6">
      <c r="B687" s="252"/>
      <c r="C687" s="257"/>
      <c r="D687" s="253"/>
      <c r="E687" s="675"/>
      <c r="F687" s="253"/>
    </row>
    <row r="688" spans="2:6">
      <c r="B688" s="252"/>
      <c r="C688" s="257"/>
      <c r="D688" s="253"/>
      <c r="E688" s="675"/>
      <c r="F688" s="253"/>
    </row>
    <row r="689" spans="2:6">
      <c r="B689" s="252"/>
      <c r="C689" s="257"/>
      <c r="D689" s="253"/>
      <c r="E689" s="675"/>
      <c r="F689" s="253"/>
    </row>
    <row r="690" spans="2:6">
      <c r="B690" s="252"/>
      <c r="C690" s="257"/>
      <c r="D690" s="253"/>
      <c r="E690" s="675"/>
      <c r="F690" s="253"/>
    </row>
    <row r="694" spans="2:6" ht="38.25">
      <c r="B694" s="363" t="s">
        <v>1006</v>
      </c>
    </row>
    <row r="695" spans="2:6" ht="25.5">
      <c r="B695" s="363" t="s">
        <v>1007</v>
      </c>
    </row>
    <row r="696" spans="2:6">
      <c r="B696" s="364" t="s">
        <v>1008</v>
      </c>
    </row>
    <row r="697" spans="2:6">
      <c r="B697" s="364" t="s">
        <v>1009</v>
      </c>
    </row>
    <row r="698" spans="2:6" ht="25.5">
      <c r="B698" s="363" t="s">
        <v>1010</v>
      </c>
    </row>
    <row r="699" spans="2:6">
      <c r="B699" s="363" t="s">
        <v>1011</v>
      </c>
    </row>
    <row r="700" spans="2:6" ht="25.5">
      <c r="B700" s="363" t="s">
        <v>1012</v>
      </c>
    </row>
    <row r="701" spans="2:6" ht="25.5">
      <c r="B701" s="363" t="s">
        <v>1013</v>
      </c>
    </row>
    <row r="702" spans="2:6" ht="25.5">
      <c r="B702" s="363" t="s">
        <v>1014</v>
      </c>
    </row>
    <row r="703" spans="2:6" ht="25.5">
      <c r="B703" s="363" t="s">
        <v>1015</v>
      </c>
    </row>
    <row r="704" spans="2:6" ht="25.5">
      <c r="B704" s="363" t="s">
        <v>1016</v>
      </c>
    </row>
    <row r="705" spans="2:2">
      <c r="B705" s="363" t="s">
        <v>1017</v>
      </c>
    </row>
    <row r="706" spans="2:2">
      <c r="B706" s="363" t="s">
        <v>1018</v>
      </c>
    </row>
    <row r="707" spans="2:2">
      <c r="B707" s="363" t="s">
        <v>1019</v>
      </c>
    </row>
    <row r="708" spans="2:2" ht="25.5">
      <c r="B708" s="363" t="s">
        <v>1020</v>
      </c>
    </row>
    <row r="709" spans="2:2" ht="25.5">
      <c r="B709" s="363" t="s">
        <v>1021</v>
      </c>
    </row>
    <row r="710" spans="2:2">
      <c r="B710" s="363" t="s">
        <v>1022</v>
      </c>
    </row>
    <row r="711" spans="2:2">
      <c r="B711" s="363" t="s">
        <v>1023</v>
      </c>
    </row>
    <row r="712" spans="2:2" ht="25.5">
      <c r="B712" s="363" t="s">
        <v>1024</v>
      </c>
    </row>
    <row r="713" spans="2:2">
      <c r="B713" s="365"/>
    </row>
    <row r="714" spans="2:2">
      <c r="B714" s="365"/>
    </row>
    <row r="715" spans="2:2">
      <c r="B715" s="365"/>
    </row>
  </sheetData>
  <mergeCells count="98">
    <mergeCell ref="B675:F675"/>
    <mergeCell ref="B499:F499"/>
    <mergeCell ref="B594:F594"/>
    <mergeCell ref="C595:E595"/>
    <mergeCell ref="B606:F606"/>
    <mergeCell ref="C607:E607"/>
    <mergeCell ref="B616:F616"/>
    <mergeCell ref="C649:E649"/>
    <mergeCell ref="B658:F658"/>
    <mergeCell ref="C659:E659"/>
    <mergeCell ref="B626:F626"/>
    <mergeCell ref="C627:E627"/>
    <mergeCell ref="C617:E617"/>
    <mergeCell ref="C638:E638"/>
    <mergeCell ref="B648:F648"/>
    <mergeCell ref="C667:E667"/>
    <mergeCell ref="C471:E471"/>
    <mergeCell ref="C488:E488"/>
    <mergeCell ref="C409:E409"/>
    <mergeCell ref="B461:F461"/>
    <mergeCell ref="C462:E462"/>
    <mergeCell ref="B474:F474"/>
    <mergeCell ref="C475:E475"/>
    <mergeCell ref="C442:E442"/>
    <mergeCell ref="B451:F451"/>
    <mergeCell ref="C422:E422"/>
    <mergeCell ref="B431:F431"/>
    <mergeCell ref="C452:E452"/>
    <mergeCell ref="B441:F441"/>
    <mergeCell ref="C432:E432"/>
    <mergeCell ref="C418:E418"/>
    <mergeCell ref="B570:F570"/>
    <mergeCell ref="B637:F637"/>
    <mergeCell ref="B490:F490"/>
    <mergeCell ref="C491:E491"/>
    <mergeCell ref="B666:F666"/>
    <mergeCell ref="B509:F509"/>
    <mergeCell ref="C510:E510"/>
    <mergeCell ref="B327:F327"/>
    <mergeCell ref="B339:F339"/>
    <mergeCell ref="C676:E676"/>
    <mergeCell ref="C500:E500"/>
    <mergeCell ref="C519:E519"/>
    <mergeCell ref="B522:F522"/>
    <mergeCell ref="C523:E523"/>
    <mergeCell ref="B534:F534"/>
    <mergeCell ref="C535:E535"/>
    <mergeCell ref="C571:E571"/>
    <mergeCell ref="B582:F582"/>
    <mergeCell ref="C583:E583"/>
    <mergeCell ref="B546:F546"/>
    <mergeCell ref="C547:E547"/>
    <mergeCell ref="B558:F558"/>
    <mergeCell ref="C559:E559"/>
    <mergeCell ref="C397:E397"/>
    <mergeCell ref="B421:F421"/>
    <mergeCell ref="B362:F362"/>
    <mergeCell ref="C363:E363"/>
    <mergeCell ref="B373:F373"/>
    <mergeCell ref="C374:E374"/>
    <mergeCell ref="C393:E393"/>
    <mergeCell ref="B382:F382"/>
    <mergeCell ref="C370:E370"/>
    <mergeCell ref="B396:F396"/>
    <mergeCell ref="B408:F408"/>
    <mergeCell ref="B329:D329"/>
    <mergeCell ref="B341:D341"/>
    <mergeCell ref="C350:E350"/>
    <mergeCell ref="B353:F353"/>
    <mergeCell ref="C354:E354"/>
    <mergeCell ref="B328:E328"/>
    <mergeCell ref="B220:F220"/>
    <mergeCell ref="C221:E221"/>
    <mergeCell ref="B283:F283"/>
    <mergeCell ref="B294:F294"/>
    <mergeCell ref="C232:E232"/>
    <mergeCell ref="B318:D318"/>
    <mergeCell ref="B317:E317"/>
    <mergeCell ref="B235:F235"/>
    <mergeCell ref="B244:F244"/>
    <mergeCell ref="B253:F253"/>
    <mergeCell ref="B263:F263"/>
    <mergeCell ref="B254:E254"/>
    <mergeCell ref="B236:E236"/>
    <mergeCell ref="B245:E245"/>
    <mergeCell ref="B264:E264"/>
    <mergeCell ref="C6:E6"/>
    <mergeCell ref="C28:E28"/>
    <mergeCell ref="C93:E93"/>
    <mergeCell ref="C116:E116"/>
    <mergeCell ref="C202:E202"/>
    <mergeCell ref="B316:F316"/>
    <mergeCell ref="B274:E274"/>
    <mergeCell ref="B284:E284"/>
    <mergeCell ref="B295:E295"/>
    <mergeCell ref="B273:F273"/>
    <mergeCell ref="B305:F305"/>
    <mergeCell ref="B306:E306"/>
  </mergeCells>
  <pageMargins left="0.70866141732283472" right="0.70866141732283472" top="0.74803149606299213" bottom="0.74803149606299213" header="0.31496062992125984" footer="0.31496062992125984"/>
  <pageSetup paperSize="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H131"/>
  <sheetViews>
    <sheetView showGridLines="0" topLeftCell="A127" zoomScaleNormal="100" workbookViewId="0">
      <selection activeCell="B127" sqref="B127"/>
    </sheetView>
  </sheetViews>
  <sheetFormatPr baseColWidth="10" defaultColWidth="0" defaultRowHeight="12.75"/>
  <cols>
    <col min="1" max="1" width="7.140625" style="339" customWidth="1"/>
    <col min="2" max="2" width="56.28515625" style="992" customWidth="1"/>
    <col min="3" max="3" width="10.140625" style="339" customWidth="1"/>
    <col min="4" max="4" width="19.5703125" style="339" customWidth="1"/>
    <col min="5" max="5" width="15" style="339" customWidth="1"/>
    <col min="6" max="6" width="11.42578125" style="339" customWidth="1"/>
    <col min="7" max="7" width="13.85546875" style="339" customWidth="1"/>
    <col min="8" max="8" width="20.28515625" style="339" customWidth="1"/>
    <col min="9" max="9" width="11.42578125" style="339" customWidth="1"/>
    <col min="10" max="10" width="0" style="339" hidden="1" customWidth="1"/>
    <col min="11" max="16384" width="0" style="339" hidden="1"/>
  </cols>
  <sheetData>
    <row r="1" spans="1:8">
      <c r="E1" s="1158" t="s">
        <v>14</v>
      </c>
      <c r="F1" s="1158"/>
    </row>
    <row r="2" spans="1:8" ht="15" customHeight="1">
      <c r="A2" s="1006" t="s">
        <v>11</v>
      </c>
      <c r="B2" s="1007" t="s">
        <v>12</v>
      </c>
      <c r="C2" s="1007" t="s">
        <v>0</v>
      </c>
      <c r="D2" s="1008" t="s">
        <v>13</v>
      </c>
      <c r="E2" s="1009" t="s">
        <v>16</v>
      </c>
      <c r="F2" s="1010" t="s">
        <v>17</v>
      </c>
      <c r="G2" s="1008" t="s">
        <v>4</v>
      </c>
      <c r="H2" s="1011" t="s">
        <v>15</v>
      </c>
    </row>
    <row r="3" spans="1:8">
      <c r="A3" s="986" t="str">
        <f>'Etude-Prix'!B9</f>
        <v xml:space="preserve">02.00                    </v>
      </c>
      <c r="B3" s="980" t="str">
        <f>'Etude-Prix'!$B$10</f>
        <v>Instalation de chantier barraquement , sans cloture</v>
      </c>
      <c r="C3" s="981" t="s">
        <v>262</v>
      </c>
      <c r="D3" s="982">
        <f>'Etude-Prix'!D15</f>
        <v>6</v>
      </c>
      <c r="E3" s="960">
        <f>C.Horaire!$C$13</f>
        <v>21.021161699999997</v>
      </c>
      <c r="F3" s="960">
        <f>SUM('Etude-Prix'!F12:F14)</f>
        <v>1034.3479736842105</v>
      </c>
      <c r="G3" s="961">
        <f>((E3*D3)+F3)*FDF+(E3*D3)+F3</f>
        <v>1218.498691078421</v>
      </c>
      <c r="H3" s="962">
        <f>G3*BENEF+G3</f>
        <v>1462.1984292941052</v>
      </c>
    </row>
    <row r="4" spans="1:8">
      <c r="A4" s="963" t="str">
        <f>'Etude-Prix'!B18</f>
        <v>03.00</v>
      </c>
      <c r="B4" s="983" t="str">
        <f>'Etude-Prix'!$B$19</f>
        <v>Implantation d'un pavillon de 6 axes</v>
      </c>
      <c r="C4" s="984" t="s">
        <v>262</v>
      </c>
      <c r="D4" s="985">
        <f>'Etude-Prix'!D24</f>
        <v>2</v>
      </c>
      <c r="E4" s="964">
        <f>C.Horaire!$C$13</f>
        <v>21.021161699999997</v>
      </c>
      <c r="F4" s="964">
        <f>SUM('Etude-Prix'!F21:F24)</f>
        <v>286.83276090000004</v>
      </c>
      <c r="G4" s="965">
        <f>((E4*D4)+F4)*FDF+(E4*D4)+F4</f>
        <v>345.31883851500004</v>
      </c>
      <c r="H4" s="966">
        <f>G4*BENEF+G4</f>
        <v>414.38260621800003</v>
      </c>
    </row>
    <row r="6" spans="1:8">
      <c r="A6" s="339">
        <v>1</v>
      </c>
      <c r="B6" s="992" t="s">
        <v>989</v>
      </c>
    </row>
    <row r="8" spans="1:8">
      <c r="E8" s="1158" t="s">
        <v>14</v>
      </c>
      <c r="F8" s="1158"/>
    </row>
    <row r="9" spans="1:8">
      <c r="A9" s="1012" t="s">
        <v>11</v>
      </c>
      <c r="B9" s="1013" t="s">
        <v>12</v>
      </c>
      <c r="C9" s="1014" t="s">
        <v>0</v>
      </c>
      <c r="D9" s="1013" t="s">
        <v>13</v>
      </c>
      <c r="E9" s="1015" t="s">
        <v>16</v>
      </c>
      <c r="F9" s="1016" t="s">
        <v>17</v>
      </c>
      <c r="G9" s="1017" t="s">
        <v>4</v>
      </c>
      <c r="H9" s="1018" t="s">
        <v>15</v>
      </c>
    </row>
    <row r="10" spans="1:8" ht="25.5">
      <c r="A10" s="959" t="str">
        <f>'Etude-Prix'!$B$32</f>
        <v>04.00</v>
      </c>
      <c r="B10" s="980" t="str">
        <f>'Etude-Prix'!$B$33</f>
        <v>Terrassement mécanique ,sans BRH, fouille en rigole, terre enlevéé sans cout de décharge, avec régalage</v>
      </c>
      <c r="C10" s="981" t="s">
        <v>43</v>
      </c>
      <c r="D10" s="981">
        <f>'Etude-Prix'!$D$35</f>
        <v>0.08</v>
      </c>
      <c r="E10" s="960">
        <f>C.Horaire!$C$13</f>
        <v>21.021161699999997</v>
      </c>
      <c r="F10" s="967">
        <f>'Etude-Prix'!$F$35</f>
        <v>20</v>
      </c>
      <c r="G10" s="968">
        <f t="shared" ref="G10:G16" si="0">((E10*D10)+F10)*FDF+(E10*D10)+F10</f>
        <v>22.765777582799998</v>
      </c>
      <c r="H10" s="969">
        <f t="shared" ref="H10:H16" si="1">G10*BENEF+G10</f>
        <v>27.318933099359999</v>
      </c>
    </row>
    <row r="11" spans="1:8">
      <c r="A11" s="959" t="str">
        <f>'Etude-Prix'!$B$38</f>
        <v>05.10</v>
      </c>
      <c r="B11" s="1019" t="str">
        <f>'Etude-Prix'!$B$39</f>
        <v>Mise en œuvre d'un polyane sur l'emprise fondation, dallage /m²</v>
      </c>
      <c r="C11" s="981" t="s">
        <v>67</v>
      </c>
      <c r="D11" s="970">
        <f>'Etude-Prix'!$D$42</f>
        <v>0.08</v>
      </c>
      <c r="E11" s="960">
        <f>C.Horaire!$C$13</f>
        <v>21.021161699999997</v>
      </c>
      <c r="F11" s="967">
        <f>'Etude-Prix'!$F$41</f>
        <v>3.5350000000000001</v>
      </c>
      <c r="G11" s="968">
        <f t="shared" si="0"/>
        <v>5.4775275827999996</v>
      </c>
      <c r="H11" s="969">
        <f t="shared" si="1"/>
        <v>6.5730330993599999</v>
      </c>
    </row>
    <row r="12" spans="1:8" ht="25.5">
      <c r="A12" s="1020" t="str">
        <f>'Etude-Prix'!$B$45</f>
        <v>06.00</v>
      </c>
      <c r="B12" s="1021" t="str">
        <f>'Etude-Prix'!$B$46</f>
        <v>semmelle filante en béton armé dosé en C 25 coulée à la main dosé 350kg de 25 H X 45 L /M3</v>
      </c>
      <c r="C12" s="1022" t="s">
        <v>59</v>
      </c>
      <c r="D12" s="1023">
        <f>'Etude-Prix'!$D$51</f>
        <v>0.16</v>
      </c>
      <c r="E12" s="960">
        <f>C.Horaire!$C$13</f>
        <v>21.021161699999997</v>
      </c>
      <c r="F12" s="968">
        <f>SUM('Etude-Prix'!$F$48:$F$50)</f>
        <v>21.563741379310347</v>
      </c>
      <c r="G12" s="968">
        <f t="shared" si="0"/>
        <v>26.173483613875863</v>
      </c>
      <c r="H12" s="969">
        <f t="shared" si="1"/>
        <v>31.408180336651036</v>
      </c>
    </row>
    <row r="13" spans="1:8" s="975" customFormat="1" ht="25.5">
      <c r="A13" s="971" t="str">
        <f>'Etude-Prix'!$B$54</f>
        <v>05.00</v>
      </c>
      <c r="B13" s="1024" t="str">
        <f>'Etude-Prix'!$B$55</f>
        <v>Semmelle isolée en béton armé dosé en C 25 coulée à la main dosé 350kg  60/60</v>
      </c>
      <c r="C13" s="1025" t="s">
        <v>0</v>
      </c>
      <c r="D13" s="1026">
        <f>'Etude-Prix'!$D$62</f>
        <v>7.1999999999999995E-2</v>
      </c>
      <c r="E13" s="972">
        <f>C.Horaire!$C$13</f>
        <v>21.021161699999997</v>
      </c>
      <c r="F13" s="973">
        <f>SUM('Etude-Prix'!$F$57:$F$61)</f>
        <v>28.034436379310343</v>
      </c>
      <c r="G13" s="973">
        <f t="shared" si="0"/>
        <v>31.02535802279586</v>
      </c>
      <c r="H13" s="974">
        <f t="shared" si="1"/>
        <v>37.230429627355036</v>
      </c>
    </row>
    <row r="14" spans="1:8">
      <c r="A14" s="959" t="str">
        <f>'Etude-Prix'!$B$65</f>
        <v>06.01</v>
      </c>
      <c r="B14" s="1027" t="str">
        <f>'Etude-Prix'!$B$66</f>
        <v>Béton de propreté pour fondation dosé 250kg</v>
      </c>
      <c r="C14" s="1022" t="s">
        <v>67</v>
      </c>
      <c r="D14" s="1023">
        <f>'Etude-Prix'!$D$69</f>
        <v>0.15</v>
      </c>
      <c r="E14" s="960">
        <f>C.Horaire!$C$13</f>
        <v>21.021161699999997</v>
      </c>
      <c r="F14" s="968">
        <f>SUM('Etude-Prix'!$F$68)</f>
        <v>2.0120625000000003</v>
      </c>
      <c r="G14" s="968">
        <f t="shared" si="0"/>
        <v>5.4234985927499997</v>
      </c>
      <c r="H14" s="969">
        <f t="shared" si="1"/>
        <v>6.5081983112999993</v>
      </c>
    </row>
    <row r="15" spans="1:8">
      <c r="A15" s="1020" t="str">
        <f>'Etude-Prix'!$B$72</f>
        <v>08.30</v>
      </c>
      <c r="B15" s="1027" t="str">
        <f>'Etude-Prix'!$B$73</f>
        <v>Mur blocs usf de soubasment remplit de béton armé dosé à 300kg /M²</v>
      </c>
      <c r="C15" s="1022" t="s">
        <v>67</v>
      </c>
      <c r="D15" s="1023">
        <f>'Etude-Prix'!$D$80</f>
        <v>1.1499999999999999</v>
      </c>
      <c r="E15" s="960">
        <f>C.Horaire!$C$13</f>
        <v>21.021161699999997</v>
      </c>
      <c r="F15" s="968">
        <f>SUM('Etude-Prix'!$F$75:$F$79)</f>
        <v>49.141970227272722</v>
      </c>
      <c r="G15" s="968">
        <f t="shared" si="0"/>
        <v>76.982121491386351</v>
      </c>
      <c r="H15" s="969">
        <f t="shared" si="1"/>
        <v>92.378545789663619</v>
      </c>
    </row>
    <row r="16" spans="1:8" ht="25.5">
      <c r="A16" s="1028" t="str">
        <f>'Etude-Prix'!$B$83</f>
        <v>12.00</v>
      </c>
      <c r="B16" s="1029" t="str">
        <f>'Etude-Prix'!$B$84</f>
        <v>Etanchéité de soubassement enterré avec ragréage du soubassement puis passage d'un produit étanche /M²</v>
      </c>
      <c r="C16" s="1030" t="s">
        <v>67</v>
      </c>
      <c r="D16" s="1030">
        <f>'Etude-Prix'!$D$89</f>
        <v>0.5</v>
      </c>
      <c r="E16" s="964">
        <f>C.Horaire!$C$13</f>
        <v>21.021161699999997</v>
      </c>
      <c r="F16" s="976">
        <f>SUM('Etude-Prix'!$F$86:$F$88)</f>
        <v>6.2054999160000008</v>
      </c>
      <c r="G16" s="976">
        <f t="shared" si="0"/>
        <v>17.551884804299998</v>
      </c>
      <c r="H16" s="977">
        <f t="shared" si="1"/>
        <v>21.062261765159999</v>
      </c>
    </row>
    <row r="17" spans="1:8">
      <c r="A17" s="362"/>
      <c r="B17" s="994"/>
      <c r="C17" s="362"/>
      <c r="D17" s="362"/>
      <c r="E17" s="987"/>
      <c r="G17" s="995"/>
      <c r="H17" s="995"/>
    </row>
    <row r="18" spans="1:8">
      <c r="A18" s="362">
        <v>2</v>
      </c>
      <c r="B18" s="994" t="s">
        <v>1085</v>
      </c>
      <c r="C18" s="362"/>
      <c r="D18" s="362"/>
      <c r="E18" s="987"/>
      <c r="G18" s="995"/>
      <c r="H18" s="995"/>
    </row>
    <row r="19" spans="1:8">
      <c r="A19" s="362"/>
      <c r="B19" s="994"/>
      <c r="C19" s="362"/>
      <c r="D19" s="362"/>
      <c r="E19" s="987"/>
      <c r="G19" s="995"/>
      <c r="H19" s="995"/>
    </row>
    <row r="20" spans="1:8">
      <c r="A20" s="362"/>
      <c r="B20" s="994"/>
      <c r="C20" s="362"/>
      <c r="D20" s="362"/>
      <c r="E20" s="987"/>
      <c r="G20" s="995"/>
      <c r="H20" s="995"/>
    </row>
    <row r="21" spans="1:8">
      <c r="E21" s="1158" t="s">
        <v>14</v>
      </c>
      <c r="F21" s="1158"/>
    </row>
    <row r="22" spans="1:8">
      <c r="A22" s="1012" t="s">
        <v>11</v>
      </c>
      <c r="B22" s="1013" t="s">
        <v>12</v>
      </c>
      <c r="C22" s="1014" t="s">
        <v>0</v>
      </c>
      <c r="D22" s="1017" t="s">
        <v>13</v>
      </c>
      <c r="E22" s="1031" t="s">
        <v>16</v>
      </c>
      <c r="F22" s="1016" t="s">
        <v>17</v>
      </c>
      <c r="G22" s="1017" t="s">
        <v>4</v>
      </c>
      <c r="H22" s="1018" t="s">
        <v>15</v>
      </c>
    </row>
    <row r="23" spans="1:8" ht="25.5">
      <c r="A23" s="959" t="str">
        <f>'Etude-Prix'!$B$97</f>
        <v>14.00</v>
      </c>
      <c r="B23" s="980" t="str">
        <f>'Etude-Prix'!$B$98</f>
        <v xml:space="preserve"> Comblage hérissonnage sous dallage, damé avec matériel adéquat par couche de 0,20 /M²</v>
      </c>
      <c r="C23" s="981" t="s">
        <v>43</v>
      </c>
      <c r="D23" s="978">
        <f>'Etude-Prix'!$D$102</f>
        <v>0.75</v>
      </c>
      <c r="E23" s="967">
        <f>C.Horaire!$C$13</f>
        <v>21.021161699999997</v>
      </c>
      <c r="F23" s="967">
        <f>SUM('Etude-Prix'!$F$100:$F$101)</f>
        <v>32.549999999999997</v>
      </c>
      <c r="G23" s="968">
        <f>((E23*D23)+F23)*FDF+(E23*D23)+F23</f>
        <v>50.731664838749992</v>
      </c>
      <c r="H23" s="969">
        <f>G23*BENEF+G23</f>
        <v>60.877997806499991</v>
      </c>
    </row>
    <row r="24" spans="1:8" ht="25.5">
      <c r="A24" s="959" t="str">
        <f>'Etude-Prix'!$B$206</f>
        <v>30.10</v>
      </c>
      <c r="B24" s="980" t="str">
        <f>'Etude-Prix'!$B$207</f>
        <v xml:space="preserve"> Plancher poutrelle béton précontraint et hourdis entrevous béton ep 12+7 béton dosé C 25 /M²</v>
      </c>
      <c r="C24" s="981" t="s">
        <v>67</v>
      </c>
      <c r="D24" s="978">
        <f>SUM('Etude-Prix'!$D$213:$D$216)</f>
        <v>2.855</v>
      </c>
      <c r="E24" s="967">
        <f>C.Horaire!$C$13</f>
        <v>21.021161699999997</v>
      </c>
      <c r="F24" s="967">
        <f>SUM('Etude-Prix'!$F$209:$F$212)</f>
        <v>62.523399166666664</v>
      </c>
      <c r="G24" s="968">
        <f>((E24*D24)+F24)*FDF+(E24*D24)+F24</f>
        <v>128.66575661117497</v>
      </c>
      <c r="H24" s="969">
        <f>G24*BENEF+G24</f>
        <v>154.39890793340996</v>
      </c>
    </row>
    <row r="25" spans="1:8" ht="25.5">
      <c r="A25" s="959" t="str">
        <f>'Etude-Prix'!$B$105</f>
        <v>16.00</v>
      </c>
      <c r="B25" s="1019" t="str">
        <f>'Etude-Prix'!$B$106</f>
        <v>Dallage béton armé épaisseur 0,12 dosé en C 25 ou 350kg, armé d'un treillis soudé ST 25 C et d'un polyane</v>
      </c>
      <c r="C25" s="981" t="s">
        <v>67</v>
      </c>
      <c r="D25" s="978">
        <f>'Etude-Prix'!$D$112</f>
        <v>0.2</v>
      </c>
      <c r="E25" s="967">
        <f>C.Horaire!$C$13</f>
        <v>21.021161699999997</v>
      </c>
      <c r="F25" s="967">
        <f>SUM('Etude-Prix'!$F$108:$F$111)</f>
        <v>34.072249166666666</v>
      </c>
      <c r="G25" s="968">
        <f>((E25*D25)+F25)*FDF+(E25*D25)+F25</f>
        <v>40.190305582000001</v>
      </c>
      <c r="H25" s="969">
        <f>G25*BENEF+G25</f>
        <v>48.228366698400002</v>
      </c>
    </row>
    <row r="26" spans="1:8" ht="25.5">
      <c r="A26" s="1028" t="str">
        <f>'Etude-Prix'!$B$221</f>
        <v>30.2</v>
      </c>
      <c r="B26" s="1029" t="str">
        <f>'Etude-Prix'!$B$222</f>
        <v xml:space="preserve"> Plancher dalle pleines confectionnées a partir de prédalle préfabriquées béton en œuvre</v>
      </c>
      <c r="C26" s="984" t="s">
        <v>43</v>
      </c>
      <c r="D26" s="1032">
        <f>SUM('Etude-Prix'!$D$228:$D$229)</f>
        <v>6</v>
      </c>
      <c r="E26" s="979">
        <f>C.Horaire!$C$13</f>
        <v>21.021161699999997</v>
      </c>
      <c r="F26" s="976">
        <f>SUM('Etude-Prix'!$F$224:$F$227)</f>
        <v>136.13040000000001</v>
      </c>
      <c r="G26" s="976">
        <f>((E26*D26)+F26)*FDF+(E26*D26)+F26</f>
        <v>275.37023870999997</v>
      </c>
      <c r="H26" s="977">
        <f>G26*BENEF+G26</f>
        <v>330.44428645199997</v>
      </c>
    </row>
    <row r="27" spans="1:8">
      <c r="B27" s="994"/>
      <c r="D27" s="996"/>
      <c r="E27" s="997"/>
    </row>
    <row r="28" spans="1:8">
      <c r="A28" s="339">
        <v>4</v>
      </c>
      <c r="B28" s="994" t="s">
        <v>991</v>
      </c>
      <c r="D28" s="996"/>
      <c r="E28" s="997"/>
    </row>
    <row r="31" spans="1:8">
      <c r="E31" s="1158" t="s">
        <v>14</v>
      </c>
      <c r="F31" s="1158"/>
    </row>
    <row r="32" spans="1:8">
      <c r="A32" s="1003" t="s">
        <v>11</v>
      </c>
      <c r="B32" s="1004" t="s">
        <v>12</v>
      </c>
      <c r="C32" s="1003" t="s">
        <v>0</v>
      </c>
      <c r="D32" s="1004" t="s">
        <v>13</v>
      </c>
      <c r="E32" s="988" t="s">
        <v>16</v>
      </c>
      <c r="F32" s="989" t="s">
        <v>17</v>
      </c>
      <c r="G32" s="990" t="s">
        <v>4</v>
      </c>
      <c r="H32" s="990" t="s">
        <v>15</v>
      </c>
    </row>
    <row r="33" spans="1:8">
      <c r="A33" s="386" t="str">
        <f>'Etude-Prix'!$B$120</f>
        <v>17.00</v>
      </c>
      <c r="B33" s="1000" t="str">
        <f>'Etude-Prix'!$B$121</f>
        <v>Coupure capillaire 1er joint en mortier hydrofuge dosé à 450kg /ML</v>
      </c>
      <c r="C33" s="1001" t="s">
        <v>59</v>
      </c>
      <c r="D33" s="1001">
        <f>'Etude-Prix'!$D$124</f>
        <v>0.01</v>
      </c>
      <c r="E33" s="367">
        <f>C.Horaire!$C$13</f>
        <v>21.021161699999997</v>
      </c>
      <c r="F33" s="366">
        <f>'Etude-Prix'!$F$123</f>
        <v>9.7604325000000003</v>
      </c>
      <c r="G33" s="368">
        <f t="shared" ref="G33:G40" si="2">((E33*D33)+F33)*FDF+(E33*D33)+F33</f>
        <v>10.46917632285</v>
      </c>
      <c r="H33" s="368">
        <f t="shared" ref="H33:H40" si="3">G33*BENEF+G33</f>
        <v>12.56301158742</v>
      </c>
    </row>
    <row r="34" spans="1:8" ht="25.5">
      <c r="A34" s="386" t="str">
        <f>'Etude-Prix'!$B$127</f>
        <v>18.60</v>
      </c>
      <c r="B34" s="1002" t="str">
        <f>'Etude-Prix'!$B$128</f>
        <v>Mur élévation en blocs américain USF 20x20x40 posé à bain de mortier dosé à 400kg avec du sable 0/1 compris</v>
      </c>
      <c r="C34" s="1001" t="s">
        <v>67</v>
      </c>
      <c r="D34" s="991">
        <f>'Etude-Prix'!$D$135</f>
        <v>1.1499999999999999</v>
      </c>
      <c r="E34" s="367">
        <f>C.Horaire!$C$13</f>
        <v>21.021161699999997</v>
      </c>
      <c r="F34" s="366">
        <f>SUM('Etude-Prix'!$F$130:$F$134)</f>
        <v>40.762970227272724</v>
      </c>
      <c r="G34" s="368">
        <f t="shared" si="2"/>
        <v>68.184171491386351</v>
      </c>
      <c r="H34" s="368">
        <f t="shared" si="3"/>
        <v>81.821005789663616</v>
      </c>
    </row>
    <row r="35" spans="1:8">
      <c r="A35" s="362" t="str">
        <f>'Etude-Prix'!$B$190</f>
        <v xml:space="preserve">37.4 </v>
      </c>
      <c r="B35" s="994" t="str">
        <f>'Etude-Prix'!$B$191</f>
        <v>Mur cloison en BA13 double face sans isolation</v>
      </c>
      <c r="C35" s="1001" t="s">
        <v>67</v>
      </c>
      <c r="D35" s="993">
        <f>'Etude-Prix'!$D$198</f>
        <v>0.7</v>
      </c>
      <c r="E35" s="367">
        <f>C.Horaire!$C$13</f>
        <v>21.021161699999997</v>
      </c>
      <c r="F35" s="368">
        <f>SUM('Etude-Prix'!$F$193:$F$197)</f>
        <v>12.880457692307692</v>
      </c>
      <c r="G35" s="368">
        <f>((E35*D35)+F35)*FDF+(E35*D35)+F35</f>
        <v>28.975034426423072</v>
      </c>
      <c r="H35" s="368">
        <f>G35*BENEF+G35</f>
        <v>34.770041311707686</v>
      </c>
    </row>
    <row r="36" spans="1:8" ht="25.5">
      <c r="A36" s="362" t="str">
        <f>'Etude-Prix'!$B$138</f>
        <v>37.30</v>
      </c>
      <c r="B36" s="994" t="str">
        <f>'Etude-Prix'!$B$139</f>
        <v>Mur cloison en blocs américain USF 10x20x40 posé à bain de mortier dosé à 400kg avec du sable 0/1 compris</v>
      </c>
      <c r="C36" s="1001" t="s">
        <v>67</v>
      </c>
      <c r="D36" s="993">
        <f>'Etude-Prix'!$D$146</f>
        <v>1.1499999999999999</v>
      </c>
      <c r="E36" s="367">
        <f>C.Horaire!$C$13</f>
        <v>21.021161699999997</v>
      </c>
      <c r="F36" s="368">
        <f>SUM('Etude-Prix'!$F$141:$F$145)</f>
        <v>23.912763977272729</v>
      </c>
      <c r="G36" s="368">
        <f t="shared" si="2"/>
        <v>50.491454928886355</v>
      </c>
      <c r="H36" s="368">
        <f t="shared" si="3"/>
        <v>60.589745914663624</v>
      </c>
    </row>
    <row r="37" spans="1:8">
      <c r="A37" s="362" t="str">
        <f>'Etude-Prix'!$B$149</f>
        <v>05.01</v>
      </c>
      <c r="B37" s="994" t="str">
        <f>'Etude-Prix'!$B$150</f>
        <v xml:space="preserve">Poteau béton  coulée à la main dosé 350kg  </v>
      </c>
      <c r="C37" s="362" t="s">
        <v>43</v>
      </c>
      <c r="D37" s="993">
        <f>'Etude-Prix'!$D$157</f>
        <v>2</v>
      </c>
      <c r="E37" s="367">
        <f>C.Horaire!$C$13</f>
        <v>21.021161699999997</v>
      </c>
      <c r="F37" s="368">
        <f>SUM('Etude-Prix'!$F$152:$F$156)</f>
        <v>532.2930327272727</v>
      </c>
      <c r="G37" s="368">
        <f t="shared" si="2"/>
        <v>603.05212393363627</v>
      </c>
      <c r="H37" s="368">
        <f t="shared" si="3"/>
        <v>723.66254872036347</v>
      </c>
    </row>
    <row r="38" spans="1:8">
      <c r="A38" s="362" t="str">
        <f>'Etude-Prix'!$B$160</f>
        <v>05.02</v>
      </c>
      <c r="B38" s="994" t="str">
        <f>'Etude-Prix'!$B$161</f>
        <v xml:space="preserve">Poutre béton  coulée à la main dosé 400kg  </v>
      </c>
      <c r="C38" s="362" t="s">
        <v>43</v>
      </c>
      <c r="D38" s="993">
        <f>'Etude-Prix'!$D$168</f>
        <v>2</v>
      </c>
      <c r="E38" s="367">
        <f>C.Horaire!$C$13</f>
        <v>21.021161699999997</v>
      </c>
      <c r="F38" s="368">
        <f>SUM('Etude-Prix'!$F$163:$F$167)</f>
        <v>469.65137085450345</v>
      </c>
      <c r="G38" s="368">
        <f t="shared" si="2"/>
        <v>537.2783789672286</v>
      </c>
      <c r="H38" s="368">
        <f t="shared" si="3"/>
        <v>644.73405476067433</v>
      </c>
    </row>
    <row r="39" spans="1:8" ht="25.5">
      <c r="A39" s="362" t="str">
        <f>'Etude-Prix'!$B$171</f>
        <v>05.03</v>
      </c>
      <c r="B39" s="994" t="str">
        <f>'Etude-Prix'!$B$172</f>
        <v>Chainage béton  coulée à la main dosé 350kg périphérique courronnement sur mur rehausse coffrage bois 0,2X0,2 /ML chainage ranpant idem</v>
      </c>
      <c r="C39" s="362" t="s">
        <v>43</v>
      </c>
      <c r="D39" s="993">
        <f>'Etude-Prix'!$D$179</f>
        <v>2</v>
      </c>
      <c r="E39" s="367">
        <f>C.Horaire!$C$13</f>
        <v>21.021161699999997</v>
      </c>
      <c r="F39" s="368">
        <f>SUM('Etude-Prix'!$F$174:$F$178)</f>
        <v>473.54343272727272</v>
      </c>
      <c r="G39" s="368">
        <f t="shared" si="2"/>
        <v>541.36504393363634</v>
      </c>
      <c r="H39" s="368">
        <f t="shared" si="3"/>
        <v>649.63805272036359</v>
      </c>
    </row>
    <row r="40" spans="1:8">
      <c r="A40" s="362" t="str">
        <f>'Etude-Prix'!$B$182</f>
        <v>19.00</v>
      </c>
      <c r="B40" s="994" t="str">
        <f>'Etude-Prix'!$B$183</f>
        <v>Réservation des ventilations 10/10</v>
      </c>
      <c r="C40" s="362" t="s">
        <v>0</v>
      </c>
      <c r="D40" s="995">
        <f>'Etude-Prix'!$D$186</f>
        <v>0.5</v>
      </c>
      <c r="E40" s="367">
        <f>C.Horaire!$C$13</f>
        <v>21.021161699999997</v>
      </c>
      <c r="F40" s="368">
        <f>SUM('Etude-Prix'!$F$185)</f>
        <v>11.9874825</v>
      </c>
      <c r="G40" s="368">
        <f t="shared" si="2"/>
        <v>23.622966517499997</v>
      </c>
      <c r="H40" s="368">
        <f t="shared" si="3"/>
        <v>28.347559820999997</v>
      </c>
    </row>
    <row r="41" spans="1:8">
      <c r="A41" s="362"/>
      <c r="B41" s="994"/>
      <c r="C41" s="362"/>
      <c r="D41" s="362"/>
      <c r="E41" s="987"/>
      <c r="G41" s="995"/>
      <c r="H41" s="995"/>
    </row>
    <row r="42" spans="1:8">
      <c r="A42" s="362">
        <v>3</v>
      </c>
      <c r="B42" s="994" t="s">
        <v>152</v>
      </c>
      <c r="C42" s="362"/>
      <c r="D42" s="362"/>
      <c r="E42" s="987"/>
      <c r="G42" s="995"/>
      <c r="H42" s="995"/>
    </row>
    <row r="43" spans="1:8">
      <c r="A43" s="362">
        <v>5</v>
      </c>
      <c r="B43" s="994" t="s">
        <v>990</v>
      </c>
      <c r="C43" s="362"/>
      <c r="D43" s="362"/>
      <c r="E43" s="987"/>
      <c r="G43" s="995"/>
      <c r="H43" s="995"/>
    </row>
    <row r="44" spans="1:8">
      <c r="A44" s="362"/>
      <c r="B44" s="994"/>
      <c r="C44" s="362"/>
      <c r="D44" s="362"/>
      <c r="E44" s="987"/>
      <c r="G44" s="995"/>
      <c r="H44" s="995"/>
    </row>
    <row r="46" spans="1:8">
      <c r="E46" s="1158" t="s">
        <v>14</v>
      </c>
      <c r="F46" s="1158"/>
    </row>
    <row r="47" spans="1:8">
      <c r="A47" s="1003" t="s">
        <v>11</v>
      </c>
      <c r="B47" s="1004" t="s">
        <v>12</v>
      </c>
      <c r="C47" s="1003" t="s">
        <v>0</v>
      </c>
      <c r="D47" s="1004" t="s">
        <v>13</v>
      </c>
      <c r="E47" s="988" t="s">
        <v>16</v>
      </c>
      <c r="F47" s="989" t="s">
        <v>17</v>
      </c>
      <c r="G47" s="990" t="s">
        <v>4</v>
      </c>
      <c r="H47" s="990" t="s">
        <v>15</v>
      </c>
    </row>
    <row r="48" spans="1:8">
      <c r="A48" s="386" t="str">
        <f>'Etude-Prix'!$B$236</f>
        <v>9.1</v>
      </c>
      <c r="B48" s="1000" t="str">
        <f>'Etude-Prix'!$B$237</f>
        <v>Charpente ferme métal IPE  au ml</v>
      </c>
      <c r="C48" s="1001" t="s">
        <v>59</v>
      </c>
      <c r="D48" s="322">
        <f>'Etude-Prix'!$D$241</f>
        <v>0.45</v>
      </c>
      <c r="E48" s="367">
        <f>C.Horaire!$C$13</f>
        <v>21.021161699999997</v>
      </c>
      <c r="F48" s="366">
        <f>SUM('Etude-Prix'!$F$239:$F$240)</f>
        <v>10.145099999999999</v>
      </c>
      <c r="G48" s="368">
        <f t="shared" ref="G48:G58" si="4">((E48*D48)+F48)*FDF+(E48*D48)+F48</f>
        <v>20.58485390325</v>
      </c>
      <c r="H48" s="368">
        <f t="shared" ref="H48:H58" si="5">G48*BENEF+G48</f>
        <v>24.7018246839</v>
      </c>
    </row>
    <row r="49" spans="1:8">
      <c r="A49" s="386" t="str">
        <f>'Etude-Prix'!$B$245</f>
        <v>9.2</v>
      </c>
      <c r="B49" s="1005" t="str">
        <f>'Etude-Prix'!$B$246</f>
        <v>Charpente métal panne C 100   2,5 /ML</v>
      </c>
      <c r="C49" s="1001" t="s">
        <v>59</v>
      </c>
      <c r="D49" s="991">
        <f>'Etude-Prix'!$D$250</f>
        <v>0.45</v>
      </c>
      <c r="E49" s="367">
        <f>C.Horaire!$C$13</f>
        <v>21.021161699999997</v>
      </c>
      <c r="F49" s="366">
        <f>SUM('Etude-Prix'!$F$248:$F$249)</f>
        <v>6.5266599999999997</v>
      </c>
      <c r="G49" s="368">
        <f t="shared" si="4"/>
        <v>16.785491903249998</v>
      </c>
      <c r="H49" s="368">
        <f t="shared" si="5"/>
        <v>20.142590283899999</v>
      </c>
    </row>
    <row r="50" spans="1:8">
      <c r="A50" s="386" t="str">
        <f>'Etude-Prix'!$B$254</f>
        <v>9.3</v>
      </c>
      <c r="B50" s="998" t="str">
        <f>'Etude-Prix'!$B$255</f>
        <v>Couverture en tôle ondulé acier laquée 2 F 75 /100/M²</v>
      </c>
      <c r="C50" s="1001" t="s">
        <v>67</v>
      </c>
      <c r="D50" s="993">
        <f>'Etude-Prix'!$D$260</f>
        <v>0.45</v>
      </c>
      <c r="E50" s="367">
        <f>C.Horaire!$C$13</f>
        <v>21.021161699999997</v>
      </c>
      <c r="F50" s="368">
        <f>SUM('Etude-Prix'!$F$257:$F$259)</f>
        <v>23.954947368421053</v>
      </c>
      <c r="G50" s="368">
        <f t="shared" si="4"/>
        <v>35.085193640092101</v>
      </c>
      <c r="H50" s="368">
        <f t="shared" si="5"/>
        <v>42.102232368110521</v>
      </c>
    </row>
    <row r="51" spans="1:8">
      <c r="A51" s="386" t="str">
        <f>'Etude-Prix'!$B$264</f>
        <v xml:space="preserve">9.50 </v>
      </c>
      <c r="B51" s="998" t="str">
        <f>'Etude-Prix'!$B$265</f>
        <v>Caisson de rive pour tôle ondulée laquée 2 F 75 /100/ML</v>
      </c>
      <c r="C51" s="1001" t="s">
        <v>59</v>
      </c>
      <c r="D51" s="993">
        <f>'Etude-Prix'!$D$270</f>
        <v>0.45</v>
      </c>
      <c r="E51" s="367">
        <f>C.Horaire!$C$13</f>
        <v>21.021161699999997</v>
      </c>
      <c r="F51" s="368">
        <f>SUM('Etude-Prix'!$F$267:$F$269)</f>
        <v>33.201000000000001</v>
      </c>
      <c r="G51" s="368">
        <f t="shared" si="4"/>
        <v>44.793548903249999</v>
      </c>
      <c r="H51" s="368">
        <f t="shared" si="5"/>
        <v>53.752258683899996</v>
      </c>
    </row>
    <row r="52" spans="1:8">
      <c r="A52" s="386" t="str">
        <f>'Etude-Prix'!$B$274</f>
        <v>9.501</v>
      </c>
      <c r="B52" s="998" t="str">
        <f>'Etude-Prix'!$B$275</f>
        <v>caisson de rive/sous-rive pour tôle ondulée laquée 2 F 75/100/ml</v>
      </c>
      <c r="C52" s="1001" t="s">
        <v>59</v>
      </c>
      <c r="D52" s="993">
        <f>'Etude-Prix'!$D$280</f>
        <v>0.45</v>
      </c>
      <c r="E52" s="367">
        <f>C.Horaire!$C$13</f>
        <v>21.021161699999997</v>
      </c>
      <c r="F52" s="368">
        <f>SUM('Etude-Prix'!$F$277:$F$279)</f>
        <v>43.701000000000008</v>
      </c>
      <c r="G52" s="368">
        <f t="shared" si="4"/>
        <v>55.818548903250004</v>
      </c>
      <c r="H52" s="368">
        <f t="shared" si="5"/>
        <v>66.9822586839</v>
      </c>
    </row>
    <row r="53" spans="1:8">
      <c r="A53" s="386" t="str">
        <f>'Etude-Prix'!$B$284</f>
        <v>9.60</v>
      </c>
      <c r="B53" s="998" t="str">
        <f>'Etude-Prix'!$B$285</f>
        <v>Cheneaux en métal galvanisée avec étanchéité</v>
      </c>
      <c r="C53" s="1001" t="s">
        <v>59</v>
      </c>
      <c r="D53" s="993">
        <f>'Etude-Prix'!$D$291</f>
        <v>0.45</v>
      </c>
      <c r="E53" s="367">
        <f>C.Horaire!$C$13</f>
        <v>21.021161699999997</v>
      </c>
      <c r="F53" s="368">
        <f>SUM('Etude-Prix'!$F$287:$F$290)</f>
        <v>46.977000000000011</v>
      </c>
      <c r="G53" s="368">
        <f t="shared" si="4"/>
        <v>59.25834890325001</v>
      </c>
      <c r="H53" s="368">
        <f t="shared" si="5"/>
        <v>71.110018683900009</v>
      </c>
    </row>
    <row r="54" spans="1:8">
      <c r="A54" s="386" t="str">
        <f>'Etude-Prix'!$B$295</f>
        <v>9.61</v>
      </c>
      <c r="B54" s="998" t="str">
        <f>'Etude-Prix'!$B$296</f>
        <v>Cheneaux en tôle laquée 2F 75/100/ml avec étanchéité</v>
      </c>
      <c r="C54" s="1001" t="s">
        <v>59</v>
      </c>
      <c r="D54" s="995">
        <f>'Etude-Prix'!$D$302</f>
        <v>0.45</v>
      </c>
      <c r="E54" s="367">
        <f>C.Horaire!$C$13</f>
        <v>21.021161699999997</v>
      </c>
      <c r="F54" s="368">
        <f>SUM('Etude-Prix'!$F$298:$F$301)</f>
        <v>46.977000000000011</v>
      </c>
      <c r="G54" s="368">
        <f t="shared" si="4"/>
        <v>59.25834890325001</v>
      </c>
      <c r="H54" s="368">
        <f t="shared" si="5"/>
        <v>71.110018683900009</v>
      </c>
    </row>
    <row r="55" spans="1:8" ht="25.5">
      <c r="A55" s="386" t="str">
        <f>'Etude-Prix'!$B$306</f>
        <v>9.502</v>
      </c>
      <c r="B55" s="998" t="str">
        <f>'Etude-Prix'!$B$307</f>
        <v>Bande de solin et contre solin pour tôle ondulée laquée 2 F 75 /100/ML avec étanchéité</v>
      </c>
      <c r="C55" s="1001" t="s">
        <v>59</v>
      </c>
      <c r="D55" s="995">
        <f>'Etude-Prix'!$D$313</f>
        <v>0.45</v>
      </c>
      <c r="E55" s="367">
        <f>C.Horaire!$C$13</f>
        <v>21.021161699999997</v>
      </c>
      <c r="F55" s="368">
        <f>SUM('Etude-Prix'!$F$309:$F$312)</f>
        <v>28.077000000000002</v>
      </c>
      <c r="G55" s="368">
        <f t="shared" si="4"/>
        <v>39.413348903249997</v>
      </c>
      <c r="H55" s="368">
        <f t="shared" si="5"/>
        <v>47.296018683899995</v>
      </c>
    </row>
    <row r="56" spans="1:8">
      <c r="A56" s="386" t="str">
        <f>'Etude-Prix'!$B$317</f>
        <v>9.503</v>
      </c>
      <c r="B56" s="998" t="str">
        <f>'Etude-Prix'!$B$318</f>
        <v>Faitage pour tôle ondulée avec étanchéité</v>
      </c>
      <c r="C56" s="1001" t="s">
        <v>59</v>
      </c>
      <c r="D56" s="995">
        <f>'Etude-Prix'!$D$324</f>
        <v>0.45</v>
      </c>
      <c r="E56" s="367">
        <f>C.Horaire!$C$13</f>
        <v>21.021161699999997</v>
      </c>
      <c r="F56" s="368">
        <f>SUM('Etude-Prix'!$F$320:$F$323)</f>
        <v>28.077000000000002</v>
      </c>
      <c r="G56" s="368">
        <f t="shared" si="4"/>
        <v>39.413348903249997</v>
      </c>
      <c r="H56" s="368">
        <f t="shared" si="5"/>
        <v>47.296018683899995</v>
      </c>
    </row>
    <row r="57" spans="1:8">
      <c r="A57" s="386" t="str">
        <f>'Etude-Prix'!$B$328</f>
        <v>9.504</v>
      </c>
      <c r="B57" s="998" t="str">
        <f>'Etude-Prix'!$B$329</f>
        <v>Arrêtier pour tôle ondulée avec étanchéité</v>
      </c>
      <c r="C57" s="1001" t="s">
        <v>59</v>
      </c>
      <c r="D57" s="995">
        <f>'Etude-Prix'!$D$336</f>
        <v>0.45</v>
      </c>
      <c r="E57" s="367">
        <f>C.Horaire!$C$13</f>
        <v>21.021161699999997</v>
      </c>
      <c r="F57" s="368">
        <f>SUM('Etude-Prix'!$F$331:$F$335)</f>
        <v>66.402000000000015</v>
      </c>
      <c r="G57" s="368">
        <f t="shared" si="4"/>
        <v>79.654598903250019</v>
      </c>
      <c r="H57" s="368">
        <f t="shared" si="5"/>
        <v>95.58551868390002</v>
      </c>
    </row>
    <row r="58" spans="1:8">
      <c r="A58" s="386" t="str">
        <f>'Etude-Prix'!$B$340</f>
        <v>9.505</v>
      </c>
      <c r="B58" s="998" t="str">
        <f>'Etude-Prix'!$B$341</f>
        <v>Façon de noue avec étanchéité</v>
      </c>
      <c r="C58" s="1001" t="s">
        <v>59</v>
      </c>
      <c r="D58" s="995">
        <f>'Etude-Prix'!$D$347</f>
        <v>0.45</v>
      </c>
      <c r="E58" s="367">
        <f>C.Horaire!$C$13</f>
        <v>21.021161699999997</v>
      </c>
      <c r="F58" s="368">
        <f>SUM('Etude-Prix'!$F$343:$F$346)</f>
        <v>46.977000000000011</v>
      </c>
      <c r="G58" s="368">
        <f t="shared" si="4"/>
        <v>59.25834890325001</v>
      </c>
      <c r="H58" s="368">
        <f t="shared" si="5"/>
        <v>71.110018683900009</v>
      </c>
    </row>
    <row r="59" spans="1:8">
      <c r="A59" s="362"/>
      <c r="B59" s="998"/>
      <c r="C59" s="362"/>
      <c r="D59" s="362"/>
      <c r="E59" s="987"/>
      <c r="G59" s="995"/>
      <c r="H59" s="995"/>
    </row>
    <row r="60" spans="1:8">
      <c r="A60" s="362">
        <v>6</v>
      </c>
      <c r="B60" s="998" t="s">
        <v>992</v>
      </c>
      <c r="C60" s="362"/>
      <c r="D60" s="362"/>
      <c r="E60" s="987"/>
      <c r="G60" s="995"/>
      <c r="H60" s="995"/>
    </row>
    <row r="63" spans="1:8">
      <c r="E63" s="1158" t="s">
        <v>14</v>
      </c>
      <c r="F63" s="1158"/>
    </row>
    <row r="64" spans="1:8">
      <c r="A64" s="1003" t="s">
        <v>11</v>
      </c>
      <c r="B64" s="1004" t="s">
        <v>12</v>
      </c>
      <c r="C64" s="1003" t="s">
        <v>0</v>
      </c>
      <c r="D64" s="1004" t="s">
        <v>13</v>
      </c>
      <c r="E64" s="988" t="s">
        <v>16</v>
      </c>
      <c r="F64" s="989" t="s">
        <v>17</v>
      </c>
      <c r="G64" s="990" t="s">
        <v>4</v>
      </c>
      <c r="H64" s="990" t="s">
        <v>15</v>
      </c>
    </row>
    <row r="65" spans="1:8">
      <c r="A65" s="386" t="str">
        <f>'Etude-Prix'!$B$354</f>
        <v>7.1</v>
      </c>
      <c r="B65" s="1000" t="str">
        <f>'Etude-Prix'!$B$355</f>
        <v xml:space="preserve">Enduit tradi extérieur sur Façade </v>
      </c>
      <c r="C65" s="1001" t="s">
        <v>67</v>
      </c>
      <c r="D65" s="322">
        <f>'Etude-Prix'!$D$359</f>
        <v>0.9</v>
      </c>
      <c r="E65" s="367">
        <f>C.Horaire!$C$13</f>
        <v>21.021161699999997</v>
      </c>
      <c r="F65" s="366">
        <f>SUM('Etude-Prix'!$F$357:$F$358)</f>
        <v>9.0844485900000009</v>
      </c>
      <c r="G65" s="368">
        <f>((E65*D65)+F65)*FDF+(E65*D65)+F65</f>
        <v>29.403668826000001</v>
      </c>
      <c r="H65" s="368">
        <f>G65*BENEF+G65</f>
        <v>35.284402591199999</v>
      </c>
    </row>
    <row r="66" spans="1:8">
      <c r="A66" s="386" t="str">
        <f>'Etude-Prix'!$B$363</f>
        <v>7.2</v>
      </c>
      <c r="B66" s="1005" t="str">
        <f>'Etude-Prix'!$B$364</f>
        <v>Enduit intérieur sur murs et plafonds type plâtre ou tradi</v>
      </c>
      <c r="C66" s="1001" t="s">
        <v>67</v>
      </c>
      <c r="D66" s="991">
        <f>'Etude-Prix'!$D$367</f>
        <v>0.9</v>
      </c>
      <c r="E66" s="367">
        <f>C.Horaire!$C$13</f>
        <v>21.021161699999997</v>
      </c>
      <c r="F66" s="366">
        <f>SUM('Etude-Prix'!$F$366)</f>
        <v>3.2534775000000002</v>
      </c>
      <c r="G66" s="368">
        <f>((E66*D66)+F66)*FDF+(E66*D66)+F66</f>
        <v>23.281149181499998</v>
      </c>
      <c r="H66" s="368">
        <f>G66*BENEF+G66</f>
        <v>27.937379017799998</v>
      </c>
    </row>
    <row r="67" spans="1:8">
      <c r="A67" s="362"/>
      <c r="B67" s="998"/>
      <c r="C67" s="1001"/>
      <c r="D67" s="993"/>
      <c r="E67" s="366"/>
      <c r="F67" s="368"/>
      <c r="G67" s="368"/>
      <c r="H67" s="368"/>
    </row>
    <row r="68" spans="1:8">
      <c r="A68" s="362">
        <v>7</v>
      </c>
      <c r="B68" s="998" t="s">
        <v>993</v>
      </c>
      <c r="C68" s="1001"/>
      <c r="D68" s="993"/>
      <c r="E68" s="366"/>
      <c r="F68" s="368"/>
      <c r="G68" s="368"/>
      <c r="H68" s="368"/>
    </row>
    <row r="69" spans="1:8">
      <c r="A69" s="362"/>
      <c r="B69" s="998"/>
      <c r="C69" s="1001"/>
      <c r="D69" s="993"/>
      <c r="E69" s="366"/>
      <c r="F69" s="368"/>
      <c r="G69" s="368"/>
      <c r="H69" s="368"/>
    </row>
    <row r="71" spans="1:8">
      <c r="E71" s="1158" t="s">
        <v>14</v>
      </c>
      <c r="F71" s="1158"/>
    </row>
    <row r="72" spans="1:8">
      <c r="A72" s="1003" t="s">
        <v>11</v>
      </c>
      <c r="B72" s="1004" t="s">
        <v>12</v>
      </c>
      <c r="C72" s="1003" t="s">
        <v>0</v>
      </c>
      <c r="D72" s="1004" t="s">
        <v>13</v>
      </c>
      <c r="E72" s="988" t="s">
        <v>16</v>
      </c>
      <c r="F72" s="989" t="s">
        <v>17</v>
      </c>
      <c r="G72" s="990" t="s">
        <v>4</v>
      </c>
      <c r="H72" s="990" t="s">
        <v>15</v>
      </c>
    </row>
    <row r="73" spans="1:8">
      <c r="A73" s="386" t="str">
        <f>'Etude-Prix'!$B$374</f>
        <v>8.10</v>
      </c>
      <c r="B73" s="1000" t="str">
        <f>'Etude-Prix'!$B$375</f>
        <v>Appui de fenêtre béton préfa posé à bain de mortier  /ML</v>
      </c>
      <c r="C73" s="1001" t="s">
        <v>59</v>
      </c>
      <c r="D73" s="322">
        <f>'Etude-Prix'!$D$379</f>
        <v>1.4</v>
      </c>
      <c r="E73" s="367">
        <f>C.Horaire!$C$13</f>
        <v>21.021161699999997</v>
      </c>
      <c r="F73" s="366">
        <f>SUM('Etude-Prix'!$F$377:$F$378)</f>
        <v>92.503477500000002</v>
      </c>
      <c r="G73" s="368">
        <f>((E73*D73)+F73)*FDF+(E73*D73)+F73</f>
        <v>128.029759074</v>
      </c>
      <c r="H73" s="368">
        <f>G73*BENEF+G73</f>
        <v>153.63571088879999</v>
      </c>
    </row>
    <row r="74" spans="1:8">
      <c r="A74" s="386" t="str">
        <f>'Etude-Prix'!$B$383</f>
        <v>18.00</v>
      </c>
      <c r="B74" s="1005" t="str">
        <f>'Etude-Prix'!$B$384</f>
        <v xml:space="preserve">Escalier béton armé marche balancer </v>
      </c>
      <c r="C74" s="1001" t="s">
        <v>59</v>
      </c>
      <c r="D74" s="991">
        <f>'Etude-Prix'!$D$390</f>
        <v>1.25</v>
      </c>
      <c r="E74" s="367">
        <f>C.Horaire!$C$13</f>
        <v>21.021161699999997</v>
      </c>
      <c r="F74" s="366">
        <f>SUM('Etude-Prix'!$F$386:$F$389)</f>
        <v>1597.0690909090908</v>
      </c>
      <c r="G74" s="368">
        <f>((E74*D74)+F74)*FDF+(E74*D74)+F74</f>
        <v>1704.5128201857954</v>
      </c>
      <c r="H74" s="368">
        <f>G74*BENEF+G74</f>
        <v>2045.4153842229543</v>
      </c>
    </row>
    <row r="75" spans="1:8">
      <c r="A75" s="386"/>
      <c r="B75" s="1005" t="s">
        <v>1204</v>
      </c>
      <c r="C75" s="1001"/>
      <c r="D75" s="991"/>
      <c r="E75" s="366"/>
      <c r="F75" s="366"/>
      <c r="G75" s="368"/>
      <c r="H75" s="368"/>
    </row>
    <row r="76" spans="1:8">
      <c r="A76" s="386">
        <v>8</v>
      </c>
      <c r="B76" s="998" t="s">
        <v>164</v>
      </c>
      <c r="C76" s="1001"/>
      <c r="D76" s="993"/>
      <c r="E76" s="366"/>
      <c r="F76" s="368"/>
      <c r="G76" s="368"/>
      <c r="H76" s="368"/>
    </row>
    <row r="77" spans="1:8">
      <c r="A77" s="386"/>
      <c r="B77" s="998"/>
      <c r="C77" s="1001"/>
      <c r="D77" s="993"/>
      <c r="E77" s="366"/>
      <c r="F77" s="368"/>
      <c r="G77" s="368"/>
      <c r="H77" s="368"/>
    </row>
    <row r="78" spans="1:8">
      <c r="E78" s="1158" t="s">
        <v>14</v>
      </c>
      <c r="F78" s="1158"/>
    </row>
    <row r="79" spans="1:8">
      <c r="A79" s="1003" t="s">
        <v>11</v>
      </c>
      <c r="B79" s="1004" t="s">
        <v>12</v>
      </c>
      <c r="C79" s="1003" t="s">
        <v>0</v>
      </c>
      <c r="D79" s="1004" t="s">
        <v>13</v>
      </c>
      <c r="E79" s="988" t="s">
        <v>16</v>
      </c>
      <c r="F79" s="989" t="s">
        <v>17</v>
      </c>
      <c r="G79" s="990" t="s">
        <v>4</v>
      </c>
      <c r="H79" s="990" t="s">
        <v>15</v>
      </c>
    </row>
    <row r="80" spans="1:8">
      <c r="A80" s="386" t="str">
        <f>'Etude-Prix'!$B$397</f>
        <v>12.1</v>
      </c>
      <c r="B80" s="1000" t="str">
        <f>'Etude-Prix'!$B$398</f>
        <v xml:space="preserve">fourniture et pause Carrelage (17e) avec pleinte escalier y compris </v>
      </c>
      <c r="C80" s="1001" t="s">
        <v>67</v>
      </c>
      <c r="D80" s="322">
        <f>'Etude-Prix'!$D$404</f>
        <v>1.8</v>
      </c>
      <c r="E80" s="367">
        <f>C.Horaire!$C$13</f>
        <v>21.021161699999997</v>
      </c>
      <c r="F80" s="366">
        <f>SUM('Etude-Prix'!$F$400:$F$403)</f>
        <v>24.244500000000002</v>
      </c>
      <c r="G80" s="368">
        <f>((E80*D80)+F80)*FDF+(E80*D80)+F80</f>
        <v>65.186720613000006</v>
      </c>
      <c r="H80" s="368">
        <f>G80*BENEF+G80</f>
        <v>78.22406473560001</v>
      </c>
    </row>
    <row r="81" spans="1:8">
      <c r="A81" s="386" t="str">
        <f>'Etude-Prix'!$B$409</f>
        <v>12.2</v>
      </c>
      <c r="B81" s="1005" t="str">
        <f>'Etude-Prix'!$B$410</f>
        <v>fourniture et pause faillance (10e) sur mur avec ciment en cole</v>
      </c>
      <c r="C81" s="1001" t="s">
        <v>67</v>
      </c>
      <c r="D81" s="991">
        <f>'Etude-Prix'!$D$414</f>
        <v>1.8</v>
      </c>
      <c r="E81" s="367">
        <f>C.Horaire!$C$13</f>
        <v>21.021161699999997</v>
      </c>
      <c r="F81" s="366">
        <f>SUM('Etude-Prix'!$F$412:$F$413)</f>
        <v>29.404357348703172</v>
      </c>
      <c r="G81" s="368">
        <f>((E81*D81)+F81)*FDF+(E81*D81)+F81</f>
        <v>70.604570829138325</v>
      </c>
      <c r="H81" s="368">
        <f>G81*BENEF+G81</f>
        <v>84.725484994965996</v>
      </c>
    </row>
    <row r="82" spans="1:8">
      <c r="A82" s="386" t="str">
        <f>'Etude-Prix'!$B$405</f>
        <v>12.10</v>
      </c>
      <c r="B82" s="998" t="str">
        <f>'Etude-Prix'!$C$405</f>
        <v>Pose Carrelage avec pleinte escalier y compris sans fourniture carrelage</v>
      </c>
      <c r="C82" s="1001" t="s">
        <v>67</v>
      </c>
      <c r="D82" s="993">
        <v>0</v>
      </c>
      <c r="E82" s="367">
        <f>C.Horaire!$C$13</f>
        <v>21.021161699999997</v>
      </c>
      <c r="F82" s="368">
        <f>SUM('Etude-Prix'!$F$401:$F$403)</f>
        <v>3.0345</v>
      </c>
      <c r="G82" s="368">
        <f>((E82*D82)+F82)*FDF+(E82*D82)+F82</f>
        <v>3.1862249999999999</v>
      </c>
      <c r="H82" s="368">
        <f>G82*BENEF+G82</f>
        <v>3.8234699999999999</v>
      </c>
    </row>
    <row r="83" spans="1:8">
      <c r="A83" s="386" t="str">
        <f>'Etude-Prix'!$B$415</f>
        <v>12.20</v>
      </c>
      <c r="B83" s="998" t="str">
        <f>'Etude-Prix'!$C$415</f>
        <v>pose faillance sur mur avec ciment en cole sans fourniture faillance</v>
      </c>
      <c r="C83" s="1001" t="s">
        <v>67</v>
      </c>
      <c r="D83" s="993">
        <v>0</v>
      </c>
      <c r="E83" s="367">
        <f>C.Horaire!$C$13</f>
        <v>21.021161699999997</v>
      </c>
      <c r="F83" s="368">
        <f>SUM('Etude-Prix'!$F$413)</f>
        <v>8.1943573487031713</v>
      </c>
      <c r="G83" s="368">
        <f>((E83*D83)+F83)*FDF+(E83*D83)+F83</f>
        <v>8.6040752161383303</v>
      </c>
      <c r="H83" s="368">
        <f>G83*BENEF+G83</f>
        <v>10.324890259365997</v>
      </c>
    </row>
    <row r="84" spans="1:8">
      <c r="A84" s="386"/>
      <c r="B84" s="998"/>
      <c r="C84" s="1001"/>
      <c r="D84" s="993"/>
      <c r="E84" s="366"/>
      <c r="F84" s="368"/>
      <c r="G84" s="368"/>
      <c r="H84" s="368"/>
    </row>
    <row r="85" spans="1:8">
      <c r="A85" s="386">
        <v>9</v>
      </c>
      <c r="B85" s="998" t="s">
        <v>994</v>
      </c>
      <c r="C85" s="1001"/>
      <c r="D85" s="993"/>
      <c r="E85" s="366"/>
      <c r="F85" s="368"/>
      <c r="G85" s="368"/>
      <c r="H85" s="368"/>
    </row>
    <row r="86" spans="1:8">
      <c r="A86" s="386"/>
      <c r="B86" s="998"/>
      <c r="C86" s="1001"/>
      <c r="D86" s="995"/>
      <c r="E86" s="366"/>
      <c r="F86" s="368"/>
      <c r="G86" s="368"/>
      <c r="H86" s="368"/>
    </row>
    <row r="88" spans="1:8">
      <c r="E88" s="1158" t="s">
        <v>14</v>
      </c>
      <c r="F88" s="1158"/>
    </row>
    <row r="89" spans="1:8">
      <c r="A89" s="1003" t="s">
        <v>11</v>
      </c>
      <c r="B89" s="1004" t="s">
        <v>12</v>
      </c>
      <c r="C89" s="1003" t="s">
        <v>0</v>
      </c>
      <c r="D89" s="1004" t="s">
        <v>13</v>
      </c>
      <c r="E89" s="988" t="s">
        <v>16</v>
      </c>
      <c r="F89" s="989" t="s">
        <v>17</v>
      </c>
      <c r="G89" s="990" t="s">
        <v>4</v>
      </c>
      <c r="H89" s="990" t="s">
        <v>15</v>
      </c>
    </row>
    <row r="90" spans="1:8">
      <c r="A90" s="386" t="str">
        <f>'Etude-Prix'!$B$422</f>
        <v>15.1</v>
      </c>
      <c r="B90" s="1000" t="str">
        <f>'Etude-Prix'!$B$423</f>
        <v>peinture mur exterieur plastifier</v>
      </c>
      <c r="C90" s="1001" t="s">
        <v>67</v>
      </c>
      <c r="D90" s="322">
        <f>'Etude-Prix'!$D$428</f>
        <v>0.25</v>
      </c>
      <c r="E90" s="367">
        <f>C.Horaire!$C$13</f>
        <v>21.021161699999997</v>
      </c>
      <c r="F90" s="366">
        <f>SUM('Etude-Prix'!$F$425:$F$427)</f>
        <v>10.5</v>
      </c>
      <c r="G90" s="368">
        <f>((E90*D90)+F90)*FDF+(E90*D90)+F90</f>
        <v>16.543054946249999</v>
      </c>
      <c r="H90" s="368">
        <f>G90*BENEF+G90</f>
        <v>19.851665935499998</v>
      </c>
    </row>
    <row r="91" spans="1:8">
      <c r="A91" s="386" t="str">
        <f>'Etude-Prix'!$B$432</f>
        <v>15.2</v>
      </c>
      <c r="B91" s="1005" t="str">
        <f>'Etude-Prix'!$B$433</f>
        <v>peinture interieur</v>
      </c>
      <c r="C91" s="1001" t="s">
        <v>67</v>
      </c>
      <c r="D91" s="991">
        <f>'Etude-Prix'!$D$438</f>
        <v>0.25</v>
      </c>
      <c r="E91" s="367">
        <f>C.Horaire!$C$13</f>
        <v>21.021161699999997</v>
      </c>
      <c r="F91" s="366">
        <f>SUM('Etude-Prix'!$F$435:$F$437)</f>
        <v>5.4053461538461542</v>
      </c>
      <c r="G91" s="368">
        <f>((E91*D91)+F91)*FDF+(E91*D91)+F91</f>
        <v>11.193668407788461</v>
      </c>
      <c r="H91" s="368">
        <f>G91*BENEF+G91</f>
        <v>13.432402089346153</v>
      </c>
    </row>
    <row r="92" spans="1:8">
      <c r="A92" s="386" t="str">
        <f>'Etude-Prix'!$B$442</f>
        <v>15.3</v>
      </c>
      <c r="B92" s="998" t="str">
        <f>'Etude-Prix'!$B$443</f>
        <v xml:space="preserve">peinture plafond </v>
      </c>
      <c r="C92" s="1001" t="s">
        <v>67</v>
      </c>
      <c r="D92" s="993">
        <f>'Etude-Prix'!$D$448</f>
        <v>0.3</v>
      </c>
      <c r="E92" s="367">
        <f>C.Horaire!$C$13</f>
        <v>21.021161699999997</v>
      </c>
      <c r="F92" s="368">
        <f>SUM('Etude-Prix'!$F$445:$F$447)</f>
        <v>5.4053461538461542</v>
      </c>
      <c r="G92" s="368">
        <f>((E92*D92)+F92)*FDF+(E92*D92)+F92</f>
        <v>12.29727939703846</v>
      </c>
      <c r="H92" s="368">
        <f>G92*BENEF+G92</f>
        <v>14.756735276446152</v>
      </c>
    </row>
    <row r="93" spans="1:8">
      <c r="A93" s="386" t="str">
        <f>'Etude-Prix'!$B$452</f>
        <v>15.4</v>
      </c>
      <c r="B93" s="998" t="str">
        <f>'Etude-Prix'!$B$453</f>
        <v>peinture porte et huisserie</v>
      </c>
      <c r="C93" s="1001" t="s">
        <v>67</v>
      </c>
      <c r="D93" s="993">
        <f>'Etude-Prix'!$D$458</f>
        <v>0.25</v>
      </c>
      <c r="E93" s="367">
        <f>C.Horaire!$C$13</f>
        <v>21.021161699999997</v>
      </c>
      <c r="F93" s="368">
        <f>SUM('Etude-Prix'!$F$455:$F$457)</f>
        <v>5.8800000000000008</v>
      </c>
      <c r="G93" s="368">
        <f>((E93*D93)+F93)*FDF+(E93*D93)+F93</f>
        <v>11.69205494625</v>
      </c>
      <c r="H93" s="368">
        <f>G93*BENEF+G93</f>
        <v>14.030465935500001</v>
      </c>
    </row>
    <row r="94" spans="1:8">
      <c r="A94" s="386" t="str">
        <f>'Etude-Prix'!$B$462</f>
        <v>14.1</v>
      </c>
      <c r="B94" s="998" t="str">
        <f>'Etude-Prix'!$B$463</f>
        <v>Etanchéïté dalle et salle de bains</v>
      </c>
      <c r="C94" s="1001" t="s">
        <v>67</v>
      </c>
      <c r="D94" s="993">
        <f>'Etude-Prix'!$D$468</f>
        <v>0.5</v>
      </c>
      <c r="E94" s="367">
        <f>C.Horaire!$C$13</f>
        <v>21.021161699999997</v>
      </c>
      <c r="F94" s="368">
        <f>SUM('Etude-Prix'!$F$465:$F$467)</f>
        <v>15.25490909090909</v>
      </c>
      <c r="G94" s="368">
        <f>((E94*D94)+F94)*FDF+(E94*D94)+F94</f>
        <v>27.053764437954541</v>
      </c>
      <c r="H94" s="368">
        <f>G94*BENEF+G94</f>
        <v>32.464517325545451</v>
      </c>
    </row>
    <row r="95" spans="1:8">
      <c r="A95" s="362">
        <v>10</v>
      </c>
      <c r="B95" s="998" t="s">
        <v>167</v>
      </c>
      <c r="C95" s="362"/>
      <c r="D95" s="362"/>
      <c r="E95" s="987"/>
      <c r="G95" s="995"/>
      <c r="H95" s="995"/>
    </row>
    <row r="97" spans="1:8">
      <c r="E97" s="1158" t="s">
        <v>14</v>
      </c>
      <c r="F97" s="1158"/>
    </row>
    <row r="98" spans="1:8">
      <c r="A98" s="1003" t="s">
        <v>11</v>
      </c>
      <c r="B98" s="1004" t="s">
        <v>12</v>
      </c>
      <c r="C98" s="1003" t="s">
        <v>0</v>
      </c>
      <c r="D98" s="1004" t="s">
        <v>13</v>
      </c>
      <c r="E98" s="988" t="s">
        <v>16</v>
      </c>
      <c r="F98" s="989" t="s">
        <v>17</v>
      </c>
      <c r="G98" s="990" t="s">
        <v>4</v>
      </c>
      <c r="H98" s="990" t="s">
        <v>15</v>
      </c>
    </row>
    <row r="99" spans="1:8" ht="25.5">
      <c r="A99" s="386" t="str">
        <f>'Etude-Prix'!$B$422</f>
        <v>15.1</v>
      </c>
      <c r="B99" s="1000" t="str">
        <f>'Etude-Prix'!$B$476</f>
        <v>faux plafond interieur en plaque de platre ba13 hydro avec bande de joint 2 couches /M²</v>
      </c>
      <c r="C99" s="1001" t="s">
        <v>67</v>
      </c>
      <c r="D99" s="322">
        <f>'Etude-Prix'!$D$484</f>
        <v>0.8</v>
      </c>
      <c r="E99" s="367">
        <f>C.Horaire!$C$13</f>
        <v>21.021161699999997</v>
      </c>
      <c r="F99" s="366">
        <f>SUM('Etude-Prix'!$F$478:$F$483)</f>
        <v>13.447457692307692</v>
      </c>
      <c r="G99" s="368">
        <f>((E99*D99)+F99)*FDF+(E99*D99)+F99</f>
        <v>31.777606404923077</v>
      </c>
      <c r="H99" s="368">
        <f>G99*BENEF+G99</f>
        <v>38.133127685907695</v>
      </c>
    </row>
    <row r="100" spans="1:8">
      <c r="A100" s="362"/>
      <c r="B100" s="998"/>
      <c r="C100" s="362"/>
      <c r="D100" s="362"/>
      <c r="E100" s="987"/>
      <c r="G100" s="995"/>
      <c r="H100" s="995"/>
    </row>
    <row r="101" spans="1:8">
      <c r="A101" s="362">
        <v>11</v>
      </c>
      <c r="B101" s="998" t="s">
        <v>1032</v>
      </c>
      <c r="C101" s="362"/>
      <c r="D101" s="362"/>
      <c r="E101" s="987"/>
      <c r="G101" s="995"/>
      <c r="H101" s="995"/>
    </row>
    <row r="104" spans="1:8">
      <c r="E104" s="1158" t="s">
        <v>14</v>
      </c>
      <c r="F104" s="1158"/>
    </row>
    <row r="105" spans="1:8">
      <c r="A105" s="1003" t="s">
        <v>11</v>
      </c>
      <c r="B105" s="1004" t="s">
        <v>12</v>
      </c>
      <c r="C105" s="1003" t="s">
        <v>0</v>
      </c>
      <c r="D105" s="1004" t="s">
        <v>13</v>
      </c>
      <c r="E105" s="988" t="s">
        <v>16</v>
      </c>
      <c r="F105" s="989" t="s">
        <v>17</v>
      </c>
      <c r="G105" s="990" t="s">
        <v>4</v>
      </c>
      <c r="H105" s="990" t="s">
        <v>15</v>
      </c>
    </row>
    <row r="106" spans="1:8">
      <c r="A106" s="386"/>
      <c r="B106" s="1000" t="str">
        <f>'Etude-Prix'!$B$524</f>
        <v xml:space="preserve">Pose et fourniture WC </v>
      </c>
      <c r="C106" s="1001" t="s">
        <v>0</v>
      </c>
      <c r="D106" s="322">
        <f>'Etude-Prix'!$D$531</f>
        <v>4.5</v>
      </c>
      <c r="E106" s="367">
        <f>C.Horaire!$C$13</f>
        <v>21.021161699999997</v>
      </c>
      <c r="F106" s="366">
        <f>SUM('Etude-Prix'!$F$526:$F$530)</f>
        <v>198.66000000000003</v>
      </c>
      <c r="G106" s="368">
        <f>((E106*D106)+F106)*FDF+(E106*D106)+F106</f>
        <v>307.91798903250003</v>
      </c>
      <c r="H106" s="368">
        <f t="shared" ref="H106:H118" si="6">G106*BENEF+G106</f>
        <v>369.50158683900003</v>
      </c>
    </row>
    <row r="107" spans="1:8">
      <c r="A107" s="386"/>
      <c r="B107" s="1000" t="str">
        <f>'Etude-Prix'!$B$536</f>
        <v>Pose et fourniture baignoire</v>
      </c>
      <c r="C107" s="1001" t="s">
        <v>0</v>
      </c>
      <c r="D107" s="322">
        <f>'Etude-Prix'!$D$543</f>
        <v>4.5</v>
      </c>
      <c r="E107" s="367">
        <f>C.Horaire!$C$13</f>
        <v>21.021161699999997</v>
      </c>
      <c r="F107" s="366">
        <f>SUM('Etude-Prix'!$F$538:$F$542)</f>
        <v>211.05</v>
      </c>
      <c r="G107" s="368">
        <f t="shared" ref="G107:G118" si="7">((E107*D107)+F107)*FDF+(E107*D107)+F107</f>
        <v>320.92748903249998</v>
      </c>
      <c r="H107" s="368">
        <f t="shared" si="6"/>
        <v>385.11298683899997</v>
      </c>
    </row>
    <row r="108" spans="1:8">
      <c r="A108" s="386"/>
      <c r="B108" s="1000" t="str">
        <f>'Etude-Prix'!$B$548</f>
        <v>Pose et fourniture receveur de douche</v>
      </c>
      <c r="C108" s="1001" t="s">
        <v>0</v>
      </c>
      <c r="D108" s="322">
        <f>'Etude-Prix'!$D$555</f>
        <v>3</v>
      </c>
      <c r="E108" s="367">
        <f>C.Horaire!$C$13</f>
        <v>21.021161699999997</v>
      </c>
      <c r="F108" s="366">
        <f>SUM('Etude-Prix'!$F$550:$F$554)</f>
        <v>158.54999999999998</v>
      </c>
      <c r="G108" s="368">
        <f t="shared" si="7"/>
        <v>232.69415935499998</v>
      </c>
      <c r="H108" s="368">
        <f t="shared" si="6"/>
        <v>279.23299122599997</v>
      </c>
    </row>
    <row r="109" spans="1:8">
      <c r="A109" s="386"/>
      <c r="B109" s="1000" t="str">
        <f>'Etude-Prix'!$B$560</f>
        <v>Pose et fourniture vasque /lavabo</v>
      </c>
      <c r="C109" s="1001" t="s">
        <v>0</v>
      </c>
      <c r="D109" s="322">
        <f>'Etude-Prix'!$D$567</f>
        <v>4.5</v>
      </c>
      <c r="E109" s="367">
        <f>C.Horaire!$C$13</f>
        <v>21.021161699999997</v>
      </c>
      <c r="F109" s="366">
        <f>SUM('Etude-Prix'!$F$562:$F$566)</f>
        <v>263.55</v>
      </c>
      <c r="G109" s="368">
        <f t="shared" si="7"/>
        <v>376.05248903249998</v>
      </c>
      <c r="H109" s="368">
        <f t="shared" si="6"/>
        <v>451.26298683899995</v>
      </c>
    </row>
    <row r="110" spans="1:8">
      <c r="A110" s="386"/>
      <c r="B110" s="1000" t="str">
        <f>'Etude-Prix'!$B$572</f>
        <v>Pose et fourniture lave mains</v>
      </c>
      <c r="C110" s="1001" t="s">
        <v>0</v>
      </c>
      <c r="D110" s="322">
        <f>'Etude-Prix'!$D$579</f>
        <v>3</v>
      </c>
      <c r="E110" s="367">
        <f>C.Horaire!$C$13</f>
        <v>21.021161699999997</v>
      </c>
      <c r="F110" s="366">
        <f>SUM('Etude-Prix'!$F$574:$F$578)</f>
        <v>202.65</v>
      </c>
      <c r="G110" s="368">
        <f t="shared" si="7"/>
        <v>278.99915935500002</v>
      </c>
      <c r="H110" s="368">
        <f t="shared" si="6"/>
        <v>334.798991226</v>
      </c>
    </row>
    <row r="111" spans="1:8">
      <c r="A111" s="386"/>
      <c r="B111" s="1000" t="str">
        <f>'Etude-Prix'!$B$584</f>
        <v>Pose et fourniture évier</v>
      </c>
      <c r="C111" s="1001" t="s">
        <v>0</v>
      </c>
      <c r="D111" s="322">
        <f>'Etude-Prix'!$D$591</f>
        <v>3</v>
      </c>
      <c r="E111" s="367">
        <f>C.Horaire!$C$13</f>
        <v>21.021161699999997</v>
      </c>
      <c r="F111" s="366">
        <f>SUM('Etude-Prix'!$F$586:$F$590)</f>
        <v>158.54999999999998</v>
      </c>
      <c r="G111" s="368">
        <f t="shared" si="7"/>
        <v>232.69415935499998</v>
      </c>
      <c r="H111" s="368">
        <f t="shared" si="6"/>
        <v>279.23299122599997</v>
      </c>
    </row>
    <row r="112" spans="1:8">
      <c r="A112" s="386"/>
      <c r="B112" s="1000" t="str">
        <f>'Etude-Prix'!$B$596</f>
        <v>Douche a l'Italienne</v>
      </c>
      <c r="C112" s="1001" t="s">
        <v>0</v>
      </c>
      <c r="D112" s="322">
        <f>'Etude-Prix'!$D$603</f>
        <v>4.5</v>
      </c>
      <c r="E112" s="367">
        <f>C.Horaire!$C$13</f>
        <v>21.021161699999997</v>
      </c>
      <c r="F112" s="366">
        <f>SUM('Etude-Prix'!$F$598:$F$602)</f>
        <v>70.031818181818181</v>
      </c>
      <c r="G112" s="368">
        <f t="shared" si="7"/>
        <v>172.85839812340907</v>
      </c>
      <c r="H112" s="368">
        <f t="shared" si="6"/>
        <v>207.43007774809089</v>
      </c>
    </row>
    <row r="113" spans="1:8">
      <c r="A113" s="386"/>
      <c r="B113" s="1000" t="str">
        <f>'Etude-Prix'!$B$608</f>
        <v xml:space="preserve">vannes d'arrêt </v>
      </c>
      <c r="C113" s="1001" t="s">
        <v>0</v>
      </c>
      <c r="D113" s="322">
        <f>'Etude-Prix'!$D$613</f>
        <v>1.5</v>
      </c>
      <c r="E113" s="367">
        <f>C.Horaire!$C$13</f>
        <v>21.021161699999997</v>
      </c>
      <c r="F113" s="366">
        <f>SUM('Etude-Prix'!$F$610:$F$612)</f>
        <v>29.4</v>
      </c>
      <c r="G113" s="368">
        <f t="shared" si="7"/>
        <v>63.978329677499993</v>
      </c>
      <c r="H113" s="368">
        <f t="shared" si="6"/>
        <v>76.773995612999997</v>
      </c>
    </row>
    <row r="114" spans="1:8">
      <c r="A114" s="386"/>
      <c r="B114" s="1000" t="str">
        <f>'Etude-Prix'!$B$618</f>
        <v>Robinet d'arriver EF</v>
      </c>
      <c r="C114" s="1001" t="s">
        <v>0</v>
      </c>
      <c r="D114" s="322">
        <f>'Etude-Prix'!$D$623</f>
        <v>1.5</v>
      </c>
      <c r="E114" s="367">
        <f>C.Horaire!$C$13</f>
        <v>21.021161699999997</v>
      </c>
      <c r="F114" s="366">
        <f>SUM('Etude-Prix'!$F$620:$F$622)</f>
        <v>31.499999999999996</v>
      </c>
      <c r="G114" s="368">
        <f t="shared" si="7"/>
        <v>66.183329677499998</v>
      </c>
      <c r="H114" s="368">
        <f t="shared" si="6"/>
        <v>79.419995612999998</v>
      </c>
    </row>
    <row r="115" spans="1:8">
      <c r="A115" s="386"/>
      <c r="B115" s="1000" t="str">
        <f>'Etude-Prix'!$B$628</f>
        <v>regard EU</v>
      </c>
      <c r="C115" s="1001" t="s">
        <v>0</v>
      </c>
      <c r="D115" s="322">
        <f>'Etude-Prix'!$D$634</f>
        <v>4.5</v>
      </c>
      <c r="E115" s="367">
        <f>C.Horaire!$C$13</f>
        <v>21.021161699999997</v>
      </c>
      <c r="F115" s="366">
        <f>SUM('Etude-Prix'!$F$630:$F$633)</f>
        <v>181.86</v>
      </c>
      <c r="G115" s="368">
        <f t="shared" si="7"/>
        <v>290.27798903249999</v>
      </c>
      <c r="H115" s="368">
        <f t="shared" si="6"/>
        <v>348.33358683899996</v>
      </c>
    </row>
    <row r="116" spans="1:8">
      <c r="A116" s="386"/>
      <c r="B116" s="1000" t="str">
        <f>'Etude-Prix'!$B$639</f>
        <v>nourrice</v>
      </c>
      <c r="C116" s="1001" t="s">
        <v>0</v>
      </c>
      <c r="D116" s="322">
        <f>'Etude-Prix'!$D$645</f>
        <v>1.5</v>
      </c>
      <c r="E116" s="367">
        <f>C.Horaire!$C$13</f>
        <v>21.021161699999997</v>
      </c>
      <c r="F116" s="366">
        <f>SUM('Etude-Prix'!$F$641:$F$644)</f>
        <v>39.374999999999993</v>
      </c>
      <c r="G116" s="368">
        <f t="shared" si="7"/>
        <v>74.452079677499995</v>
      </c>
      <c r="H116" s="368">
        <f t="shared" si="6"/>
        <v>89.342495612999997</v>
      </c>
    </row>
    <row r="117" spans="1:8">
      <c r="A117" s="386"/>
      <c r="B117" s="1000" t="str">
        <f>'Etude-Prix'!$B$650</f>
        <v>Raccordement EU</v>
      </c>
      <c r="C117" s="1001" t="s">
        <v>59</v>
      </c>
      <c r="D117" s="322">
        <f>'Etude-Prix'!$D$664</f>
        <v>0.01</v>
      </c>
      <c r="E117" s="367">
        <f>C.Horaire!$C$13</f>
        <v>21.021161699999997</v>
      </c>
      <c r="F117" s="366">
        <f>SUM('Etude-Prix'!$F$662:$F$663)</f>
        <v>6.72</v>
      </c>
      <c r="G117" s="368">
        <f t="shared" si="7"/>
        <v>7.2767221978499999</v>
      </c>
      <c r="H117" s="368">
        <f t="shared" si="6"/>
        <v>8.7320666374200009</v>
      </c>
    </row>
    <row r="118" spans="1:8">
      <c r="A118" s="386"/>
      <c r="B118" s="1000" t="str">
        <f>'Etude-Prix'!$B$660</f>
        <v>Canalisation PVC</v>
      </c>
      <c r="C118" s="1001" t="s">
        <v>59</v>
      </c>
      <c r="D118" s="322">
        <f>'Etude-Prix'!$D$664</f>
        <v>0.01</v>
      </c>
      <c r="E118" s="367">
        <f>C.Horaire!$C$13</f>
        <v>21.021161699999997</v>
      </c>
      <c r="F118" s="366">
        <f>SUM('Etude-Prix'!$F$662:$F$663)</f>
        <v>6.72</v>
      </c>
      <c r="G118" s="368">
        <f t="shared" si="7"/>
        <v>7.2767221978499999</v>
      </c>
      <c r="H118" s="368">
        <f t="shared" si="6"/>
        <v>8.7320666374200009</v>
      </c>
    </row>
    <row r="119" spans="1:8">
      <c r="A119" s="386"/>
      <c r="B119" s="1000" t="str">
        <f>'Etude-Prix'!$B$668</f>
        <v xml:space="preserve"> Tuyau PER</v>
      </c>
      <c r="C119" s="1001" t="s">
        <v>59</v>
      </c>
      <c r="D119" s="322">
        <f>'Etude-Prix'!$D$672</f>
        <v>0.01</v>
      </c>
      <c r="E119" s="367">
        <f>C.Horaire!$C$13</f>
        <v>21.021161699999997</v>
      </c>
      <c r="F119" s="366">
        <f>SUM('Etude-Prix'!$F$670:$F$671)</f>
        <v>5.7750000000000004</v>
      </c>
      <c r="G119" s="368">
        <f>((E119*D119)+F119)*FDF+(E119*D119)+F119</f>
        <v>6.2844721978500004</v>
      </c>
      <c r="H119" s="368">
        <f>G119*BENEF+G119</f>
        <v>7.5413666374200004</v>
      </c>
    </row>
    <row r="120" spans="1:8">
      <c r="A120" s="386"/>
      <c r="B120" s="999" t="s">
        <v>1092</v>
      </c>
      <c r="C120" s="1001" t="s">
        <v>0</v>
      </c>
      <c r="D120" s="322">
        <v>24</v>
      </c>
      <c r="E120" s="367">
        <f>C.Horaire!$C$13</f>
        <v>21.021161699999997</v>
      </c>
      <c r="F120" s="366">
        <v>3500</v>
      </c>
      <c r="G120" s="368">
        <f>((E120*D120)+F120)*FDF+(E120*D120)+F120</f>
        <v>4204.7332748400004</v>
      </c>
      <c r="H120" s="368">
        <f>G120*BENEF+G120</f>
        <v>5045.6799298080005</v>
      </c>
    </row>
    <row r="121" spans="1:8">
      <c r="A121" s="386"/>
      <c r="B121" s="999"/>
      <c r="C121" s="1001"/>
      <c r="D121" s="322"/>
      <c r="E121" s="367"/>
      <c r="F121" s="366"/>
      <c r="G121" s="368"/>
      <c r="H121" s="368"/>
    </row>
    <row r="122" spans="1:8">
      <c r="A122" s="362">
        <v>12</v>
      </c>
      <c r="B122" s="998" t="s">
        <v>1058</v>
      </c>
      <c r="C122" s="1001"/>
      <c r="D122" s="322"/>
      <c r="E122" s="366"/>
      <c r="F122" s="366"/>
      <c r="G122" s="368"/>
      <c r="H122" s="368"/>
    </row>
    <row r="123" spans="1:8">
      <c r="A123" s="386"/>
      <c r="B123" s="1000"/>
      <c r="C123" s="1001"/>
      <c r="D123" s="322"/>
      <c r="E123" s="366"/>
      <c r="F123" s="366"/>
      <c r="G123" s="368"/>
      <c r="H123" s="368"/>
    </row>
    <row r="124" spans="1:8">
      <c r="E124" s="1158" t="s">
        <v>14</v>
      </c>
      <c r="F124" s="1158"/>
    </row>
    <row r="125" spans="1:8">
      <c r="A125" s="1003" t="s">
        <v>11</v>
      </c>
      <c r="B125" s="1004" t="s">
        <v>12</v>
      </c>
      <c r="C125" s="1003" t="s">
        <v>0</v>
      </c>
      <c r="D125" s="1004" t="s">
        <v>13</v>
      </c>
      <c r="E125" s="988" t="s">
        <v>16</v>
      </c>
      <c r="F125" s="989" t="s">
        <v>17</v>
      </c>
      <c r="G125" s="990" t="s">
        <v>4</v>
      </c>
      <c r="H125" s="990" t="s">
        <v>15</v>
      </c>
    </row>
    <row r="126" spans="1:8">
      <c r="A126" s="386" t="str">
        <f>'Etude-Prix'!$B$491</f>
        <v>10.001</v>
      </c>
      <c r="B126" s="1005" t="str">
        <f>'Etude-Prix'!$B$492</f>
        <v>Mur moellons ( jointé 1 face ) y compris fondations à la base</v>
      </c>
      <c r="C126" s="1001" t="s">
        <v>50</v>
      </c>
      <c r="D126" s="991">
        <v>1.3</v>
      </c>
      <c r="E126" s="367">
        <f>C.Horaire!$C$13</f>
        <v>21.021161699999997</v>
      </c>
      <c r="F126" s="366">
        <v>0</v>
      </c>
      <c r="G126" s="368">
        <f>'Etude-Prix'!$F$492</f>
        <v>189</v>
      </c>
      <c r="H126" s="368">
        <f>G126*BENEF+G126</f>
        <v>226.8</v>
      </c>
    </row>
    <row r="127" spans="1:8">
      <c r="A127" s="386" t="str">
        <f>'Etude-Prix'!$B$510</f>
        <v>14.1</v>
      </c>
      <c r="B127" s="998" t="str">
        <f>'Etude-Prix'!$B$511</f>
        <v>Etanchéïté Sur murs enterrés</v>
      </c>
      <c r="C127" s="1001" t="s">
        <v>67</v>
      </c>
      <c r="D127" s="993">
        <f>'Etude-Prix'!$D$468</f>
        <v>0.5</v>
      </c>
      <c r="E127" s="367">
        <f>C.Horaire!$C$13</f>
        <v>21.021161699999997</v>
      </c>
      <c r="F127" s="368">
        <f>SUM('Etude-Prix'!$F$513:$F$515)</f>
        <v>43.490909090909092</v>
      </c>
      <c r="G127" s="368">
        <f>((E127*D127)+F127)*FDF+(E127*D127)+F127</f>
        <v>56.701564437954545</v>
      </c>
      <c r="H127" s="368">
        <f>G127*BENEF+G127</f>
        <v>68.041877325545457</v>
      </c>
    </row>
    <row r="128" spans="1:8">
      <c r="A128" s="386"/>
      <c r="B128" s="998" t="s">
        <v>1098</v>
      </c>
      <c r="C128" s="1001" t="s">
        <v>286</v>
      </c>
      <c r="D128" s="993">
        <v>10</v>
      </c>
      <c r="E128" s="367">
        <f>C.Horaire!$C$13</f>
        <v>21.021161699999997</v>
      </c>
      <c r="F128" s="368">
        <v>1000</v>
      </c>
      <c r="G128" s="368">
        <f>((E128*D128)+F128)*FDF+(E128*D128)+F128</f>
        <v>1270.7221978499999</v>
      </c>
      <c r="H128" s="368">
        <f>G128*BENEF+G128</f>
        <v>1524.86663742</v>
      </c>
    </row>
    <row r="129" spans="1:8">
      <c r="A129" s="386"/>
      <c r="B129" s="998"/>
      <c r="C129" s="1001"/>
      <c r="D129" s="993"/>
      <c r="E129" s="366"/>
      <c r="F129" s="368"/>
      <c r="G129" s="368"/>
      <c r="H129" s="368"/>
    </row>
    <row r="130" spans="1:8">
      <c r="A130" s="386">
        <v>9</v>
      </c>
      <c r="B130" s="998" t="s">
        <v>401</v>
      </c>
      <c r="C130" s="362"/>
      <c r="D130" s="362"/>
      <c r="E130" s="987"/>
      <c r="G130" s="995"/>
      <c r="H130" s="995"/>
    </row>
    <row r="131" spans="1:8">
      <c r="A131" s="362"/>
      <c r="B131" s="998"/>
      <c r="C131" s="362"/>
      <c r="D131" s="362"/>
      <c r="E131" s="987"/>
      <c r="G131" s="995"/>
      <c r="H131" s="995"/>
    </row>
  </sheetData>
  <mergeCells count="12">
    <mergeCell ref="E124:F124"/>
    <mergeCell ref="E1:F1"/>
    <mergeCell ref="E8:F8"/>
    <mergeCell ref="E21:F21"/>
    <mergeCell ref="E31:F31"/>
    <mergeCell ref="E46:F46"/>
    <mergeCell ref="E63:F63"/>
    <mergeCell ref="E71:F71"/>
    <mergeCell ref="E78:F78"/>
    <mergeCell ref="E88:F88"/>
    <mergeCell ref="E97:F97"/>
    <mergeCell ref="E104:F104"/>
  </mergeCells>
  <pageMargins left="0.7" right="0.7" top="0.75" bottom="0.75" header="0.3" footer="0.3"/>
  <pageSetup paperSize="13" orientation="portrait" r:id="rId1"/>
  <picture r:id="rId2"/>
  <tableParts count="12">
    <tablePart r:id="rId3"/>
    <tablePart r:id="rId4"/>
    <tablePart r:id="rId5"/>
    <tablePart r:id="rId6"/>
    <tablePart r:id="rId7"/>
    <tablePart r:id="rId8"/>
    <tablePart r:id="rId9"/>
    <tablePart r:id="rId10"/>
    <tablePart r:id="rId11"/>
    <tablePart r:id="rId12"/>
    <tablePart r:id="rId13"/>
    <tablePart r:id="rId14"/>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tabColor rgb="FFFFFF00"/>
  </sheetPr>
  <dimension ref="A1:W204"/>
  <sheetViews>
    <sheetView showGridLines="0" view="pageBreakPreview" zoomScaleNormal="100" zoomScaleSheetLayoutView="100" workbookViewId="0">
      <selection activeCell="A2" sqref="A2:O2"/>
    </sheetView>
  </sheetViews>
  <sheetFormatPr baseColWidth="10" defaultColWidth="11.28515625" defaultRowHeight="12.75"/>
  <cols>
    <col min="1" max="1" width="3.7109375" style="7" customWidth="1"/>
    <col min="2" max="2" width="50.42578125" style="7" customWidth="1"/>
    <col min="3" max="11" width="7.28515625" style="7" customWidth="1"/>
    <col min="12" max="12" width="7.85546875" style="7" customWidth="1"/>
    <col min="13" max="13" width="9.28515625" style="7" customWidth="1"/>
    <col min="14" max="14" width="12.5703125" style="7" customWidth="1"/>
    <col min="15" max="15" width="15.85546875" style="7" customWidth="1"/>
    <col min="16" max="16" width="13.28515625" style="7" customWidth="1"/>
    <col min="17" max="17" width="9.7109375" style="7" customWidth="1"/>
    <col min="18" max="18" width="13" style="7" customWidth="1"/>
    <col min="19" max="19" width="11.28515625" style="7"/>
    <col min="20" max="20" width="10.85546875" style="7" customWidth="1"/>
    <col min="21" max="21" width="4.85546875" style="7" customWidth="1"/>
    <col min="22" max="22" width="4.140625" style="7" customWidth="1"/>
    <col min="23" max="23" width="6.85546875" style="7" customWidth="1"/>
    <col min="24" max="24" width="5.7109375" style="7" customWidth="1"/>
    <col min="25" max="16384" width="11.28515625" style="7"/>
  </cols>
  <sheetData>
    <row r="1" spans="1:18" ht="18.75" customHeight="1">
      <c r="A1" s="390"/>
      <c r="B1" s="391">
        <f ca="1">NOW()</f>
        <v>43286.414675810185</v>
      </c>
      <c r="C1" s="391"/>
      <c r="D1" s="391"/>
      <c r="E1" s="391"/>
      <c r="F1" s="391"/>
      <c r="G1" s="391"/>
      <c r="H1" s="391"/>
      <c r="I1" s="391"/>
      <c r="J1" s="391"/>
      <c r="K1" s="391"/>
      <c r="L1" s="392"/>
      <c r="M1" s="393"/>
      <c r="N1" s="394" t="str">
        <f ca="1">"N° " &amp;YEAR(TODAY())</f>
        <v>N° 2018</v>
      </c>
      <c r="O1" s="395">
        <f ca="1">TODAY()</f>
        <v>43286</v>
      </c>
      <c r="P1" s="1" t="s">
        <v>1103</v>
      </c>
      <c r="Q1" s="2" t="s">
        <v>1104</v>
      </c>
      <c r="R1" s="3" t="s">
        <v>1105</v>
      </c>
    </row>
    <row r="2" spans="1:18" ht="35.1" customHeight="1">
      <c r="A2" s="1159" t="s">
        <v>1102</v>
      </c>
      <c r="B2" s="1160"/>
      <c r="C2" s="1160"/>
      <c r="D2" s="1160"/>
      <c r="E2" s="1160"/>
      <c r="F2" s="1160"/>
      <c r="G2" s="1160"/>
      <c r="H2" s="1160"/>
      <c r="I2" s="1160"/>
      <c r="J2" s="1160"/>
      <c r="K2" s="1160"/>
      <c r="L2" s="1160"/>
      <c r="M2" s="1160"/>
      <c r="N2" s="1160"/>
      <c r="O2" s="1161"/>
      <c r="P2" s="396">
        <v>1.3</v>
      </c>
      <c r="Q2" s="397">
        <v>1.07</v>
      </c>
      <c r="R2" s="398" t="e">
        <f>PrixVHT*((P2-1)*100)/100</f>
        <v>#REF!</v>
      </c>
    </row>
    <row r="3" spans="1:18" ht="53.25" customHeight="1">
      <c r="A3" s="399"/>
      <c r="B3" s="400"/>
      <c r="C3" s="400"/>
      <c r="D3" s="400"/>
      <c r="E3" s="400"/>
      <c r="F3" s="400"/>
      <c r="G3" s="400"/>
      <c r="H3" s="400"/>
      <c r="I3" s="400"/>
      <c r="J3" s="400"/>
      <c r="K3" s="400"/>
      <c r="L3" s="400"/>
      <c r="M3" s="401"/>
      <c r="N3" s="18"/>
      <c r="O3" s="402"/>
      <c r="P3" s="4" t="e">
        <f>O167</f>
        <v>#REF!</v>
      </c>
      <c r="Q3" s="5" t="e">
        <f>O171</f>
        <v>#REF!</v>
      </c>
      <c r="R3" s="6" t="e">
        <f>O187</f>
        <v>#REF!</v>
      </c>
    </row>
    <row r="4" spans="1:18" ht="11.85" customHeight="1">
      <c r="A4" s="403"/>
      <c r="B4" s="14" t="s">
        <v>1037</v>
      </c>
      <c r="C4" s="14"/>
      <c r="D4" s="14"/>
      <c r="E4" s="14"/>
      <c r="F4" s="14"/>
      <c r="G4" s="14"/>
      <c r="H4" s="14"/>
      <c r="I4" s="14"/>
      <c r="J4" s="14"/>
      <c r="K4" s="14"/>
      <c r="L4" s="404"/>
      <c r="M4" s="18"/>
      <c r="N4" s="18"/>
      <c r="O4" s="402"/>
      <c r="P4" s="405" t="s">
        <v>1106</v>
      </c>
      <c r="Q4" s="406" t="s">
        <v>1107</v>
      </c>
      <c r="R4" s="407" t="s">
        <v>1108</v>
      </c>
    </row>
    <row r="5" spans="1:18" ht="11.85" customHeight="1">
      <c r="A5" s="403"/>
      <c r="B5" s="14" t="s">
        <v>1035</v>
      </c>
      <c r="C5" s="14"/>
      <c r="D5" s="14"/>
      <c r="E5" s="14"/>
      <c r="F5" s="14"/>
      <c r="G5" s="14"/>
      <c r="H5" s="14"/>
      <c r="I5" s="14"/>
      <c r="J5" s="14"/>
      <c r="K5" s="14"/>
      <c r="L5" s="404"/>
      <c r="M5" s="18"/>
      <c r="N5" s="15"/>
      <c r="O5" s="408"/>
      <c r="P5" s="409" t="s">
        <v>1109</v>
      </c>
    </row>
    <row r="6" spans="1:18" ht="11.85" customHeight="1">
      <c r="A6" s="403"/>
      <c r="B6" s="16" t="s">
        <v>1177</v>
      </c>
      <c r="C6" s="16"/>
      <c r="D6" s="16"/>
      <c r="E6" s="16"/>
      <c r="F6" s="16"/>
      <c r="G6" s="16"/>
      <c r="H6" s="16"/>
      <c r="I6" s="16"/>
      <c r="J6" s="16"/>
      <c r="K6" s="16"/>
      <c r="L6" s="404"/>
      <c r="M6" s="401"/>
      <c r="N6" s="15"/>
      <c r="O6" s="408"/>
      <c r="P6" s="410" t="s">
        <v>1110</v>
      </c>
    </row>
    <row r="7" spans="1:18" ht="11.85" customHeight="1">
      <c r="A7" s="403"/>
      <c r="B7" s="14" t="s">
        <v>1094</v>
      </c>
      <c r="C7" s="14"/>
      <c r="D7" s="14"/>
      <c r="E7" s="14"/>
      <c r="F7" s="14"/>
      <c r="G7" s="14"/>
      <c r="H7" s="14"/>
      <c r="I7" s="14"/>
      <c r="J7" s="14"/>
      <c r="K7" s="14"/>
      <c r="L7" s="404"/>
      <c r="M7" s="401"/>
      <c r="N7" s="15"/>
      <c r="O7" s="408"/>
      <c r="P7" s="410" t="s">
        <v>1111</v>
      </c>
    </row>
    <row r="8" spans="1:18" ht="11.85" customHeight="1">
      <c r="A8" s="411"/>
      <c r="B8" s="14" t="s">
        <v>1093</v>
      </c>
      <c r="C8" s="14"/>
      <c r="D8" s="14"/>
      <c r="E8" s="14"/>
      <c r="F8" s="14"/>
      <c r="G8" s="14"/>
      <c r="H8" s="14"/>
      <c r="I8" s="14"/>
      <c r="J8" s="14"/>
      <c r="K8" s="14"/>
      <c r="L8" s="18"/>
      <c r="M8" s="401"/>
      <c r="N8" s="412"/>
      <c r="O8" s="408"/>
    </row>
    <row r="9" spans="1:18" ht="21" customHeight="1">
      <c r="A9" s="411"/>
      <c r="B9" s="14"/>
      <c r="C9" s="14"/>
      <c r="D9" s="14"/>
      <c r="E9" s="14"/>
      <c r="F9" s="14"/>
      <c r="G9" s="14"/>
      <c r="H9" s="14"/>
      <c r="I9" s="14"/>
      <c r="J9" s="14"/>
      <c r="K9" s="14"/>
      <c r="L9" s="413"/>
      <c r="M9" s="401"/>
      <c r="N9" s="412"/>
      <c r="O9" s="408"/>
    </row>
    <row r="10" spans="1:18" s="623" customFormat="1" ht="21" customHeight="1">
      <c r="A10" s="617"/>
      <c r="B10" s="618" t="s">
        <v>1187</v>
      </c>
      <c r="C10" s="618"/>
      <c r="D10" s="618"/>
      <c r="E10" s="618"/>
      <c r="F10" s="618"/>
      <c r="G10" s="618"/>
      <c r="H10" s="618"/>
      <c r="I10" s="618"/>
      <c r="J10" s="618"/>
      <c r="K10" s="618"/>
      <c r="L10" s="619"/>
      <c r="M10" s="620"/>
      <c r="N10" s="621"/>
      <c r="O10" s="622"/>
    </row>
    <row r="11" spans="1:18" ht="7.5" customHeight="1">
      <c r="A11" s="414"/>
      <c r="B11" s="415" t="s">
        <v>20</v>
      </c>
      <c r="C11" s="415"/>
      <c r="D11" s="415"/>
      <c r="E11" s="415"/>
      <c r="F11" s="415"/>
      <c r="G11" s="415"/>
      <c r="H11" s="415"/>
      <c r="I11" s="415"/>
      <c r="J11" s="415"/>
      <c r="K11" s="415"/>
      <c r="L11" s="370"/>
      <c r="M11" s="416"/>
      <c r="N11" s="417"/>
      <c r="O11" s="418"/>
      <c r="P11" s="7">
        <v>0</v>
      </c>
    </row>
    <row r="12" spans="1:18" ht="15" customHeight="1">
      <c r="A12" s="419" t="s">
        <v>912</v>
      </c>
      <c r="B12" s="420" t="s">
        <v>1005</v>
      </c>
      <c r="C12" s="420"/>
      <c r="D12" s="420"/>
      <c r="E12" s="420"/>
      <c r="F12" s="420"/>
      <c r="G12" s="420"/>
      <c r="H12" s="420"/>
      <c r="I12" s="420"/>
      <c r="J12" s="420"/>
      <c r="K12" s="420"/>
      <c r="L12" s="421" t="s">
        <v>0</v>
      </c>
      <c r="M12" s="422" t="s">
        <v>5</v>
      </c>
      <c r="N12" s="1162" t="s">
        <v>1003</v>
      </c>
      <c r="O12" s="1162"/>
      <c r="P12" s="7">
        <v>0</v>
      </c>
    </row>
    <row r="13" spans="1:18">
      <c r="A13" s="419"/>
      <c r="B13" s="423" t="s">
        <v>1083</v>
      </c>
      <c r="C13" s="423"/>
      <c r="D13" s="423"/>
      <c r="E13" s="423"/>
      <c r="F13" s="423"/>
      <c r="G13" s="423"/>
      <c r="H13" s="423"/>
      <c r="I13" s="423"/>
      <c r="J13" s="423"/>
      <c r="K13" s="423"/>
      <c r="L13" s="421" t="s">
        <v>19</v>
      </c>
      <c r="M13" s="421" t="s">
        <v>1170</v>
      </c>
      <c r="N13" s="421" t="s">
        <v>1</v>
      </c>
      <c r="O13" s="424" t="s">
        <v>2</v>
      </c>
      <c r="P13" s="7">
        <v>0</v>
      </c>
    </row>
    <row r="14" spans="1:18">
      <c r="A14" s="372"/>
      <c r="B14" s="425" t="s">
        <v>989</v>
      </c>
      <c r="C14" s="425"/>
      <c r="D14" s="425"/>
      <c r="E14" s="425"/>
      <c r="F14" s="425"/>
      <c r="G14" s="425"/>
      <c r="H14" s="425"/>
      <c r="I14" s="425"/>
      <c r="J14" s="425"/>
      <c r="K14" s="425"/>
      <c r="L14" s="373"/>
      <c r="M14" s="426"/>
      <c r="N14" s="427"/>
      <c r="O14" s="428"/>
      <c r="P14" s="7">
        <f>IF($A$14=1,1,0)</f>
        <v>0</v>
      </c>
    </row>
    <row r="15" spans="1:18">
      <c r="A15" s="372"/>
      <c r="B15" s="374" t="s">
        <v>275</v>
      </c>
      <c r="C15" s="374"/>
      <c r="D15" s="374"/>
      <c r="E15" s="374"/>
      <c r="F15" s="374"/>
      <c r="G15" s="374"/>
      <c r="H15" s="374"/>
      <c r="I15" s="374"/>
      <c r="J15" s="374"/>
      <c r="K15" s="374"/>
      <c r="L15" s="373" t="s">
        <v>262</v>
      </c>
      <c r="M15" s="429">
        <v>2</v>
      </c>
      <c r="N15" s="427" t="e">
        <f>#REF!*P2*Q2</f>
        <v>#REF!</v>
      </c>
      <c r="O15" s="428" t="e">
        <f>IF($A$14="",M15*N15,"")</f>
        <v>#REF!</v>
      </c>
      <c r="P15" s="7">
        <f>IF($A$14=1,1,0)</f>
        <v>0</v>
      </c>
      <c r="R15" s="430"/>
    </row>
    <row r="16" spans="1:18">
      <c r="A16" s="372"/>
      <c r="B16" s="374" t="s">
        <v>141</v>
      </c>
      <c r="C16" s="374"/>
      <c r="D16" s="374"/>
      <c r="E16" s="374"/>
      <c r="F16" s="374"/>
      <c r="G16" s="374"/>
      <c r="H16" s="374"/>
      <c r="I16" s="374"/>
      <c r="J16" s="374"/>
      <c r="K16" s="374"/>
      <c r="L16" s="373" t="s">
        <v>262</v>
      </c>
      <c r="M16" s="431">
        <v>2</v>
      </c>
      <c r="N16" s="427" t="e">
        <f>#REF!*P2*Q2</f>
        <v>#REF!</v>
      </c>
      <c r="O16" s="428" t="e">
        <f>IF($A$14="",M16*N16,"")</f>
        <v>#REF!</v>
      </c>
      <c r="P16" s="7">
        <f>IF($A$14=1,1,0)</f>
        <v>0</v>
      </c>
      <c r="Q16" s="430"/>
      <c r="R16" s="430"/>
    </row>
    <row r="17" spans="1:18">
      <c r="A17" s="372"/>
      <c r="B17" s="374"/>
      <c r="C17" s="374"/>
      <c r="D17" s="374"/>
      <c r="E17" s="374"/>
      <c r="F17" s="374"/>
      <c r="G17" s="374"/>
      <c r="H17" s="374"/>
      <c r="I17" s="374"/>
      <c r="J17" s="374"/>
      <c r="K17" s="374"/>
      <c r="L17" s="373"/>
      <c r="M17" s="432"/>
      <c r="N17" s="427"/>
      <c r="O17" s="428"/>
      <c r="P17" s="7">
        <f>IF($A$18=1,1,0)</f>
        <v>0</v>
      </c>
      <c r="Q17" s="430"/>
      <c r="R17" s="430"/>
    </row>
    <row r="18" spans="1:18">
      <c r="A18" s="372"/>
      <c r="B18" s="425" t="s">
        <v>1085</v>
      </c>
      <c r="C18" s="425"/>
      <c r="D18" s="425"/>
      <c r="E18" s="425"/>
      <c r="F18" s="425"/>
      <c r="G18" s="425"/>
      <c r="H18" s="425"/>
      <c r="I18" s="425"/>
      <c r="J18" s="425"/>
      <c r="K18" s="425"/>
      <c r="L18" s="373"/>
      <c r="M18" s="432"/>
      <c r="N18" s="427"/>
      <c r="O18" s="428"/>
      <c r="P18" s="7">
        <f t="shared" ref="P18:P26" si="0">IF($A$18=1,1,0)</f>
        <v>0</v>
      </c>
      <c r="Q18" s="430"/>
      <c r="R18" s="430"/>
    </row>
    <row r="19" spans="1:18" ht="25.5">
      <c r="A19" s="372"/>
      <c r="B19" s="374" t="s">
        <v>1112</v>
      </c>
      <c r="C19" s="374"/>
      <c r="D19" s="374"/>
      <c r="E19" s="374"/>
      <c r="F19" s="374"/>
      <c r="G19" s="374"/>
      <c r="H19" s="374"/>
      <c r="I19" s="374"/>
      <c r="J19" s="374"/>
      <c r="K19" s="374"/>
      <c r="L19" s="373" t="s">
        <v>43</v>
      </c>
      <c r="M19" s="429" t="e">
        <f>#REF!</f>
        <v>#REF!</v>
      </c>
      <c r="N19" s="427" t="e">
        <f>#REF!*P2*Q2</f>
        <v>#REF!</v>
      </c>
      <c r="O19" s="428" t="e">
        <f>IF($A$18="",M19*N19,"")</f>
        <v>#REF!</v>
      </c>
      <c r="P19" s="7">
        <f t="shared" si="0"/>
        <v>0</v>
      </c>
      <c r="Q19" s="430"/>
      <c r="R19" s="430"/>
    </row>
    <row r="20" spans="1:18">
      <c r="A20" s="372"/>
      <c r="B20" s="374" t="s">
        <v>276</v>
      </c>
      <c r="C20" s="374"/>
      <c r="D20" s="374"/>
      <c r="E20" s="374"/>
      <c r="F20" s="374"/>
      <c r="G20" s="374"/>
      <c r="H20" s="374"/>
      <c r="I20" s="374"/>
      <c r="J20" s="374"/>
      <c r="K20" s="374"/>
      <c r="L20" s="373" t="s">
        <v>67</v>
      </c>
      <c r="M20" s="429" t="e">
        <f>#REF!</f>
        <v>#REF!</v>
      </c>
      <c r="N20" s="427" t="e">
        <f>#REF!*P2*Q2</f>
        <v>#REF!</v>
      </c>
      <c r="O20" s="428" t="e">
        <f t="shared" ref="O20:O26" si="1">IF($A$18="",M20*N20,"")</f>
        <v>#REF!</v>
      </c>
      <c r="P20" s="7">
        <f t="shared" si="0"/>
        <v>0</v>
      </c>
      <c r="Q20" s="430"/>
      <c r="R20" s="430"/>
    </row>
    <row r="21" spans="1:18" ht="25.5">
      <c r="A21" s="372"/>
      <c r="B21" s="374" t="s">
        <v>207</v>
      </c>
      <c r="C21" s="374"/>
      <c r="D21" s="374"/>
      <c r="E21" s="374"/>
      <c r="F21" s="374"/>
      <c r="G21" s="374"/>
      <c r="H21" s="374"/>
      <c r="I21" s="374"/>
      <c r="J21" s="374"/>
      <c r="K21" s="374"/>
      <c r="L21" s="373" t="s">
        <v>59</v>
      </c>
      <c r="M21" s="429" t="e">
        <f>#REF!</f>
        <v>#REF!</v>
      </c>
      <c r="N21" s="427" t="e">
        <f>#REF!*P2*Q2</f>
        <v>#REF!</v>
      </c>
      <c r="O21" s="428" t="e">
        <f t="shared" si="1"/>
        <v>#REF!</v>
      </c>
      <c r="P21" s="7">
        <f t="shared" si="0"/>
        <v>0</v>
      </c>
      <c r="Q21" s="430"/>
      <c r="R21" s="430"/>
    </row>
    <row r="22" spans="1:18">
      <c r="A22" s="372"/>
      <c r="B22" s="374" t="s">
        <v>278</v>
      </c>
      <c r="C22" s="374"/>
      <c r="D22" s="374"/>
      <c r="E22" s="374"/>
      <c r="F22" s="374"/>
      <c r="G22" s="374"/>
      <c r="H22" s="374"/>
      <c r="I22" s="374"/>
      <c r="J22" s="374"/>
      <c r="K22" s="374"/>
      <c r="L22" s="373" t="s">
        <v>67</v>
      </c>
      <c r="M22" s="429" t="e">
        <f>#REF!</f>
        <v>#REF!</v>
      </c>
      <c r="N22" s="427" t="e">
        <f>#REF!*P2*Q2</f>
        <v>#REF!</v>
      </c>
      <c r="O22" s="428" t="e">
        <f t="shared" si="1"/>
        <v>#REF!</v>
      </c>
      <c r="P22" s="7">
        <f t="shared" si="0"/>
        <v>0</v>
      </c>
      <c r="Q22" s="430"/>
      <c r="R22" s="430"/>
    </row>
    <row r="23" spans="1:18">
      <c r="A23" s="372"/>
      <c r="B23" s="374" t="s">
        <v>223</v>
      </c>
      <c r="C23" s="374"/>
      <c r="D23" s="374"/>
      <c r="E23" s="374"/>
      <c r="F23" s="374"/>
      <c r="G23" s="374"/>
      <c r="H23" s="374"/>
      <c r="I23" s="374"/>
      <c r="J23" s="374"/>
      <c r="K23" s="374"/>
      <c r="L23" s="373" t="s">
        <v>67</v>
      </c>
      <c r="M23" s="429" t="e">
        <f>#REF!</f>
        <v>#REF!</v>
      </c>
      <c r="N23" s="427" t="e">
        <f>#REF!*P2*Q2</f>
        <v>#REF!</v>
      </c>
      <c r="O23" s="428" t="e">
        <f t="shared" si="1"/>
        <v>#REF!</v>
      </c>
      <c r="P23" s="7">
        <f t="shared" si="0"/>
        <v>0</v>
      </c>
      <c r="Q23" s="430"/>
      <c r="R23" s="430"/>
    </row>
    <row r="24" spans="1:18" ht="25.5">
      <c r="A24" s="372"/>
      <c r="B24" s="374" t="s">
        <v>230</v>
      </c>
      <c r="C24" s="374"/>
      <c r="D24" s="374"/>
      <c r="E24" s="374"/>
      <c r="F24" s="374"/>
      <c r="G24" s="374"/>
      <c r="H24" s="374"/>
      <c r="I24" s="374"/>
      <c r="J24" s="374"/>
      <c r="K24" s="374"/>
      <c r="L24" s="373" t="s">
        <v>67</v>
      </c>
      <c r="M24" s="429" t="e">
        <f>#REF!</f>
        <v>#REF!</v>
      </c>
      <c r="N24" s="427" t="e">
        <f>#REF!*P2*Q2</f>
        <v>#REF!</v>
      </c>
      <c r="O24" s="428" t="e">
        <f t="shared" si="1"/>
        <v>#REF!</v>
      </c>
      <c r="P24" s="7">
        <f t="shared" si="0"/>
        <v>0</v>
      </c>
      <c r="Q24" s="430"/>
      <c r="R24" s="430"/>
    </row>
    <row r="25" spans="1:18" ht="25.5">
      <c r="A25" s="372"/>
      <c r="B25" s="374" t="s">
        <v>235</v>
      </c>
      <c r="C25" s="374"/>
      <c r="D25" s="374"/>
      <c r="E25" s="374"/>
      <c r="F25" s="374"/>
      <c r="G25" s="374"/>
      <c r="H25" s="374"/>
      <c r="I25" s="374"/>
      <c r="J25" s="374"/>
      <c r="K25" s="374"/>
      <c r="L25" s="373" t="s">
        <v>43</v>
      </c>
      <c r="M25" s="429" t="e">
        <f>#REF!</f>
        <v>#REF!</v>
      </c>
      <c r="N25" s="427" t="e">
        <f>#REF!*P2*Q2</f>
        <v>#REF!</v>
      </c>
      <c r="O25" s="428" t="e">
        <f t="shared" si="1"/>
        <v>#REF!</v>
      </c>
      <c r="P25" s="7">
        <f t="shared" si="0"/>
        <v>0</v>
      </c>
      <c r="Q25" s="430"/>
      <c r="R25" s="430"/>
    </row>
    <row r="26" spans="1:18" ht="25.5">
      <c r="A26" s="372" t="e">
        <f>#REF!</f>
        <v>#REF!</v>
      </c>
      <c r="B26" s="374" t="s">
        <v>1113</v>
      </c>
      <c r="C26" s="374"/>
      <c r="D26" s="374"/>
      <c r="E26" s="374"/>
      <c r="F26" s="374"/>
      <c r="G26" s="374"/>
      <c r="H26" s="374"/>
      <c r="I26" s="374"/>
      <c r="J26" s="374"/>
      <c r="K26" s="374"/>
      <c r="L26" s="373" t="s">
        <v>67</v>
      </c>
      <c r="M26" s="429" t="e">
        <f>#REF!</f>
        <v>#REF!</v>
      </c>
      <c r="N26" s="427" t="e">
        <f>#REF!*P2*Q2</f>
        <v>#REF!</v>
      </c>
      <c r="O26" s="428" t="e">
        <f t="shared" si="1"/>
        <v>#REF!</v>
      </c>
      <c r="P26" s="7">
        <f t="shared" si="0"/>
        <v>0</v>
      </c>
      <c r="Q26" s="430"/>
      <c r="R26" s="430"/>
    </row>
    <row r="27" spans="1:18">
      <c r="A27" s="372"/>
      <c r="B27" s="375" t="e">
        <f>VLOOKUP(#REF!,#REF!,2,0)</f>
        <v>#REF!</v>
      </c>
      <c r="C27" s="375"/>
      <c r="D27" s="375"/>
      <c r="E27" s="375"/>
      <c r="F27" s="375"/>
      <c r="G27" s="375"/>
      <c r="H27" s="375"/>
      <c r="I27" s="375"/>
      <c r="J27" s="375"/>
      <c r="K27" s="375"/>
      <c r="L27" s="376" t="s">
        <v>67</v>
      </c>
      <c r="M27" s="432" t="e">
        <f>#REF!+#REF!</f>
        <v>#REF!</v>
      </c>
      <c r="N27" s="726" t="s">
        <v>1114</v>
      </c>
      <c r="O27" s="428" t="e">
        <f>#REF!+#REF!</f>
        <v>#REF!</v>
      </c>
      <c r="P27" s="7">
        <f>IF($A$18=1,1,0)</f>
        <v>0</v>
      </c>
      <c r="Q27" s="430"/>
      <c r="R27" s="430"/>
    </row>
    <row r="28" spans="1:18">
      <c r="A28" s="372"/>
      <c r="B28" s="374"/>
      <c r="C28" s="374"/>
      <c r="D28" s="374"/>
      <c r="E28" s="374"/>
      <c r="F28" s="374"/>
      <c r="G28" s="374"/>
      <c r="H28" s="374"/>
      <c r="I28" s="374"/>
      <c r="J28" s="374"/>
      <c r="K28" s="374"/>
      <c r="L28" s="373"/>
      <c r="M28" s="432"/>
      <c r="N28" s="427"/>
      <c r="O28" s="428"/>
      <c r="P28" s="7">
        <f>IF($A$29=1,1,0)</f>
        <v>0</v>
      </c>
      <c r="Q28" s="430"/>
      <c r="R28" s="430"/>
    </row>
    <row r="29" spans="1:18">
      <c r="A29" s="372"/>
      <c r="B29" s="425" t="s">
        <v>152</v>
      </c>
      <c r="C29" s="425"/>
      <c r="D29" s="425"/>
      <c r="E29" s="425"/>
      <c r="F29" s="425"/>
      <c r="G29" s="425"/>
      <c r="H29" s="425"/>
      <c r="I29" s="425"/>
      <c r="J29" s="425"/>
      <c r="K29" s="425"/>
      <c r="L29" s="373"/>
      <c r="M29" s="432"/>
      <c r="N29" s="427"/>
      <c r="O29" s="428"/>
      <c r="P29" s="7">
        <f t="shared" ref="P29:P34" si="2">IF($A$29=1,1,0)</f>
        <v>0</v>
      </c>
      <c r="R29" s="430"/>
    </row>
    <row r="30" spans="1:18">
      <c r="A30" s="372"/>
      <c r="B30" s="374" t="s">
        <v>241</v>
      </c>
      <c r="C30" s="374"/>
      <c r="D30" s="374"/>
      <c r="E30" s="374"/>
      <c r="F30" s="374"/>
      <c r="G30" s="374"/>
      <c r="H30" s="374"/>
      <c r="I30" s="374"/>
      <c r="J30" s="374"/>
      <c r="K30" s="374"/>
      <c r="L30" s="373" t="s">
        <v>59</v>
      </c>
      <c r="M30" s="429" t="e">
        <f>#REF!</f>
        <v>#REF!</v>
      </c>
      <c r="N30" s="427" t="e">
        <f>#REF!*P2*Q2</f>
        <v>#REF!</v>
      </c>
      <c r="O30" s="428" t="e">
        <f>IF($A$29="",M30*N30,"")</f>
        <v>#REF!</v>
      </c>
      <c r="P30" s="7">
        <f t="shared" si="2"/>
        <v>0</v>
      </c>
      <c r="Q30" s="430"/>
      <c r="R30" s="430"/>
    </row>
    <row r="31" spans="1:18" ht="25.5">
      <c r="A31" s="372"/>
      <c r="B31" s="374" t="s">
        <v>244</v>
      </c>
      <c r="C31" s="374"/>
      <c r="D31" s="374"/>
      <c r="E31" s="374"/>
      <c r="F31" s="374"/>
      <c r="G31" s="374"/>
      <c r="H31" s="374"/>
      <c r="I31" s="374"/>
      <c r="J31" s="374"/>
      <c r="K31" s="374"/>
      <c r="L31" s="373" t="s">
        <v>67</v>
      </c>
      <c r="M31" s="429" t="e">
        <f>#REF!</f>
        <v>#REF!</v>
      </c>
      <c r="N31" s="427" t="e">
        <f>#REF!*P2*Q2</f>
        <v>#REF!</v>
      </c>
      <c r="O31" s="428" t="e">
        <f>IF($A$29="",M31*N31,"")</f>
        <v>#REF!</v>
      </c>
      <c r="P31" s="7">
        <f t="shared" si="2"/>
        <v>0</v>
      </c>
      <c r="Q31" s="430"/>
      <c r="R31" s="430"/>
    </row>
    <row r="32" spans="1:18" ht="25.5">
      <c r="A32" s="372"/>
      <c r="B32" s="374" t="s">
        <v>1115</v>
      </c>
      <c r="C32" s="374"/>
      <c r="D32" s="374"/>
      <c r="E32" s="374"/>
      <c r="F32" s="374"/>
      <c r="G32" s="374"/>
      <c r="H32" s="374"/>
      <c r="I32" s="374"/>
      <c r="J32" s="374"/>
      <c r="K32" s="374"/>
      <c r="L32" s="373" t="s">
        <v>67</v>
      </c>
      <c r="M32" s="429" t="e">
        <f>#REF!</f>
        <v>#REF!</v>
      </c>
      <c r="N32" s="427" t="e">
        <f>#REF!*P2*Q2</f>
        <v>#REF!</v>
      </c>
      <c r="O32" s="428" t="e">
        <f>IF($A$29="",M32*N32,"")</f>
        <v>#REF!</v>
      </c>
      <c r="P32" s="7">
        <f t="shared" si="2"/>
        <v>0</v>
      </c>
      <c r="Q32" s="430"/>
      <c r="R32" s="430"/>
    </row>
    <row r="33" spans="1:18" ht="38.25">
      <c r="A33" s="372"/>
      <c r="B33" s="374" t="s">
        <v>280</v>
      </c>
      <c r="C33" s="374"/>
      <c r="D33" s="374"/>
      <c r="E33" s="374"/>
      <c r="F33" s="374"/>
      <c r="G33" s="374"/>
      <c r="H33" s="374"/>
      <c r="I33" s="374"/>
      <c r="J33" s="374"/>
      <c r="K33" s="374"/>
      <c r="L33" s="373" t="s">
        <v>43</v>
      </c>
      <c r="M33" s="429" t="e">
        <f>#REF!</f>
        <v>#REF!</v>
      </c>
      <c r="N33" s="427" t="e">
        <f>#REF!*P2*Q2</f>
        <v>#REF!</v>
      </c>
      <c r="O33" s="428" t="e">
        <f>IF($A$29="",M33*N33,"")</f>
        <v>#REF!</v>
      </c>
      <c r="P33" s="7">
        <f t="shared" si="2"/>
        <v>0</v>
      </c>
      <c r="Q33" s="430"/>
      <c r="R33" s="430"/>
    </row>
    <row r="34" spans="1:18">
      <c r="A34" s="372"/>
      <c r="B34" s="374" t="s">
        <v>259</v>
      </c>
      <c r="C34" s="374"/>
      <c r="D34" s="374"/>
      <c r="E34" s="374"/>
      <c r="F34" s="374"/>
      <c r="G34" s="374"/>
      <c r="H34" s="374"/>
      <c r="I34" s="374"/>
      <c r="J34" s="374"/>
      <c r="K34" s="374"/>
      <c r="L34" s="373" t="s">
        <v>0</v>
      </c>
      <c r="M34" s="431">
        <v>2</v>
      </c>
      <c r="N34" s="427" t="e">
        <f>#REF!*P2*Q2</f>
        <v>#REF!</v>
      </c>
      <c r="O34" s="428" t="e">
        <f>IF($A$29="",M34*N34,"")</f>
        <v>#REF!</v>
      </c>
      <c r="P34" s="7">
        <f t="shared" si="2"/>
        <v>0</v>
      </c>
      <c r="Q34" s="430"/>
      <c r="R34" s="430"/>
    </row>
    <row r="35" spans="1:18">
      <c r="A35" s="372"/>
      <c r="B35" s="374"/>
      <c r="C35" s="374"/>
      <c r="D35" s="374"/>
      <c r="E35" s="374"/>
      <c r="F35" s="374"/>
      <c r="G35" s="374"/>
      <c r="H35" s="374"/>
      <c r="I35" s="374"/>
      <c r="J35" s="374"/>
      <c r="K35" s="374"/>
      <c r="L35" s="373"/>
      <c r="M35" s="432"/>
      <c r="N35" s="427"/>
      <c r="O35" s="428"/>
      <c r="P35" s="7">
        <f>IF($A$36=1,1,0)</f>
        <v>0</v>
      </c>
      <c r="Q35" s="430"/>
      <c r="R35" s="430"/>
    </row>
    <row r="36" spans="1:18">
      <c r="A36" s="372"/>
      <c r="B36" s="425" t="s">
        <v>991</v>
      </c>
      <c r="C36" s="425"/>
      <c r="D36" s="425"/>
      <c r="E36" s="425"/>
      <c r="F36" s="425"/>
      <c r="G36" s="425"/>
      <c r="H36" s="425"/>
      <c r="I36" s="425"/>
      <c r="J36" s="425"/>
      <c r="K36" s="425"/>
      <c r="L36" s="373"/>
      <c r="M36" s="432"/>
      <c r="N36" s="427"/>
      <c r="O36" s="428"/>
      <c r="P36" s="7">
        <f>IF($A$36=1,1,0)</f>
        <v>0</v>
      </c>
      <c r="Q36" s="430"/>
      <c r="R36" s="430"/>
    </row>
    <row r="37" spans="1:18" ht="25.5">
      <c r="A37" s="372"/>
      <c r="B37" s="374" t="s">
        <v>1116</v>
      </c>
      <c r="C37" s="374"/>
      <c r="D37" s="374"/>
      <c r="E37" s="374"/>
      <c r="F37" s="374"/>
      <c r="G37" s="374"/>
      <c r="H37" s="374"/>
      <c r="I37" s="374"/>
      <c r="J37" s="374"/>
      <c r="K37" s="374"/>
      <c r="L37" s="373" t="s">
        <v>67</v>
      </c>
      <c r="M37" s="429" t="e">
        <f>#REF!</f>
        <v>#REF!</v>
      </c>
      <c r="N37" s="427" t="e">
        <f>#REF!*P2*Q2</f>
        <v>#REF!</v>
      </c>
      <c r="O37" s="428" t="e">
        <f>IF($A$36="",M37*N37,"")</f>
        <v>#REF!</v>
      </c>
      <c r="P37" s="7">
        <f>IF($A$36=1,1,0)</f>
        <v>0</v>
      </c>
      <c r="Q37" s="430"/>
      <c r="R37" s="430"/>
    </row>
    <row r="38" spans="1:18">
      <c r="A38" s="372"/>
      <c r="B38" s="374"/>
      <c r="C38" s="374"/>
      <c r="D38" s="374"/>
      <c r="E38" s="374"/>
      <c r="F38" s="374"/>
      <c r="G38" s="374"/>
      <c r="H38" s="374"/>
      <c r="I38" s="374"/>
      <c r="J38" s="374"/>
      <c r="K38" s="374"/>
      <c r="L38" s="373"/>
      <c r="M38" s="432"/>
      <c r="N38" s="427"/>
      <c r="O38" s="428"/>
      <c r="P38" s="7">
        <f>IF($A$36=1,1,0)</f>
        <v>0</v>
      </c>
      <c r="Q38" s="430"/>
      <c r="R38" s="430"/>
    </row>
    <row r="39" spans="1:18">
      <c r="A39" s="372"/>
      <c r="B39" s="425" t="s">
        <v>990</v>
      </c>
      <c r="C39" s="425"/>
      <c r="D39" s="425"/>
      <c r="E39" s="425"/>
      <c r="F39" s="425"/>
      <c r="G39" s="425"/>
      <c r="H39" s="425"/>
      <c r="I39" s="425"/>
      <c r="J39" s="425"/>
      <c r="K39" s="425"/>
      <c r="L39" s="373"/>
      <c r="M39" s="432"/>
      <c r="N39" s="427"/>
      <c r="O39" s="428"/>
      <c r="P39" s="7">
        <f t="shared" ref="P39:P44" si="3">IF($A$39=1,1,0)</f>
        <v>0</v>
      </c>
      <c r="Q39" s="430"/>
      <c r="R39" s="430"/>
    </row>
    <row r="40" spans="1:18" ht="25.5">
      <c r="A40" s="372"/>
      <c r="B40" s="374" t="s">
        <v>244</v>
      </c>
      <c r="C40" s="374"/>
      <c r="D40" s="374"/>
      <c r="E40" s="374"/>
      <c r="F40" s="374"/>
      <c r="G40" s="374"/>
      <c r="H40" s="374"/>
      <c r="I40" s="374"/>
      <c r="J40" s="374"/>
      <c r="K40" s="374"/>
      <c r="L40" s="373" t="s">
        <v>67</v>
      </c>
      <c r="M40" s="429" t="e">
        <f>#REF!</f>
        <v>#REF!</v>
      </c>
      <c r="N40" s="427" t="e">
        <f>#REF!*P2*Q2</f>
        <v>#REF!</v>
      </c>
      <c r="O40" s="428" t="e">
        <f>IF($A$39="",M40*N40,"")</f>
        <v>#REF!</v>
      </c>
      <c r="P40" s="7">
        <f t="shared" si="3"/>
        <v>0</v>
      </c>
      <c r="Q40" s="430"/>
      <c r="R40" s="430"/>
    </row>
    <row r="41" spans="1:18" ht="25.5">
      <c r="A41" s="372"/>
      <c r="B41" s="377" t="s">
        <v>1115</v>
      </c>
      <c r="C41" s="377"/>
      <c r="D41" s="377"/>
      <c r="E41" s="377"/>
      <c r="F41" s="377"/>
      <c r="G41" s="377"/>
      <c r="H41" s="377"/>
      <c r="I41" s="377"/>
      <c r="J41" s="377"/>
      <c r="K41" s="377"/>
      <c r="L41" s="373" t="s">
        <v>67</v>
      </c>
      <c r="M41" s="429" t="e">
        <f>#REF!</f>
        <v>#REF!</v>
      </c>
      <c r="N41" s="427" t="e">
        <f>#REF!*P2*Q2</f>
        <v>#REF!</v>
      </c>
      <c r="O41" s="428" t="e">
        <f>IF($A$39="",M41*N41,"")</f>
        <v>#REF!</v>
      </c>
      <c r="P41" s="7">
        <f t="shared" si="3"/>
        <v>0</v>
      </c>
      <c r="Q41" s="430"/>
      <c r="R41" s="430"/>
    </row>
    <row r="42" spans="1:18" ht="38.25">
      <c r="A42" s="372"/>
      <c r="B42" s="374" t="s">
        <v>280</v>
      </c>
      <c r="C42" s="374"/>
      <c r="D42" s="374"/>
      <c r="E42" s="374"/>
      <c r="F42" s="374"/>
      <c r="G42" s="374"/>
      <c r="H42" s="374"/>
      <c r="I42" s="374"/>
      <c r="J42" s="374"/>
      <c r="K42" s="374"/>
      <c r="L42" s="373" t="s">
        <v>43</v>
      </c>
      <c r="M42" s="429" t="e">
        <f>#REF!</f>
        <v>#REF!</v>
      </c>
      <c r="N42" s="720" t="e">
        <f>#REF!*P2*Q2</f>
        <v>#REF!</v>
      </c>
      <c r="O42" s="428" t="e">
        <f>IF($A$39="",M42*N42,"")</f>
        <v>#REF!</v>
      </c>
      <c r="P42" s="7">
        <f t="shared" si="3"/>
        <v>0</v>
      </c>
      <c r="Q42" s="430"/>
      <c r="R42" s="430"/>
    </row>
    <row r="43" spans="1:18" s="433" customFormat="1">
      <c r="A43" s="372"/>
      <c r="B43" s="374" t="s">
        <v>259</v>
      </c>
      <c r="C43" s="374"/>
      <c r="D43" s="374"/>
      <c r="E43" s="374"/>
      <c r="F43" s="374"/>
      <c r="G43" s="374"/>
      <c r="H43" s="374"/>
      <c r="I43" s="374"/>
      <c r="J43" s="374"/>
      <c r="K43" s="374"/>
      <c r="L43" s="373" t="s">
        <v>0</v>
      </c>
      <c r="M43" s="431">
        <v>0</v>
      </c>
      <c r="N43" s="720" t="e">
        <f>#REF!*P2*Q2</f>
        <v>#REF!</v>
      </c>
      <c r="O43" s="428" t="e">
        <f>IF($A$39="",M43*N43,"")</f>
        <v>#REF!</v>
      </c>
      <c r="P43" s="433">
        <f t="shared" si="3"/>
        <v>0</v>
      </c>
      <c r="Q43" s="434"/>
      <c r="R43" s="434"/>
    </row>
    <row r="44" spans="1:18" s="387" customFormat="1">
      <c r="A44" s="378"/>
      <c r="B44" s="379"/>
      <c r="C44" s="379"/>
      <c r="D44" s="379"/>
      <c r="E44" s="379"/>
      <c r="F44" s="379"/>
      <c r="G44" s="379"/>
      <c r="H44" s="379"/>
      <c r="I44" s="379"/>
      <c r="J44" s="379"/>
      <c r="K44" s="379"/>
      <c r="L44" s="380"/>
      <c r="M44" s="435"/>
      <c r="N44" s="721"/>
      <c r="O44" s="436"/>
      <c r="P44" s="387">
        <f t="shared" si="3"/>
        <v>0</v>
      </c>
      <c r="Q44" s="437"/>
      <c r="R44" s="437"/>
    </row>
    <row r="45" spans="1:18">
      <c r="A45" s="372"/>
      <c r="B45" s="425" t="s">
        <v>164</v>
      </c>
      <c r="C45" s="425"/>
      <c r="D45" s="425"/>
      <c r="E45" s="425"/>
      <c r="F45" s="425"/>
      <c r="G45" s="425"/>
      <c r="H45" s="425"/>
      <c r="I45" s="425"/>
      <c r="J45" s="425"/>
      <c r="K45" s="425"/>
      <c r="L45" s="373"/>
      <c r="M45" s="432"/>
      <c r="N45" s="427"/>
      <c r="O45" s="428"/>
      <c r="P45" s="7">
        <f t="shared" ref="P45:P50" si="4">IF($A$45=1,1,0)</f>
        <v>0</v>
      </c>
      <c r="Q45" s="430"/>
      <c r="R45" s="430"/>
    </row>
    <row r="46" spans="1:18">
      <c r="A46" s="372"/>
      <c r="B46" s="374" t="s">
        <v>375</v>
      </c>
      <c r="C46" s="374"/>
      <c r="D46" s="374"/>
      <c r="E46" s="374"/>
      <c r="F46" s="374"/>
      <c r="G46" s="374"/>
      <c r="H46" s="374"/>
      <c r="I46" s="374"/>
      <c r="J46" s="374"/>
      <c r="K46" s="374"/>
      <c r="L46" s="373" t="s">
        <v>59</v>
      </c>
      <c r="M46" s="429" t="e">
        <f>#REF!</f>
        <v>#REF!</v>
      </c>
      <c r="N46" s="427" t="e">
        <f>#REF!*P2*Q2</f>
        <v>#REF!</v>
      </c>
      <c r="O46" s="428" t="e">
        <f>IF($A$45="",M46*N46,"")</f>
        <v>#REF!</v>
      </c>
      <c r="P46" s="7">
        <f t="shared" si="4"/>
        <v>0</v>
      </c>
      <c r="Q46" s="430"/>
      <c r="R46" s="430"/>
    </row>
    <row r="47" spans="1:18">
      <c r="A47" s="372"/>
      <c r="B47" s="374" t="s">
        <v>378</v>
      </c>
      <c r="C47" s="374"/>
      <c r="D47" s="374"/>
      <c r="E47" s="374"/>
      <c r="F47" s="374"/>
      <c r="G47" s="374"/>
      <c r="H47" s="374"/>
      <c r="I47" s="374"/>
      <c r="J47" s="374"/>
      <c r="K47" s="374"/>
      <c r="L47" s="373" t="s">
        <v>59</v>
      </c>
      <c r="M47" s="438" t="e">
        <f>#REF!</f>
        <v>#REF!</v>
      </c>
      <c r="N47" s="427" t="e">
        <f>#REF!*P2*Q2</f>
        <v>#REF!</v>
      </c>
      <c r="O47" s="428" t="e">
        <f>IF($A$45="",M47*N47,"")</f>
        <v>#REF!</v>
      </c>
      <c r="P47" s="7">
        <f t="shared" si="4"/>
        <v>0</v>
      </c>
      <c r="Q47" s="430"/>
      <c r="R47" s="430"/>
    </row>
    <row r="48" spans="1:18">
      <c r="A48" s="372"/>
      <c r="B48" s="374" t="s">
        <v>1117</v>
      </c>
      <c r="C48" s="374"/>
      <c r="D48" s="374"/>
      <c r="E48" s="374"/>
      <c r="F48" s="374"/>
      <c r="G48" s="374"/>
      <c r="H48" s="374"/>
      <c r="I48" s="374"/>
      <c r="J48" s="374"/>
      <c r="K48" s="374"/>
      <c r="L48" s="373" t="s">
        <v>43</v>
      </c>
      <c r="M48" s="429" t="e">
        <f>#REF!</f>
        <v>#REF!</v>
      </c>
      <c r="N48" s="427" t="e">
        <f>#REF!*$P$2*$Q$2</f>
        <v>#REF!</v>
      </c>
      <c r="O48" s="428" t="e">
        <f>IF($A$45="",M48*N48,"")</f>
        <v>#REF!</v>
      </c>
      <c r="P48" s="7">
        <f>IF($A$45=1,1,0)</f>
        <v>0</v>
      </c>
      <c r="Q48" s="430"/>
      <c r="R48" s="430"/>
    </row>
    <row r="49" spans="1:18">
      <c r="A49" s="372"/>
      <c r="B49" s="374" t="s">
        <v>1118</v>
      </c>
      <c r="C49" s="374"/>
      <c r="D49" s="374"/>
      <c r="E49" s="374"/>
      <c r="F49" s="374"/>
      <c r="G49" s="374"/>
      <c r="H49" s="374"/>
      <c r="I49" s="374"/>
      <c r="J49" s="374"/>
      <c r="K49" s="374"/>
      <c r="L49" s="373" t="s">
        <v>286</v>
      </c>
      <c r="M49" s="429"/>
      <c r="N49" s="427" t="e">
        <f>#REF!*$P$2*$Q$2</f>
        <v>#REF!</v>
      </c>
      <c r="O49" s="428" t="e">
        <f>IF($A$45="",M49*N49,"")</f>
        <v>#REF!</v>
      </c>
      <c r="P49" s="7">
        <f t="shared" si="4"/>
        <v>0</v>
      </c>
      <c r="Q49" s="430"/>
      <c r="R49" s="430"/>
    </row>
    <row r="50" spans="1:18">
      <c r="A50" s="372"/>
      <c r="B50" s="374"/>
      <c r="C50" s="374"/>
      <c r="D50" s="374"/>
      <c r="E50" s="374"/>
      <c r="F50" s="374"/>
      <c r="G50" s="374"/>
      <c r="H50" s="374"/>
      <c r="I50" s="374"/>
      <c r="J50" s="374"/>
      <c r="K50" s="374"/>
      <c r="L50" s="373"/>
      <c r="M50" s="429"/>
      <c r="N50" s="427"/>
      <c r="O50" s="428"/>
      <c r="P50" s="7">
        <f t="shared" si="4"/>
        <v>0</v>
      </c>
      <c r="Q50" s="430"/>
      <c r="R50" s="430"/>
    </row>
    <row r="51" spans="1:18">
      <c r="A51" s="372"/>
      <c r="B51" s="425" t="s">
        <v>993</v>
      </c>
      <c r="C51" s="425"/>
      <c r="D51" s="425"/>
      <c r="E51" s="425"/>
      <c r="F51" s="425"/>
      <c r="G51" s="425"/>
      <c r="H51" s="425"/>
      <c r="I51" s="425"/>
      <c r="J51" s="425"/>
      <c r="K51" s="425"/>
      <c r="L51" s="373"/>
      <c r="M51" s="432"/>
      <c r="N51" s="427"/>
      <c r="O51" s="428"/>
      <c r="P51" s="7">
        <f>IF($A$51=1,1,0)</f>
        <v>0</v>
      </c>
      <c r="Q51" s="430"/>
      <c r="R51" s="430"/>
    </row>
    <row r="52" spans="1:18">
      <c r="A52" s="372"/>
      <c r="B52" s="374" t="s">
        <v>916</v>
      </c>
      <c r="C52" s="374"/>
      <c r="D52" s="374"/>
      <c r="E52" s="374"/>
      <c r="F52" s="374"/>
      <c r="G52" s="374"/>
      <c r="H52" s="374"/>
      <c r="I52" s="374"/>
      <c r="J52" s="374"/>
      <c r="K52" s="374"/>
      <c r="L52" s="373" t="s">
        <v>67</v>
      </c>
      <c r="M52" s="429" t="e">
        <f>#REF!</f>
        <v>#REF!</v>
      </c>
      <c r="N52" s="427" t="e">
        <f>#REF!*P2*Q2</f>
        <v>#REF!</v>
      </c>
      <c r="O52" s="428" t="e">
        <f>M52*N52</f>
        <v>#REF!</v>
      </c>
      <c r="P52" s="7">
        <f>IF($A$51=1,1,0)</f>
        <v>0</v>
      </c>
      <c r="Q52" s="430"/>
      <c r="R52" s="430"/>
    </row>
    <row r="53" spans="1:18">
      <c r="A53" s="372"/>
      <c r="B53" s="374" t="s">
        <v>1119</v>
      </c>
      <c r="C53" s="374"/>
      <c r="D53" s="374"/>
      <c r="E53" s="374"/>
      <c r="F53" s="374"/>
      <c r="G53" s="374"/>
      <c r="H53" s="374"/>
      <c r="I53" s="374"/>
      <c r="J53" s="374"/>
      <c r="K53" s="374"/>
      <c r="L53" s="373" t="s">
        <v>67</v>
      </c>
      <c r="M53" s="429" t="e">
        <f>#REF!</f>
        <v>#REF!</v>
      </c>
      <c r="N53" s="427" t="e">
        <f>#REF!*P2*Q2</f>
        <v>#REF!</v>
      </c>
      <c r="O53" s="428" t="e">
        <f>M53*N53</f>
        <v>#REF!</v>
      </c>
      <c r="P53" s="7">
        <f>IF($A$51=1,1,0)</f>
        <v>0</v>
      </c>
      <c r="Q53" s="430"/>
      <c r="R53" s="430"/>
    </row>
    <row r="54" spans="1:18">
      <c r="A54" s="372"/>
      <c r="B54" s="374"/>
      <c r="C54" s="374"/>
      <c r="D54" s="374"/>
      <c r="E54" s="374"/>
      <c r="F54" s="374"/>
      <c r="G54" s="374"/>
      <c r="H54" s="374"/>
      <c r="I54" s="374"/>
      <c r="J54" s="374"/>
      <c r="K54" s="374"/>
      <c r="L54" s="373"/>
      <c r="M54" s="432"/>
      <c r="N54" s="427"/>
      <c r="O54" s="428"/>
      <c r="P54" s="7">
        <f>IF($A$55=1,1,0)</f>
        <v>0</v>
      </c>
      <c r="Q54" s="430"/>
      <c r="R54" s="430"/>
    </row>
    <row r="55" spans="1:18">
      <c r="A55" s="372"/>
      <c r="B55" s="425" t="s">
        <v>994</v>
      </c>
      <c r="C55" s="425"/>
      <c r="D55" s="425"/>
      <c r="E55" s="425"/>
      <c r="F55" s="425"/>
      <c r="G55" s="425"/>
      <c r="H55" s="425"/>
      <c r="I55" s="425"/>
      <c r="J55" s="425"/>
      <c r="K55" s="425"/>
      <c r="L55" s="373"/>
      <c r="M55" s="432"/>
      <c r="N55" s="427"/>
      <c r="O55" s="428"/>
      <c r="P55" s="7">
        <f>IF($A$55=1,1,0)</f>
        <v>0</v>
      </c>
      <c r="Q55" s="430"/>
      <c r="R55" s="430"/>
    </row>
    <row r="56" spans="1:18" ht="25.5">
      <c r="A56" s="372"/>
      <c r="B56" s="374" t="s">
        <v>1120</v>
      </c>
      <c r="C56" s="374"/>
      <c r="D56" s="374"/>
      <c r="E56" s="374"/>
      <c r="F56" s="374"/>
      <c r="G56" s="374"/>
      <c r="H56" s="374"/>
      <c r="I56" s="374"/>
      <c r="J56" s="374"/>
      <c r="K56" s="374"/>
      <c r="L56" s="373" t="s">
        <v>67</v>
      </c>
      <c r="M56" s="429" t="e">
        <f>#REF!</f>
        <v>#REF!</v>
      </c>
      <c r="N56" s="427" t="e">
        <f>#REF!*P2*Q2</f>
        <v>#REF!</v>
      </c>
      <c r="O56" s="428" t="e">
        <f>IF($A$55="",M56*N56,"")</f>
        <v>#REF!</v>
      </c>
      <c r="P56" s="7">
        <f>IF($A$55=1,1,0)</f>
        <v>0</v>
      </c>
      <c r="Q56" s="430"/>
      <c r="R56" s="430"/>
    </row>
    <row r="57" spans="1:18" ht="25.5">
      <c r="A57" s="372"/>
      <c r="B57" s="374" t="s">
        <v>1121</v>
      </c>
      <c r="C57" s="374"/>
      <c r="D57" s="374"/>
      <c r="E57" s="374"/>
      <c r="F57" s="374"/>
      <c r="G57" s="374"/>
      <c r="H57" s="374"/>
      <c r="I57" s="374"/>
      <c r="J57" s="374"/>
      <c r="K57" s="374"/>
      <c r="L57" s="373" t="s">
        <v>67</v>
      </c>
      <c r="M57" s="429" t="e">
        <f>#REF!+#REF!</f>
        <v>#REF!</v>
      </c>
      <c r="N57" s="427" t="e">
        <f>#REF!*P2*Q2</f>
        <v>#REF!</v>
      </c>
      <c r="O57" s="428" t="e">
        <f>IF($A$55="",M57*N57,"")</f>
        <v>#REF!</v>
      </c>
      <c r="P57" s="7">
        <f>IF($A$55=1,1,0)</f>
        <v>0</v>
      </c>
      <c r="Q57" s="430"/>
      <c r="R57" s="430"/>
    </row>
    <row r="58" spans="1:18">
      <c r="A58" s="372"/>
      <c r="B58" s="374"/>
      <c r="C58" s="374"/>
      <c r="D58" s="374"/>
      <c r="E58" s="374"/>
      <c r="F58" s="374"/>
      <c r="G58" s="374"/>
      <c r="H58" s="374"/>
      <c r="I58" s="374"/>
      <c r="J58" s="374"/>
      <c r="K58" s="374"/>
      <c r="L58" s="373"/>
      <c r="M58" s="432"/>
      <c r="N58" s="427"/>
      <c r="O58" s="428"/>
      <c r="P58" s="7">
        <f t="shared" ref="P58:P63" si="5">IF($A$59=1,1,0)</f>
        <v>0</v>
      </c>
      <c r="Q58" s="430"/>
      <c r="R58" s="430"/>
    </row>
    <row r="59" spans="1:18">
      <c r="A59" s="372"/>
      <c r="B59" s="425" t="s">
        <v>167</v>
      </c>
      <c r="C59" s="425"/>
      <c r="D59" s="425"/>
      <c r="E59" s="425"/>
      <c r="F59" s="425"/>
      <c r="G59" s="425"/>
      <c r="H59" s="425"/>
      <c r="I59" s="425"/>
      <c r="J59" s="425"/>
      <c r="K59" s="425"/>
      <c r="L59" s="373"/>
      <c r="M59" s="432"/>
      <c r="N59" s="427"/>
      <c r="O59" s="428"/>
      <c r="P59" s="7">
        <f t="shared" si="5"/>
        <v>0</v>
      </c>
      <c r="Q59" s="430"/>
      <c r="R59" s="430"/>
    </row>
    <row r="60" spans="1:18">
      <c r="A60" s="372"/>
      <c r="B60" s="374" t="s">
        <v>168</v>
      </c>
      <c r="C60" s="374"/>
      <c r="D60" s="374"/>
      <c r="E60" s="374"/>
      <c r="F60" s="374"/>
      <c r="G60" s="374"/>
      <c r="H60" s="374"/>
      <c r="I60" s="374"/>
      <c r="J60" s="374"/>
      <c r="K60" s="374"/>
      <c r="L60" s="373" t="s">
        <v>67</v>
      </c>
      <c r="M60" s="429" t="e">
        <f>#REF!</f>
        <v>#REF!</v>
      </c>
      <c r="N60" s="427" t="e">
        <f>#REF!*P2*Q2</f>
        <v>#REF!</v>
      </c>
      <c r="O60" s="428" t="e">
        <f>IF($A$59="",M60*N60,"")</f>
        <v>#REF!</v>
      </c>
      <c r="P60" s="7">
        <f t="shared" si="5"/>
        <v>0</v>
      </c>
      <c r="Q60" s="430"/>
      <c r="R60" s="430"/>
    </row>
    <row r="61" spans="1:18">
      <c r="A61" s="372"/>
      <c r="B61" s="374" t="s">
        <v>1122</v>
      </c>
      <c r="C61" s="374"/>
      <c r="D61" s="374"/>
      <c r="E61" s="374"/>
      <c r="F61" s="374"/>
      <c r="G61" s="374"/>
      <c r="H61" s="374"/>
      <c r="I61" s="374"/>
      <c r="J61" s="374"/>
      <c r="K61" s="374"/>
      <c r="L61" s="373" t="s">
        <v>67</v>
      </c>
      <c r="M61" s="429" t="e">
        <f>#REF!</f>
        <v>#REF!</v>
      </c>
      <c r="N61" s="427" t="e">
        <f>#REF!*P2*Q2</f>
        <v>#REF!</v>
      </c>
      <c r="O61" s="428" t="e">
        <f>IF($A$59="",M61*N61,"")</f>
        <v>#REF!</v>
      </c>
      <c r="P61" s="7">
        <f t="shared" si="5"/>
        <v>0</v>
      </c>
      <c r="Q61" s="430"/>
      <c r="R61" s="430"/>
    </row>
    <row r="62" spans="1:18">
      <c r="A62" s="372"/>
      <c r="B62" s="374" t="s">
        <v>171</v>
      </c>
      <c r="C62" s="374"/>
      <c r="D62" s="374"/>
      <c r="E62" s="374"/>
      <c r="F62" s="374"/>
      <c r="G62" s="374"/>
      <c r="H62" s="374"/>
      <c r="I62" s="374"/>
      <c r="J62" s="374"/>
      <c r="K62" s="374"/>
      <c r="L62" s="373" t="s">
        <v>67</v>
      </c>
      <c r="M62" s="429" t="e">
        <f>#REF!</f>
        <v>#REF!</v>
      </c>
      <c r="N62" s="427" t="e">
        <f>#REF!*P2*Q2</f>
        <v>#REF!</v>
      </c>
      <c r="O62" s="428" t="e">
        <f>IF($A$59="",M62*N62,"")</f>
        <v>#REF!</v>
      </c>
      <c r="P62" s="7">
        <f t="shared" si="5"/>
        <v>0</v>
      </c>
      <c r="Q62" s="430"/>
      <c r="R62" s="430"/>
    </row>
    <row r="63" spans="1:18">
      <c r="A63" s="372"/>
      <c r="B63" s="374" t="s">
        <v>387</v>
      </c>
      <c r="C63" s="374"/>
      <c r="D63" s="374"/>
      <c r="E63" s="374"/>
      <c r="F63" s="374"/>
      <c r="G63" s="374"/>
      <c r="H63" s="374"/>
      <c r="I63" s="374"/>
      <c r="J63" s="374"/>
      <c r="K63" s="374"/>
      <c r="L63" s="373" t="s">
        <v>67</v>
      </c>
      <c r="M63" s="429" t="e">
        <f>#REF!+#REF!</f>
        <v>#REF!</v>
      </c>
      <c r="N63" s="427" t="e">
        <f>#REF!*P2*Q2</f>
        <v>#REF!</v>
      </c>
      <c r="O63" s="428" t="e">
        <f>IF($A$59="",M63*N63,"")</f>
        <v>#REF!</v>
      </c>
      <c r="P63" s="7">
        <f t="shared" si="5"/>
        <v>0</v>
      </c>
      <c r="Q63" s="430"/>
      <c r="R63" s="430"/>
    </row>
    <row r="64" spans="1:18">
      <c r="A64" s="372"/>
      <c r="B64" s="374"/>
      <c r="C64" s="374"/>
      <c r="D64" s="374"/>
      <c r="E64" s="374"/>
      <c r="F64" s="374"/>
      <c r="G64" s="374"/>
      <c r="H64" s="374"/>
      <c r="I64" s="374"/>
      <c r="J64" s="374"/>
      <c r="K64" s="374"/>
      <c r="L64" s="373"/>
      <c r="M64" s="432"/>
      <c r="N64" s="427"/>
      <c r="O64" s="428"/>
      <c r="P64" s="7">
        <f>IF($A$65=1,1,0)</f>
        <v>0</v>
      </c>
      <c r="Q64" s="430"/>
      <c r="R64" s="430"/>
    </row>
    <row r="65" spans="1:19">
      <c r="A65" s="372"/>
      <c r="B65" s="425" t="s">
        <v>992</v>
      </c>
      <c r="C65" s="425"/>
      <c r="D65" s="425"/>
      <c r="E65" s="425"/>
      <c r="F65" s="425"/>
      <c r="G65" s="425"/>
      <c r="H65" s="425"/>
      <c r="I65" s="425"/>
      <c r="J65" s="425"/>
      <c r="K65" s="425"/>
      <c r="L65" s="373"/>
      <c r="M65" s="432"/>
      <c r="N65" s="427"/>
      <c r="O65" s="428"/>
      <c r="P65" s="7">
        <f t="shared" ref="P65:P74" si="6">IF($A$65=1,1,0)</f>
        <v>0</v>
      </c>
      <c r="Q65" s="430"/>
      <c r="R65" s="430"/>
    </row>
    <row r="66" spans="1:19">
      <c r="A66" s="372"/>
      <c r="B66" s="374" t="s">
        <v>285</v>
      </c>
      <c r="C66" s="374"/>
      <c r="D66" s="374"/>
      <c r="E66" s="374"/>
      <c r="F66" s="374"/>
      <c r="G66" s="374"/>
      <c r="H66" s="374"/>
      <c r="I66" s="374"/>
      <c r="J66" s="374"/>
      <c r="K66" s="374"/>
      <c r="L66" s="373" t="s">
        <v>59</v>
      </c>
      <c r="M66" s="431">
        <v>58</v>
      </c>
      <c r="N66" s="427" t="e">
        <f>#REF!*P2*Q2</f>
        <v>#REF!</v>
      </c>
      <c r="O66" s="439" t="e">
        <f>IF($A$65="",M66*N66,"")</f>
        <v>#REF!</v>
      </c>
      <c r="P66" s="7">
        <f t="shared" si="6"/>
        <v>0</v>
      </c>
      <c r="Q66" s="430"/>
      <c r="R66" s="430"/>
    </row>
    <row r="67" spans="1:19">
      <c r="A67" s="372"/>
      <c r="B67" s="374" t="s">
        <v>296</v>
      </c>
      <c r="C67" s="374"/>
      <c r="D67" s="374"/>
      <c r="E67" s="374"/>
      <c r="F67" s="374"/>
      <c r="G67" s="374"/>
      <c r="H67" s="374"/>
      <c r="I67" s="374"/>
      <c r="J67" s="374"/>
      <c r="K67" s="374"/>
      <c r="L67" s="373" t="s">
        <v>59</v>
      </c>
      <c r="M67" s="429" t="e">
        <f>#REF!</f>
        <v>#REF!</v>
      </c>
      <c r="N67" s="427" t="e">
        <f>#REF!*P2*Q2</f>
        <v>#REF!</v>
      </c>
      <c r="O67" s="439" t="e">
        <f t="shared" ref="O67:O74" si="7">IF($A$65="",M67*N67,"")</f>
        <v>#REF!</v>
      </c>
      <c r="P67" s="7">
        <f t="shared" si="6"/>
        <v>0</v>
      </c>
      <c r="Q67" s="430"/>
      <c r="R67" s="430"/>
    </row>
    <row r="68" spans="1:19">
      <c r="A68" s="372"/>
      <c r="B68" s="374" t="s">
        <v>907</v>
      </c>
      <c r="C68" s="374"/>
      <c r="D68" s="374"/>
      <c r="E68" s="374"/>
      <c r="F68" s="374"/>
      <c r="G68" s="374"/>
      <c r="H68" s="374"/>
      <c r="I68" s="374"/>
      <c r="J68" s="374"/>
      <c r="K68" s="374"/>
      <c r="L68" s="373" t="s">
        <v>67</v>
      </c>
      <c r="M68" s="429" t="e">
        <f>#REF!</f>
        <v>#REF!</v>
      </c>
      <c r="N68" s="427" t="e">
        <f>#REF!*P2*Q2</f>
        <v>#REF!</v>
      </c>
      <c r="O68" s="439" t="e">
        <f t="shared" si="7"/>
        <v>#REF!</v>
      </c>
      <c r="P68" s="7">
        <f t="shared" si="6"/>
        <v>0</v>
      </c>
      <c r="Q68" s="440"/>
      <c r="R68" s="440"/>
      <c r="S68" s="13"/>
    </row>
    <row r="69" spans="1:19">
      <c r="A69" s="372"/>
      <c r="B69" s="374" t="s">
        <v>905</v>
      </c>
      <c r="C69" s="374"/>
      <c r="D69" s="374"/>
      <c r="E69" s="374"/>
      <c r="F69" s="374"/>
      <c r="G69" s="374"/>
      <c r="H69" s="374"/>
      <c r="I69" s="374"/>
      <c r="J69" s="374"/>
      <c r="K69" s="374"/>
      <c r="L69" s="373" t="s">
        <v>59</v>
      </c>
      <c r="M69" s="429" t="e">
        <f>#REF!</f>
        <v>#REF!</v>
      </c>
      <c r="N69" s="427" t="e">
        <f>#REF!*P2*Q2</f>
        <v>#REF!</v>
      </c>
      <c r="O69" s="439" t="e">
        <f t="shared" si="7"/>
        <v>#REF!</v>
      </c>
      <c r="P69" s="7">
        <f t="shared" si="6"/>
        <v>0</v>
      </c>
      <c r="Q69" s="440"/>
      <c r="R69" s="440"/>
      <c r="S69" s="13"/>
    </row>
    <row r="70" spans="1:19">
      <c r="A70" s="372"/>
      <c r="B70" s="374" t="s">
        <v>906</v>
      </c>
      <c r="C70" s="374"/>
      <c r="D70" s="374"/>
      <c r="E70" s="374"/>
      <c r="F70" s="374"/>
      <c r="G70" s="374"/>
      <c r="H70" s="374"/>
      <c r="I70" s="374"/>
      <c r="J70" s="374"/>
      <c r="K70" s="374"/>
      <c r="L70" s="373" t="s">
        <v>59</v>
      </c>
      <c r="M70" s="429" t="e">
        <f>#REF!+#REF!</f>
        <v>#REF!</v>
      </c>
      <c r="N70" s="427" t="e">
        <f>#REF!*P2*Q2</f>
        <v>#REF!</v>
      </c>
      <c r="O70" s="439" t="e">
        <f t="shared" si="7"/>
        <v>#REF!</v>
      </c>
      <c r="P70" s="7">
        <f t="shared" si="6"/>
        <v>0</v>
      </c>
      <c r="Q70" s="440"/>
      <c r="R70" s="440"/>
      <c r="S70" s="13"/>
    </row>
    <row r="71" spans="1:19">
      <c r="A71" s="372"/>
      <c r="B71" s="374" t="s">
        <v>162</v>
      </c>
      <c r="C71" s="374"/>
      <c r="D71" s="374"/>
      <c r="E71" s="374"/>
      <c r="F71" s="374"/>
      <c r="G71" s="374"/>
      <c r="H71" s="374"/>
      <c r="I71" s="374"/>
      <c r="J71" s="374"/>
      <c r="K71" s="374"/>
      <c r="L71" s="373" t="s">
        <v>59</v>
      </c>
      <c r="M71" s="429" t="e">
        <f>#REF!</f>
        <v>#REF!</v>
      </c>
      <c r="N71" s="427" t="e">
        <f>#REF!*P2*Q2</f>
        <v>#REF!</v>
      </c>
      <c r="O71" s="439" t="e">
        <f t="shared" si="7"/>
        <v>#REF!</v>
      </c>
      <c r="P71" s="7">
        <f t="shared" si="6"/>
        <v>0</v>
      </c>
      <c r="Q71" s="440"/>
      <c r="R71" s="440"/>
      <c r="S71" s="13"/>
    </row>
    <row r="72" spans="1:19">
      <c r="A72" s="372"/>
      <c r="B72" s="374" t="s">
        <v>371</v>
      </c>
      <c r="C72" s="374"/>
      <c r="D72" s="374"/>
      <c r="E72" s="374"/>
      <c r="F72" s="374"/>
      <c r="G72" s="374"/>
      <c r="H72" s="374"/>
      <c r="I72" s="374"/>
      <c r="J72" s="374"/>
      <c r="K72" s="374"/>
      <c r="L72" s="373" t="s">
        <v>59</v>
      </c>
      <c r="M72" s="429" t="e">
        <f>#REF!</f>
        <v>#REF!</v>
      </c>
      <c r="N72" s="427" t="e">
        <f>#REF!*P2*Q2</f>
        <v>#REF!</v>
      </c>
      <c r="O72" s="439" t="e">
        <f t="shared" si="7"/>
        <v>#REF!</v>
      </c>
      <c r="P72" s="7">
        <f t="shared" si="6"/>
        <v>0</v>
      </c>
      <c r="Q72" s="440"/>
      <c r="R72" s="440"/>
      <c r="S72" s="13"/>
    </row>
    <row r="73" spans="1:19">
      <c r="A73" s="372"/>
      <c r="B73" s="374" t="s">
        <v>374</v>
      </c>
      <c r="C73" s="374"/>
      <c r="D73" s="374"/>
      <c r="E73" s="374"/>
      <c r="F73" s="374"/>
      <c r="G73" s="374"/>
      <c r="H73" s="374"/>
      <c r="I73" s="374"/>
      <c r="J73" s="374"/>
      <c r="K73" s="374"/>
      <c r="L73" s="373" t="s">
        <v>59</v>
      </c>
      <c r="M73" s="429" t="e">
        <f>#REF!</f>
        <v>#REF!</v>
      </c>
      <c r="N73" s="427" t="e">
        <f>#REF!*$P$2*$Q$2</f>
        <v>#REF!</v>
      </c>
      <c r="O73" s="439" t="e">
        <f t="shared" si="7"/>
        <v>#REF!</v>
      </c>
      <c r="P73" s="7">
        <f t="shared" si="6"/>
        <v>0</v>
      </c>
      <c r="Q73" s="440"/>
      <c r="R73" s="440"/>
      <c r="S73" s="13"/>
    </row>
    <row r="74" spans="1:19">
      <c r="A74" s="372"/>
      <c r="B74" s="374" t="s">
        <v>1123</v>
      </c>
      <c r="C74" s="374"/>
      <c r="D74" s="374"/>
      <c r="E74" s="374"/>
      <c r="F74" s="374"/>
      <c r="G74" s="374"/>
      <c r="H74" s="374"/>
      <c r="I74" s="374"/>
      <c r="J74" s="374"/>
      <c r="K74" s="374"/>
      <c r="L74" s="373" t="s">
        <v>59</v>
      </c>
      <c r="M74" s="429">
        <v>0</v>
      </c>
      <c r="N74" s="427" t="e">
        <f>#REF!*$P$2*$Q$2</f>
        <v>#REF!</v>
      </c>
      <c r="O74" s="439" t="e">
        <f t="shared" si="7"/>
        <v>#REF!</v>
      </c>
      <c r="P74" s="7">
        <f t="shared" si="6"/>
        <v>0</v>
      </c>
      <c r="Q74" s="440"/>
      <c r="R74" s="440"/>
      <c r="S74" s="13"/>
    </row>
    <row r="75" spans="1:19">
      <c r="A75" s="372"/>
      <c r="B75" s="374"/>
      <c r="C75" s="374"/>
      <c r="D75" s="374"/>
      <c r="E75" s="374"/>
      <c r="F75" s="374"/>
      <c r="G75" s="374"/>
      <c r="H75" s="374"/>
      <c r="I75" s="374"/>
      <c r="J75" s="374"/>
      <c r="K75" s="374"/>
      <c r="L75" s="373"/>
      <c r="M75" s="429"/>
      <c r="N75" s="427"/>
      <c r="O75" s="428"/>
      <c r="P75" s="7">
        <f>IF($A$76=1,1,0)</f>
        <v>0</v>
      </c>
      <c r="Q75" s="440"/>
      <c r="R75" s="440"/>
      <c r="S75" s="13"/>
    </row>
    <row r="76" spans="1:19">
      <c r="A76" s="372"/>
      <c r="B76" s="425" t="s">
        <v>1058</v>
      </c>
      <c r="C76" s="425"/>
      <c r="D76" s="425"/>
      <c r="E76" s="425"/>
      <c r="F76" s="425"/>
      <c r="G76" s="425"/>
      <c r="H76" s="425"/>
      <c r="I76" s="425"/>
      <c r="J76" s="425"/>
      <c r="K76" s="425"/>
      <c r="L76" s="373"/>
      <c r="M76" s="432"/>
      <c r="N76" s="427"/>
      <c r="O76" s="439"/>
      <c r="P76" s="7">
        <f t="shared" ref="P76:P87" si="8">IF($A$76=1,1,0)</f>
        <v>0</v>
      </c>
      <c r="Q76" s="440"/>
      <c r="R76" s="440"/>
      <c r="S76" s="13"/>
    </row>
    <row r="77" spans="1:19">
      <c r="A77" s="372"/>
      <c r="B77" s="374" t="s">
        <v>1059</v>
      </c>
      <c r="C77" s="374"/>
      <c r="D77" s="374"/>
      <c r="E77" s="374"/>
      <c r="F77" s="374"/>
      <c r="G77" s="374"/>
      <c r="H77" s="374"/>
      <c r="I77" s="374"/>
      <c r="J77" s="374"/>
      <c r="K77" s="374"/>
      <c r="L77" s="373" t="s">
        <v>0</v>
      </c>
      <c r="M77" s="431">
        <v>2</v>
      </c>
      <c r="N77" s="427" t="e">
        <f>#REF!*P2*Q2</f>
        <v>#REF!</v>
      </c>
      <c r="O77" s="428" t="e">
        <f>IF($A$76="",M77*N77,"")</f>
        <v>#REF!</v>
      </c>
      <c r="P77" s="7">
        <f t="shared" si="8"/>
        <v>0</v>
      </c>
      <c r="Q77" s="440"/>
      <c r="R77" s="440"/>
      <c r="S77" s="13"/>
    </row>
    <row r="78" spans="1:19">
      <c r="A78" s="372"/>
      <c r="B78" s="374" t="s">
        <v>1062</v>
      </c>
      <c r="C78" s="374"/>
      <c r="D78" s="374"/>
      <c r="E78" s="374"/>
      <c r="F78" s="374"/>
      <c r="G78" s="374"/>
      <c r="H78" s="374"/>
      <c r="I78" s="374"/>
      <c r="J78" s="374"/>
      <c r="K78" s="374"/>
      <c r="L78" s="373" t="s">
        <v>0</v>
      </c>
      <c r="M78" s="431">
        <v>0</v>
      </c>
      <c r="N78" s="427" t="e">
        <f>#REF!*P2*Q2</f>
        <v>#REF!</v>
      </c>
      <c r="O78" s="428" t="e">
        <f t="shared" ref="O78:O86" si="9">IF($A$76="",M78*N78,"")</f>
        <v>#REF!</v>
      </c>
      <c r="P78" s="7">
        <f t="shared" si="8"/>
        <v>0</v>
      </c>
      <c r="Q78" s="440"/>
      <c r="R78" s="440"/>
      <c r="S78" s="13"/>
    </row>
    <row r="79" spans="1:19">
      <c r="A79" s="372"/>
      <c r="B79" s="374" t="s">
        <v>1063</v>
      </c>
      <c r="C79" s="374"/>
      <c r="D79" s="374"/>
      <c r="E79" s="374"/>
      <c r="F79" s="374"/>
      <c r="G79" s="374"/>
      <c r="H79" s="374"/>
      <c r="I79" s="374"/>
      <c r="J79" s="374"/>
      <c r="K79" s="374"/>
      <c r="L79" s="373" t="s">
        <v>0</v>
      </c>
      <c r="M79" s="431">
        <v>1</v>
      </c>
      <c r="N79" s="427" t="e">
        <f>#REF!*P2*Q2</f>
        <v>#REF!</v>
      </c>
      <c r="O79" s="428" t="e">
        <f t="shared" si="9"/>
        <v>#REF!</v>
      </c>
      <c r="P79" s="7">
        <f t="shared" si="8"/>
        <v>0</v>
      </c>
      <c r="Q79" s="440"/>
      <c r="R79" s="440"/>
      <c r="S79" s="13"/>
    </row>
    <row r="80" spans="1:19">
      <c r="A80" s="372"/>
      <c r="B80" s="374" t="s">
        <v>1064</v>
      </c>
      <c r="C80" s="374"/>
      <c r="D80" s="374"/>
      <c r="E80" s="374"/>
      <c r="F80" s="374"/>
      <c r="G80" s="374"/>
      <c r="H80" s="374"/>
      <c r="I80" s="374"/>
      <c r="J80" s="374"/>
      <c r="K80" s="374"/>
      <c r="L80" s="373" t="s">
        <v>0</v>
      </c>
      <c r="M80" s="431">
        <v>1</v>
      </c>
      <c r="N80" s="427" t="e">
        <f>#REF!*P2*Q2</f>
        <v>#REF!</v>
      </c>
      <c r="O80" s="428" t="e">
        <f t="shared" si="9"/>
        <v>#REF!</v>
      </c>
      <c r="P80" s="7">
        <f t="shared" si="8"/>
        <v>0</v>
      </c>
      <c r="Q80" s="440"/>
      <c r="R80" s="440"/>
      <c r="S80" s="13"/>
    </row>
    <row r="81" spans="1:19">
      <c r="A81" s="372"/>
      <c r="B81" s="374" t="s">
        <v>1066</v>
      </c>
      <c r="C81" s="374"/>
      <c r="D81" s="374"/>
      <c r="E81" s="374"/>
      <c r="F81" s="374"/>
      <c r="G81" s="374"/>
      <c r="H81" s="374"/>
      <c r="I81" s="374"/>
      <c r="J81" s="374"/>
      <c r="K81" s="374"/>
      <c r="L81" s="373" t="s">
        <v>0</v>
      </c>
      <c r="M81" s="431">
        <v>0</v>
      </c>
      <c r="N81" s="427" t="e">
        <f>#REF!*P2*Q2</f>
        <v>#REF!</v>
      </c>
      <c r="O81" s="428" t="e">
        <f t="shared" si="9"/>
        <v>#REF!</v>
      </c>
      <c r="P81" s="7">
        <f t="shared" si="8"/>
        <v>0</v>
      </c>
      <c r="Q81" s="440"/>
      <c r="R81" s="440"/>
      <c r="S81" s="13"/>
    </row>
    <row r="82" spans="1:19">
      <c r="A82" s="372"/>
      <c r="B82" s="374" t="s">
        <v>1068</v>
      </c>
      <c r="C82" s="374"/>
      <c r="D82" s="374"/>
      <c r="E82" s="374"/>
      <c r="F82" s="374"/>
      <c r="G82" s="374"/>
      <c r="H82" s="374"/>
      <c r="I82" s="374"/>
      <c r="J82" s="374"/>
      <c r="K82" s="374"/>
      <c r="L82" s="373" t="s">
        <v>0</v>
      </c>
      <c r="M82" s="431">
        <v>1</v>
      </c>
      <c r="N82" s="427" t="e">
        <f>#REF!*P2*Q2</f>
        <v>#REF!</v>
      </c>
      <c r="O82" s="428" t="e">
        <f t="shared" si="9"/>
        <v>#REF!</v>
      </c>
      <c r="P82" s="7">
        <f t="shared" si="8"/>
        <v>0</v>
      </c>
      <c r="Q82" s="440"/>
      <c r="R82" s="440"/>
      <c r="S82" s="440"/>
    </row>
    <row r="83" spans="1:19">
      <c r="A83" s="372"/>
      <c r="B83" s="374" t="s">
        <v>1069</v>
      </c>
      <c r="C83" s="374"/>
      <c r="D83" s="374"/>
      <c r="E83" s="374"/>
      <c r="F83" s="374"/>
      <c r="G83" s="374"/>
      <c r="H83" s="374"/>
      <c r="I83" s="374"/>
      <c r="J83" s="374"/>
      <c r="K83" s="374"/>
      <c r="L83" s="373" t="s">
        <v>0</v>
      </c>
      <c r="M83" s="431">
        <v>3</v>
      </c>
      <c r="N83" s="427" t="e">
        <f>#REF!*P2*Q2</f>
        <v>#REF!</v>
      </c>
      <c r="O83" s="428" t="e">
        <f t="shared" si="9"/>
        <v>#REF!</v>
      </c>
      <c r="P83" s="7">
        <f t="shared" si="8"/>
        <v>0</v>
      </c>
      <c r="Q83" s="13"/>
      <c r="R83" s="440"/>
      <c r="S83" s="13"/>
    </row>
    <row r="84" spans="1:19">
      <c r="A84" s="372"/>
      <c r="B84" s="374" t="s">
        <v>1055</v>
      </c>
      <c r="C84" s="374"/>
      <c r="D84" s="374"/>
      <c r="E84" s="374"/>
      <c r="F84" s="374"/>
      <c r="G84" s="374"/>
      <c r="H84" s="374"/>
      <c r="I84" s="374"/>
      <c r="J84" s="374"/>
      <c r="K84" s="374"/>
      <c r="L84" s="373" t="s">
        <v>0</v>
      </c>
      <c r="M84" s="431">
        <v>1</v>
      </c>
      <c r="N84" s="427" t="e">
        <f>#REF!*P2*Q2</f>
        <v>#REF!</v>
      </c>
      <c r="O84" s="428" t="e">
        <f t="shared" si="9"/>
        <v>#REF!</v>
      </c>
      <c r="P84" s="7">
        <f t="shared" si="8"/>
        <v>0</v>
      </c>
      <c r="Q84" s="430"/>
      <c r="R84" s="430"/>
      <c r="S84" s="430"/>
    </row>
    <row r="85" spans="1:19">
      <c r="A85" s="372"/>
      <c r="B85" s="374" t="s">
        <v>1086</v>
      </c>
      <c r="C85" s="374"/>
      <c r="D85" s="374"/>
      <c r="E85" s="374"/>
      <c r="F85" s="374"/>
      <c r="G85" s="374"/>
      <c r="H85" s="374"/>
      <c r="I85" s="374"/>
      <c r="J85" s="374"/>
      <c r="K85" s="374"/>
      <c r="L85" s="373" t="s">
        <v>59</v>
      </c>
      <c r="M85" s="431">
        <v>19</v>
      </c>
      <c r="N85" s="427" t="e">
        <f>#REF!*P2*Q2</f>
        <v>#REF!</v>
      </c>
      <c r="O85" s="428" t="e">
        <f t="shared" si="9"/>
        <v>#REF!</v>
      </c>
      <c r="P85" s="7">
        <f t="shared" si="8"/>
        <v>0</v>
      </c>
      <c r="Q85" s="440"/>
      <c r="R85" s="430"/>
    </row>
    <row r="86" spans="1:19">
      <c r="A86" s="372"/>
      <c r="B86" s="374" t="s">
        <v>1080</v>
      </c>
      <c r="C86" s="374"/>
      <c r="D86" s="374"/>
      <c r="E86" s="374"/>
      <c r="F86" s="374"/>
      <c r="G86" s="374"/>
      <c r="H86" s="374"/>
      <c r="I86" s="374"/>
      <c r="J86" s="374"/>
      <c r="K86" s="374"/>
      <c r="L86" s="373" t="s">
        <v>59</v>
      </c>
      <c r="M86" s="431">
        <v>38</v>
      </c>
      <c r="N86" s="427" t="e">
        <f>#REF!*P2*Q2</f>
        <v>#REF!</v>
      </c>
      <c r="O86" s="428" t="e">
        <f t="shared" si="9"/>
        <v>#REF!</v>
      </c>
      <c r="P86" s="7">
        <f t="shared" si="8"/>
        <v>0</v>
      </c>
      <c r="Q86" s="441"/>
      <c r="R86" s="430"/>
      <c r="S86" s="430"/>
    </row>
    <row r="87" spans="1:19">
      <c r="A87" s="372"/>
      <c r="B87" s="374"/>
      <c r="C87" s="374"/>
      <c r="D87" s="374"/>
      <c r="E87" s="374"/>
      <c r="F87" s="374"/>
      <c r="G87" s="374"/>
      <c r="H87" s="374"/>
      <c r="I87" s="374"/>
      <c r="J87" s="374"/>
      <c r="K87" s="374"/>
      <c r="L87" s="373"/>
      <c r="M87" s="431"/>
      <c r="N87" s="427"/>
      <c r="O87" s="428"/>
      <c r="P87" s="7">
        <f t="shared" si="8"/>
        <v>0</v>
      </c>
      <c r="Q87" s="442" t="e">
        <f>SUM(O77:O86)</f>
        <v>#REF!</v>
      </c>
      <c r="R87" s="430"/>
      <c r="S87" s="430"/>
    </row>
    <row r="88" spans="1:19">
      <c r="A88" s="372"/>
      <c r="B88" s="425" t="s">
        <v>1032</v>
      </c>
      <c r="C88" s="425"/>
      <c r="D88" s="425"/>
      <c r="E88" s="425"/>
      <c r="F88" s="425"/>
      <c r="G88" s="425"/>
      <c r="H88" s="425"/>
      <c r="I88" s="425"/>
      <c r="J88" s="425"/>
      <c r="K88" s="425"/>
      <c r="L88" s="373"/>
      <c r="M88" s="432"/>
      <c r="N88" s="427"/>
      <c r="O88" s="428"/>
      <c r="P88" s="7">
        <f>IF($A$88=1,1,0)</f>
        <v>0</v>
      </c>
      <c r="R88" s="430"/>
      <c r="S88" s="430"/>
    </row>
    <row r="89" spans="1:19">
      <c r="A89" s="372"/>
      <c r="B89" s="374"/>
      <c r="C89" s="374"/>
      <c r="D89" s="374"/>
      <c r="E89" s="374"/>
      <c r="F89" s="374"/>
      <c r="G89" s="374"/>
      <c r="H89" s="374"/>
      <c r="I89" s="374"/>
      <c r="J89" s="374"/>
      <c r="K89" s="374"/>
      <c r="L89" s="373"/>
      <c r="M89" s="432"/>
      <c r="N89" s="427"/>
      <c r="O89" s="428"/>
      <c r="P89" s="7">
        <f>IF($A$88=1,1,0)</f>
        <v>0</v>
      </c>
      <c r="Q89" s="13"/>
      <c r="R89" s="430"/>
      <c r="S89" s="430"/>
    </row>
    <row r="90" spans="1:19" ht="25.5">
      <c r="A90" s="372"/>
      <c r="B90" s="374" t="s">
        <v>1124</v>
      </c>
      <c r="C90" s="374"/>
      <c r="D90" s="374"/>
      <c r="E90" s="374"/>
      <c r="F90" s="374"/>
      <c r="G90" s="374"/>
      <c r="H90" s="374"/>
      <c r="I90" s="374"/>
      <c r="J90" s="374"/>
      <c r="K90" s="374"/>
      <c r="L90" s="373" t="s">
        <v>67</v>
      </c>
      <c r="M90" s="429" t="e">
        <f>#REF!</f>
        <v>#REF!</v>
      </c>
      <c r="N90" s="427" t="e">
        <f>#REF!*P2*Q2</f>
        <v>#REF!</v>
      </c>
      <c r="O90" s="428" t="e">
        <f>IF($A$88="",M90*N90,"")</f>
        <v>#REF!</v>
      </c>
      <c r="P90" s="7">
        <f>IF($A$88=1,1,0)</f>
        <v>0</v>
      </c>
      <c r="Q90" s="430"/>
      <c r="R90" s="430"/>
    </row>
    <row r="91" spans="1:19">
      <c r="A91" s="372"/>
      <c r="B91" s="374"/>
      <c r="C91" s="374"/>
      <c r="D91" s="374"/>
      <c r="E91" s="374"/>
      <c r="F91" s="374"/>
      <c r="G91" s="374"/>
      <c r="H91" s="374"/>
      <c r="I91" s="374"/>
      <c r="J91" s="374"/>
      <c r="K91" s="374"/>
      <c r="L91" s="373"/>
      <c r="M91" s="432"/>
      <c r="N91" s="427"/>
      <c r="O91" s="428"/>
      <c r="P91" s="7">
        <f>IF($A$92=1,1,0)</f>
        <v>0</v>
      </c>
      <c r="Q91" s="430"/>
      <c r="R91" s="430"/>
    </row>
    <row r="92" spans="1:19">
      <c r="A92" s="372"/>
      <c r="B92" s="425" t="s">
        <v>1125</v>
      </c>
      <c r="C92" s="425"/>
      <c r="D92" s="425"/>
      <c r="E92" s="425"/>
      <c r="F92" s="425"/>
      <c r="G92" s="425"/>
      <c r="H92" s="425"/>
      <c r="I92" s="425"/>
      <c r="J92" s="425"/>
      <c r="K92" s="425"/>
      <c r="L92" s="373"/>
      <c r="M92" s="432"/>
      <c r="N92" s="427"/>
      <c r="O92" s="428"/>
      <c r="P92" s="7">
        <f>IF($A$92=1,1,0)</f>
        <v>0</v>
      </c>
      <c r="Q92" s="430"/>
      <c r="R92" s="430"/>
    </row>
    <row r="93" spans="1:19">
      <c r="A93" s="372"/>
      <c r="B93" s="374" t="s">
        <v>1126</v>
      </c>
      <c r="C93" s="374"/>
      <c r="D93" s="374"/>
      <c r="E93" s="374"/>
      <c r="F93" s="374"/>
      <c r="G93" s="374"/>
      <c r="H93" s="374"/>
      <c r="I93" s="374"/>
      <c r="J93" s="374"/>
      <c r="K93" s="374"/>
      <c r="L93" s="373" t="s">
        <v>0</v>
      </c>
      <c r="M93" s="429" t="e">
        <f>#REF!+#REF!</f>
        <v>#REF!</v>
      </c>
      <c r="N93" s="725">
        <f>107.87*P2*Q2</f>
        <v>150.04717000000002</v>
      </c>
      <c r="O93" s="428" t="e">
        <f>IF($A$92="",M93*N93,"")</f>
        <v>#REF!</v>
      </c>
      <c r="P93" s="7">
        <f>IF($A$92=1,1,0)</f>
        <v>0</v>
      </c>
      <c r="Q93" s="430"/>
      <c r="R93" s="430"/>
    </row>
    <row r="94" spans="1:19">
      <c r="A94" s="372"/>
      <c r="B94" s="374"/>
      <c r="C94" s="374"/>
      <c r="D94" s="374"/>
      <c r="E94" s="374"/>
      <c r="F94" s="374"/>
      <c r="G94" s="374"/>
      <c r="H94" s="374"/>
      <c r="I94" s="374"/>
      <c r="J94" s="374"/>
      <c r="K94" s="374"/>
      <c r="L94" s="373"/>
      <c r="M94" s="432"/>
      <c r="N94" s="427"/>
      <c r="O94" s="428"/>
      <c r="P94" s="7">
        <f>IF($A$95=1,1,0)</f>
        <v>0</v>
      </c>
      <c r="Q94" s="430"/>
      <c r="R94" s="430"/>
    </row>
    <row r="95" spans="1:19">
      <c r="A95" s="372"/>
      <c r="B95" s="425" t="s">
        <v>1127</v>
      </c>
      <c r="C95" s="425"/>
      <c r="D95" s="425"/>
      <c r="E95" s="425"/>
      <c r="F95" s="425"/>
      <c r="G95" s="425"/>
      <c r="H95" s="425"/>
      <c r="I95" s="425"/>
      <c r="J95" s="425"/>
      <c r="K95" s="425"/>
      <c r="L95" s="373"/>
      <c r="M95" s="432"/>
      <c r="N95" s="427"/>
      <c r="O95" s="428"/>
      <c r="P95" s="7">
        <f>IF($A$95=1,1,0)</f>
        <v>0</v>
      </c>
      <c r="Q95" s="430"/>
      <c r="R95" s="430"/>
    </row>
    <row r="96" spans="1:19">
      <c r="A96" s="372"/>
      <c r="B96" s="374" t="s">
        <v>1128</v>
      </c>
      <c r="C96" s="374"/>
      <c r="D96" s="374"/>
      <c r="E96" s="374"/>
      <c r="F96" s="374"/>
      <c r="G96" s="374"/>
      <c r="H96" s="374"/>
      <c r="I96" s="374"/>
      <c r="J96" s="374"/>
      <c r="K96" s="374"/>
      <c r="L96" s="373" t="s">
        <v>286</v>
      </c>
      <c r="M96" s="429"/>
      <c r="N96" s="427"/>
      <c r="O96" s="439" t="e">
        <f>IF($A$95="",#REF!/1.085,0)</f>
        <v>#REF!</v>
      </c>
      <c r="P96" s="7">
        <f>IF($A$95=1,1,0)</f>
        <v>0</v>
      </c>
      <c r="Q96" s="430"/>
      <c r="R96" s="430"/>
    </row>
    <row r="97" spans="1:18">
      <c r="A97" s="372"/>
      <c r="B97" s="17"/>
      <c r="C97" s="17"/>
      <c r="D97" s="17"/>
      <c r="E97" s="17"/>
      <c r="F97" s="17"/>
      <c r="G97" s="17"/>
      <c r="H97" s="17"/>
      <c r="I97" s="17"/>
      <c r="J97" s="17"/>
      <c r="K97" s="17"/>
      <c r="L97" s="373"/>
      <c r="M97" s="429"/>
      <c r="N97" s="427"/>
      <c r="O97" s="428"/>
      <c r="P97" s="7">
        <f>IF($A$98=1,1,0)</f>
        <v>0</v>
      </c>
      <c r="Q97" s="430"/>
      <c r="R97" s="430"/>
    </row>
    <row r="98" spans="1:18">
      <c r="A98" s="372"/>
      <c r="B98" s="425" t="s">
        <v>1129</v>
      </c>
      <c r="C98" s="425"/>
      <c r="D98" s="425"/>
      <c r="E98" s="425"/>
      <c r="F98" s="425"/>
      <c r="G98" s="425"/>
      <c r="H98" s="425"/>
      <c r="I98" s="425"/>
      <c r="J98" s="425"/>
      <c r="K98" s="425"/>
      <c r="L98" s="373"/>
      <c r="M98" s="429"/>
      <c r="N98" s="427"/>
      <c r="O98" s="428"/>
      <c r="P98" s="7">
        <f t="shared" ref="P98:P116" si="10">IF($A$98=1,1,0)</f>
        <v>0</v>
      </c>
      <c r="Q98" s="430"/>
      <c r="R98" s="430"/>
    </row>
    <row r="99" spans="1:18" s="387" customFormat="1" ht="25.5">
      <c r="A99" s="378"/>
      <c r="B99" s="374" t="s">
        <v>1130</v>
      </c>
      <c r="C99" s="374"/>
      <c r="D99" s="374"/>
      <c r="E99" s="374"/>
      <c r="F99" s="374"/>
      <c r="G99" s="374"/>
      <c r="H99" s="374"/>
      <c r="I99" s="374"/>
      <c r="J99" s="374"/>
      <c r="K99" s="374"/>
      <c r="L99" s="380" t="s">
        <v>286</v>
      </c>
      <c r="M99" s="443"/>
      <c r="N99" s="722">
        <v>4500</v>
      </c>
      <c r="O99" s="444">
        <f>IF($A$98="",M99*N99,"")</f>
        <v>0</v>
      </c>
      <c r="P99" s="387">
        <f t="shared" si="10"/>
        <v>0</v>
      </c>
      <c r="Q99" s="437"/>
      <c r="R99" s="437"/>
    </row>
    <row r="100" spans="1:18" s="387" customFormat="1">
      <c r="A100" s="378"/>
      <c r="B100" s="379" t="s">
        <v>1131</v>
      </c>
      <c r="C100" s="379"/>
      <c r="D100" s="379"/>
      <c r="E100" s="379"/>
      <c r="F100" s="379"/>
      <c r="G100" s="379"/>
      <c r="H100" s="379"/>
      <c r="I100" s="379"/>
      <c r="J100" s="379"/>
      <c r="K100" s="379"/>
      <c r="L100" s="380" t="s">
        <v>19</v>
      </c>
      <c r="M100" s="443">
        <v>8</v>
      </c>
      <c r="N100" s="722">
        <f>60*$P$2*$Q$2</f>
        <v>83.460000000000008</v>
      </c>
      <c r="O100" s="444">
        <f t="shared" ref="O100:O115" si="11">IF($A$98="",M100*N100,"")</f>
        <v>667.68000000000006</v>
      </c>
      <c r="P100" s="387">
        <f>IF($A$98=1,1,0)</f>
        <v>0</v>
      </c>
      <c r="Q100" s="437"/>
      <c r="R100" s="437"/>
    </row>
    <row r="101" spans="1:18" s="387" customFormat="1">
      <c r="A101" s="378"/>
      <c r="B101" s="379" t="s">
        <v>1132</v>
      </c>
      <c r="C101" s="379"/>
      <c r="D101" s="379"/>
      <c r="E101" s="379"/>
      <c r="F101" s="379"/>
      <c r="G101" s="379"/>
      <c r="H101" s="379"/>
      <c r="I101" s="379"/>
      <c r="J101" s="379"/>
      <c r="K101" s="379"/>
      <c r="L101" s="380" t="s">
        <v>19</v>
      </c>
      <c r="M101" s="443">
        <v>20</v>
      </c>
      <c r="N101" s="722">
        <f>75*$P$2*$Q$2</f>
        <v>104.325</v>
      </c>
      <c r="O101" s="444">
        <f t="shared" si="11"/>
        <v>2086.5</v>
      </c>
      <c r="P101" s="387">
        <f t="shared" si="10"/>
        <v>0</v>
      </c>
      <c r="Q101" s="437"/>
      <c r="R101" s="437"/>
    </row>
    <row r="102" spans="1:18" s="387" customFormat="1">
      <c r="A102" s="378"/>
      <c r="B102" s="381" t="s">
        <v>1133</v>
      </c>
      <c r="C102" s="381"/>
      <c r="D102" s="381"/>
      <c r="E102" s="381"/>
      <c r="F102" s="381"/>
      <c r="G102" s="381"/>
      <c r="H102" s="381"/>
      <c r="I102" s="381"/>
      <c r="J102" s="381"/>
      <c r="K102" s="381"/>
      <c r="L102" s="380" t="s">
        <v>19</v>
      </c>
      <c r="M102" s="443">
        <v>2</v>
      </c>
      <c r="N102" s="722">
        <f>75*$P$2*$Q$2</f>
        <v>104.325</v>
      </c>
      <c r="O102" s="444">
        <f t="shared" si="11"/>
        <v>208.65</v>
      </c>
      <c r="P102" s="387">
        <f t="shared" si="10"/>
        <v>0</v>
      </c>
      <c r="Q102" s="437"/>
      <c r="R102" s="437"/>
    </row>
    <row r="103" spans="1:18" s="387" customFormat="1">
      <c r="A103" s="378"/>
      <c r="B103" s="381" t="s">
        <v>1134</v>
      </c>
      <c r="C103" s="381"/>
      <c r="D103" s="381"/>
      <c r="E103" s="381"/>
      <c r="F103" s="381"/>
      <c r="G103" s="381"/>
      <c r="H103" s="381"/>
      <c r="I103" s="381"/>
      <c r="J103" s="381"/>
      <c r="K103" s="381"/>
      <c r="L103" s="380" t="s">
        <v>19</v>
      </c>
      <c r="M103" s="443">
        <v>1</v>
      </c>
      <c r="N103" s="722">
        <f>75*$P$2*$Q$2</f>
        <v>104.325</v>
      </c>
      <c r="O103" s="444">
        <f t="shared" si="11"/>
        <v>104.325</v>
      </c>
      <c r="P103" s="387">
        <f t="shared" si="10"/>
        <v>0</v>
      </c>
      <c r="Q103" s="437"/>
      <c r="R103" s="437"/>
    </row>
    <row r="104" spans="1:18" s="387" customFormat="1">
      <c r="A104" s="378"/>
      <c r="B104" s="381" t="s">
        <v>1135</v>
      </c>
      <c r="C104" s="381"/>
      <c r="D104" s="381"/>
      <c r="E104" s="381"/>
      <c r="F104" s="381"/>
      <c r="G104" s="381"/>
      <c r="H104" s="381"/>
      <c r="I104" s="381"/>
      <c r="J104" s="381"/>
      <c r="K104" s="381"/>
      <c r="L104" s="380" t="s">
        <v>19</v>
      </c>
      <c r="M104" s="443">
        <v>4</v>
      </c>
      <c r="N104" s="722">
        <f>65*$P$2*$Q$2</f>
        <v>90.415000000000006</v>
      </c>
      <c r="O104" s="444">
        <f t="shared" si="11"/>
        <v>361.66</v>
      </c>
      <c r="P104" s="387">
        <f>IF($A$98=1,1,0)</f>
        <v>0</v>
      </c>
      <c r="Q104" s="437"/>
      <c r="R104" s="437"/>
    </row>
    <row r="105" spans="1:18" s="387" customFormat="1">
      <c r="A105" s="378"/>
      <c r="B105" s="379" t="s">
        <v>1136</v>
      </c>
      <c r="C105" s="379"/>
      <c r="D105" s="379"/>
      <c r="E105" s="379"/>
      <c r="F105" s="379"/>
      <c r="G105" s="379"/>
      <c r="H105" s="379"/>
      <c r="I105" s="379"/>
      <c r="J105" s="379"/>
      <c r="K105" s="379"/>
      <c r="L105" s="380" t="s">
        <v>19</v>
      </c>
      <c r="M105" s="443">
        <v>4</v>
      </c>
      <c r="N105" s="722">
        <f>65*$P$2*$Q$2</f>
        <v>90.415000000000006</v>
      </c>
      <c r="O105" s="444">
        <f t="shared" si="11"/>
        <v>361.66</v>
      </c>
      <c r="P105" s="387">
        <f t="shared" si="10"/>
        <v>0</v>
      </c>
      <c r="Q105" s="437"/>
      <c r="R105" s="437"/>
    </row>
    <row r="106" spans="1:18" s="387" customFormat="1">
      <c r="A106" s="378"/>
      <c r="B106" s="379" t="s">
        <v>1137</v>
      </c>
      <c r="C106" s="379"/>
      <c r="D106" s="379"/>
      <c r="E106" s="379"/>
      <c r="F106" s="379"/>
      <c r="G106" s="379"/>
      <c r="H106" s="379"/>
      <c r="I106" s="379"/>
      <c r="J106" s="379"/>
      <c r="K106" s="379"/>
      <c r="L106" s="380" t="s">
        <v>19</v>
      </c>
      <c r="M106" s="443"/>
      <c r="N106" s="722">
        <f>80*$P$2*$Q$2</f>
        <v>111.28</v>
      </c>
      <c r="O106" s="444">
        <f t="shared" si="11"/>
        <v>0</v>
      </c>
      <c r="P106" s="387">
        <f t="shared" si="10"/>
        <v>0</v>
      </c>
      <c r="Q106" s="437"/>
      <c r="R106" s="437"/>
    </row>
    <row r="107" spans="1:18" s="387" customFormat="1">
      <c r="A107" s="378"/>
      <c r="B107" s="379" t="s">
        <v>1138</v>
      </c>
      <c r="C107" s="379"/>
      <c r="D107" s="379"/>
      <c r="E107" s="379"/>
      <c r="F107" s="379"/>
      <c r="G107" s="379"/>
      <c r="H107" s="379"/>
      <c r="I107" s="379"/>
      <c r="J107" s="379"/>
      <c r="K107" s="379"/>
      <c r="L107" s="380" t="s">
        <v>19</v>
      </c>
      <c r="M107" s="443">
        <v>1</v>
      </c>
      <c r="N107" s="722">
        <f>65*$P$2*$Q$2</f>
        <v>90.415000000000006</v>
      </c>
      <c r="O107" s="444">
        <f t="shared" si="11"/>
        <v>90.415000000000006</v>
      </c>
      <c r="P107" s="387">
        <f t="shared" si="10"/>
        <v>0</v>
      </c>
      <c r="Q107" s="437"/>
      <c r="R107" s="437"/>
    </row>
    <row r="108" spans="1:18" s="387" customFormat="1">
      <c r="A108" s="378"/>
      <c r="B108" s="381" t="s">
        <v>1139</v>
      </c>
      <c r="C108" s="381"/>
      <c r="D108" s="381"/>
      <c r="E108" s="381"/>
      <c r="F108" s="381"/>
      <c r="G108" s="381"/>
      <c r="H108" s="381"/>
      <c r="I108" s="381"/>
      <c r="J108" s="381"/>
      <c r="K108" s="381"/>
      <c r="L108" s="380" t="s">
        <v>19</v>
      </c>
      <c r="M108" s="443">
        <v>4</v>
      </c>
      <c r="N108" s="722">
        <f>65*$P$2*$Q$2</f>
        <v>90.415000000000006</v>
      </c>
      <c r="O108" s="444">
        <f t="shared" si="11"/>
        <v>361.66</v>
      </c>
      <c r="P108" s="387">
        <f t="shared" si="10"/>
        <v>0</v>
      </c>
      <c r="Q108" s="437"/>
      <c r="R108" s="437"/>
    </row>
    <row r="109" spans="1:18" s="387" customFormat="1">
      <c r="A109" s="378"/>
      <c r="B109" s="379" t="s">
        <v>1140</v>
      </c>
      <c r="C109" s="379"/>
      <c r="D109" s="379"/>
      <c r="E109" s="379"/>
      <c r="F109" s="379"/>
      <c r="G109" s="379"/>
      <c r="H109" s="379"/>
      <c r="I109" s="379"/>
      <c r="J109" s="379"/>
      <c r="K109" s="379"/>
      <c r="L109" s="380" t="s">
        <v>19</v>
      </c>
      <c r="M109" s="443">
        <v>1</v>
      </c>
      <c r="N109" s="722">
        <f>65*$P$2*$Q$2</f>
        <v>90.415000000000006</v>
      </c>
      <c r="O109" s="444">
        <f t="shared" si="11"/>
        <v>90.415000000000006</v>
      </c>
      <c r="P109" s="387">
        <f t="shared" si="10"/>
        <v>0</v>
      </c>
      <c r="Q109" s="437"/>
      <c r="R109" s="437"/>
    </row>
    <row r="110" spans="1:18" s="387" customFormat="1">
      <c r="A110" s="378"/>
      <c r="B110" s="379" t="s">
        <v>1141</v>
      </c>
      <c r="C110" s="379"/>
      <c r="D110" s="379"/>
      <c r="E110" s="379"/>
      <c r="F110" s="379"/>
      <c r="G110" s="379"/>
      <c r="H110" s="379"/>
      <c r="I110" s="379"/>
      <c r="J110" s="379"/>
      <c r="K110" s="379"/>
      <c r="L110" s="380" t="s">
        <v>19</v>
      </c>
      <c r="M110" s="443">
        <v>4</v>
      </c>
      <c r="N110" s="722">
        <f>65*$P$2*$Q$2</f>
        <v>90.415000000000006</v>
      </c>
      <c r="O110" s="444">
        <f t="shared" si="11"/>
        <v>361.66</v>
      </c>
      <c r="P110" s="387">
        <f t="shared" si="10"/>
        <v>0</v>
      </c>
      <c r="Q110" s="437"/>
      <c r="R110" s="437"/>
    </row>
    <row r="111" spans="1:18" s="387" customFormat="1">
      <c r="A111" s="378"/>
      <c r="B111" s="379" t="s">
        <v>1142</v>
      </c>
      <c r="C111" s="379"/>
      <c r="D111" s="379"/>
      <c r="E111" s="379"/>
      <c r="F111" s="379"/>
      <c r="G111" s="379"/>
      <c r="H111" s="379"/>
      <c r="I111" s="379"/>
      <c r="J111" s="379"/>
      <c r="K111" s="379"/>
      <c r="L111" s="380" t="s">
        <v>19</v>
      </c>
      <c r="M111" s="443">
        <v>1</v>
      </c>
      <c r="N111" s="722">
        <f>100*$P$2*$Q$2</f>
        <v>139.1</v>
      </c>
      <c r="O111" s="444">
        <f t="shared" si="11"/>
        <v>139.1</v>
      </c>
      <c r="P111" s="387">
        <f t="shared" si="10"/>
        <v>0</v>
      </c>
      <c r="Q111" s="437"/>
      <c r="R111" s="437"/>
    </row>
    <row r="112" spans="1:18" s="387" customFormat="1">
      <c r="A112" s="378"/>
      <c r="B112" s="379" t="s">
        <v>1143</v>
      </c>
      <c r="C112" s="379"/>
      <c r="D112" s="379"/>
      <c r="E112" s="379"/>
      <c r="F112" s="379"/>
      <c r="G112" s="379"/>
      <c r="H112" s="379"/>
      <c r="I112" s="379"/>
      <c r="J112" s="379"/>
      <c r="K112" s="379"/>
      <c r="L112" s="380" t="s">
        <v>19</v>
      </c>
      <c r="M112" s="443">
        <v>1</v>
      </c>
      <c r="N112" s="722">
        <f>950*$P$2*$Q$2</f>
        <v>1321.45</v>
      </c>
      <c r="O112" s="444">
        <f t="shared" si="11"/>
        <v>1321.45</v>
      </c>
      <c r="P112" s="387">
        <f t="shared" si="10"/>
        <v>0</v>
      </c>
      <c r="Q112" s="437">
        <f>SUM(O99:O116)</f>
        <v>6642.0250000000005</v>
      </c>
      <c r="R112" s="437"/>
    </row>
    <row r="113" spans="1:22" s="387" customFormat="1">
      <c r="A113" s="378"/>
      <c r="B113" s="379" t="s">
        <v>1144</v>
      </c>
      <c r="C113" s="379"/>
      <c r="D113" s="379"/>
      <c r="E113" s="379"/>
      <c r="F113" s="379"/>
      <c r="G113" s="379"/>
      <c r="H113" s="379"/>
      <c r="I113" s="379"/>
      <c r="J113" s="379"/>
      <c r="K113" s="379"/>
      <c r="L113" s="380" t="s">
        <v>19</v>
      </c>
      <c r="M113" s="443">
        <v>1</v>
      </c>
      <c r="N113" s="722">
        <f>150*$P$2*$Q$2</f>
        <v>208.65</v>
      </c>
      <c r="O113" s="444">
        <f t="shared" si="11"/>
        <v>208.65</v>
      </c>
      <c r="P113" s="387">
        <f t="shared" si="10"/>
        <v>0</v>
      </c>
      <c r="Q113" s="437"/>
      <c r="R113" s="437"/>
    </row>
    <row r="114" spans="1:22" s="387" customFormat="1">
      <c r="A114" s="378"/>
      <c r="B114" s="379" t="s">
        <v>1145</v>
      </c>
      <c r="C114" s="379"/>
      <c r="D114" s="379"/>
      <c r="E114" s="379"/>
      <c r="F114" s="379"/>
      <c r="G114" s="379"/>
      <c r="H114" s="379"/>
      <c r="I114" s="379"/>
      <c r="J114" s="379"/>
      <c r="K114" s="379"/>
      <c r="L114" s="380" t="s">
        <v>19</v>
      </c>
      <c r="M114" s="443">
        <v>1</v>
      </c>
      <c r="N114" s="722">
        <f>100*$P$2*$Q$2</f>
        <v>139.1</v>
      </c>
      <c r="O114" s="444">
        <f t="shared" si="11"/>
        <v>139.1</v>
      </c>
      <c r="P114" s="387">
        <f t="shared" si="10"/>
        <v>0</v>
      </c>
      <c r="Q114" s="437"/>
      <c r="R114" s="437"/>
    </row>
    <row r="115" spans="1:22" s="387" customFormat="1">
      <c r="A115" s="378"/>
      <c r="B115" s="379" t="s">
        <v>1146</v>
      </c>
      <c r="C115" s="379"/>
      <c r="D115" s="379"/>
      <c r="E115" s="379"/>
      <c r="F115" s="379"/>
      <c r="G115" s="379"/>
      <c r="H115" s="379"/>
      <c r="I115" s="379"/>
      <c r="J115" s="379"/>
      <c r="K115" s="379"/>
      <c r="L115" s="380" t="s">
        <v>19</v>
      </c>
      <c r="M115" s="443">
        <v>1</v>
      </c>
      <c r="N115" s="722">
        <f>100*$P$2*$Q$2</f>
        <v>139.1</v>
      </c>
      <c r="O115" s="444">
        <f t="shared" si="11"/>
        <v>139.1</v>
      </c>
      <c r="P115" s="387">
        <f t="shared" si="10"/>
        <v>0</v>
      </c>
      <c r="Q115" s="437"/>
      <c r="R115" s="437"/>
    </row>
    <row r="116" spans="1:22" s="387" customFormat="1">
      <c r="A116" s="378"/>
      <c r="B116" s="379"/>
      <c r="C116" s="379"/>
      <c r="D116" s="379"/>
      <c r="E116" s="379"/>
      <c r="F116" s="379"/>
      <c r="G116" s="379"/>
      <c r="H116" s="379"/>
      <c r="I116" s="379"/>
      <c r="J116" s="379"/>
      <c r="K116" s="379"/>
      <c r="L116" s="380"/>
      <c r="M116" s="438"/>
      <c r="N116" s="721"/>
      <c r="O116" s="445"/>
      <c r="P116" s="387">
        <f t="shared" si="10"/>
        <v>0</v>
      </c>
      <c r="Q116" s="437"/>
      <c r="R116" s="437"/>
    </row>
    <row r="117" spans="1:22">
      <c r="A117" s="372"/>
      <c r="B117" s="425" t="s">
        <v>1147</v>
      </c>
      <c r="C117" s="425"/>
      <c r="D117" s="425"/>
      <c r="E117" s="425"/>
      <c r="F117" s="425"/>
      <c r="G117" s="425"/>
      <c r="H117" s="425"/>
      <c r="I117" s="425"/>
      <c r="J117" s="425"/>
      <c r="K117" s="425"/>
      <c r="L117" s="373"/>
      <c r="M117" s="432"/>
      <c r="N117" s="427"/>
      <c r="O117" s="428"/>
      <c r="P117" s="7">
        <f>IF($A$117=1,1,0)</f>
        <v>0</v>
      </c>
      <c r="Q117" s="430"/>
      <c r="R117" s="430"/>
      <c r="S117" s="446"/>
      <c r="T117" s="447"/>
      <c r="U117" s="447"/>
      <c r="V117" s="448"/>
    </row>
    <row r="118" spans="1:22">
      <c r="A118" s="372"/>
      <c r="B118" s="374" t="s">
        <v>1148</v>
      </c>
      <c r="C118" s="374"/>
      <c r="D118" s="374"/>
      <c r="E118" s="374"/>
      <c r="F118" s="374"/>
      <c r="G118" s="374"/>
      <c r="H118" s="374"/>
      <c r="I118" s="374"/>
      <c r="J118" s="374"/>
      <c r="K118" s="374"/>
      <c r="L118" s="373" t="s">
        <v>59</v>
      </c>
      <c r="M118" s="429" t="e">
        <f>#REF!</f>
        <v>#REF!</v>
      </c>
      <c r="N118" s="427" t="e">
        <f>#REF!</f>
        <v>#REF!</v>
      </c>
      <c r="O118" s="428" t="e">
        <f>IF($A$117="",M118*N118,"")</f>
        <v>#REF!</v>
      </c>
      <c r="P118" s="7">
        <f>IF($A$117=1,1,0)</f>
        <v>0</v>
      </c>
      <c r="Q118" s="430"/>
      <c r="R118" s="430"/>
      <c r="S118" s="446"/>
      <c r="T118" s="447"/>
      <c r="U118" s="447"/>
      <c r="V118" s="448"/>
    </row>
    <row r="119" spans="1:22">
      <c r="A119" s="372"/>
      <c r="B119" s="374" t="s">
        <v>1149</v>
      </c>
      <c r="C119" s="374"/>
      <c r="D119" s="374"/>
      <c r="E119" s="374"/>
      <c r="F119" s="374"/>
      <c r="G119" s="374"/>
      <c r="H119" s="374"/>
      <c r="I119" s="374"/>
      <c r="J119" s="374"/>
      <c r="K119" s="374"/>
      <c r="L119" s="373" t="s">
        <v>59</v>
      </c>
      <c r="M119" s="429" t="e">
        <f>IF(M120="",#REF!," 0 ")</f>
        <v>#REF!</v>
      </c>
      <c r="N119" s="427" t="e">
        <f>#REF!</f>
        <v>#REF!</v>
      </c>
      <c r="O119" s="428" t="e">
        <f>IF($A$117="",M119*N119,"")</f>
        <v>#REF!</v>
      </c>
      <c r="P119" s="7">
        <f>IF($A$117=1,1,0)</f>
        <v>0</v>
      </c>
      <c r="Q119" s="430"/>
      <c r="R119" s="430"/>
      <c r="S119" s="446"/>
      <c r="T119" s="447"/>
      <c r="U119" s="447"/>
      <c r="V119" s="448"/>
    </row>
    <row r="120" spans="1:22">
      <c r="A120" s="372"/>
      <c r="B120" s="374" t="s">
        <v>1150</v>
      </c>
      <c r="C120" s="374"/>
      <c r="D120" s="374"/>
      <c r="E120" s="374"/>
      <c r="F120" s="374"/>
      <c r="G120" s="374"/>
      <c r="H120" s="374"/>
      <c r="I120" s="374"/>
      <c r="J120" s="374"/>
      <c r="K120" s="374"/>
      <c r="L120" s="373" t="s">
        <v>0</v>
      </c>
      <c r="M120" s="431"/>
      <c r="N120" s="427">
        <f>9341.88*P2*Q2</f>
        <v>12994.55508</v>
      </c>
      <c r="O120" s="428">
        <f>IF($A$76="",M120*N120,"")</f>
        <v>0</v>
      </c>
      <c r="P120" s="7">
        <f>IF($A$117=1,1,0)</f>
        <v>0</v>
      </c>
      <c r="Q120" s="430"/>
      <c r="R120" s="430"/>
      <c r="S120" s="446"/>
      <c r="T120" s="447"/>
      <c r="U120" s="447"/>
      <c r="V120" s="448"/>
    </row>
    <row r="121" spans="1:22">
      <c r="A121" s="382"/>
      <c r="B121" s="383"/>
      <c r="C121" s="383"/>
      <c r="D121" s="383"/>
      <c r="E121" s="383"/>
      <c r="F121" s="383"/>
      <c r="G121" s="383"/>
      <c r="H121" s="383"/>
      <c r="I121" s="383"/>
      <c r="J121" s="383"/>
      <c r="K121" s="383"/>
      <c r="L121" s="384"/>
      <c r="M121" s="449"/>
      <c r="N121" s="723"/>
      <c r="O121" s="450"/>
      <c r="P121" s="7">
        <v>0</v>
      </c>
    </row>
    <row r="122" spans="1:22">
      <c r="A122" s="451"/>
      <c r="B122" s="452" t="str">
        <f>IF($A$2="DEVIS","Total HT ….","Total TTC")</f>
        <v>Total HT ….</v>
      </c>
      <c r="C122" s="452"/>
      <c r="D122" s="452"/>
      <c r="E122" s="452"/>
      <c r="F122" s="452"/>
      <c r="G122" s="452"/>
      <c r="H122" s="452"/>
      <c r="I122" s="452"/>
      <c r="J122" s="452"/>
      <c r="K122" s="452"/>
      <c r="L122" s="453"/>
      <c r="M122" s="454"/>
      <c r="N122" s="724" t="e">
        <f>SUM(N14:N121)</f>
        <v>#REF!</v>
      </c>
      <c r="O122" s="455" t="e">
        <f>(SUM($O$14:$O$121))</f>
        <v>#REF!</v>
      </c>
      <c r="P122" s="7">
        <v>0</v>
      </c>
    </row>
    <row r="123" spans="1:22">
      <c r="A123" s="456"/>
      <c r="B123" s="457"/>
      <c r="C123" s="457"/>
      <c r="D123" s="457"/>
      <c r="E123" s="457"/>
      <c r="F123" s="457"/>
      <c r="G123" s="457"/>
      <c r="H123" s="457"/>
      <c r="I123" s="457"/>
      <c r="J123" s="457"/>
      <c r="K123" s="457"/>
      <c r="L123" s="458"/>
      <c r="M123" s="1163" t="str">
        <f>IF($A$2="DEVIS","","Montant dû")</f>
        <v/>
      </c>
      <c r="N123" s="1164"/>
      <c r="O123" s="459" t="e">
        <f>PrixVHT</f>
        <v>#REF!</v>
      </c>
      <c r="P123" s="7">
        <v>0</v>
      </c>
    </row>
    <row r="124" spans="1:22">
      <c r="A124" s="460"/>
      <c r="B124" s="461"/>
      <c r="C124" s="925"/>
      <c r="D124" s="925"/>
      <c r="E124" s="925"/>
      <c r="F124" s="925"/>
      <c r="G124" s="925"/>
      <c r="H124" s="925"/>
      <c r="I124" s="925"/>
      <c r="J124" s="925"/>
      <c r="K124" s="925"/>
      <c r="L124" s="462"/>
      <c r="M124" s="463" t="str">
        <f>IF($A$2="DEVIS","TVA","Restant:")</f>
        <v>TVA</v>
      </c>
      <c r="N124" s="464" t="str">
        <f>IF(A2="DEVIS","8,5%","")</f>
        <v>8,5%</v>
      </c>
      <c r="O124" s="465" t="e">
        <f>IF($A$2="DEVIS",$O$123*$N$124,$O$123-PrixVHT)</f>
        <v>#REF!</v>
      </c>
      <c r="P124" s="8">
        <v>0</v>
      </c>
    </row>
    <row r="125" spans="1:22">
      <c r="A125" s="460"/>
      <c r="B125" s="466"/>
      <c r="C125" s="926"/>
      <c r="D125" s="926"/>
      <c r="E125" s="926"/>
      <c r="F125" s="926"/>
      <c r="G125" s="926"/>
      <c r="H125" s="926"/>
      <c r="I125" s="926"/>
      <c r="J125" s="926"/>
      <c r="K125" s="926"/>
      <c r="L125" s="467"/>
      <c r="M125" s="1165" t="s">
        <v>272</v>
      </c>
      <c r="N125" s="1166"/>
      <c r="O125" s="468" t="e">
        <f>IF($A$2="DEVIS",$O$123+$O$124,$O$122)</f>
        <v>#REF!</v>
      </c>
      <c r="P125" s="8">
        <v>0</v>
      </c>
    </row>
    <row r="126" spans="1:22">
      <c r="A126" s="460"/>
      <c r="B126" s="461"/>
      <c r="C126" s="927"/>
      <c r="D126" s="927"/>
      <c r="E126" s="927"/>
      <c r="F126" s="927"/>
      <c r="G126" s="927"/>
      <c r="H126" s="927"/>
      <c r="I126" s="927"/>
      <c r="J126" s="927"/>
      <c r="K126" s="927"/>
      <c r="L126" s="469"/>
      <c r="M126" s="470" t="s">
        <v>6</v>
      </c>
      <c r="N126" s="471">
        <v>0</v>
      </c>
      <c r="O126" s="472" t="e">
        <f>$O$123*$N$126</f>
        <v>#REF!</v>
      </c>
      <c r="P126" s="8">
        <v>0</v>
      </c>
    </row>
    <row r="127" spans="1:22">
      <c r="A127" s="473"/>
      <c r="B127" s="474" t="str">
        <f>IF(A2="Devis","Devis valable 2 mois","")</f>
        <v>Devis valable 2 mois</v>
      </c>
      <c r="C127" s="474"/>
      <c r="D127" s="474"/>
      <c r="E127" s="474"/>
      <c r="F127" s="474"/>
      <c r="G127" s="474"/>
      <c r="H127" s="474"/>
      <c r="I127" s="474"/>
      <c r="J127" s="474"/>
      <c r="K127" s="474"/>
      <c r="L127" s="475"/>
      <c r="M127" s="1167" t="str">
        <f>IF($A$2="DEVIS","Total TTC","NET à PAYER")</f>
        <v>Total TTC</v>
      </c>
      <c r="N127" s="1168"/>
      <c r="O127" s="476" t="e">
        <f>$O$125-O126</f>
        <v>#REF!</v>
      </c>
      <c r="P127" s="8">
        <v>0</v>
      </c>
    </row>
    <row r="128" spans="1:22">
      <c r="A128" s="18"/>
      <c r="B128" s="18"/>
      <c r="C128" s="18"/>
      <c r="D128" s="18"/>
      <c r="E128" s="18"/>
      <c r="F128" s="18"/>
      <c r="G128" s="18"/>
      <c r="H128" s="18"/>
      <c r="I128" s="18"/>
      <c r="J128" s="18"/>
      <c r="K128" s="18"/>
      <c r="L128" s="413"/>
      <c r="M128" s="401"/>
      <c r="N128" s="18"/>
      <c r="O128" s="402"/>
      <c r="P128" s="8">
        <v>0</v>
      </c>
    </row>
    <row r="129" spans="1:16">
      <c r="A129" s="18"/>
      <c r="B129" s="18"/>
      <c r="C129" s="18"/>
      <c r="D129" s="18"/>
      <c r="E129" s="18"/>
      <c r="F129" s="18"/>
      <c r="G129" s="18"/>
      <c r="H129" s="18"/>
      <c r="I129" s="18"/>
      <c r="J129" s="18"/>
      <c r="K129" s="18"/>
      <c r="L129" s="413"/>
      <c r="M129" s="401"/>
      <c r="N129" s="18"/>
      <c r="O129" s="402"/>
      <c r="P129" s="8">
        <v>0</v>
      </c>
    </row>
    <row r="130" spans="1:16">
      <c r="A130" s="18"/>
      <c r="B130" s="477" t="s">
        <v>271</v>
      </c>
      <c r="C130" s="477"/>
      <c r="D130" s="477"/>
      <c r="E130" s="477"/>
      <c r="F130" s="477"/>
      <c r="G130" s="477"/>
      <c r="H130" s="477"/>
      <c r="I130" s="477"/>
      <c r="J130" s="477"/>
      <c r="K130" s="477"/>
      <c r="L130" s="413"/>
      <c r="M130" s="401"/>
      <c r="N130" s="18"/>
      <c r="O130" s="402"/>
      <c r="P130" s="8">
        <v>0</v>
      </c>
    </row>
    <row r="131" spans="1:16" ht="15.75">
      <c r="A131" s="18"/>
      <c r="B131" s="727" t="e">
        <f ca="1">[2]!ConvNumberLetter(P_Vente,1,0)</f>
        <v>#NAME?</v>
      </c>
      <c r="C131" s="727"/>
      <c r="D131" s="727"/>
      <c r="E131" s="727"/>
      <c r="F131" s="727"/>
      <c r="G131" s="727"/>
      <c r="H131" s="727"/>
      <c r="I131" s="727"/>
      <c r="J131" s="727"/>
      <c r="K131" s="727"/>
      <c r="L131" s="413"/>
      <c r="M131" s="401"/>
      <c r="N131" s="18"/>
      <c r="O131" s="402"/>
      <c r="P131" s="8">
        <v>0</v>
      </c>
    </row>
    <row r="132" spans="1:16">
      <c r="A132" s="18"/>
      <c r="B132" s="478"/>
      <c r="C132" s="478"/>
      <c r="D132" s="478"/>
      <c r="E132" s="478"/>
      <c r="F132" s="478"/>
      <c r="G132" s="478"/>
      <c r="H132" s="478"/>
      <c r="I132" s="478"/>
      <c r="J132" s="478"/>
      <c r="K132" s="478"/>
      <c r="L132" s="413"/>
      <c r="M132" s="401"/>
      <c r="N132" s="18"/>
      <c r="O132" s="402"/>
      <c r="P132" s="8">
        <v>0</v>
      </c>
    </row>
    <row r="133" spans="1:16">
      <c r="A133" s="479"/>
      <c r="B133" s="480" t="s">
        <v>995</v>
      </c>
      <c r="C133" s="480"/>
      <c r="D133" s="480"/>
      <c r="E133" s="480"/>
      <c r="F133" s="480"/>
      <c r="G133" s="480"/>
      <c r="H133" s="480"/>
      <c r="I133" s="480"/>
      <c r="J133" s="480"/>
      <c r="K133" s="480"/>
      <c r="L133" s="481"/>
      <c r="M133" s="482"/>
      <c r="N133" s="483" t="s">
        <v>120</v>
      </c>
      <c r="O133" s="484" t="s">
        <v>1097</v>
      </c>
      <c r="P133" s="8">
        <v>0</v>
      </c>
    </row>
    <row r="134" spans="1:16">
      <c r="A134" s="485"/>
      <c r="B134" s="486" t="s">
        <v>996</v>
      </c>
      <c r="C134" s="928"/>
      <c r="D134" s="928"/>
      <c r="E134" s="928"/>
      <c r="F134" s="928"/>
      <c r="G134" s="928"/>
      <c r="H134" s="928"/>
      <c r="I134" s="928"/>
      <c r="J134" s="928"/>
      <c r="K134" s="928"/>
      <c r="L134" s="487"/>
      <c r="M134" s="488"/>
      <c r="N134" s="489">
        <v>0.2</v>
      </c>
      <c r="O134" s="490" t="e">
        <f>P_Vente*$N$134</f>
        <v>#REF!</v>
      </c>
      <c r="P134" s="491">
        <v>0</v>
      </c>
    </row>
    <row r="135" spans="1:16">
      <c r="A135" s="492"/>
      <c r="B135" s="493" t="s">
        <v>1151</v>
      </c>
      <c r="C135" s="929"/>
      <c r="D135" s="929"/>
      <c r="E135" s="929"/>
      <c r="F135" s="929"/>
      <c r="G135" s="929"/>
      <c r="H135" s="929"/>
      <c r="I135" s="929"/>
      <c r="J135" s="929"/>
      <c r="K135" s="929"/>
      <c r="L135" s="494"/>
      <c r="M135" s="495"/>
      <c r="N135" s="496">
        <v>0.4</v>
      </c>
      <c r="O135" s="497" t="e">
        <f>P_Vente*$N$135</f>
        <v>#REF!</v>
      </c>
      <c r="P135" s="8">
        <v>0</v>
      </c>
    </row>
    <row r="136" spans="1:16">
      <c r="A136" s="492"/>
      <c r="B136" s="493" t="s">
        <v>992</v>
      </c>
      <c r="C136" s="929"/>
      <c r="D136" s="929"/>
      <c r="E136" s="929"/>
      <c r="F136" s="929"/>
      <c r="G136" s="929"/>
      <c r="H136" s="929"/>
      <c r="I136" s="929"/>
      <c r="J136" s="929"/>
      <c r="K136" s="929"/>
      <c r="L136" s="494"/>
      <c r="M136" s="495"/>
      <c r="N136" s="496">
        <v>0.2</v>
      </c>
      <c r="O136" s="497" t="e">
        <f>P_Vente*$N$136</f>
        <v>#REF!</v>
      </c>
      <c r="P136" s="8">
        <v>0</v>
      </c>
    </row>
    <row r="137" spans="1:16">
      <c r="A137" s="492"/>
      <c r="B137" s="493" t="s">
        <v>1152</v>
      </c>
      <c r="C137" s="929"/>
      <c r="D137" s="929"/>
      <c r="E137" s="929"/>
      <c r="F137" s="929"/>
      <c r="G137" s="929"/>
      <c r="H137" s="929"/>
      <c r="I137" s="929"/>
      <c r="J137" s="929"/>
      <c r="K137" s="929"/>
      <c r="L137" s="494"/>
      <c r="M137" s="495"/>
      <c r="N137" s="496">
        <v>0.15</v>
      </c>
      <c r="O137" s="497" t="e">
        <f>P_Vente*$N$137</f>
        <v>#REF!</v>
      </c>
      <c r="P137" s="8">
        <v>0</v>
      </c>
    </row>
    <row r="138" spans="1:16">
      <c r="A138" s="498"/>
      <c r="B138" s="499" t="s">
        <v>1000</v>
      </c>
      <c r="C138" s="930"/>
      <c r="D138" s="930"/>
      <c r="E138" s="930"/>
      <c r="F138" s="930"/>
      <c r="G138" s="930"/>
      <c r="H138" s="930"/>
      <c r="I138" s="930"/>
      <c r="J138" s="930"/>
      <c r="K138" s="930"/>
      <c r="L138" s="500"/>
      <c r="M138" s="501"/>
      <c r="N138" s="502">
        <v>0.05</v>
      </c>
      <c r="O138" s="503" t="e">
        <f>P_Vente*$N$138</f>
        <v>#REF!</v>
      </c>
      <c r="P138" s="8">
        <v>0</v>
      </c>
    </row>
    <row r="139" spans="1:16">
      <c r="A139" s="18"/>
      <c r="B139" s="18" t="s">
        <v>1153</v>
      </c>
      <c r="C139" s="18"/>
      <c r="D139" s="18"/>
      <c r="E139" s="18"/>
      <c r="F139" s="18"/>
      <c r="G139" s="18"/>
      <c r="H139" s="18"/>
      <c r="I139" s="18"/>
      <c r="J139" s="18"/>
      <c r="K139" s="18"/>
      <c r="L139" s="413"/>
      <c r="M139" s="401"/>
      <c r="N139" s="18"/>
      <c r="O139" s="402"/>
      <c r="P139" s="8">
        <v>0</v>
      </c>
    </row>
    <row r="140" spans="1:16">
      <c r="A140" s="504"/>
      <c r="B140" s="18" t="s">
        <v>1154</v>
      </c>
      <c r="C140" s="18"/>
      <c r="D140" s="18"/>
      <c r="E140" s="18"/>
      <c r="F140" s="18"/>
      <c r="G140" s="18"/>
      <c r="H140" s="18"/>
      <c r="I140" s="18"/>
      <c r="J140" s="18"/>
      <c r="K140" s="18"/>
      <c r="L140" s="413"/>
      <c r="M140" s="401"/>
      <c r="N140" s="504"/>
      <c r="O140" s="505"/>
      <c r="P140" s="8">
        <v>0</v>
      </c>
    </row>
    <row r="141" spans="1:16" ht="15.95" customHeight="1">
      <c r="A141" s="18"/>
      <c r="B141" s="477"/>
      <c r="C141" s="477"/>
      <c r="D141" s="477"/>
      <c r="E141" s="477"/>
      <c r="F141" s="477"/>
      <c r="G141" s="477"/>
      <c r="H141" s="477"/>
      <c r="I141" s="477"/>
      <c r="J141" s="477"/>
      <c r="K141" s="477"/>
      <c r="L141" s="413"/>
      <c r="M141" s="401"/>
      <c r="N141" s="18"/>
      <c r="O141" s="402"/>
      <c r="P141" s="8">
        <v>0</v>
      </c>
    </row>
    <row r="142" spans="1:16" ht="15.95" customHeight="1">
      <c r="A142" s="19"/>
      <c r="B142" s="18" t="s">
        <v>274</v>
      </c>
      <c r="C142" s="18"/>
      <c r="D142" s="18"/>
      <c r="E142" s="18"/>
      <c r="F142" s="18"/>
      <c r="G142" s="18"/>
      <c r="H142" s="18"/>
      <c r="I142" s="18"/>
      <c r="J142" s="18"/>
      <c r="K142" s="18"/>
      <c r="L142" s="401"/>
      <c r="M142" s="19"/>
      <c r="N142" s="18" t="s">
        <v>270</v>
      </c>
      <c r="O142" s="19"/>
      <c r="P142" s="8">
        <v>0</v>
      </c>
    </row>
    <row r="143" spans="1:16" ht="15.95" customHeight="1">
      <c r="A143" s="18"/>
      <c r="B143" s="478"/>
      <c r="C143" s="478"/>
      <c r="D143" s="478"/>
      <c r="E143" s="478"/>
      <c r="F143" s="478"/>
      <c r="G143" s="478"/>
      <c r="H143" s="478"/>
      <c r="I143" s="478"/>
      <c r="J143" s="478"/>
      <c r="K143" s="478"/>
      <c r="L143" s="413"/>
      <c r="M143" s="401"/>
      <c r="N143" s="18"/>
      <c r="O143" s="402"/>
      <c r="P143" s="8">
        <v>0</v>
      </c>
    </row>
    <row r="144" spans="1:16" ht="15.95" customHeight="1">
      <c r="A144" s="18"/>
      <c r="B144" s="478"/>
      <c r="C144" s="478"/>
      <c r="D144" s="478"/>
      <c r="E144" s="478"/>
      <c r="F144" s="478"/>
      <c r="G144" s="478"/>
      <c r="H144" s="478"/>
      <c r="I144" s="478"/>
      <c r="J144" s="478"/>
      <c r="K144" s="478"/>
      <c r="L144" s="413"/>
      <c r="M144" s="401"/>
      <c r="N144" s="18"/>
      <c r="O144" s="402"/>
      <c r="P144" s="8">
        <v>0</v>
      </c>
    </row>
    <row r="145" spans="1:19" ht="15.95" customHeight="1">
      <c r="A145" s="18"/>
      <c r="B145" s="478"/>
      <c r="C145" s="478"/>
      <c r="D145" s="478"/>
      <c r="E145" s="478"/>
      <c r="F145" s="478"/>
      <c r="G145" s="478"/>
      <c r="H145" s="478"/>
      <c r="I145" s="478"/>
      <c r="J145" s="478"/>
      <c r="K145" s="478"/>
      <c r="L145" s="413"/>
      <c r="M145" s="401"/>
      <c r="N145" s="18"/>
      <c r="O145" s="402"/>
      <c r="P145" s="8">
        <v>0</v>
      </c>
    </row>
    <row r="146" spans="1:19" ht="15.95" customHeight="1">
      <c r="A146" s="18"/>
      <c r="B146" s="478"/>
      <c r="C146" s="478"/>
      <c r="D146" s="478"/>
      <c r="E146" s="478"/>
      <c r="F146" s="478"/>
      <c r="G146" s="478"/>
      <c r="H146" s="478"/>
      <c r="I146" s="478"/>
      <c r="J146" s="478"/>
      <c r="K146" s="478"/>
      <c r="L146" s="413"/>
      <c r="M146" s="401"/>
      <c r="N146" s="18"/>
      <c r="O146" s="402"/>
      <c r="P146" s="8">
        <v>0</v>
      </c>
    </row>
    <row r="147" spans="1:19">
      <c r="A147" s="30" t="s">
        <v>1037</v>
      </c>
      <c r="B147" s="506"/>
      <c r="C147" s="506"/>
      <c r="D147" s="506"/>
      <c r="E147" s="506"/>
      <c r="F147" s="506"/>
      <c r="G147" s="506"/>
      <c r="H147" s="506"/>
      <c r="I147" s="506"/>
      <c r="J147" s="506"/>
      <c r="K147" s="506"/>
      <c r="L147" s="19"/>
      <c r="M147" s="401"/>
      <c r="N147" s="18"/>
      <c r="O147" s="507" t="str">
        <f>P5</f>
        <v>NOM     DIJOUX LOIC</v>
      </c>
      <c r="P147" s="8">
        <v>0</v>
      </c>
    </row>
    <row r="148" spans="1:19">
      <c r="A148" s="30" t="s">
        <v>1035</v>
      </c>
      <c r="B148" s="506"/>
      <c r="C148" s="506"/>
      <c r="D148" s="506"/>
      <c r="E148" s="506"/>
      <c r="F148" s="506"/>
      <c r="G148" s="506"/>
      <c r="H148" s="506"/>
      <c r="I148" s="506"/>
      <c r="J148" s="506"/>
      <c r="K148" s="506"/>
      <c r="L148" s="19"/>
      <c r="M148" s="401"/>
      <c r="N148" s="18"/>
      <c r="O148" s="507" t="str">
        <f>P7</f>
        <v>VILLE  97440 Saint ANDRE</v>
      </c>
      <c r="P148" s="8">
        <v>0</v>
      </c>
    </row>
    <row r="149" spans="1:19">
      <c r="A149" s="31" t="s">
        <v>1177</v>
      </c>
      <c r="B149" s="506"/>
      <c r="C149" s="506"/>
      <c r="D149" s="506"/>
      <c r="E149" s="506"/>
      <c r="F149" s="506"/>
      <c r="G149" s="506"/>
      <c r="H149" s="506"/>
      <c r="I149" s="506"/>
      <c r="J149" s="506"/>
      <c r="K149" s="506"/>
      <c r="L149" s="19"/>
      <c r="M149" s="401"/>
      <c r="N149" s="18"/>
      <c r="O149" s="19"/>
      <c r="P149" s="7">
        <v>0</v>
      </c>
    </row>
    <row r="150" spans="1:19">
      <c r="A150" s="30" t="s">
        <v>1094</v>
      </c>
      <c r="B150" s="506"/>
      <c r="C150" s="506"/>
      <c r="D150" s="506"/>
      <c r="E150" s="506"/>
      <c r="F150" s="506"/>
      <c r="G150" s="506"/>
      <c r="H150" s="506"/>
      <c r="I150" s="506"/>
      <c r="J150" s="506"/>
      <c r="K150" s="506"/>
      <c r="L150" s="413"/>
      <c r="M150" s="401"/>
      <c r="N150" s="18"/>
      <c r="O150" s="402"/>
      <c r="P150" s="7">
        <v>0</v>
      </c>
    </row>
    <row r="151" spans="1:19">
      <c r="A151" s="30" t="s">
        <v>1093</v>
      </c>
      <c r="B151" s="506"/>
      <c r="C151" s="506"/>
      <c r="D151" s="506"/>
      <c r="E151" s="506"/>
      <c r="F151" s="506"/>
      <c r="G151" s="506"/>
      <c r="H151" s="506"/>
      <c r="I151" s="506"/>
      <c r="J151" s="506"/>
      <c r="K151" s="506"/>
      <c r="L151" s="413"/>
      <c r="M151" s="401"/>
      <c r="N151" s="18"/>
      <c r="O151" s="402"/>
      <c r="P151" s="7">
        <v>0</v>
      </c>
    </row>
    <row r="152" spans="1:19">
      <c r="A152" s="14"/>
      <c r="B152" s="508"/>
      <c r="C152" s="508"/>
      <c r="D152" s="508"/>
      <c r="E152" s="508"/>
      <c r="F152" s="508"/>
      <c r="G152" s="508"/>
      <c r="H152" s="508"/>
      <c r="I152" s="508"/>
      <c r="J152" s="508"/>
      <c r="K152" s="508"/>
      <c r="L152" s="413"/>
      <c r="M152" s="401"/>
      <c r="N152" s="18"/>
      <c r="O152" s="402"/>
      <c r="P152" s="7">
        <v>0</v>
      </c>
    </row>
    <row r="153" spans="1:19" ht="19.7" customHeight="1">
      <c r="A153" s="1068" t="s">
        <v>1155</v>
      </c>
      <c r="B153" s="1069"/>
      <c r="C153" s="1069"/>
      <c r="D153" s="1069"/>
      <c r="E153" s="1069"/>
      <c r="F153" s="1069"/>
      <c r="G153" s="1069"/>
      <c r="H153" s="1069"/>
      <c r="I153" s="1069"/>
      <c r="J153" s="1069"/>
      <c r="K153" s="1069"/>
      <c r="L153" s="1069"/>
      <c r="M153" s="1069"/>
      <c r="N153" s="1069"/>
      <c r="O153" s="1070"/>
      <c r="P153" s="7">
        <v>0</v>
      </c>
    </row>
    <row r="154" spans="1:19" ht="10.5" customHeight="1">
      <c r="A154" s="369"/>
      <c r="B154" s="509"/>
      <c r="C154" s="509"/>
      <c r="D154" s="509"/>
      <c r="E154" s="509"/>
      <c r="F154" s="509"/>
      <c r="G154" s="509"/>
      <c r="H154" s="509"/>
      <c r="I154" s="509"/>
      <c r="J154" s="509"/>
      <c r="K154" s="509"/>
      <c r="L154" s="370"/>
      <c r="M154" s="416"/>
      <c r="N154" s="369"/>
      <c r="O154" s="371"/>
      <c r="P154" s="8">
        <v>0</v>
      </c>
    </row>
    <row r="155" spans="1:19" ht="19.7" customHeight="1">
      <c r="A155" s="510"/>
      <c r="B155" s="511" t="s">
        <v>1156</v>
      </c>
      <c r="C155" s="511"/>
      <c r="D155" s="511"/>
      <c r="E155" s="511"/>
      <c r="F155" s="511"/>
      <c r="G155" s="511"/>
      <c r="H155" s="511"/>
      <c r="I155" s="511"/>
      <c r="J155" s="511"/>
      <c r="K155" s="511"/>
      <c r="L155" s="512"/>
      <c r="M155" s="513"/>
      <c r="N155" s="514"/>
      <c r="O155" s="515"/>
      <c r="P155" s="8">
        <v>0</v>
      </c>
    </row>
    <row r="156" spans="1:19" ht="12" customHeight="1">
      <c r="A156" s="18"/>
      <c r="B156" s="478"/>
      <c r="C156" s="478"/>
      <c r="D156" s="478"/>
      <c r="E156" s="478"/>
      <c r="F156" s="478"/>
      <c r="G156" s="478"/>
      <c r="H156" s="478"/>
      <c r="I156" s="478"/>
      <c r="J156" s="478"/>
      <c r="K156" s="478"/>
      <c r="L156" s="413"/>
      <c r="M156" s="401"/>
      <c r="N156" s="18"/>
      <c r="O156" s="402"/>
      <c r="P156" s="8">
        <v>0</v>
      </c>
    </row>
    <row r="157" spans="1:19" ht="17.100000000000001" customHeight="1">
      <c r="A157" s="516"/>
      <c r="B157" s="20" t="s">
        <v>989</v>
      </c>
      <c r="C157" s="931"/>
      <c r="D157" s="931"/>
      <c r="E157" s="931"/>
      <c r="F157" s="931"/>
      <c r="G157" s="931"/>
      <c r="H157" s="931"/>
      <c r="I157" s="931"/>
      <c r="J157" s="931"/>
      <c r="K157" s="931"/>
      <c r="L157" s="517"/>
      <c r="M157" s="518"/>
      <c r="N157" s="519"/>
      <c r="O157" s="21" t="e">
        <f>SUM(O15:O16)*1.085</f>
        <v>#REF!</v>
      </c>
      <c r="P157" s="491">
        <f>IF($A$14=1,1,0)</f>
        <v>0</v>
      </c>
    </row>
    <row r="158" spans="1:19" ht="17.100000000000001" customHeight="1">
      <c r="A158" s="520"/>
      <c r="B158" s="521" t="s">
        <v>1085</v>
      </c>
      <c r="C158" s="932"/>
      <c r="D158" s="932"/>
      <c r="E158" s="932"/>
      <c r="F158" s="932"/>
      <c r="G158" s="932"/>
      <c r="H158" s="932"/>
      <c r="I158" s="932"/>
      <c r="J158" s="932"/>
      <c r="K158" s="932"/>
      <c r="L158" s="522"/>
      <c r="M158" s="523"/>
      <c r="N158" s="524"/>
      <c r="O158" s="22" t="e">
        <f>SUM(O19:O27)*1.085</f>
        <v>#REF!</v>
      </c>
      <c r="P158" s="491">
        <f>IF($A$18=1,1,0)</f>
        <v>0</v>
      </c>
      <c r="Q158" s="9"/>
      <c r="S158" s="10"/>
    </row>
    <row r="159" spans="1:19" ht="17.100000000000001" customHeight="1">
      <c r="A159" s="520"/>
      <c r="B159" s="525" t="s">
        <v>152</v>
      </c>
      <c r="C159" s="933"/>
      <c r="D159" s="933"/>
      <c r="E159" s="933"/>
      <c r="F159" s="933"/>
      <c r="G159" s="933"/>
      <c r="H159" s="933"/>
      <c r="I159" s="933"/>
      <c r="J159" s="933"/>
      <c r="K159" s="933"/>
      <c r="L159" s="522"/>
      <c r="M159" s="523"/>
      <c r="N159" s="524"/>
      <c r="O159" s="22" t="e">
        <f>SUM(O30:O35,O46:O49)*1.085</f>
        <v>#REF!</v>
      </c>
      <c r="P159" s="491">
        <f>IF($A$29=1,1,0)</f>
        <v>0</v>
      </c>
      <c r="Q159" s="9"/>
      <c r="R159" s="388"/>
    </row>
    <row r="160" spans="1:19" ht="17.100000000000001" customHeight="1">
      <c r="A160" s="520"/>
      <c r="B160" s="525" t="s">
        <v>991</v>
      </c>
      <c r="C160" s="933"/>
      <c r="D160" s="933"/>
      <c r="E160" s="933"/>
      <c r="F160" s="933"/>
      <c r="G160" s="933"/>
      <c r="H160" s="933"/>
      <c r="I160" s="933"/>
      <c r="J160" s="933"/>
      <c r="K160" s="933"/>
      <c r="L160" s="522"/>
      <c r="M160" s="523"/>
      <c r="N160" s="524"/>
      <c r="O160" s="22" t="e">
        <f>SUM(O37)*1.085</f>
        <v>#REF!</v>
      </c>
      <c r="P160" s="526">
        <f>IF($A$36=1,1,0)</f>
        <v>0</v>
      </c>
      <c r="Q160" s="9"/>
      <c r="R160" s="388"/>
      <c r="S160" s="388"/>
    </row>
    <row r="161" spans="1:20" ht="17.100000000000001" customHeight="1">
      <c r="A161" s="520"/>
      <c r="B161" s="525" t="s">
        <v>990</v>
      </c>
      <c r="C161" s="933"/>
      <c r="D161" s="933"/>
      <c r="E161" s="933"/>
      <c r="F161" s="933"/>
      <c r="G161" s="933"/>
      <c r="H161" s="933"/>
      <c r="I161" s="933"/>
      <c r="J161" s="933"/>
      <c r="K161" s="933"/>
      <c r="L161" s="522"/>
      <c r="M161" s="523"/>
      <c r="N161" s="524"/>
      <c r="O161" s="22" t="e">
        <f>SUM(O40:O43)*1.085</f>
        <v>#REF!</v>
      </c>
      <c r="P161" s="491">
        <f>IF($A$39=1,1,0)</f>
        <v>0</v>
      </c>
      <c r="Q161" s="9"/>
    </row>
    <row r="162" spans="1:20" ht="17.100000000000001" customHeight="1">
      <c r="A162" s="520"/>
      <c r="B162" s="525" t="s">
        <v>993</v>
      </c>
      <c r="C162" s="933"/>
      <c r="D162" s="933"/>
      <c r="E162" s="933"/>
      <c r="F162" s="933"/>
      <c r="G162" s="933"/>
      <c r="H162" s="933"/>
      <c r="I162" s="933"/>
      <c r="J162" s="933"/>
      <c r="K162" s="933"/>
      <c r="L162" s="522"/>
      <c r="M162" s="523"/>
      <c r="N162" s="524"/>
      <c r="O162" s="22" t="e">
        <f>SUM(O52:O53)*1.085</f>
        <v>#REF!</v>
      </c>
      <c r="P162" s="491">
        <f>IF($A$51=1,1,0)</f>
        <v>0</v>
      </c>
      <c r="Q162" s="9"/>
    </row>
    <row r="163" spans="1:20" ht="17.100000000000001" customHeight="1">
      <c r="A163" s="520"/>
      <c r="B163" s="525" t="s">
        <v>992</v>
      </c>
      <c r="C163" s="933"/>
      <c r="D163" s="933"/>
      <c r="E163" s="933"/>
      <c r="F163" s="933"/>
      <c r="G163" s="933"/>
      <c r="H163" s="933"/>
      <c r="I163" s="933"/>
      <c r="J163" s="933"/>
      <c r="K163" s="933"/>
      <c r="L163" s="522"/>
      <c r="M163" s="523"/>
      <c r="N163" s="524"/>
      <c r="O163" s="22" t="e">
        <f>SUM(O66:O74)*1.085</f>
        <v>#REF!</v>
      </c>
      <c r="P163" s="491">
        <f>IF($A$65=1,1,0)</f>
        <v>0</v>
      </c>
      <c r="Q163" s="9"/>
    </row>
    <row r="164" spans="1:20" ht="17.100000000000001" customHeight="1">
      <c r="A164" s="520"/>
      <c r="B164" s="525" t="s">
        <v>1157</v>
      </c>
      <c r="C164" s="933"/>
      <c r="D164" s="933"/>
      <c r="E164" s="933"/>
      <c r="F164" s="933"/>
      <c r="G164" s="933"/>
      <c r="H164" s="933"/>
      <c r="I164" s="933"/>
      <c r="J164" s="933"/>
      <c r="K164" s="933"/>
      <c r="L164" s="522"/>
      <c r="M164" s="523"/>
      <c r="N164" s="524"/>
      <c r="O164" s="22" t="e">
        <f>(SUM(O77:O86)/1.7)*1.085</f>
        <v>#REF!</v>
      </c>
      <c r="P164" s="526">
        <f>IF($A$76=1,1,0)</f>
        <v>0</v>
      </c>
      <c r="Q164" s="11" t="s">
        <v>1158</v>
      </c>
      <c r="R164" s="527" t="e">
        <f>SUM(O77:O87)*1.085</f>
        <v>#REF!</v>
      </c>
      <c r="S164" s="12" t="e">
        <f>IF(R164=T164,"OK","Faux")</f>
        <v>#REF!</v>
      </c>
      <c r="T164" s="528" t="e">
        <f>O164+O177</f>
        <v>#REF!</v>
      </c>
    </row>
    <row r="165" spans="1:20" ht="17.100000000000001" customHeight="1">
      <c r="A165" s="520"/>
      <c r="B165" s="525" t="s">
        <v>1129</v>
      </c>
      <c r="C165" s="933"/>
      <c r="D165" s="933"/>
      <c r="E165" s="933"/>
      <c r="F165" s="933"/>
      <c r="G165" s="933"/>
      <c r="H165" s="933"/>
      <c r="I165" s="933"/>
      <c r="J165" s="933"/>
      <c r="K165" s="933"/>
      <c r="L165" s="522"/>
      <c r="M165" s="523"/>
      <c r="N165" s="524"/>
      <c r="O165" s="22">
        <f>SUM(O99:O116)*1.085</f>
        <v>7206.5971250000002</v>
      </c>
      <c r="P165" s="526">
        <f>IF($A$98=1,1,0)</f>
        <v>0</v>
      </c>
      <c r="Q165" s="9"/>
    </row>
    <row r="166" spans="1:20" ht="8.25" customHeight="1">
      <c r="A166" s="529"/>
      <c r="B166" s="530"/>
      <c r="C166" s="530"/>
      <c r="D166" s="530"/>
      <c r="E166" s="530"/>
      <c r="F166" s="530"/>
      <c r="G166" s="530"/>
      <c r="H166" s="530"/>
      <c r="I166" s="530"/>
      <c r="J166" s="530"/>
      <c r="K166" s="530"/>
      <c r="L166" s="531"/>
      <c r="M166" s="532"/>
      <c r="N166" s="533"/>
      <c r="O166" s="23"/>
      <c r="P166" s="526">
        <v>0</v>
      </c>
      <c r="Q166" s="9"/>
    </row>
    <row r="167" spans="1:20" ht="19.7" customHeight="1">
      <c r="A167" s="529"/>
      <c r="B167" s="534" t="s">
        <v>1159</v>
      </c>
      <c r="C167" s="576"/>
      <c r="D167" s="576"/>
      <c r="E167" s="576"/>
      <c r="F167" s="576"/>
      <c r="G167" s="576"/>
      <c r="H167" s="576"/>
      <c r="I167" s="576"/>
      <c r="J167" s="576"/>
      <c r="K167" s="576"/>
      <c r="L167" s="535"/>
      <c r="M167" s="536"/>
      <c r="N167" s="537"/>
      <c r="O167" s="538" t="e">
        <f>SUM(O157:O165)</f>
        <v>#REF!</v>
      </c>
      <c r="P167" s="526">
        <v>0</v>
      </c>
      <c r="Q167" s="11" t="s">
        <v>1158</v>
      </c>
      <c r="R167" s="389" t="e">
        <f>SUM(O15:O53,O66:O74,O99:O116)*1.085+O164</f>
        <v>#REF!</v>
      </c>
      <c r="T167" s="7" t="e">
        <f>IF(O167=R167,"OK","Faux")</f>
        <v>#REF!</v>
      </c>
    </row>
    <row r="168" spans="1:20" ht="9" customHeight="1">
      <c r="A168" s="539"/>
      <c r="B168" s="509"/>
      <c r="C168" s="509"/>
      <c r="D168" s="509"/>
      <c r="E168" s="509"/>
      <c r="F168" s="509"/>
      <c r="G168" s="509"/>
      <c r="H168" s="509"/>
      <c r="I168" s="509"/>
      <c r="J168" s="509"/>
      <c r="K168" s="509"/>
      <c r="L168" s="370"/>
      <c r="M168" s="416"/>
      <c r="N168" s="369"/>
      <c r="O168" s="540"/>
      <c r="P168" s="526">
        <v>0</v>
      </c>
      <c r="Q168" s="9"/>
      <c r="R168" s="388"/>
    </row>
    <row r="169" spans="1:20" ht="19.7" customHeight="1">
      <c r="A169" s="541"/>
      <c r="B169" s="542" t="s">
        <v>1160</v>
      </c>
      <c r="C169" s="934"/>
      <c r="D169" s="934"/>
      <c r="E169" s="934"/>
      <c r="F169" s="934"/>
      <c r="G169" s="934"/>
      <c r="H169" s="934"/>
      <c r="I169" s="934"/>
      <c r="J169" s="934"/>
      <c r="K169" s="934"/>
      <c r="L169" s="543"/>
      <c r="M169" s="544"/>
      <c r="N169" s="24" t="str">
        <f>IF($A$169=0,"Non Compris","")</f>
        <v>Non Compris</v>
      </c>
      <c r="O169" s="545" t="e">
        <f>IF(O96=0,0,O96*1.085)</f>
        <v>#REF!</v>
      </c>
      <c r="P169" s="526">
        <v>0</v>
      </c>
      <c r="Q169" s="11" t="s">
        <v>1158</v>
      </c>
      <c r="R169" s="389" t="e">
        <f>O96*1.085</f>
        <v>#REF!</v>
      </c>
      <c r="T169" s="7" t="e">
        <f>IF(O169=R169,"OK","Faux")</f>
        <v>#REF!</v>
      </c>
    </row>
    <row r="170" spans="1:20" ht="6" customHeight="1">
      <c r="A170" s="539"/>
      <c r="B170" s="546"/>
      <c r="C170" s="546"/>
      <c r="D170" s="546"/>
      <c r="E170" s="546"/>
      <c r="F170" s="546"/>
      <c r="G170" s="546"/>
      <c r="H170" s="546"/>
      <c r="I170" s="546"/>
      <c r="J170" s="546"/>
      <c r="K170" s="546"/>
      <c r="L170" s="413"/>
      <c r="M170" s="401"/>
      <c r="N170" s="18"/>
      <c r="O170" s="25"/>
      <c r="P170" s="547">
        <v>0</v>
      </c>
      <c r="Q170" s="9"/>
      <c r="R170" s="388"/>
    </row>
    <row r="171" spans="1:20" ht="19.7" customHeight="1">
      <c r="A171" s="529"/>
      <c r="B171" s="548" t="s">
        <v>1161</v>
      </c>
      <c r="C171" s="935"/>
      <c r="D171" s="935"/>
      <c r="E171" s="935"/>
      <c r="F171" s="935"/>
      <c r="G171" s="935"/>
      <c r="H171" s="935"/>
      <c r="I171" s="935"/>
      <c r="J171" s="935"/>
      <c r="K171" s="935"/>
      <c r="L171" s="549"/>
      <c r="M171" s="550"/>
      <c r="N171" s="551" t="str">
        <f>IF($N$169=""," (Avec Menuiseries)","(Sans Menuiseries)")</f>
        <v>(Sans Menuiseries)</v>
      </c>
      <c r="O171" s="552" t="e">
        <f>(O167+O169)</f>
        <v>#REF!</v>
      </c>
      <c r="P171" s="547">
        <v>0</v>
      </c>
      <c r="Q171" s="11" t="s">
        <v>1158</v>
      </c>
      <c r="R171" s="389" t="e">
        <f>R167+R169</f>
        <v>#REF!</v>
      </c>
      <c r="T171" s="7" t="e">
        <f>IF(O171=R171,"OK","Faux")</f>
        <v>#REF!</v>
      </c>
    </row>
    <row r="172" spans="1:20" ht="6.75" customHeight="1">
      <c r="A172" s="553"/>
      <c r="B172" s="530"/>
      <c r="C172" s="530"/>
      <c r="D172" s="530"/>
      <c r="E172" s="530"/>
      <c r="F172" s="530"/>
      <c r="G172" s="530"/>
      <c r="H172" s="530"/>
      <c r="I172" s="530"/>
      <c r="J172" s="530"/>
      <c r="K172" s="530"/>
      <c r="L172" s="531"/>
      <c r="M172" s="532"/>
      <c r="N172" s="533"/>
      <c r="O172" s="554"/>
      <c r="P172" s="547">
        <v>0</v>
      </c>
      <c r="Q172" s="9"/>
      <c r="R172" s="388"/>
    </row>
    <row r="173" spans="1:20" ht="19.7" customHeight="1">
      <c r="A173" s="555"/>
      <c r="B173" s="556" t="s">
        <v>1162</v>
      </c>
      <c r="C173" s="556"/>
      <c r="D173" s="556"/>
      <c r="E173" s="556"/>
      <c r="F173" s="556"/>
      <c r="G173" s="556"/>
      <c r="H173" s="556"/>
      <c r="I173" s="556"/>
      <c r="J173" s="556"/>
      <c r="K173" s="556"/>
      <c r="L173" s="557"/>
      <c r="M173" s="558"/>
      <c r="N173" s="559"/>
      <c r="O173" s="560"/>
      <c r="P173" s="547" t="e">
        <f>IF($O$180&gt;0,0,1)</f>
        <v>#REF!</v>
      </c>
      <c r="Q173" s="9"/>
      <c r="R173" s="388"/>
    </row>
    <row r="174" spans="1:20" ht="17.100000000000001" customHeight="1">
      <c r="A174" s="561"/>
      <c r="B174" s="562" t="s">
        <v>1032</v>
      </c>
      <c r="C174" s="936"/>
      <c r="D174" s="936"/>
      <c r="E174" s="936"/>
      <c r="F174" s="936"/>
      <c r="G174" s="936"/>
      <c r="H174" s="936"/>
      <c r="I174" s="936"/>
      <c r="J174" s="936"/>
      <c r="K174" s="936"/>
      <c r="L174" s="563"/>
      <c r="M174" s="564"/>
      <c r="N174" s="565"/>
      <c r="O174" s="26" t="e">
        <f>SUM(O90)*1.085</f>
        <v>#REF!</v>
      </c>
      <c r="P174" s="491">
        <f>IF($A$88=1,1,0)</f>
        <v>0</v>
      </c>
      <c r="Q174" s="9"/>
      <c r="R174" s="388"/>
    </row>
    <row r="175" spans="1:20" ht="17.100000000000001" customHeight="1">
      <c r="A175" s="520"/>
      <c r="B175" s="525" t="s">
        <v>994</v>
      </c>
      <c r="C175" s="933"/>
      <c r="D175" s="933"/>
      <c r="E175" s="933"/>
      <c r="F175" s="933"/>
      <c r="G175" s="933"/>
      <c r="H175" s="933"/>
      <c r="I175" s="933"/>
      <c r="J175" s="933"/>
      <c r="K175" s="933"/>
      <c r="L175" s="522"/>
      <c r="M175" s="523"/>
      <c r="N175" s="524"/>
      <c r="O175" s="22" t="e">
        <f>SUM(O56:O57)*1.085</f>
        <v>#REF!</v>
      </c>
      <c r="P175" s="491">
        <f>IF($A$55=1,1,0)</f>
        <v>0</v>
      </c>
      <c r="Q175" s="9"/>
      <c r="R175" s="388"/>
    </row>
    <row r="176" spans="1:20" ht="17.100000000000001" customHeight="1">
      <c r="A176" s="520"/>
      <c r="B176" s="525" t="s">
        <v>1163</v>
      </c>
      <c r="C176" s="933"/>
      <c r="D176" s="933"/>
      <c r="E176" s="933"/>
      <c r="F176" s="933"/>
      <c r="G176" s="933"/>
      <c r="H176" s="933"/>
      <c r="I176" s="933"/>
      <c r="J176" s="933"/>
      <c r="K176" s="933"/>
      <c r="L176" s="522"/>
      <c r="M176" s="523"/>
      <c r="N176" s="524"/>
      <c r="O176" s="22" t="e">
        <f>SUM(O60:O63)*1.085</f>
        <v>#REF!</v>
      </c>
      <c r="P176" s="491">
        <f>IF($A$59=1,1,0)</f>
        <v>0</v>
      </c>
      <c r="Q176" s="9"/>
      <c r="R176" s="388"/>
    </row>
    <row r="177" spans="1:23" ht="17.100000000000001" customHeight="1">
      <c r="A177" s="566"/>
      <c r="B177" s="567" t="s">
        <v>1164</v>
      </c>
      <c r="C177" s="937"/>
      <c r="D177" s="937"/>
      <c r="E177" s="937"/>
      <c r="F177" s="937"/>
      <c r="G177" s="937"/>
      <c r="H177" s="937"/>
      <c r="I177" s="937"/>
      <c r="J177" s="937"/>
      <c r="K177" s="937"/>
      <c r="L177" s="568"/>
      <c r="M177" s="569"/>
      <c r="N177" s="570"/>
      <c r="O177" s="27" t="e">
        <f>((SUM(O77:O86)/1.7)*0.7)*1.085</f>
        <v>#REF!</v>
      </c>
      <c r="P177" s="526">
        <f>IF($A$76=1,1,0)</f>
        <v>0</v>
      </c>
      <c r="Q177" s="11" t="s">
        <v>1158</v>
      </c>
      <c r="R177" s="389" t="e">
        <f>O164+O177</f>
        <v>#REF!</v>
      </c>
      <c r="T177" s="7" t="e">
        <f>IF((SUM(O77:O86)*1.085)=R177,"OK","Faux")</f>
        <v>#REF!</v>
      </c>
    </row>
    <row r="178" spans="1:23" ht="17.100000000000001" customHeight="1">
      <c r="A178" s="520"/>
      <c r="B178" s="525" t="s">
        <v>1125</v>
      </c>
      <c r="C178" s="933"/>
      <c r="D178" s="933"/>
      <c r="E178" s="933"/>
      <c r="F178" s="933"/>
      <c r="G178" s="933"/>
      <c r="H178" s="933"/>
      <c r="I178" s="933"/>
      <c r="J178" s="933"/>
      <c r="K178" s="933"/>
      <c r="L178" s="522"/>
      <c r="M178" s="523"/>
      <c r="N178" s="524"/>
      <c r="O178" s="22" t="e">
        <f>IF(O93="","",O93*1.085)</f>
        <v>#REF!</v>
      </c>
      <c r="P178" s="491">
        <f>IF($A$92=1,1,0)</f>
        <v>0</v>
      </c>
      <c r="Q178" s="9"/>
      <c r="R178" s="388"/>
    </row>
    <row r="179" spans="1:23" ht="17.100000000000001" customHeight="1">
      <c r="A179" s="571"/>
      <c r="B179" s="572" t="s">
        <v>1165</v>
      </c>
      <c r="C179" s="938"/>
      <c r="D179" s="938"/>
      <c r="E179" s="938"/>
      <c r="F179" s="938"/>
      <c r="G179" s="938"/>
      <c r="H179" s="938"/>
      <c r="I179" s="938"/>
      <c r="J179" s="938"/>
      <c r="K179" s="938"/>
      <c r="L179" s="573"/>
      <c r="M179" s="574"/>
      <c r="N179" s="575" t="str">
        <f>IF($O$120=0,"","(y compris fosse séptique)")</f>
        <v/>
      </c>
      <c r="O179" s="28" t="e">
        <f>SUM(O118:O120)*1.085</f>
        <v>#REF!</v>
      </c>
      <c r="P179" s="491">
        <f>IF($A$117=1,1,0)</f>
        <v>0</v>
      </c>
      <c r="Q179" s="9"/>
      <c r="R179" s="388"/>
    </row>
    <row r="180" spans="1:23" ht="19.7" customHeight="1">
      <c r="A180" s="529"/>
      <c r="B180" s="576" t="s">
        <v>1166</v>
      </c>
      <c r="C180" s="576"/>
      <c r="D180" s="576"/>
      <c r="E180" s="576"/>
      <c r="F180" s="576"/>
      <c r="G180" s="576"/>
      <c r="H180" s="576"/>
      <c r="I180" s="576"/>
      <c r="J180" s="576"/>
      <c r="K180" s="576"/>
      <c r="L180" s="535"/>
      <c r="M180" s="536"/>
      <c r="N180" s="537"/>
      <c r="O180" s="538" t="e">
        <f>SUM(O174:O179)</f>
        <v>#REF!</v>
      </c>
      <c r="P180" s="491" t="e">
        <f>IF($O$180&gt;1,0,1)</f>
        <v>#REF!</v>
      </c>
      <c r="Q180" s="11" t="s">
        <v>1158</v>
      </c>
      <c r="R180" s="388" t="e">
        <f>SUM(O56:O64,O90:O95,O118:O121)*1.085+O177</f>
        <v>#REF!</v>
      </c>
      <c r="T180" s="7" t="e">
        <f>IF(O180=R180,"OK","Faux")</f>
        <v>#REF!</v>
      </c>
    </row>
    <row r="181" spans="1:23" ht="10.5" customHeight="1">
      <c r="A181" s="539"/>
      <c r="B181" s="509"/>
      <c r="C181" s="509"/>
      <c r="D181" s="509"/>
      <c r="E181" s="509"/>
      <c r="F181" s="509"/>
      <c r="G181" s="509"/>
      <c r="H181" s="509"/>
      <c r="I181" s="509"/>
      <c r="J181" s="509"/>
      <c r="K181" s="509"/>
      <c r="L181" s="370"/>
      <c r="M181" s="416"/>
      <c r="N181" s="369"/>
      <c r="O181" s="577"/>
      <c r="P181" s="491"/>
      <c r="R181" s="388"/>
    </row>
    <row r="182" spans="1:23" ht="18.75" customHeight="1">
      <c r="A182" s="529"/>
      <c r="B182" s="578" t="s">
        <v>1167</v>
      </c>
      <c r="C182" s="578"/>
      <c r="D182" s="578"/>
      <c r="E182" s="578"/>
      <c r="F182" s="578"/>
      <c r="G182" s="578"/>
      <c r="H182" s="578"/>
      <c r="I182" s="578"/>
      <c r="J182" s="578"/>
      <c r="K182" s="578"/>
      <c r="L182" s="579"/>
      <c r="M182" s="580"/>
      <c r="N182" s="581"/>
      <c r="O182" s="552" t="e">
        <f>IF(O180=0,"Sans Compléments",O167+O169+O180)</f>
        <v>#REF!</v>
      </c>
      <c r="P182" s="7">
        <v>0</v>
      </c>
      <c r="Q182" s="11" t="s">
        <v>1158</v>
      </c>
      <c r="R182" s="389" t="e">
        <f>P_Vente</f>
        <v>#REF!</v>
      </c>
      <c r="T182" s="7" t="e">
        <f>IF(O182=R182,"OK","Faux")</f>
        <v>#REF!</v>
      </c>
    </row>
    <row r="183" spans="1:23" ht="8.25" customHeight="1">
      <c r="A183" s="539"/>
      <c r="B183" s="509"/>
      <c r="C183" s="509"/>
      <c r="D183" s="509"/>
      <c r="E183" s="509"/>
      <c r="F183" s="509"/>
      <c r="G183" s="509"/>
      <c r="H183" s="509"/>
      <c r="I183" s="509"/>
      <c r="J183" s="509"/>
      <c r="K183" s="509"/>
      <c r="L183" s="370"/>
      <c r="M183" s="416"/>
      <c r="N183" s="369"/>
      <c r="O183" s="577"/>
      <c r="P183" s="491">
        <v>0</v>
      </c>
      <c r="R183" s="388"/>
    </row>
    <row r="184" spans="1:23" ht="15" customHeight="1">
      <c r="A184" s="582"/>
      <c r="B184" s="583" t="s">
        <v>1168</v>
      </c>
      <c r="C184" s="939"/>
      <c r="D184" s="939"/>
      <c r="E184" s="939"/>
      <c r="F184" s="939"/>
      <c r="G184" s="939"/>
      <c r="H184" s="939"/>
      <c r="I184" s="939"/>
      <c r="J184" s="939"/>
      <c r="K184" s="939"/>
      <c r="L184" s="584"/>
      <c r="M184" s="585"/>
      <c r="N184" s="586"/>
      <c r="O184" s="587" t="str">
        <f>IF(O185=0,"Aucun","")</f>
        <v>Aucun</v>
      </c>
      <c r="P184" s="491">
        <v>0</v>
      </c>
    </row>
    <row r="185" spans="1:23" ht="13.5" customHeight="1">
      <c r="A185" s="539"/>
      <c r="B185" s="588"/>
      <c r="C185" s="588"/>
      <c r="D185" s="588"/>
      <c r="E185" s="588"/>
      <c r="F185" s="588"/>
      <c r="G185" s="588"/>
      <c r="H185" s="588"/>
      <c r="I185" s="588"/>
      <c r="J185" s="588"/>
      <c r="K185" s="588"/>
      <c r="L185" s="589"/>
      <c r="M185" s="590"/>
      <c r="N185" s="591"/>
      <c r="O185" s="592"/>
      <c r="P185" s="491">
        <f>IF($O$185&gt;1,0,1)</f>
        <v>1</v>
      </c>
    </row>
    <row r="186" spans="1:23" s="599" customFormat="1" ht="8.25" customHeight="1">
      <c r="A186" s="593"/>
      <c r="B186" s="594"/>
      <c r="C186" s="594"/>
      <c r="D186" s="594"/>
      <c r="E186" s="594"/>
      <c r="F186" s="594"/>
      <c r="G186" s="594"/>
      <c r="H186" s="594"/>
      <c r="I186" s="594"/>
      <c r="J186" s="594"/>
      <c r="K186" s="594"/>
      <c r="L186" s="595"/>
      <c r="M186" s="596"/>
      <c r="N186" s="597"/>
      <c r="O186" s="598"/>
      <c r="P186" s="599" t="e">
        <f>IF($O$180&gt;0,0,1)</f>
        <v>#REF!</v>
      </c>
    </row>
    <row r="187" spans="1:23" ht="19.7" customHeight="1">
      <c r="A187" s="529"/>
      <c r="B187" s="578" t="s">
        <v>1169</v>
      </c>
      <c r="C187" s="578"/>
      <c r="D187" s="578"/>
      <c r="E187" s="578"/>
      <c r="F187" s="578"/>
      <c r="G187" s="578"/>
      <c r="H187" s="578"/>
      <c r="I187" s="578"/>
      <c r="J187" s="578"/>
      <c r="K187" s="578"/>
      <c r="L187" s="579"/>
      <c r="M187" s="580"/>
      <c r="N187" s="581"/>
      <c r="O187" s="552" t="e">
        <f>O167+O169+O180+O185</f>
        <v>#REF!</v>
      </c>
      <c r="P187" s="7">
        <v>0</v>
      </c>
      <c r="Q187" s="11" t="s">
        <v>1158</v>
      </c>
      <c r="R187" s="389" t="e">
        <f>P_Vente+O185</f>
        <v>#REF!</v>
      </c>
      <c r="T187" s="7" t="e">
        <f>IF(O187=R187,"OK","Faux")</f>
        <v>#REF!</v>
      </c>
    </row>
    <row r="188" spans="1:23" ht="19.7" customHeight="1">
      <c r="A188" s="18"/>
      <c r="B188" s="29" t="str">
        <f>B127</f>
        <v>Devis valable 2 mois</v>
      </c>
      <c r="C188" s="29"/>
      <c r="D188" s="29"/>
      <c r="E188" s="29"/>
      <c r="F188" s="29"/>
      <c r="G188" s="29"/>
      <c r="H188" s="29"/>
      <c r="I188" s="29"/>
      <c r="J188" s="29"/>
      <c r="K188" s="29"/>
      <c r="L188" s="600"/>
      <c r="M188" s="601"/>
      <c r="N188" s="602"/>
      <c r="O188" s="603"/>
      <c r="P188" s="604">
        <v>0</v>
      </c>
      <c r="Q188" s="604"/>
      <c r="R188" s="604"/>
      <c r="S188" s="604"/>
      <c r="T188" s="604"/>
      <c r="U188" s="604"/>
      <c r="V188" s="604"/>
      <c r="W188" s="604"/>
    </row>
    <row r="189" spans="1:23" ht="19.7" customHeight="1">
      <c r="A189" s="18"/>
      <c r="B189" s="18" t="str">
        <f>B130</f>
        <v>Arrêté le présent devis à la somme de :</v>
      </c>
      <c r="C189" s="18"/>
      <c r="D189" s="18"/>
      <c r="E189" s="18"/>
      <c r="F189" s="18"/>
      <c r="G189" s="18"/>
      <c r="H189" s="18"/>
      <c r="I189" s="18"/>
      <c r="J189" s="18"/>
      <c r="K189" s="18"/>
      <c r="L189" s="413"/>
      <c r="M189" s="401"/>
      <c r="N189" s="18"/>
      <c r="O189" s="402"/>
      <c r="P189" s="7">
        <v>0</v>
      </c>
    </row>
    <row r="190" spans="1:23" ht="19.7" customHeight="1">
      <c r="A190" s="19"/>
      <c r="B190" s="728" t="e">
        <f ca="1">[2]!ConvNumberLetter(O187,1,0)</f>
        <v>#NAME?</v>
      </c>
      <c r="C190" s="728"/>
      <c r="D190" s="728"/>
      <c r="E190" s="728"/>
      <c r="F190" s="728"/>
      <c r="G190" s="728"/>
      <c r="H190" s="728"/>
      <c r="I190" s="728"/>
      <c r="J190" s="728"/>
      <c r="K190" s="728"/>
      <c r="L190" s="19"/>
      <c r="M190" s="19"/>
      <c r="N190" s="19"/>
      <c r="O190" s="19"/>
      <c r="P190" s="8">
        <v>0</v>
      </c>
    </row>
    <row r="191" spans="1:23" ht="19.7" customHeight="1">
      <c r="A191" s="19"/>
      <c r="B191" s="19" t="str">
        <f>B139</f>
        <v>Le présent devis est valable 2mois. Toutes demandes non comprises au présent devis seront calculées et feront l'objet d'un</v>
      </c>
      <c r="C191" s="19"/>
      <c r="D191" s="19"/>
      <c r="E191" s="19"/>
      <c r="F191" s="19"/>
      <c r="G191" s="19"/>
      <c r="H191" s="19"/>
      <c r="I191" s="19"/>
      <c r="J191" s="19"/>
      <c r="K191" s="19"/>
      <c r="L191" s="19"/>
      <c r="M191" s="19"/>
      <c r="N191" s="19"/>
      <c r="O191" s="19"/>
      <c r="P191" s="491">
        <v>0</v>
      </c>
    </row>
    <row r="192" spans="1:23" ht="19.7" customHeight="1">
      <c r="A192" s="19"/>
      <c r="B192" s="605" t="str">
        <f>B140</f>
        <v>devis de travaux supplémentaires et sera validé par les 2 parties avant tout interavention sur le chantier.</v>
      </c>
      <c r="C192" s="605"/>
      <c r="D192" s="605"/>
      <c r="E192" s="605"/>
      <c r="F192" s="605"/>
      <c r="G192" s="605"/>
      <c r="H192" s="605"/>
      <c r="I192" s="605"/>
      <c r="J192" s="605"/>
      <c r="K192" s="605"/>
      <c r="L192" s="19"/>
      <c r="M192" s="19"/>
      <c r="N192" s="19"/>
      <c r="O192" s="19"/>
      <c r="P192" s="8">
        <v>0</v>
      </c>
    </row>
    <row r="193" spans="1:16" ht="19.7" customHeight="1">
      <c r="A193" s="19"/>
      <c r="B193" s="19" t="str">
        <f>B142</f>
        <v xml:space="preserve">Signature client           </v>
      </c>
      <c r="C193" s="19"/>
      <c r="D193" s="19"/>
      <c r="E193" s="19"/>
      <c r="F193" s="19"/>
      <c r="G193" s="19"/>
      <c r="H193" s="19"/>
      <c r="I193" s="19"/>
      <c r="J193" s="19"/>
      <c r="K193" s="19"/>
      <c r="L193" s="19"/>
      <c r="M193" s="19"/>
      <c r="N193" s="605" t="str">
        <f>N142</f>
        <v xml:space="preserve">  Signature entrepreneur</v>
      </c>
      <c r="O193" s="19"/>
      <c r="P193" s="8">
        <v>0</v>
      </c>
    </row>
    <row r="194" spans="1:16" ht="19.7" customHeight="1">
      <c r="A194" s="19"/>
      <c r="B194" s="19"/>
      <c r="C194" s="19"/>
      <c r="D194" s="19"/>
      <c r="E194" s="19"/>
      <c r="F194" s="19"/>
      <c r="G194" s="19"/>
      <c r="H194" s="19"/>
      <c r="I194" s="19"/>
      <c r="J194" s="19"/>
      <c r="K194" s="19"/>
      <c r="L194" s="19"/>
      <c r="M194" s="19"/>
      <c r="N194" s="19"/>
      <c r="O194" s="19"/>
      <c r="P194" s="8">
        <v>0</v>
      </c>
    </row>
    <row r="195" spans="1:16" ht="19.7" customHeight="1">
      <c r="A195" s="19"/>
      <c r="B195" s="19"/>
      <c r="C195" s="19"/>
      <c r="D195" s="19"/>
      <c r="E195" s="19"/>
      <c r="F195" s="19"/>
      <c r="G195" s="19"/>
      <c r="H195" s="19"/>
      <c r="I195" s="19"/>
      <c r="J195" s="19"/>
      <c r="K195" s="19"/>
      <c r="L195" s="19"/>
      <c r="M195" s="19"/>
      <c r="N195" s="19"/>
      <c r="O195" s="19"/>
      <c r="P195" s="8">
        <v>0</v>
      </c>
    </row>
    <row r="196" spans="1:16">
      <c r="A196" s="19"/>
      <c r="B196" s="19"/>
      <c r="C196" s="19"/>
      <c r="D196" s="19"/>
      <c r="E196" s="19"/>
      <c r="F196" s="19"/>
      <c r="G196" s="19"/>
      <c r="H196" s="19"/>
      <c r="I196" s="19"/>
      <c r="J196" s="19"/>
      <c r="K196" s="19"/>
      <c r="L196" s="19"/>
      <c r="M196" s="19"/>
      <c r="N196" s="19"/>
      <c r="O196" s="19"/>
      <c r="P196" s="8">
        <v>0</v>
      </c>
    </row>
    <row r="197" spans="1:16">
      <c r="A197" s="19"/>
      <c r="B197" s="19"/>
      <c r="C197" s="19"/>
      <c r="D197" s="19"/>
      <c r="E197" s="19"/>
      <c r="F197" s="19"/>
      <c r="G197" s="19"/>
      <c r="H197" s="19"/>
      <c r="I197" s="19"/>
      <c r="J197" s="19"/>
      <c r="K197" s="19"/>
      <c r="L197" s="19"/>
      <c r="M197" s="19"/>
      <c r="N197" s="19"/>
      <c r="O197" s="19"/>
      <c r="P197" s="8">
        <v>0</v>
      </c>
    </row>
    <row r="198" spans="1:16">
      <c r="A198" s="606"/>
      <c r="B198" s="604"/>
      <c r="C198" s="604"/>
      <c r="D198" s="604"/>
      <c r="E198" s="604"/>
      <c r="F198" s="604"/>
      <c r="G198" s="604"/>
      <c r="H198" s="604"/>
      <c r="I198" s="604"/>
      <c r="J198" s="604"/>
      <c r="K198" s="604"/>
      <c r="L198" s="607"/>
      <c r="M198" s="608"/>
      <c r="N198" s="604"/>
      <c r="O198" s="609"/>
      <c r="P198" s="8">
        <v>0</v>
      </c>
    </row>
    <row r="199" spans="1:16">
      <c r="A199" s="610"/>
      <c r="B199" s="610"/>
      <c r="C199" s="610"/>
      <c r="D199" s="610"/>
      <c r="E199" s="610"/>
      <c r="F199" s="610"/>
      <c r="G199" s="610"/>
      <c r="H199" s="610"/>
      <c r="I199" s="610"/>
      <c r="J199" s="610"/>
      <c r="K199" s="610"/>
      <c r="L199" s="611"/>
      <c r="M199" s="612"/>
      <c r="N199" s="610"/>
      <c r="O199" s="613"/>
    </row>
    <row r="200" spans="1:16">
      <c r="A200" s="610"/>
      <c r="B200" s="610"/>
      <c r="C200" s="610"/>
      <c r="D200" s="610"/>
      <c r="E200" s="610"/>
      <c r="F200" s="610"/>
      <c r="G200" s="610"/>
      <c r="H200" s="610"/>
      <c r="I200" s="610"/>
      <c r="J200" s="610"/>
      <c r="K200" s="610"/>
      <c r="L200" s="611"/>
      <c r="M200" s="614" t="s">
        <v>269</v>
      </c>
      <c r="N200" s="610"/>
      <c r="O200" s="613"/>
    </row>
    <row r="201" spans="1:16">
      <c r="A201" s="610"/>
      <c r="B201" s="615"/>
      <c r="C201" s="615"/>
      <c r="D201" s="615"/>
      <c r="E201" s="615"/>
      <c r="F201" s="615"/>
      <c r="G201" s="615"/>
      <c r="H201" s="615"/>
      <c r="I201" s="615"/>
      <c r="J201" s="615"/>
      <c r="K201" s="615"/>
      <c r="L201" s="611"/>
      <c r="M201" s="612"/>
      <c r="N201" s="610"/>
      <c r="O201" s="613"/>
    </row>
    <row r="202" spans="1:16">
      <c r="A202" s="616"/>
      <c r="B202" s="610"/>
      <c r="C202" s="610"/>
      <c r="D202" s="610"/>
      <c r="E202" s="610"/>
      <c r="F202" s="610"/>
      <c r="G202" s="610"/>
      <c r="H202" s="610"/>
      <c r="I202" s="610"/>
      <c r="J202" s="610"/>
      <c r="K202" s="610"/>
      <c r="L202" s="611"/>
      <c r="M202" s="612"/>
      <c r="N202" s="610"/>
      <c r="O202" s="613"/>
    </row>
    <row r="203" spans="1:16">
      <c r="A203" s="614"/>
      <c r="B203" s="614"/>
      <c r="C203" s="614"/>
      <c r="D203" s="614"/>
      <c r="E203" s="614"/>
      <c r="F203" s="614"/>
      <c r="G203" s="614"/>
      <c r="H203" s="614"/>
      <c r="I203" s="614"/>
      <c r="J203" s="614"/>
      <c r="K203" s="614"/>
      <c r="L203" s="611"/>
      <c r="M203" s="612"/>
      <c r="N203" s="610"/>
      <c r="O203" s="613"/>
    </row>
    <row r="204" spans="1:16">
      <c r="A204" s="610"/>
      <c r="B204" s="610"/>
      <c r="C204" s="610"/>
      <c r="D204" s="610"/>
      <c r="E204" s="610"/>
      <c r="F204" s="610"/>
      <c r="G204" s="610"/>
      <c r="H204" s="610"/>
      <c r="I204" s="610"/>
      <c r="J204" s="610"/>
      <c r="K204" s="610"/>
      <c r="L204" s="611"/>
      <c r="M204" s="612"/>
      <c r="N204" s="610"/>
      <c r="O204" s="613"/>
    </row>
  </sheetData>
  <sheetProtection selectLockedCells="1"/>
  <autoFilter ref="A10:P198"/>
  <mergeCells count="6">
    <mergeCell ref="A153:O153"/>
    <mergeCell ref="A2:O2"/>
    <mergeCell ref="N12:O12"/>
    <mergeCell ref="M123:N123"/>
    <mergeCell ref="M125:N125"/>
    <mergeCell ref="M127:N127"/>
  </mergeCells>
  <conditionalFormatting sqref="V117:V120 S117:S120">
    <cfRule type="cellIs" dxfId="3" priority="4" stopIfTrue="1" operator="greaterThan">
      <formula>0.5</formula>
    </cfRule>
  </conditionalFormatting>
  <conditionalFormatting sqref="M118:M119 M99:M115 M96 M93 M90 M77:M87 M60:M63 M56:M57 M52:M53 M40:M43 M37 M66:M74 M30:M34 M19:M26 M15:M16 M46:M50">
    <cfRule type="cellIs" dxfId="2" priority="3" operator="lessThanOrEqual">
      <formula>0</formula>
    </cfRule>
  </conditionalFormatting>
  <conditionalFormatting sqref="M120">
    <cfRule type="cellIs" dxfId="1" priority="2" operator="lessThanOrEqual">
      <formula>0</formula>
    </cfRule>
  </conditionalFormatting>
  <conditionalFormatting sqref="A169">
    <cfRule type="cellIs" dxfId="0" priority="1" stopIfTrue="1" operator="greaterThan">
      <formula>0</formula>
    </cfRule>
  </conditionalFormatting>
  <printOptions horizontalCentered="1"/>
  <pageMargins left="0.39370078740157483" right="0.39370078740157483" top="0.39370078740157483" bottom="0.78740157480314965" header="0.39370078740157483" footer="0.39370078740157483"/>
  <pageSetup paperSize="9" scale="95" orientation="portrait" r:id="rId1"/>
  <headerFooter>
    <oddFooter>&amp;C&amp;8SOREC Societé Réunionnaise de construction.
 Siret : 83026631800013 APE 4399C</oddFooter>
  </headerFooter>
  <rowBreaks count="1" manualBreakCount="1">
    <brk id="146" max="5" man="1"/>
  </row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
  <sheetViews>
    <sheetView tabSelected="1" workbookViewId="0">
      <selection activeCell="K32" sqref="K32"/>
    </sheetView>
  </sheetViews>
  <sheetFormatPr baseColWidth="10" defaultRowHeight="15"/>
  <sheetData/>
  <pageMargins left="0.7" right="0.7" top="0.75" bottom="0.75" header="0.3" footer="0.3"/>
  <drawing r:id="rId1"/>
  <legacyDrawing r:id="rId2"/>
  <controls>
    <mc:AlternateContent xmlns:mc="http://schemas.openxmlformats.org/markup-compatibility/2006">
      <mc:Choice Requires="x14">
        <control shapeId="21505" r:id="rId3" name="Bt1">
          <controlPr defaultSize="0" autoLine="0" autoPict="0" r:id="rId4">
            <anchor moveWithCells="1">
              <from>
                <xdr:col>2</xdr:col>
                <xdr:colOff>0</xdr:colOff>
                <xdr:row>8</xdr:row>
                <xdr:rowOff>0</xdr:rowOff>
              </from>
              <to>
                <xdr:col>4</xdr:col>
                <xdr:colOff>190500</xdr:colOff>
                <xdr:row>10</xdr:row>
                <xdr:rowOff>0</xdr:rowOff>
              </to>
            </anchor>
          </controlPr>
        </control>
      </mc:Choice>
      <mc:Fallback>
        <control shapeId="21505" r:id="rId3" name="Bt1"/>
      </mc:Fallback>
    </mc:AlternateContent>
    <mc:AlternateContent xmlns:mc="http://schemas.openxmlformats.org/markup-compatibility/2006">
      <mc:Choice Requires="x14">
        <control shapeId="21506" r:id="rId5" name="Bt2">
          <controlPr defaultSize="0" autoLine="0" autoPict="0" r:id="rId6">
            <anchor moveWithCells="1">
              <from>
                <xdr:col>2</xdr:col>
                <xdr:colOff>0</xdr:colOff>
                <xdr:row>12</xdr:row>
                <xdr:rowOff>0</xdr:rowOff>
              </from>
              <to>
                <xdr:col>4</xdr:col>
                <xdr:colOff>190500</xdr:colOff>
                <xdr:row>14</xdr:row>
                <xdr:rowOff>0</xdr:rowOff>
              </to>
            </anchor>
          </controlPr>
        </control>
      </mc:Choice>
      <mc:Fallback>
        <control shapeId="21506" r:id="rId5" name="Bt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37</vt:i4>
      </vt:variant>
    </vt:vector>
  </HeadingPairs>
  <TitlesOfParts>
    <vt:vector size="52" baseType="lpstr">
      <vt:lpstr>BD_Client</vt:lpstr>
      <vt:lpstr>Bd_Villes</vt:lpstr>
      <vt:lpstr>Matrice</vt:lpstr>
      <vt:lpstr>Bd_Devis</vt:lpstr>
      <vt:lpstr>Bd_LigneDevis</vt:lpstr>
      <vt:lpstr>Devis</vt:lpstr>
      <vt:lpstr>Bon_Commande</vt:lpstr>
      <vt:lpstr>C.Horaire</vt:lpstr>
      <vt:lpstr>Apro.Chantier</vt:lpstr>
      <vt:lpstr>Temps.U</vt:lpstr>
      <vt:lpstr>Sous-Enss</vt:lpstr>
      <vt:lpstr>Etude-Prix</vt:lpstr>
      <vt:lpstr>Instalation_Chantier </vt:lpstr>
      <vt:lpstr>DEVIS_Estimatif</vt:lpstr>
      <vt:lpstr>Explication</vt:lpstr>
      <vt:lpstr>Adresse_Client</vt:lpstr>
      <vt:lpstr>AGL</vt:lpstr>
      <vt:lpstr>AGM</vt:lpstr>
      <vt:lpstr>ALEA</vt:lpstr>
      <vt:lpstr>Alerte</vt:lpstr>
      <vt:lpstr>BENEF</vt:lpstr>
      <vt:lpstr>Bville</vt:lpstr>
      <vt:lpstr>CODEPO</vt:lpstr>
      <vt:lpstr>CP_Ville_Client</vt:lpstr>
      <vt:lpstr>Devis</vt:lpstr>
      <vt:lpstr>Bd_Villes!Ech_Fac</vt:lpstr>
      <vt:lpstr>Bd_Villes!ECHEAN</vt:lpstr>
      <vt:lpstr>Echéancier</vt:lpstr>
      <vt:lpstr>Etape</vt:lpstr>
      <vt:lpstr>FDF</vt:lpstr>
      <vt:lpstr>Fournisseurs</vt:lpstr>
      <vt:lpstr>incre</vt:lpstr>
      <vt:lpstr>incref</vt:lpstr>
      <vt:lpstr>Matrice</vt:lpstr>
      <vt:lpstr>MEG</vt:lpstr>
      <vt:lpstr>MOA</vt:lpstr>
      <vt:lpstr>Bd_Villes!Nbr_Ech</vt:lpstr>
      <vt:lpstr>Nom_Client</vt:lpstr>
      <vt:lpstr>Numero_Client</vt:lpstr>
      <vt:lpstr>Ouvrage</vt:lpstr>
      <vt:lpstr>P_Vente</vt:lpstr>
      <vt:lpstr>pourcentage</vt:lpstr>
      <vt:lpstr>Prix_RV</vt:lpstr>
      <vt:lpstr>Prix_VHT</vt:lpstr>
      <vt:lpstr>PrixVHT</vt:lpstr>
      <vt:lpstr>PVente</vt:lpstr>
      <vt:lpstr>remise</vt:lpstr>
      <vt:lpstr>TotalFacturé</vt:lpstr>
      <vt:lpstr>TotalFO</vt:lpstr>
      <vt:lpstr>TotalMO</vt:lpstr>
      <vt:lpstr>Bon_Commande!Zone_d_impression</vt:lpstr>
      <vt:lpstr>DEVIS_Estimatif!Zone_d_impression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ExcelBat</dc:title>
  <dc:subject>Devis métré sur Excel</dc:subject>
  <dc:creator>Patrick RAMSAMY</dc:creator>
  <cp:keywords>Devis, Métré, estimation, situation de travaux, Appel d'offre, Marchés</cp:keywords>
  <dc:description>Devis estimatif, Métré, Estimation, Situation de travaux, Conversion devises, Synthèse devis, analyse grapique - Copyrights © 2008 Antonio BEJA.</dc:description>
  <cp:lastModifiedBy>Pascal Richard</cp:lastModifiedBy>
  <cp:lastPrinted>2018-07-02T06:37:09Z</cp:lastPrinted>
  <dcterms:created xsi:type="dcterms:W3CDTF">2008-02-25T10:30:05Z</dcterms:created>
  <dcterms:modified xsi:type="dcterms:W3CDTF">2018-07-05T07:58:52Z</dcterms:modified>
  <cp:category>Excel, VBA</cp:category>
</cp:coreProperties>
</file>