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20550" windowHeight="8010" tabRatio="952" activeTab="7"/>
  </bookViews>
  <sheets>
    <sheet name="BD" sheetId="117" r:id="rId1"/>
    <sheet name="BD_Client" sheetId="116" r:id="rId2"/>
    <sheet name="BD_Fournisseurs" sheetId="120" r:id="rId3"/>
    <sheet name="Matrice" sheetId="11" r:id="rId4"/>
    <sheet name="BD_BDC" sheetId="121" r:id="rId5"/>
    <sheet name="Bon_Commande" sheetId="34" r:id="rId6"/>
    <sheet name="BD_ET_PR" sheetId="17" r:id="rId7"/>
    <sheet name="BD_Prod" sheetId="114" r:id="rId8"/>
    <sheet name="ET_PRIX" sheetId="115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8" hidden="1">ET_PRIX!$A$2:$N$344</definedName>
    <definedName name="Adresse_Client" localSheetId="0">'[1]Devis (2)'!$E$6</definedName>
    <definedName name="Adresse_Client" localSheetId="1">'[1]Devis (2)'!$E$6</definedName>
    <definedName name="Adresse_Client">#REF!</definedName>
    <definedName name="AGL">Matrice!$I$5</definedName>
    <definedName name="AGM" localSheetId="0">[2]Matrice!$H$5</definedName>
    <definedName name="AGM" localSheetId="1">[3]Matrice!$H$5</definedName>
    <definedName name="AGM">Matrice!$H$5</definedName>
    <definedName name="ALEA" localSheetId="0">[2]Matrice!$F$5</definedName>
    <definedName name="ALEA" localSheetId="1">[3]Matrice!$F$5</definedName>
    <definedName name="ALEA">Matrice!$F$5</definedName>
    <definedName name="Alerte" localSheetId="0">BD!#REF!</definedName>
    <definedName name="Alerte">#REF!</definedName>
    <definedName name="Base_Clients" localSheetId="0">#REF!</definedName>
    <definedName name="Base_Clients" localSheetId="1">#REF!</definedName>
    <definedName name="Base_Clients">#REF!</definedName>
    <definedName name="BENEF">Matrice!$J$5</definedName>
    <definedName name="Bville" localSheetId="0">BD!$B$2:$B$40</definedName>
    <definedName name="Bville">#REF!</definedName>
    <definedName name="c_h_p" localSheetId="0">#REF!</definedName>
    <definedName name="c_h_p" localSheetId="1">#REF!</definedName>
    <definedName name="c_h_p">#REF!</definedName>
    <definedName name="Chercher" localSheetId="0">#REF!</definedName>
    <definedName name="Chercher" localSheetId="1">#REF!</definedName>
    <definedName name="Chercher">#REF!</definedName>
    <definedName name="CODEPO" localSheetId="0">BD!$A$2:$B$40</definedName>
    <definedName name="CODEPO">#REF!</definedName>
    <definedName name="CP_Ville_Client" localSheetId="0">'[1]Devis (2)'!$E$7</definedName>
    <definedName name="CP_Ville_Client" localSheetId="1">'[1]Devis (2)'!$E$7</definedName>
    <definedName name="CP_Ville_Client">#REF!</definedName>
    <definedName name="DataBase0" localSheetId="0" hidden="1">#REF!</definedName>
    <definedName name="DataBase0" localSheetId="1" hidden="1">#REF!</definedName>
    <definedName name="DataBase0" localSheetId="5" hidden="1">#REF!</definedName>
    <definedName name="DataBase0" hidden="1">#REF!</definedName>
    <definedName name="DataBase1" localSheetId="0" hidden="1">#REF!</definedName>
    <definedName name="DataBase1" localSheetId="1" hidden="1">#REF!</definedName>
    <definedName name="DataBase1" localSheetId="5" hidden="1">#REF!</definedName>
    <definedName name="DataBase1" hidden="1">#REF!</definedName>
    <definedName name="DataBase2" localSheetId="0" hidden="1">#REF!</definedName>
    <definedName name="DataBase2" localSheetId="1" hidden="1">#REF!</definedName>
    <definedName name="DataBase2" localSheetId="5" hidden="1">#REF!</definedName>
    <definedName name="DataBase2" hidden="1">#REF!</definedName>
    <definedName name="DataBase3" localSheetId="0" hidden="1">#REF!</definedName>
    <definedName name="DataBase3" localSheetId="1" hidden="1">#REF!</definedName>
    <definedName name="DataBase3" localSheetId="5" hidden="1">#REF!</definedName>
    <definedName name="DataBase3" hidden="1">#REF!</definedName>
    <definedName name="DateFin1" localSheetId="0" hidden="1">#REF!</definedName>
    <definedName name="DateFin1" localSheetId="1" hidden="1">#REF!</definedName>
    <definedName name="DateFin1" localSheetId="5" hidden="1">#REF!</definedName>
    <definedName name="DateFin1" hidden="1">#REF!</definedName>
    <definedName name="Débourse" localSheetId="5" hidden="1">Bon_Commande!#REF!</definedName>
    <definedName name="Devis" localSheetId="0">#REF!</definedName>
    <definedName name="Devis">#REF!</definedName>
    <definedName name="Ech_Fac" localSheetId="0">BD!#REF!</definedName>
    <definedName name="ECHEAN" localSheetId="0">BD!$J$2:$J$6</definedName>
    <definedName name="Echéancier" localSheetId="0">BD!$J$2:$J$6</definedName>
    <definedName name="Echéancier">#REF!</definedName>
    <definedName name="Etape" localSheetId="0">BD!$O$2:$O$10</definedName>
    <definedName name="Etape">#REF!</definedName>
    <definedName name="FDF">Matrice!$G$5</definedName>
    <definedName name="filtre">BD!$P$2:$Q$13</definedName>
    <definedName name="Fournisseurs" localSheetId="0">BD!$D$2:$E$7</definedName>
    <definedName name="Fournisseurs">#REF!</definedName>
    <definedName name="HOLCIM" localSheetId="0">#REF!</definedName>
    <definedName name="HOLCIM" localSheetId="1">#REF!</definedName>
    <definedName name="HOLCIM">#REF!</definedName>
    <definedName name="incre" localSheetId="0">BD!$I$2</definedName>
    <definedName name="incre">#REF!</definedName>
    <definedName name="incref" localSheetId="0">BD!$K$2</definedName>
    <definedName name="incref">#REF!</definedName>
    <definedName name="JourFerie1" localSheetId="0" hidden="1">#REF!</definedName>
    <definedName name="JourFerie1" localSheetId="1" hidden="1">#REF!</definedName>
    <definedName name="JourFerie1" localSheetId="5" hidden="1">#REF!</definedName>
    <definedName name="JourFerie1" hidden="1">#REF!</definedName>
    <definedName name="Matrice" localSheetId="0">BD!$F$2:$G$13</definedName>
    <definedName name="Matrice">#REF!</definedName>
    <definedName name="MEG">Matrice!$I$5</definedName>
    <definedName name="MOA">Matrice!$E$5</definedName>
    <definedName name="MOGAMAT" localSheetId="0">#REF!</definedName>
    <definedName name="MOGAMAT" localSheetId="1">#REF!</definedName>
    <definedName name="MOGAMAT">#REF!</definedName>
    <definedName name="mois" localSheetId="0">BD!$J$2:$J$13</definedName>
    <definedName name="Mois">#REF!</definedName>
    <definedName name="MontantTVA">[4]Devis!$O$25</definedName>
    <definedName name="Nbr_Ech" localSheetId="0">BD!$J$8</definedName>
    <definedName name="Nom_Client" localSheetId="0">'[1]Devis (2)'!$E$5</definedName>
    <definedName name="Nom_Client" localSheetId="1">'[1]Devis (2)'!$E$5</definedName>
    <definedName name="Nom_Client">#REF!</definedName>
    <definedName name="Numero_Client" localSheetId="0">'[1]Devis (2)'!$E$3</definedName>
    <definedName name="Numero_Client" localSheetId="1">'[1]Devis (2)'!$E$3</definedName>
    <definedName name="Numero_Client">#REF!</definedName>
    <definedName name="Ouvrage" localSheetId="0">'[1]Devis (2)'!$C$12</definedName>
    <definedName name="Ouvrage" localSheetId="1">'[1]Devis (2)'!$C$12</definedName>
    <definedName name="Ouvrage">#REF!</definedName>
    <definedName name="P_Vente" localSheetId="0">#REF!</definedName>
    <definedName name="P_Vente" localSheetId="1">[3]DEVIS_Estimatif!$O$127</definedName>
    <definedName name="P_Vente">#REF!</definedName>
    <definedName name="PHT">[2]Devis!$O$32</definedName>
    <definedName name="pourcentage" localSheetId="0">BD!#REF!</definedName>
    <definedName name="pourcentage">#REF!</definedName>
    <definedName name="PREFABETON" localSheetId="0">#REF!</definedName>
    <definedName name="PREFABETON" localSheetId="1">#REF!</definedName>
    <definedName name="PREFABETON">#REF!</definedName>
    <definedName name="Prix_RV" localSheetId="0">'[1]Devis (2)'!$M$58</definedName>
    <definedName name="Prix_RV" localSheetId="1">'[1]Devis (2)'!$M$58</definedName>
    <definedName name="Prix_RV">#REF!</definedName>
    <definedName name="Prix_VHT" localSheetId="0">'[1]Devis (2)'!$P$58</definedName>
    <definedName name="Prix_VHT" localSheetId="1">'[1]Devis (2)'!$P$58</definedName>
    <definedName name="Prix_VHT">#REF!</definedName>
    <definedName name="PrixVHT" localSheetId="0">#REF!</definedName>
    <definedName name="PrixVHT" localSheetId="1">[3]DEVIS_Estimatif!$O$122</definedName>
    <definedName name="PrixVHT">#REF!</definedName>
    <definedName name="PTTC">[2]Devis!$O$36</definedName>
    <definedName name="PTVA">[2]Devis!$O$34</definedName>
    <definedName name="PVente" localSheetId="0">'[1]Devis (2)'!$P$63</definedName>
    <definedName name="PVente" localSheetId="1">'[1]Devis (2)'!$P$63</definedName>
    <definedName name="PVente">#REF!</definedName>
    <definedName name="PVHT">[2]Devis!$O$31</definedName>
    <definedName name="PVTTC">[4]Devis!$O$28</definedName>
    <definedName name="remise" localSheetId="0">'[1]Devis (2)'!$O$62</definedName>
    <definedName name="remise" localSheetId="1">'[1]Devis (2)'!$O$62</definedName>
    <definedName name="remise">#REF!</definedName>
    <definedName name="SEIGNERIE" localSheetId="0">#REF!</definedName>
    <definedName name="SEIGNERIE" localSheetId="1">#REF!</definedName>
    <definedName name="SEIGNERIE">#REF!</definedName>
    <definedName name="Total" localSheetId="5" hidden="1">Bon_Commande!#REF!</definedName>
    <definedName name="TotalFacturé" localSheetId="0">BD!$L$2:$M$6</definedName>
    <definedName name="TotalFacturé">#REF!</definedName>
    <definedName name="TotalFO" localSheetId="0">'[1]Devis (2)'!$H$58</definedName>
    <definedName name="TotalFO" localSheetId="1">'[1]Devis (2)'!$H$58</definedName>
    <definedName name="TotalFO">#REF!</definedName>
    <definedName name="TotalMO" localSheetId="0">'[1]Devis (2)'!$L$58</definedName>
    <definedName name="TotalMO" localSheetId="1">'[1]Devis (2)'!$L$58</definedName>
    <definedName name="TotalMO">#REF!</definedName>
    <definedName name="TVA">[2]Devis!$N$34</definedName>
    <definedName name="ValeurMarges" localSheetId="0" hidden="1">#REF!</definedName>
    <definedName name="ValeurMarges" localSheetId="1" hidden="1">#REF!</definedName>
    <definedName name="ValeurMarges" localSheetId="5" hidden="1">#REF!</definedName>
    <definedName name="ValeurMarges" hidden="1">#REF!</definedName>
    <definedName name="_xlnm.Print_Area" localSheetId="5">Bon_Commande!$A$1:$H$61</definedName>
  </definedNames>
  <calcPr calcId="145621"/>
</workbook>
</file>

<file path=xl/calcChain.xml><?xml version="1.0" encoding="utf-8"?>
<calcChain xmlns="http://schemas.openxmlformats.org/spreadsheetml/2006/main">
  <c r="J191" i="115" l="1"/>
  <c r="J2" i="114" l="1"/>
  <c r="L2" i="114" s="1"/>
  <c r="D2" i="114"/>
  <c r="F2" i="114" s="1"/>
  <c r="P2" i="114" s="1"/>
  <c r="I87" i="114"/>
  <c r="L87" i="114" s="1"/>
  <c r="N87" i="114" s="1"/>
  <c r="O87" i="114" s="1"/>
  <c r="F65" i="115" s="1"/>
  <c r="I85" i="114"/>
  <c r="L85" i="114" s="1"/>
  <c r="N85" i="114" s="1"/>
  <c r="O85" i="114" s="1"/>
  <c r="P85" i="114"/>
  <c r="I86" i="114"/>
  <c r="L86" i="114" s="1"/>
  <c r="N86" i="114" s="1"/>
  <c r="O86" i="114" s="1"/>
  <c r="F143" i="115" s="1"/>
  <c r="I84" i="114"/>
  <c r="L84" i="114" s="1"/>
  <c r="N84" i="114" s="1"/>
  <c r="O84" i="114" s="1"/>
  <c r="F66" i="115" s="1"/>
  <c r="I83" i="114"/>
  <c r="E2" i="114" l="1"/>
  <c r="G2" i="114" s="1"/>
  <c r="K2" i="114"/>
  <c r="E15" i="17"/>
  <c r="F234" i="115"/>
  <c r="F211" i="115"/>
  <c r="F161" i="115"/>
  <c r="F116" i="115"/>
  <c r="F133" i="115"/>
  <c r="F58" i="115"/>
  <c r="F221" i="115"/>
  <c r="F174" i="115"/>
  <c r="F149" i="115"/>
  <c r="F124" i="115"/>
  <c r="F50" i="115"/>
  <c r="E5" i="17"/>
  <c r="E20" i="17"/>
  <c r="E10" i="17"/>
  <c r="F244" i="115"/>
  <c r="F226" i="115"/>
  <c r="F216" i="115"/>
  <c r="F206" i="115"/>
  <c r="F167" i="115"/>
  <c r="F155" i="115"/>
  <c r="F120" i="115"/>
  <c r="F128" i="115"/>
  <c r="F138" i="115"/>
  <c r="F46" i="115"/>
  <c r="F14" i="115"/>
  <c r="F28" i="115"/>
  <c r="M2" i="114"/>
  <c r="N2" i="114" s="1"/>
  <c r="F98" i="115"/>
  <c r="F253" i="115"/>
  <c r="F91" i="115"/>
  <c r="F105" i="115"/>
  <c r="P87" i="114"/>
  <c r="M87" i="114" s="1"/>
  <c r="M85" i="114"/>
  <c r="P86" i="114"/>
  <c r="M86" i="114" s="1"/>
  <c r="P84" i="114"/>
  <c r="M84" i="114" s="1"/>
  <c r="P83" i="114"/>
  <c r="L83" i="114"/>
  <c r="N83" i="114" s="1"/>
  <c r="O83" i="114" s="1"/>
  <c r="O2" i="114" l="1"/>
  <c r="J339" i="115" s="1"/>
  <c r="J344" i="115"/>
  <c r="J326" i="115"/>
  <c r="J276" i="115"/>
  <c r="J240" i="115"/>
  <c r="J217" i="115"/>
  <c r="J184" i="115"/>
  <c r="J164" i="115"/>
  <c r="J140" i="115"/>
  <c r="J61" i="115"/>
  <c r="J110" i="115"/>
  <c r="J86" i="115"/>
  <c r="J47" i="115"/>
  <c r="J29" i="115"/>
  <c r="J7" i="115"/>
  <c r="E7" i="17"/>
  <c r="J320" i="115"/>
  <c r="J297" i="115"/>
  <c r="J269" i="115"/>
  <c r="J235" i="115"/>
  <c r="J212" i="115"/>
  <c r="J255" i="115"/>
  <c r="J180" i="115"/>
  <c r="J158" i="115"/>
  <c r="J135" i="115"/>
  <c r="J121" i="115"/>
  <c r="J62" i="115"/>
  <c r="J107" i="115"/>
  <c r="J79" i="115"/>
  <c r="J43" i="115"/>
  <c r="J22" i="115"/>
  <c r="E22" i="17"/>
  <c r="E2" i="17"/>
  <c r="F252" i="115"/>
  <c r="F104" i="115"/>
  <c r="F9" i="115"/>
  <c r="F90" i="115"/>
  <c r="F97" i="115"/>
  <c r="F4" i="115"/>
  <c r="M83" i="114"/>
  <c r="J190" i="115" l="1"/>
  <c r="J125" i="115"/>
  <c r="J304" i="115"/>
  <c r="E12" i="17"/>
  <c r="J12" i="115"/>
  <c r="J32" i="115"/>
  <c r="J53" i="115"/>
  <c r="J93" i="115"/>
  <c r="J117" i="115"/>
  <c r="J60" i="115"/>
  <c r="J130" i="115"/>
  <c r="J146" i="115"/>
  <c r="J171" i="115"/>
  <c r="J249" i="115"/>
  <c r="J199" i="115"/>
  <c r="J222" i="115"/>
  <c r="J245" i="115"/>
  <c r="J283" i="115"/>
  <c r="J309" i="115"/>
  <c r="J331" i="115"/>
  <c r="E17" i="17"/>
  <c r="J17" i="115"/>
  <c r="J39" i="115"/>
  <c r="J72" i="115"/>
  <c r="J100" i="115"/>
  <c r="J59" i="115"/>
  <c r="J68" i="115"/>
  <c r="J69" i="115"/>
  <c r="J152" i="115"/>
  <c r="J177" i="115"/>
  <c r="J181" i="115"/>
  <c r="J207" i="115"/>
  <c r="J227" i="115"/>
  <c r="J262" i="115"/>
  <c r="J290" i="115"/>
  <c r="J314" i="115"/>
  <c r="J335" i="115"/>
  <c r="H3" i="115"/>
  <c r="I82" i="114"/>
  <c r="L82" i="114" s="1"/>
  <c r="N82" i="114" s="1"/>
  <c r="O82" i="114" s="1"/>
  <c r="F243" i="115" s="1"/>
  <c r="H340" i="115"/>
  <c r="H336" i="115"/>
  <c r="H332" i="115"/>
  <c r="H327" i="115"/>
  <c r="H321" i="115"/>
  <c r="H315" i="115"/>
  <c r="H310" i="115"/>
  <c r="H305" i="115"/>
  <c r="H298" i="115"/>
  <c r="H291" i="115"/>
  <c r="H284" i="115"/>
  <c r="H277" i="115"/>
  <c r="H270" i="115"/>
  <c r="H263" i="115"/>
  <c r="H256" i="115"/>
  <c r="H241" i="115"/>
  <c r="H238" i="115"/>
  <c r="J236" i="115"/>
  <c r="H236" i="115"/>
  <c r="H228" i="115"/>
  <c r="H223" i="115"/>
  <c r="H218" i="115"/>
  <c r="H213" i="115"/>
  <c r="H208" i="115"/>
  <c r="H203" i="115"/>
  <c r="H196" i="115"/>
  <c r="H185" i="115"/>
  <c r="H250" i="115"/>
  <c r="H246" i="115"/>
  <c r="H182" i="115"/>
  <c r="H178" i="115"/>
  <c r="H172" i="115"/>
  <c r="H165" i="115"/>
  <c r="H159" i="115"/>
  <c r="H153" i="115"/>
  <c r="H147" i="115"/>
  <c r="H141" i="115"/>
  <c r="H136" i="115"/>
  <c r="H131" i="115"/>
  <c r="H126" i="115"/>
  <c r="H122" i="115"/>
  <c r="H118" i="115"/>
  <c r="H63" i="115"/>
  <c r="H54" i="115"/>
  <c r="H111" i="115"/>
  <c r="H108" i="115"/>
  <c r="H101" i="115"/>
  <c r="H94" i="115"/>
  <c r="H87" i="115"/>
  <c r="H80" i="115"/>
  <c r="H73" i="115"/>
  <c r="H70" i="115"/>
  <c r="H48" i="115"/>
  <c r="H44" i="115"/>
  <c r="H40" i="115"/>
  <c r="H33" i="115"/>
  <c r="H30" i="115"/>
  <c r="H23" i="115"/>
  <c r="P82" i="114" l="1"/>
  <c r="M82" i="114"/>
  <c r="H18" i="115" l="1"/>
  <c r="H15" i="115"/>
  <c r="J13" i="115"/>
  <c r="H13" i="115"/>
  <c r="L244" i="115"/>
  <c r="L9" i="115"/>
  <c r="L243" i="115"/>
  <c r="L234" i="115"/>
  <c r="L216" i="115"/>
  <c r="L206" i="115"/>
  <c r="L174" i="115"/>
  <c r="L161" i="115"/>
  <c r="L149" i="115"/>
  <c r="L138" i="115"/>
  <c r="L128" i="115"/>
  <c r="L120" i="115"/>
  <c r="L104" i="115"/>
  <c r="L90" i="115"/>
  <c r="H8" i="115"/>
  <c r="L4" i="115" l="1"/>
  <c r="L97" i="115"/>
  <c r="L116" i="115"/>
  <c r="L124" i="115"/>
  <c r="L133" i="115"/>
  <c r="L143" i="115"/>
  <c r="L155" i="115"/>
  <c r="L167" i="115"/>
  <c r="L252" i="115"/>
  <c r="L211" i="115"/>
  <c r="L221" i="115"/>
  <c r="L226" i="115"/>
  <c r="L65" i="115"/>
  <c r="L46" i="115"/>
  <c r="L14" i="115"/>
  <c r="L13" i="115" s="1"/>
  <c r="N13" i="115" s="1"/>
  <c r="F20" i="17"/>
  <c r="F15" i="17"/>
  <c r="F10" i="17"/>
  <c r="F5" i="17"/>
  <c r="F13" i="115" l="1"/>
  <c r="I81" i="114"/>
  <c r="P81" i="114" s="1"/>
  <c r="I21" i="114"/>
  <c r="I20" i="114"/>
  <c r="I22" i="114"/>
  <c r="I23" i="114"/>
  <c r="I80" i="114"/>
  <c r="L80" i="114" s="1"/>
  <c r="N80" i="114" s="1"/>
  <c r="O80" i="114" s="1"/>
  <c r="F38" i="115" l="1"/>
  <c r="L38" i="115" s="1"/>
  <c r="F10" i="115"/>
  <c r="L10" i="115" s="1"/>
  <c r="F78" i="115"/>
  <c r="L78" i="115" s="1"/>
  <c r="F85" i="115"/>
  <c r="L85" i="115" s="1"/>
  <c r="P80" i="114"/>
  <c r="L81" i="114"/>
  <c r="N81" i="114" s="1"/>
  <c r="O81" i="114" s="1"/>
  <c r="F173" i="115" s="1"/>
  <c r="L173" i="115" s="1"/>
  <c r="M80" i="114"/>
  <c r="M81" i="114" l="1"/>
  <c r="L66" i="115" l="1"/>
  <c r="L98" i="115"/>
  <c r="L28" i="115"/>
  <c r="L253" i="115"/>
  <c r="L58" i="115"/>
  <c r="L105" i="115"/>
  <c r="L91" i="115"/>
  <c r="L50" i="115"/>
  <c r="F17" i="17" l="1"/>
  <c r="F7" i="17"/>
  <c r="F22" i="17"/>
  <c r="F12" i="17"/>
  <c r="F2" i="17"/>
  <c r="L68" i="115"/>
  <c r="L59" i="115"/>
  <c r="L180" i="115"/>
  <c r="L61" i="115"/>
  <c r="L60" i="115"/>
  <c r="E5" i="11"/>
  <c r="I7" i="114"/>
  <c r="L7" i="114" s="1"/>
  <c r="N7" i="114" s="1"/>
  <c r="O7" i="114" s="1"/>
  <c r="I8" i="114"/>
  <c r="P8" i="114" s="1"/>
  <c r="I9" i="114"/>
  <c r="I10" i="114"/>
  <c r="P10" i="114" s="1"/>
  <c r="I11" i="114"/>
  <c r="L11" i="114" s="1"/>
  <c r="N11" i="114" s="1"/>
  <c r="O11" i="114" s="1"/>
  <c r="I12" i="114"/>
  <c r="P12" i="114" s="1"/>
  <c r="I13" i="114"/>
  <c r="L13" i="114" s="1"/>
  <c r="N13" i="114" s="1"/>
  <c r="O13" i="114" s="1"/>
  <c r="F82" i="115" s="1"/>
  <c r="I14" i="114"/>
  <c r="P14" i="114" s="1"/>
  <c r="I15" i="114"/>
  <c r="L15" i="114" s="1"/>
  <c r="N15" i="114" s="1"/>
  <c r="O15" i="114" s="1"/>
  <c r="I16" i="114"/>
  <c r="P16" i="114" s="1"/>
  <c r="I17" i="114"/>
  <c r="L17" i="114" s="1"/>
  <c r="N17" i="114" s="1"/>
  <c r="O17" i="114" s="1"/>
  <c r="I18" i="114"/>
  <c r="P18" i="114" s="1"/>
  <c r="I19" i="114"/>
  <c r="L19" i="114" s="1"/>
  <c r="N19" i="114" s="1"/>
  <c r="O19" i="114" s="1"/>
  <c r="P20" i="114"/>
  <c r="L21" i="114"/>
  <c r="N21" i="114" s="1"/>
  <c r="O21" i="114" s="1"/>
  <c r="F123" i="115" s="1"/>
  <c r="L123" i="115" s="1"/>
  <c r="F122" i="115" s="1"/>
  <c r="P22" i="114"/>
  <c r="L23" i="114"/>
  <c r="N23" i="114" s="1"/>
  <c r="O23" i="114" s="1"/>
  <c r="F103" i="115" s="1"/>
  <c r="L103" i="115" s="1"/>
  <c r="I24" i="114"/>
  <c r="P24" i="114" s="1"/>
  <c r="I25" i="114"/>
  <c r="L25" i="114" s="1"/>
  <c r="N25" i="114" s="1"/>
  <c r="O25" i="114" s="1"/>
  <c r="F41" i="115" s="1"/>
  <c r="L41" i="115" s="1"/>
  <c r="I26" i="114"/>
  <c r="P26" i="114" s="1"/>
  <c r="I27" i="114"/>
  <c r="L27" i="114" s="1"/>
  <c r="N27" i="114" s="1"/>
  <c r="O27" i="114" s="1"/>
  <c r="F109" i="115" s="1"/>
  <c r="L109" i="115" s="1"/>
  <c r="F108" i="115" s="1"/>
  <c r="I28" i="114"/>
  <c r="P28" i="114" s="1"/>
  <c r="I29" i="114"/>
  <c r="L29" i="114" s="1"/>
  <c r="N29" i="114" s="1"/>
  <c r="O29" i="114" s="1"/>
  <c r="F160" i="115" s="1"/>
  <c r="L160" i="115" s="1"/>
  <c r="I30" i="114"/>
  <c r="P30" i="114" s="1"/>
  <c r="I31" i="114"/>
  <c r="L31" i="114" s="1"/>
  <c r="N31" i="114" s="1"/>
  <c r="O31" i="114" s="1"/>
  <c r="F154" i="115" s="1"/>
  <c r="L154" i="115" s="1"/>
  <c r="I32" i="114"/>
  <c r="P32" i="114" s="1"/>
  <c r="I33" i="114"/>
  <c r="L33" i="114" s="1"/>
  <c r="N33" i="114" s="1"/>
  <c r="O33" i="114" s="1"/>
  <c r="F142" i="115" s="1"/>
  <c r="L142" i="115" s="1"/>
  <c r="I34" i="114"/>
  <c r="P34" i="114" s="1"/>
  <c r="I35" i="114"/>
  <c r="L35" i="114" s="1"/>
  <c r="N35" i="114" s="1"/>
  <c r="O35" i="114" s="1"/>
  <c r="F132" i="115" s="1"/>
  <c r="L132" i="115" s="1"/>
  <c r="I36" i="114"/>
  <c r="P36" i="114" s="1"/>
  <c r="I37" i="114"/>
  <c r="L37" i="114" s="1"/>
  <c r="N37" i="114" s="1"/>
  <c r="O37" i="114" s="1"/>
  <c r="F204" i="115" s="1"/>
  <c r="L204" i="115" s="1"/>
  <c r="I38" i="114"/>
  <c r="P38" i="114" s="1"/>
  <c r="I39" i="114"/>
  <c r="L39" i="114" s="1"/>
  <c r="N39" i="114" s="1"/>
  <c r="O39" i="114" s="1"/>
  <c r="F219" i="115" s="1"/>
  <c r="L219" i="115" s="1"/>
  <c r="I40" i="114"/>
  <c r="P40" i="114" s="1"/>
  <c r="I41" i="114"/>
  <c r="L41" i="114" s="1"/>
  <c r="N41" i="114" s="1"/>
  <c r="O41" i="114" s="1"/>
  <c r="I42" i="114"/>
  <c r="P42" i="114" s="1"/>
  <c r="I43" i="114"/>
  <c r="L43" i="114" s="1"/>
  <c r="N43" i="114" s="1"/>
  <c r="O43" i="114" s="1"/>
  <c r="F248" i="115" s="1"/>
  <c r="L248" i="115" s="1"/>
  <c r="I44" i="114"/>
  <c r="P44" i="114" s="1"/>
  <c r="I45" i="114"/>
  <c r="L45" i="114" s="1"/>
  <c r="N45" i="114" s="1"/>
  <c r="O45" i="114" s="1"/>
  <c r="I46" i="114"/>
  <c r="P46" i="114" s="1"/>
  <c r="I47" i="114"/>
  <c r="L47" i="114" s="1"/>
  <c r="N47" i="114" s="1"/>
  <c r="O47" i="114" s="1"/>
  <c r="I48" i="114"/>
  <c r="P48" i="114" s="1"/>
  <c r="I49" i="114"/>
  <c r="L49" i="114" s="1"/>
  <c r="N49" i="114" s="1"/>
  <c r="O49" i="114" s="1"/>
  <c r="F233" i="115" s="1"/>
  <c r="L233" i="115" s="1"/>
  <c r="I50" i="114"/>
  <c r="P50" i="114" s="1"/>
  <c r="I51" i="114"/>
  <c r="L51" i="114" s="1"/>
  <c r="N51" i="114" s="1"/>
  <c r="O51" i="114" s="1"/>
  <c r="I52" i="114"/>
  <c r="P52" i="114" s="1"/>
  <c r="I53" i="114"/>
  <c r="L53" i="114" s="1"/>
  <c r="N53" i="114" s="1"/>
  <c r="O53" i="114" s="1"/>
  <c r="I54" i="114"/>
  <c r="P54" i="114" s="1"/>
  <c r="I55" i="114"/>
  <c r="L55" i="114" s="1"/>
  <c r="N55" i="114" s="1"/>
  <c r="O55" i="114" s="1"/>
  <c r="I56" i="114"/>
  <c r="P56" i="114" s="1"/>
  <c r="I57" i="114"/>
  <c r="L57" i="114" s="1"/>
  <c r="N57" i="114" s="1"/>
  <c r="O57" i="114" s="1"/>
  <c r="F55" i="115" s="1"/>
  <c r="L55" i="115" s="1"/>
  <c r="I58" i="114"/>
  <c r="P58" i="114" s="1"/>
  <c r="I59" i="114"/>
  <c r="L59" i="114" s="1"/>
  <c r="N59" i="114" s="1"/>
  <c r="O59" i="114" s="1"/>
  <c r="F257" i="115" s="1"/>
  <c r="L257" i="115" s="1"/>
  <c r="I60" i="114"/>
  <c r="P60" i="114" s="1"/>
  <c r="I61" i="114"/>
  <c r="L61" i="114" s="1"/>
  <c r="N61" i="114" s="1"/>
  <c r="O61" i="114" s="1"/>
  <c r="F292" i="115" s="1"/>
  <c r="L292" i="115" s="1"/>
  <c r="I62" i="114"/>
  <c r="P62" i="114" s="1"/>
  <c r="I63" i="114"/>
  <c r="L63" i="114" s="1"/>
  <c r="N63" i="114" s="1"/>
  <c r="O63" i="114" s="1"/>
  <c r="F271" i="115" s="1"/>
  <c r="L271" i="115" s="1"/>
  <c r="I64" i="114"/>
  <c r="P64" i="114" s="1"/>
  <c r="I65" i="114"/>
  <c r="L65" i="114" s="1"/>
  <c r="N65" i="114" s="1"/>
  <c r="O65" i="114" s="1"/>
  <c r="I66" i="114"/>
  <c r="P66" i="114" s="1"/>
  <c r="I67" i="114"/>
  <c r="L67" i="114" s="1"/>
  <c r="N67" i="114" s="1"/>
  <c r="O67" i="114" s="1"/>
  <c r="I68" i="114"/>
  <c r="P68" i="114" s="1"/>
  <c r="I69" i="114"/>
  <c r="L69" i="114" s="1"/>
  <c r="N69" i="114" s="1"/>
  <c r="O69" i="114" s="1"/>
  <c r="I70" i="114"/>
  <c r="P70" i="114" s="1"/>
  <c r="I71" i="114"/>
  <c r="L71" i="114" s="1"/>
  <c r="N71" i="114" s="1"/>
  <c r="O71" i="114" s="1"/>
  <c r="F322" i="115" s="1"/>
  <c r="L322" i="115" s="1"/>
  <c r="I72" i="114"/>
  <c r="P72" i="114" s="1"/>
  <c r="I73" i="114"/>
  <c r="L73" i="114" s="1"/>
  <c r="N73" i="114" s="1"/>
  <c r="O73" i="114" s="1"/>
  <c r="F299" i="115" s="1"/>
  <c r="L299" i="115" s="1"/>
  <c r="I74" i="114"/>
  <c r="P74" i="114" s="1"/>
  <c r="I75" i="114"/>
  <c r="L75" i="114" s="1"/>
  <c r="N75" i="114" s="1"/>
  <c r="O75" i="114" s="1"/>
  <c r="I76" i="114"/>
  <c r="P76" i="114" s="1"/>
  <c r="I77" i="114"/>
  <c r="L77" i="114" s="1"/>
  <c r="N77" i="114" s="1"/>
  <c r="O77" i="114" s="1"/>
  <c r="I78" i="114"/>
  <c r="P78" i="114" s="1"/>
  <c r="I79" i="114"/>
  <c r="L79" i="114" s="1"/>
  <c r="N79" i="114" s="1"/>
  <c r="O79" i="114" s="1"/>
  <c r="I6" i="114"/>
  <c r="L6" i="114" s="1"/>
  <c r="F197" i="115" l="1"/>
  <c r="L197" i="115" s="1"/>
  <c r="F201" i="115"/>
  <c r="L201" i="115" s="1"/>
  <c r="F198" i="115"/>
  <c r="L198" i="115" s="1"/>
  <c r="F202" i="115"/>
  <c r="L202" i="115" s="1"/>
  <c r="F194" i="115"/>
  <c r="L194" i="115" s="1"/>
  <c r="F195" i="115"/>
  <c r="L195" i="115" s="1"/>
  <c r="E9" i="17"/>
  <c r="E14" i="17"/>
  <c r="F229" i="115"/>
  <c r="L229" i="115" s="1"/>
  <c r="F113" i="115"/>
  <c r="L113" i="115" s="1"/>
  <c r="F209" i="115"/>
  <c r="L209" i="115" s="1"/>
  <c r="F214" i="115"/>
  <c r="L214" i="115" s="1"/>
  <c r="F189" i="115"/>
  <c r="L189" i="115" s="1"/>
  <c r="F188" i="115"/>
  <c r="L188" i="115" s="1"/>
  <c r="F296" i="115"/>
  <c r="L296" i="115" s="1"/>
  <c r="F303" i="115"/>
  <c r="L303" i="115" s="1"/>
  <c r="F308" i="115"/>
  <c r="L308" i="115" s="1"/>
  <c r="F313" i="115"/>
  <c r="L313" i="115" s="1"/>
  <c r="F325" i="115"/>
  <c r="L325" i="115" s="1"/>
  <c r="F330" i="115"/>
  <c r="L330" i="115" s="1"/>
  <c r="F338" i="115"/>
  <c r="L338" i="115" s="1"/>
  <c r="F343" i="115"/>
  <c r="L343" i="115" s="1"/>
  <c r="F261" i="115"/>
  <c r="L261" i="115" s="1"/>
  <c r="F268" i="115"/>
  <c r="L268" i="115" s="1"/>
  <c r="F275" i="115"/>
  <c r="L275" i="115" s="1"/>
  <c r="F282" i="115"/>
  <c r="L282" i="115" s="1"/>
  <c r="F289" i="115"/>
  <c r="L289" i="115" s="1"/>
  <c r="F319" i="115"/>
  <c r="L319" i="115" s="1"/>
  <c r="F334" i="115"/>
  <c r="L334" i="115" s="1"/>
  <c r="F267" i="115"/>
  <c r="L267" i="115" s="1"/>
  <c r="F274" i="115"/>
  <c r="L274" i="115" s="1"/>
  <c r="F281" i="115"/>
  <c r="L281" i="115" s="1"/>
  <c r="F288" i="115"/>
  <c r="L288" i="115" s="1"/>
  <c r="F301" i="115"/>
  <c r="L301" i="115" s="1"/>
  <c r="F295" i="115"/>
  <c r="L295" i="115" s="1"/>
  <c r="F337" i="115"/>
  <c r="L337" i="115" s="1"/>
  <c r="F324" i="115"/>
  <c r="L324" i="115" s="1"/>
  <c r="F258" i="115"/>
  <c r="L258" i="115" s="1"/>
  <c r="F306" i="115"/>
  <c r="L306" i="115" s="1"/>
  <c r="F265" i="115"/>
  <c r="L265" i="115" s="1"/>
  <c r="F272" i="115"/>
  <c r="L272" i="115" s="1"/>
  <c r="F92" i="115"/>
  <c r="L92" i="115" s="1"/>
  <c r="F99" i="115"/>
  <c r="L99" i="115" s="1"/>
  <c r="F27" i="115"/>
  <c r="L27" i="115" s="1"/>
  <c r="F106" i="115"/>
  <c r="L106" i="115" s="1"/>
  <c r="F67" i="115"/>
  <c r="L67" i="115" s="1"/>
  <c r="F11" i="115"/>
  <c r="L11" i="115" s="1"/>
  <c r="F8" i="115" s="1"/>
  <c r="F6" i="115"/>
  <c r="L6" i="115" s="1"/>
  <c r="F170" i="115"/>
  <c r="L170" i="115" s="1"/>
  <c r="F176" i="115"/>
  <c r="L176" i="115" s="1"/>
  <c r="F145" i="115"/>
  <c r="L145" i="115" s="1"/>
  <c r="F151" i="115"/>
  <c r="L151" i="115" s="1"/>
  <c r="F157" i="115"/>
  <c r="L157" i="115" s="1"/>
  <c r="F163" i="115"/>
  <c r="L163" i="115" s="1"/>
  <c r="F196" i="115"/>
  <c r="F51" i="115"/>
  <c r="L51" i="115" s="1"/>
  <c r="F56" i="115"/>
  <c r="L56" i="115" s="1"/>
  <c r="F26" i="115"/>
  <c r="L26" i="115" s="1"/>
  <c r="F21" i="115"/>
  <c r="L21" i="115" s="1"/>
  <c r="F76" i="115"/>
  <c r="L76" i="115" s="1"/>
  <c r="F83" i="115"/>
  <c r="L83" i="115" s="1"/>
  <c r="F254" i="115"/>
  <c r="L254" i="115" s="1"/>
  <c r="F36" i="115"/>
  <c r="L36" i="115" s="1"/>
  <c r="F89" i="115"/>
  <c r="L89" i="115" s="1"/>
  <c r="L22" i="115"/>
  <c r="J18" i="115"/>
  <c r="J40" i="115"/>
  <c r="L43" i="115"/>
  <c r="J73" i="115"/>
  <c r="L79" i="115"/>
  <c r="J101" i="115"/>
  <c r="L107" i="115"/>
  <c r="J118" i="115"/>
  <c r="L121" i="115"/>
  <c r="J131" i="115"/>
  <c r="L135" i="115"/>
  <c r="J153" i="115"/>
  <c r="L158" i="115"/>
  <c r="J250" i="115"/>
  <c r="L255" i="115"/>
  <c r="J208" i="115"/>
  <c r="L212" i="115"/>
  <c r="J228" i="115"/>
  <c r="L235" i="115"/>
  <c r="J263" i="115"/>
  <c r="L269" i="115"/>
  <c r="J291" i="115"/>
  <c r="L297" i="115"/>
  <c r="J315" i="115"/>
  <c r="L320" i="115"/>
  <c r="J336" i="115"/>
  <c r="L339" i="115"/>
  <c r="J23" i="115"/>
  <c r="L29" i="115"/>
  <c r="J44" i="115"/>
  <c r="L47" i="115"/>
  <c r="J80" i="115"/>
  <c r="L86" i="115"/>
  <c r="J108" i="115"/>
  <c r="L110" i="115"/>
  <c r="L108" i="115" s="1"/>
  <c r="N108" i="115" s="1"/>
  <c r="J54" i="115"/>
  <c r="L62" i="115"/>
  <c r="J63" i="115"/>
  <c r="L69" i="115"/>
  <c r="J136" i="115"/>
  <c r="L140" i="115"/>
  <c r="J159" i="115"/>
  <c r="L164" i="115"/>
  <c r="J178" i="115"/>
  <c r="L181" i="115"/>
  <c r="J185" i="115"/>
  <c r="L190" i="115"/>
  <c r="J213" i="115"/>
  <c r="L217" i="115"/>
  <c r="J238" i="115"/>
  <c r="L240" i="115"/>
  <c r="J270" i="115"/>
  <c r="L276" i="115"/>
  <c r="J298" i="115"/>
  <c r="L304" i="115"/>
  <c r="J321" i="115"/>
  <c r="L326" i="115"/>
  <c r="J340" i="115"/>
  <c r="L344" i="115"/>
  <c r="J3" i="115"/>
  <c r="L7" i="115"/>
  <c r="J30" i="115"/>
  <c r="L32" i="115"/>
  <c r="J48" i="115"/>
  <c r="L53" i="115"/>
  <c r="J87" i="115"/>
  <c r="L93" i="115"/>
  <c r="J111" i="115"/>
  <c r="L117" i="115"/>
  <c r="J122" i="115"/>
  <c r="L125" i="115"/>
  <c r="L122" i="115" s="1"/>
  <c r="N122" i="115" s="1"/>
  <c r="J141" i="115"/>
  <c r="L146" i="115"/>
  <c r="J165" i="115"/>
  <c r="L171" i="115"/>
  <c r="J182" i="115"/>
  <c r="L184" i="115"/>
  <c r="J196" i="115"/>
  <c r="L199" i="115"/>
  <c r="L196" i="115" s="1"/>
  <c r="N196" i="115" s="1"/>
  <c r="J218" i="115"/>
  <c r="L222" i="115"/>
  <c r="J241" i="115"/>
  <c r="L245" i="115"/>
  <c r="J277" i="115"/>
  <c r="L283" i="115"/>
  <c r="J305" i="115"/>
  <c r="L309" i="115"/>
  <c r="J327" i="115"/>
  <c r="L331" i="115"/>
  <c r="J8" i="115"/>
  <c r="L12" i="115"/>
  <c r="J33" i="115"/>
  <c r="L39" i="115"/>
  <c r="J70" i="115"/>
  <c r="L72" i="115"/>
  <c r="J94" i="115"/>
  <c r="L100" i="115"/>
  <c r="J126" i="115"/>
  <c r="L130" i="115"/>
  <c r="J147" i="115"/>
  <c r="L152" i="115"/>
  <c r="J172" i="115"/>
  <c r="L177" i="115"/>
  <c r="J246" i="115"/>
  <c r="L249" i="115"/>
  <c r="J203" i="115"/>
  <c r="L207" i="115"/>
  <c r="J223" i="115"/>
  <c r="L227" i="115"/>
  <c r="J256" i="115"/>
  <c r="L262" i="115"/>
  <c r="J284" i="115"/>
  <c r="L290" i="115"/>
  <c r="J310" i="115"/>
  <c r="L314" i="115"/>
  <c r="J332" i="115"/>
  <c r="L335" i="115"/>
  <c r="J15" i="115"/>
  <c r="L17" i="115"/>
  <c r="L9" i="114"/>
  <c r="N9" i="114" s="1"/>
  <c r="O9" i="114" s="1"/>
  <c r="L82" i="115"/>
  <c r="P6" i="114"/>
  <c r="L58" i="114"/>
  <c r="N58" i="114" s="1"/>
  <c r="O58" i="114" s="1"/>
  <c r="F278" i="115" s="1"/>
  <c r="L278" i="115" s="1"/>
  <c r="L56" i="114"/>
  <c r="N56" i="114" s="1"/>
  <c r="O56" i="114" s="1"/>
  <c r="F225" i="115" s="1"/>
  <c r="L225" i="115" s="1"/>
  <c r="L54" i="114"/>
  <c r="N54" i="114" s="1"/>
  <c r="O54" i="114" s="1"/>
  <c r="F239" i="115" s="1"/>
  <c r="L239" i="115" s="1"/>
  <c r="F238" i="115" s="1"/>
  <c r="L52" i="114"/>
  <c r="N52" i="114" s="1"/>
  <c r="O52" i="114" s="1"/>
  <c r="L50" i="114"/>
  <c r="N50" i="114" s="1"/>
  <c r="O50" i="114" s="1"/>
  <c r="F232" i="115" s="1"/>
  <c r="L232" i="115" s="1"/>
  <c r="L48" i="114"/>
  <c r="N48" i="114" s="1"/>
  <c r="O48" i="114" s="1"/>
  <c r="L46" i="114"/>
  <c r="N46" i="114" s="1"/>
  <c r="O46" i="114" s="1"/>
  <c r="L44" i="114"/>
  <c r="N44" i="114" s="1"/>
  <c r="O44" i="114" s="1"/>
  <c r="L42" i="114"/>
  <c r="N42" i="114" s="1"/>
  <c r="O42" i="114" s="1"/>
  <c r="L40" i="114"/>
  <c r="N40" i="114" s="1"/>
  <c r="O40" i="114" s="1"/>
  <c r="F115" i="115" s="1"/>
  <c r="L115" i="115" s="1"/>
  <c r="L38" i="114"/>
  <c r="N38" i="114" s="1"/>
  <c r="O38" i="114" s="1"/>
  <c r="L36" i="114"/>
  <c r="N36" i="114" s="1"/>
  <c r="O36" i="114" s="1"/>
  <c r="F139" i="115" s="1"/>
  <c r="L139" i="115" s="1"/>
  <c r="L34" i="114"/>
  <c r="N34" i="114" s="1"/>
  <c r="O34" i="114" s="1"/>
  <c r="F148" i="115" s="1"/>
  <c r="L148" i="115" s="1"/>
  <c r="L32" i="114"/>
  <c r="N32" i="114" s="1"/>
  <c r="O32" i="114" s="1"/>
  <c r="F168" i="115" s="1"/>
  <c r="L168" i="115" s="1"/>
  <c r="L30" i="114"/>
  <c r="N30" i="114" s="1"/>
  <c r="O30" i="114" s="1"/>
  <c r="F166" i="115" s="1"/>
  <c r="L166" i="115" s="1"/>
  <c r="L28" i="114"/>
  <c r="N28" i="114" s="1"/>
  <c r="O28" i="114" s="1"/>
  <c r="F137" i="115" s="1"/>
  <c r="L137" i="115" s="1"/>
  <c r="L26" i="114"/>
  <c r="N26" i="114" s="1"/>
  <c r="O26" i="114" s="1"/>
  <c r="L24" i="114"/>
  <c r="N24" i="114" s="1"/>
  <c r="O24" i="114" s="1"/>
  <c r="L22" i="114"/>
  <c r="N22" i="114" s="1"/>
  <c r="O22" i="114" s="1"/>
  <c r="F119" i="115" s="1"/>
  <c r="L119" i="115" s="1"/>
  <c r="F118" i="115" s="1"/>
  <c r="L20" i="114"/>
  <c r="N20" i="114" s="1"/>
  <c r="O20" i="114" s="1"/>
  <c r="F96" i="115" s="1"/>
  <c r="L96" i="115" s="1"/>
  <c r="L18" i="114"/>
  <c r="N18" i="114" s="1"/>
  <c r="O18" i="114" s="1"/>
  <c r="L16" i="114"/>
  <c r="N16" i="114" s="1"/>
  <c r="L14" i="114"/>
  <c r="N14" i="114" s="1"/>
  <c r="L12" i="114"/>
  <c r="N12" i="114" s="1"/>
  <c r="O12" i="114" s="1"/>
  <c r="L10" i="114"/>
  <c r="N10" i="114" s="1"/>
  <c r="L8" i="114"/>
  <c r="N8" i="114" s="1"/>
  <c r="P79" i="114"/>
  <c r="M79" i="114" s="1"/>
  <c r="P57" i="114"/>
  <c r="P55" i="114"/>
  <c r="M55" i="114" s="1"/>
  <c r="P53" i="114"/>
  <c r="M53" i="114" s="1"/>
  <c r="P51" i="114"/>
  <c r="M51" i="114" s="1"/>
  <c r="P49" i="114"/>
  <c r="M49" i="114" s="1"/>
  <c r="P47" i="114"/>
  <c r="M47" i="114" s="1"/>
  <c r="P45" i="114"/>
  <c r="P43" i="114"/>
  <c r="M43" i="114" s="1"/>
  <c r="P41" i="114"/>
  <c r="M41" i="114" s="1"/>
  <c r="P39" i="114"/>
  <c r="M39" i="114" s="1"/>
  <c r="P37" i="114"/>
  <c r="P35" i="114"/>
  <c r="M35" i="114" s="1"/>
  <c r="P33" i="114"/>
  <c r="M33" i="114" s="1"/>
  <c r="P31" i="114"/>
  <c r="M31" i="114" s="1"/>
  <c r="P29" i="114"/>
  <c r="P27" i="114"/>
  <c r="M27" i="114" s="1"/>
  <c r="P25" i="114"/>
  <c r="M25" i="114" s="1"/>
  <c r="P23" i="114"/>
  <c r="M23" i="114" s="1"/>
  <c r="P21" i="114"/>
  <c r="M21" i="114" s="1"/>
  <c r="P19" i="114"/>
  <c r="M19" i="114" s="1"/>
  <c r="P17" i="114"/>
  <c r="M17" i="114" s="1"/>
  <c r="P15" i="114"/>
  <c r="M15" i="114" s="1"/>
  <c r="P13" i="114"/>
  <c r="M13" i="114" s="1"/>
  <c r="P11" i="114"/>
  <c r="M11" i="114" s="1"/>
  <c r="P9" i="114"/>
  <c r="P7" i="114"/>
  <c r="M7" i="114" s="1"/>
  <c r="M56" i="114"/>
  <c r="M40" i="114"/>
  <c r="M28" i="114"/>
  <c r="L78" i="114"/>
  <c r="N78" i="114" s="1"/>
  <c r="O78" i="114" s="1"/>
  <c r="F316" i="115" s="1"/>
  <c r="L316" i="115" s="1"/>
  <c r="L76" i="114"/>
  <c r="N76" i="114" s="1"/>
  <c r="O76" i="114" s="1"/>
  <c r="L74" i="114"/>
  <c r="N74" i="114" s="1"/>
  <c r="O74" i="114" s="1"/>
  <c r="L72" i="114"/>
  <c r="N72" i="114" s="1"/>
  <c r="O72" i="114" s="1"/>
  <c r="L70" i="114"/>
  <c r="N70" i="114" s="1"/>
  <c r="O70" i="114" s="1"/>
  <c r="L68" i="114"/>
  <c r="N68" i="114" s="1"/>
  <c r="O68" i="114" s="1"/>
  <c r="F311" i="115" s="1"/>
  <c r="L311" i="115" s="1"/>
  <c r="L66" i="114"/>
  <c r="N66" i="114" s="1"/>
  <c r="O66" i="114" s="1"/>
  <c r="L64" i="114"/>
  <c r="N64" i="114" s="1"/>
  <c r="O64" i="114" s="1"/>
  <c r="F293" i="115" s="1"/>
  <c r="L293" i="115" s="1"/>
  <c r="L62" i="114"/>
  <c r="N62" i="114" s="1"/>
  <c r="O62" i="114" s="1"/>
  <c r="F285" i="115" s="1"/>
  <c r="L285" i="115" s="1"/>
  <c r="L60" i="114"/>
  <c r="N60" i="114" s="1"/>
  <c r="O60" i="114" s="1"/>
  <c r="F264" i="115" s="1"/>
  <c r="L264" i="115" s="1"/>
  <c r="P77" i="114"/>
  <c r="M77" i="114" s="1"/>
  <c r="P75" i="114"/>
  <c r="P73" i="114"/>
  <c r="M73" i="114" s="1"/>
  <c r="P71" i="114"/>
  <c r="M71" i="114" s="1"/>
  <c r="P69" i="114"/>
  <c r="M69" i="114" s="1"/>
  <c r="P67" i="114"/>
  <c r="M67" i="114" s="1"/>
  <c r="P65" i="114"/>
  <c r="M65" i="114" s="1"/>
  <c r="P63" i="114"/>
  <c r="M63" i="114" s="1"/>
  <c r="P61" i="114"/>
  <c r="M61" i="114" s="1"/>
  <c r="P59" i="114"/>
  <c r="M59" i="114" s="1"/>
  <c r="M74" i="114"/>
  <c r="M72" i="114"/>
  <c r="M70" i="114"/>
  <c r="M68" i="114"/>
  <c r="M75" i="114"/>
  <c r="M57" i="114"/>
  <c r="M45" i="114"/>
  <c r="M37" i="114"/>
  <c r="M29" i="114"/>
  <c r="N6" i="114"/>
  <c r="O6" i="114" s="1"/>
  <c r="L8" i="115" l="1"/>
  <c r="N8" i="115" s="1"/>
  <c r="F136" i="115"/>
  <c r="M78" i="114"/>
  <c r="M60" i="114"/>
  <c r="M76" i="114"/>
  <c r="M62" i="114"/>
  <c r="M64" i="114"/>
  <c r="M9" i="114"/>
  <c r="M66" i="114"/>
  <c r="F186" i="115"/>
  <c r="L186" i="115" s="1"/>
  <c r="F192" i="115"/>
  <c r="L192" i="115" s="1"/>
  <c r="F187" i="115"/>
  <c r="L187" i="115" s="1"/>
  <c r="F193" i="115"/>
  <c r="L193" i="115" s="1"/>
  <c r="F200" i="115"/>
  <c r="L200" i="115"/>
  <c r="N200" i="115" s="1"/>
  <c r="L336" i="115"/>
  <c r="N336" i="115" s="1"/>
  <c r="F336" i="115"/>
  <c r="E23" i="17"/>
  <c r="F23" i="17" s="1"/>
  <c r="E8" i="17"/>
  <c r="F8" i="17" s="1"/>
  <c r="E18" i="17"/>
  <c r="F18" i="17" s="1"/>
  <c r="E3" i="17"/>
  <c r="F3" i="17" s="1"/>
  <c r="E13" i="17"/>
  <c r="F13" i="17" s="1"/>
  <c r="F42" i="115"/>
  <c r="L42" i="115" s="1"/>
  <c r="F40" i="115" s="1"/>
  <c r="E25" i="17"/>
  <c r="F25" i="17" s="1"/>
  <c r="F279" i="115"/>
  <c r="L279" i="115" s="1"/>
  <c r="F286" i="115"/>
  <c r="L286" i="115" s="1"/>
  <c r="F294" i="115"/>
  <c r="L294" i="115" s="1"/>
  <c r="F291" i="115" s="1"/>
  <c r="F323" i="115"/>
  <c r="L323" i="115" s="1"/>
  <c r="F321" i="115" s="1"/>
  <c r="F328" i="115"/>
  <c r="L328" i="115" s="1"/>
  <c r="F259" i="115"/>
  <c r="L259" i="115" s="1"/>
  <c r="F266" i="115"/>
  <c r="L266" i="115" s="1"/>
  <c r="L263" i="115" s="1"/>
  <c r="N263" i="115" s="1"/>
  <c r="F273" i="115"/>
  <c r="L273" i="115" s="1"/>
  <c r="F270" i="115" s="1"/>
  <c r="F280" i="115"/>
  <c r="L280" i="115" s="1"/>
  <c r="L277" i="115" s="1"/>
  <c r="N277" i="115" s="1"/>
  <c r="F287" i="115"/>
  <c r="L287" i="115" s="1"/>
  <c r="F300" i="115"/>
  <c r="L300" i="115" s="1"/>
  <c r="F307" i="115"/>
  <c r="L307" i="115" s="1"/>
  <c r="F305" i="115" s="1"/>
  <c r="F312" i="115"/>
  <c r="L312" i="115" s="1"/>
  <c r="F310" i="115" s="1"/>
  <c r="F317" i="115"/>
  <c r="L317" i="115" s="1"/>
  <c r="F341" i="115"/>
  <c r="L341" i="115" s="1"/>
  <c r="F260" i="115"/>
  <c r="L260" i="115" s="1"/>
  <c r="F318" i="115"/>
  <c r="L318" i="115" s="1"/>
  <c r="F342" i="115"/>
  <c r="L342" i="115" s="1"/>
  <c r="F333" i="115"/>
  <c r="L333" i="115" s="1"/>
  <c r="F332" i="115" s="1"/>
  <c r="F329" i="115"/>
  <c r="L329" i="115" s="1"/>
  <c r="F127" i="115"/>
  <c r="L127" i="115" s="1"/>
  <c r="F5" i="115"/>
  <c r="L5" i="115" s="1"/>
  <c r="F3" i="115" s="1"/>
  <c r="F205" i="115"/>
  <c r="L205" i="115" s="1"/>
  <c r="F203" i="115" s="1"/>
  <c r="F215" i="115"/>
  <c r="L215" i="115" s="1"/>
  <c r="L213" i="115" s="1"/>
  <c r="N213" i="115" s="1"/>
  <c r="F210" i="115"/>
  <c r="L210" i="115" s="1"/>
  <c r="L208" i="115" s="1"/>
  <c r="N208" i="115" s="1"/>
  <c r="F220" i="115"/>
  <c r="L220" i="115" s="1"/>
  <c r="F218" i="115" s="1"/>
  <c r="F302" i="115"/>
  <c r="L302" i="115" s="1"/>
  <c r="L298" i="115" s="1"/>
  <c r="N298" i="115" s="1"/>
  <c r="F224" i="115"/>
  <c r="L224" i="115" s="1"/>
  <c r="F223" i="115" s="1"/>
  <c r="F242" i="115"/>
  <c r="L242" i="115" s="1"/>
  <c r="F241" i="115" s="1"/>
  <c r="F114" i="115"/>
  <c r="L114" i="115" s="1"/>
  <c r="F231" i="115"/>
  <c r="L231" i="115" s="1"/>
  <c r="F277" i="115"/>
  <c r="L238" i="115"/>
  <c r="N238" i="115" s="1"/>
  <c r="L136" i="115"/>
  <c r="N136" i="115" s="1"/>
  <c r="L291" i="115"/>
  <c r="N291" i="115" s="1"/>
  <c r="L118" i="115"/>
  <c r="N118" i="115" s="1"/>
  <c r="F75" i="115"/>
  <c r="L75" i="115" s="1"/>
  <c r="F35" i="115"/>
  <c r="L35" i="115" s="1"/>
  <c r="F134" i="115"/>
  <c r="L134" i="115" s="1"/>
  <c r="F131" i="115" s="1"/>
  <c r="F144" i="115"/>
  <c r="L144" i="115" s="1"/>
  <c r="F141" i="115" s="1"/>
  <c r="F150" i="115"/>
  <c r="L150" i="115" s="1"/>
  <c r="F147" i="115" s="1"/>
  <c r="F156" i="115"/>
  <c r="L156" i="115" s="1"/>
  <c r="F153" i="115" s="1"/>
  <c r="F162" i="115"/>
  <c r="L162" i="115" s="1"/>
  <c r="F159" i="115" s="1"/>
  <c r="F129" i="115"/>
  <c r="L129" i="115" s="1"/>
  <c r="F169" i="115"/>
  <c r="L169" i="115" s="1"/>
  <c r="L165" i="115" s="1"/>
  <c r="N165" i="115" s="1"/>
  <c r="F175" i="115"/>
  <c r="L175" i="115" s="1"/>
  <c r="F172" i="115" s="1"/>
  <c r="F112" i="115"/>
  <c r="L112" i="115" s="1"/>
  <c r="F111" i="115" s="1"/>
  <c r="F230" i="115"/>
  <c r="L230" i="115" s="1"/>
  <c r="F263" i="115"/>
  <c r="M8" i="114"/>
  <c r="O8" i="114"/>
  <c r="M16" i="114"/>
  <c r="O16" i="114"/>
  <c r="F20" i="115" s="1"/>
  <c r="O14" i="114"/>
  <c r="F237" i="115" s="1"/>
  <c r="L237" i="115" s="1"/>
  <c r="F236" i="115" s="1"/>
  <c r="M10" i="114"/>
  <c r="O10" i="114"/>
  <c r="F14" i="17"/>
  <c r="F9" i="17"/>
  <c r="M14" i="114"/>
  <c r="M24" i="114"/>
  <c r="M32" i="114"/>
  <c r="M44" i="114"/>
  <c r="M48" i="114"/>
  <c r="M20" i="114"/>
  <c r="M36" i="114"/>
  <c r="M52" i="114"/>
  <c r="M22" i="114"/>
  <c r="M26" i="114"/>
  <c r="M30" i="114"/>
  <c r="M34" i="114"/>
  <c r="M38" i="114"/>
  <c r="M42" i="114"/>
  <c r="M46" i="114"/>
  <c r="M50" i="114"/>
  <c r="M54" i="114"/>
  <c r="M58" i="114"/>
  <c r="M18" i="114"/>
  <c r="M12" i="114"/>
  <c r="M6" i="114"/>
  <c r="F284" i="115" l="1"/>
  <c r="L185" i="115"/>
  <c r="N185" i="115" s="1"/>
  <c r="F185" i="115"/>
  <c r="F191" i="115"/>
  <c r="L191" i="115"/>
  <c r="N191" i="115" s="1"/>
  <c r="L310" i="115"/>
  <c r="N310" i="115" s="1"/>
  <c r="L305" i="115"/>
  <c r="N305" i="115" s="1"/>
  <c r="L256" i="115"/>
  <c r="N256" i="115" s="1"/>
  <c r="F213" i="115"/>
  <c r="L315" i="115"/>
  <c r="N315" i="115" s="1"/>
  <c r="L340" i="115"/>
  <c r="N340" i="115" s="1"/>
  <c r="L203" i="115"/>
  <c r="N203" i="115" s="1"/>
  <c r="L228" i="115"/>
  <c r="N228" i="115" s="1"/>
  <c r="L126" i="115"/>
  <c r="N126" i="115" s="1"/>
  <c r="F208" i="115"/>
  <c r="L40" i="115"/>
  <c r="N40" i="115" s="1"/>
  <c r="L332" i="115"/>
  <c r="N332" i="115" s="1"/>
  <c r="L327" i="115"/>
  <c r="N327" i="115" s="1"/>
  <c r="L270" i="115"/>
  <c r="N270" i="115" s="1"/>
  <c r="F315" i="115"/>
  <c r="L284" i="115"/>
  <c r="N284" i="115" s="1"/>
  <c r="L321" i="115"/>
  <c r="N321" i="115" s="1"/>
  <c r="E19" i="17"/>
  <c r="F19" i="17" s="1"/>
  <c r="E24" i="17"/>
  <c r="F24" i="17" s="1"/>
  <c r="F45" i="115"/>
  <c r="L45" i="115" s="1"/>
  <c r="E4" i="17"/>
  <c r="F4" i="17" s="1"/>
  <c r="L241" i="115"/>
  <c r="N241" i="115" s="1"/>
  <c r="L147" i="115"/>
  <c r="N147" i="115" s="1"/>
  <c r="L131" i="115"/>
  <c r="N131" i="115" s="1"/>
  <c r="L159" i="115"/>
  <c r="N159" i="115" s="1"/>
  <c r="L172" i="115"/>
  <c r="N172" i="115" s="1"/>
  <c r="F165" i="115"/>
  <c r="F126" i="115"/>
  <c r="L153" i="115"/>
  <c r="N153" i="115" s="1"/>
  <c r="L141" i="115"/>
  <c r="N141" i="115" s="1"/>
  <c r="L3" i="115"/>
  <c r="N3" i="115" s="1"/>
  <c r="L218" i="115"/>
  <c r="N218" i="115" s="1"/>
  <c r="L223" i="115"/>
  <c r="N223" i="115" s="1"/>
  <c r="F256" i="115"/>
  <c r="F25" i="115"/>
  <c r="L25" i="115" s="1"/>
  <c r="F52" i="115"/>
  <c r="L52" i="115" s="1"/>
  <c r="L20" i="115"/>
  <c r="F16" i="115"/>
  <c r="L16" i="115" s="1"/>
  <c r="L111" i="115"/>
  <c r="N111" i="115" s="1"/>
  <c r="F228" i="115"/>
  <c r="F340" i="115"/>
  <c r="F298" i="115"/>
  <c r="F327" i="115"/>
  <c r="L236" i="115"/>
  <c r="N236" i="115" s="1"/>
  <c r="G16" i="17"/>
  <c r="F31" i="115" s="1"/>
  <c r="F16" i="17"/>
  <c r="G11" i="17"/>
  <c r="F11" i="17"/>
  <c r="F81" i="115" l="1"/>
  <c r="F74" i="115"/>
  <c r="F49" i="115"/>
  <c r="F34" i="115"/>
  <c r="F24" i="115"/>
  <c r="F19" i="115"/>
  <c r="F15" i="115"/>
  <c r="L15" i="115"/>
  <c r="N15" i="115" s="1"/>
  <c r="F44" i="115"/>
  <c r="L44" i="115"/>
  <c r="N44" i="115" s="1"/>
  <c r="G6" i="17"/>
  <c r="F6" i="17"/>
  <c r="F26" i="17"/>
  <c r="G26" i="17"/>
  <c r="G21" i="17"/>
  <c r="F21" i="17"/>
  <c r="F84" i="115" l="1"/>
  <c r="F77" i="115"/>
  <c r="F37" i="115"/>
  <c r="F251" i="115"/>
  <c r="F64" i="115"/>
  <c r="F102" i="115"/>
  <c r="F88" i="115"/>
  <c r="F57" i="115"/>
  <c r="F95" i="115"/>
  <c r="F183" i="115"/>
  <c r="F247" i="115"/>
  <c r="F179" i="115"/>
  <c r="F71" i="115"/>
  <c r="H48" i="34" l="1"/>
  <c r="G2" i="34"/>
  <c r="K48" i="34" l="1"/>
  <c r="L84" i="115"/>
  <c r="L179" i="115"/>
  <c r="L31" i="115"/>
  <c r="L247" i="115"/>
  <c r="L71" i="115"/>
  <c r="L183" i="115"/>
  <c r="L77" i="115"/>
  <c r="L37" i="115"/>
  <c r="L24" i="115"/>
  <c r="L19" i="115"/>
  <c r="L81" i="115"/>
  <c r="L74" i="115"/>
  <c r="L49" i="115"/>
  <c r="L34" i="115"/>
  <c r="L57" i="115"/>
  <c r="L102" i="115"/>
  <c r="L95" i="115"/>
  <c r="L88" i="115"/>
  <c r="L251" i="115"/>
  <c r="L64" i="115"/>
  <c r="J48" i="34" l="1"/>
  <c r="J49" i="34" s="1"/>
  <c r="H49" i="34" s="1"/>
  <c r="H52" i="34" s="1"/>
  <c r="F30" i="115"/>
  <c r="L30" i="115"/>
  <c r="N30" i="115" s="1"/>
  <c r="F70" i="115"/>
  <c r="L70" i="115"/>
  <c r="N70" i="115" s="1"/>
  <c r="F246" i="115"/>
  <c r="L246" i="115"/>
  <c r="N246" i="115" s="1"/>
  <c r="F182" i="115"/>
  <c r="L182" i="115"/>
  <c r="N182" i="115" s="1"/>
  <c r="F178" i="115"/>
  <c r="L178" i="115"/>
  <c r="N178" i="115" s="1"/>
  <c r="F73" i="115"/>
  <c r="L73" i="115"/>
  <c r="N73" i="115" s="1"/>
  <c r="L18" i="115"/>
  <c r="N18" i="115" s="1"/>
  <c r="F18" i="115"/>
  <c r="F48" i="115"/>
  <c r="L48" i="115"/>
  <c r="N48" i="115" s="1"/>
  <c r="F80" i="115"/>
  <c r="L80" i="115"/>
  <c r="N80" i="115" s="1"/>
  <c r="L23" i="115"/>
  <c r="N23" i="115" s="1"/>
  <c r="F23" i="115"/>
  <c r="F33" i="115"/>
  <c r="L33" i="115"/>
  <c r="N33" i="115" s="1"/>
  <c r="L63" i="115"/>
  <c r="N63" i="115" s="1"/>
  <c r="F63" i="115"/>
  <c r="L87" i="115"/>
  <c r="N87" i="115" s="1"/>
  <c r="F87" i="115"/>
  <c r="L101" i="115"/>
  <c r="N101" i="115" s="1"/>
  <c r="F101" i="115"/>
  <c r="L250" i="115"/>
  <c r="N250" i="115" s="1"/>
  <c r="F250" i="115"/>
  <c r="L94" i="115"/>
  <c r="N94" i="115" s="1"/>
  <c r="F94" i="115"/>
  <c r="L54" i="115"/>
  <c r="N54" i="115" s="1"/>
  <c r="F54" i="115"/>
  <c r="K49" i="34"/>
  <c r="H50" i="34" s="1"/>
</calcChain>
</file>

<file path=xl/sharedStrings.xml><?xml version="1.0" encoding="utf-8"?>
<sst xmlns="http://schemas.openxmlformats.org/spreadsheetml/2006/main" count="2194" uniqueCount="796">
  <si>
    <t>Unité</t>
  </si>
  <si>
    <t>Main d'œuvre</t>
  </si>
  <si>
    <t>Taux horaire moyen</t>
  </si>
  <si>
    <t>Coefficient frais généraux matériaux</t>
  </si>
  <si>
    <t>Coefficient vente</t>
  </si>
  <si>
    <t>H</t>
  </si>
  <si>
    <t>U</t>
  </si>
  <si>
    <t>Mainœvre</t>
  </si>
  <si>
    <t>Maçon</t>
  </si>
  <si>
    <t>Salaire de base</t>
  </si>
  <si>
    <t xml:space="preserve">Charge sociale    (Ch.S) = 22% (SB + PI) </t>
  </si>
  <si>
    <t xml:space="preserve">Charge patronales    (Ch.P) = 42% (SB + PI) </t>
  </si>
  <si>
    <t>Coût horaire Charge Patronales</t>
  </si>
  <si>
    <t>P : Prix horaire globale de debourses 
sec de main d'œuvre</t>
  </si>
  <si>
    <t xml:space="preserve">Coût Moyen de l'Heure = P/N </t>
  </si>
  <si>
    <t>Ciment CPJ45</t>
  </si>
  <si>
    <t>Ciment CPJ35</t>
  </si>
  <si>
    <t>Sable 0,01</t>
  </si>
  <si>
    <t>m³</t>
  </si>
  <si>
    <t>Blocs US 40</t>
  </si>
  <si>
    <t>Bois de coffrage</t>
  </si>
  <si>
    <t>Moellon</t>
  </si>
  <si>
    <t>m3</t>
  </si>
  <si>
    <t>polyane</t>
  </si>
  <si>
    <t>Polyane</t>
  </si>
  <si>
    <t>semelle</t>
  </si>
  <si>
    <t>Blocs 10</t>
  </si>
  <si>
    <t>hydrofuge</t>
  </si>
  <si>
    <t>peinture retiplass</t>
  </si>
  <si>
    <t>peinture prim</t>
  </si>
  <si>
    <t>peinture huisser</t>
  </si>
  <si>
    <t>ml</t>
  </si>
  <si>
    <t>peinture acrily.</t>
  </si>
  <si>
    <t xml:space="preserve">Fils </t>
  </si>
  <si>
    <t>u</t>
  </si>
  <si>
    <t>etancheité lourde</t>
  </si>
  <si>
    <t>kg</t>
  </si>
  <si>
    <t>Pointes Acier</t>
  </si>
  <si>
    <t>Polystyrène 4 cm</t>
  </si>
  <si>
    <t>m²</t>
  </si>
  <si>
    <t>caisson</t>
  </si>
  <si>
    <t>faîtage</t>
  </si>
  <si>
    <t>arretier</t>
  </si>
  <si>
    <t>solin</t>
  </si>
  <si>
    <t>sous arretier</t>
  </si>
  <si>
    <t>L</t>
  </si>
  <si>
    <t>visse tole Complet</t>
  </si>
  <si>
    <t>cheneaux G</t>
  </si>
  <si>
    <t>Quote part coffrage</t>
  </si>
  <si>
    <t>cheneaux T</t>
  </si>
  <si>
    <t>rive tole</t>
  </si>
  <si>
    <t>carrelage</t>
  </si>
  <si>
    <t>failliance</t>
  </si>
  <si>
    <t>ciment cole</t>
  </si>
  <si>
    <t>BA13</t>
  </si>
  <si>
    <t>consomable</t>
  </si>
  <si>
    <t>DESIGNATION</t>
  </si>
  <si>
    <t>Ressources</t>
  </si>
  <si>
    <t>Quantité</t>
  </si>
  <si>
    <t>Prix unitaire</t>
  </si>
  <si>
    <t>Prix fabrication</t>
  </si>
  <si>
    <t xml:space="preserve">MO </t>
  </si>
  <si>
    <t>Ciment 4.5</t>
  </si>
  <si>
    <t>grav 0.30</t>
  </si>
  <si>
    <t>M3</t>
  </si>
  <si>
    <t>divers consomable</t>
  </si>
  <si>
    <t>ens</t>
  </si>
  <si>
    <t>total</t>
  </si>
  <si>
    <t>Sable 0.01</t>
  </si>
  <si>
    <t>Total (DH)</t>
  </si>
  <si>
    <t>Bois</t>
  </si>
  <si>
    <t>Tole</t>
  </si>
  <si>
    <t>Pointe Acier</t>
  </si>
  <si>
    <t>03.00</t>
  </si>
  <si>
    <t>Implantation d'un pavillon de 6 axes</t>
  </si>
  <si>
    <t>Fils</t>
  </si>
  <si>
    <t>Tracto - pelle</t>
  </si>
  <si>
    <t>H/m³</t>
  </si>
  <si>
    <t>04.00</t>
  </si>
  <si>
    <t>Terrassement mécanique ,sans BRH, fouille en rigole, terre enlevéé sans cout de décharge, avec régalage</t>
  </si>
  <si>
    <t>Matériel</t>
  </si>
  <si>
    <t>Béton n° 1</t>
  </si>
  <si>
    <t>SUPERSTRUCTURE RDC</t>
  </si>
  <si>
    <t xml:space="preserve">Main d'œuvre  </t>
  </si>
  <si>
    <t>Béton n° 2</t>
  </si>
  <si>
    <t>Cheneaux en métal galvanisée</t>
  </si>
  <si>
    <t>Faitage pour tôle ondulée avec étanchéité</t>
  </si>
  <si>
    <t>Kg</t>
  </si>
  <si>
    <t>peinture mur exterieur plastifier</t>
  </si>
  <si>
    <t xml:space="preserve">peinture plafond </t>
  </si>
  <si>
    <t>peinture interieur</t>
  </si>
  <si>
    <t>peinture porte et huisserie</t>
  </si>
  <si>
    <t>faux plafond interieur en plaque de platre ba13 hydro avec bande de joint 2 couches /M²</t>
  </si>
  <si>
    <t>Mise en œuvre de béton</t>
  </si>
  <si>
    <t>Quote part Materiel</t>
  </si>
  <si>
    <t>Quote part coffrage 0,06/2 M3/M2</t>
  </si>
  <si>
    <t>Main d'œuvre de coff et décoff</t>
  </si>
  <si>
    <t>Pointe</t>
  </si>
  <si>
    <t>polystérène de 4 cm</t>
  </si>
  <si>
    <t>Béton n° 3</t>
  </si>
  <si>
    <t>Hourdis 15+5 y/c poutrelle</t>
  </si>
  <si>
    <t>Treillis soudés</t>
  </si>
  <si>
    <t>Pose trellis soudé</t>
  </si>
  <si>
    <t>Pose des hourdis et poutrelle</t>
  </si>
  <si>
    <t>Main d'œuvre de béton</t>
  </si>
  <si>
    <t>Polystyréne pour coffrage de joints de 4cm</t>
  </si>
  <si>
    <t>Mortier n° 2A (Corps d'enduit)</t>
  </si>
  <si>
    <t>M,O d'installation d'Echaffaudage</t>
  </si>
  <si>
    <t xml:space="preserve">Coefficient frais généraux </t>
  </si>
  <si>
    <t>aléas</t>
  </si>
  <si>
    <t>frais de fonctionnent</t>
  </si>
  <si>
    <t>materiaux / transport</t>
  </si>
  <si>
    <t>materiel de location</t>
  </si>
  <si>
    <t>augmentation</t>
  </si>
  <si>
    <t>semmelle filante en béton armé dosé en C 25 coulée à la main dosé 350kg de 25 H X 45 L /M3</t>
  </si>
  <si>
    <t>béton 1 ( dosé 400kg)</t>
  </si>
  <si>
    <t>béton 2 (dosé 350 kg)</t>
  </si>
  <si>
    <t>béton 3 (dosé 250 kg)</t>
  </si>
  <si>
    <t>mortier 1  (dosé 400 kg)</t>
  </si>
  <si>
    <t>mortier 2  (joint etanche)</t>
  </si>
  <si>
    <t>treilli dalle</t>
  </si>
  <si>
    <t>05.00</t>
  </si>
  <si>
    <t>Quote part coffrage 0,06/6 M3/M2</t>
  </si>
  <si>
    <t>Mur blocs usf de soubasment remplit de béton armé dosé à 300kg /M²</t>
  </si>
  <si>
    <t>Blocs US 20/40</t>
  </si>
  <si>
    <t>Fer béton HA12</t>
  </si>
  <si>
    <t>Mortier n°1</t>
  </si>
  <si>
    <t>Etanchéité de soubassement enterré avec ragréage du soubassement puis passage d'un produit étanche /M²</t>
  </si>
  <si>
    <t>12.00</t>
  </si>
  <si>
    <t>ragréage</t>
  </si>
  <si>
    <t>Etancheité bitumeux</t>
  </si>
  <si>
    <t>Ragréage</t>
  </si>
  <si>
    <t xml:space="preserve"> Comblage hérissonnage sous dallage, damé avec matériel adéquat par couche de 0,20 /M²</t>
  </si>
  <si>
    <t>Dallage béton armé épaisseur 0,12 dosé en C 25 ou 350kg, armé d'un treillis soudé ST 25 C et d'un polyane</t>
  </si>
  <si>
    <t>Acier treilli</t>
  </si>
  <si>
    <t>Coupure capillaire 1er joint en mortier hydrofuge dosé à 450kg /ML</t>
  </si>
  <si>
    <t>mortier n° 2</t>
  </si>
  <si>
    <t>Mur élévation en blocs américain USF 20x20x40 posé à bain de mortier dosé à 400kg avec du sable 0/1 compris</t>
  </si>
  <si>
    <t>Mur cloison en blocs américain USF 10x20x40 posé à bain de mortier dosé à 400kg avec du sable 0/1 compris</t>
  </si>
  <si>
    <t>Blocs US 10/40</t>
  </si>
  <si>
    <t xml:space="preserve">Poteau béton  coulée à la main dosé 350kg  </t>
  </si>
  <si>
    <t>chainage</t>
  </si>
  <si>
    <t>poûtre</t>
  </si>
  <si>
    <t>05.01</t>
  </si>
  <si>
    <t>Poutre 10/25</t>
  </si>
  <si>
    <t>05.02</t>
  </si>
  <si>
    <t>Réservation des ventilations 10/10</t>
  </si>
  <si>
    <t>F</t>
  </si>
  <si>
    <t xml:space="preserve"> Plancher poutrelle béton précontraint et hourdis entrevous béton ep 12+7 béton dosé C 25 /M²</t>
  </si>
  <si>
    <t>Fondation</t>
  </si>
  <si>
    <t xml:space="preserve">Dalle de compression </t>
  </si>
  <si>
    <t>Instalation de chantier barraquement , sans cloture</t>
  </si>
  <si>
    <t>Mise en œuvre d'un polyane sur l'emprise fondation, dallage /m²</t>
  </si>
  <si>
    <t>Semmelle isolée en béton armé dosé en C 25 coulée à la main dosé 350kg  60/60</t>
  </si>
  <si>
    <t>Béton de propreté pour fondation dosé 250kg</t>
  </si>
  <si>
    <t xml:space="preserve">Poutre béton  coulée à la main dosé 400kg  </t>
  </si>
  <si>
    <t>Chainage béton  coulée à la main dosé 350kg périphérique courronnement sur mur rehausse coffrage bois 0,2X0,2 /ML chainage ranpant idem</t>
  </si>
  <si>
    <t>appui fenêtre préfa</t>
  </si>
  <si>
    <t>Charpente ferme métal IPE  au ml</t>
  </si>
  <si>
    <t>f</t>
  </si>
  <si>
    <t>Conso</t>
  </si>
  <si>
    <t>Charpente métal panne C 100   2,5 /ML</t>
  </si>
  <si>
    <t>Panne C 100</t>
  </si>
  <si>
    <t>IPE 100</t>
  </si>
  <si>
    <t xml:space="preserve">panne C 100 </t>
  </si>
  <si>
    <t>Tôle Ondulée 75/100 pré-laquée</t>
  </si>
  <si>
    <t>Tôle ondulée</t>
  </si>
  <si>
    <t>7,5kg/m² util</t>
  </si>
  <si>
    <t>Vice tole</t>
  </si>
  <si>
    <t>1 sac</t>
  </si>
  <si>
    <t>palette</t>
  </si>
  <si>
    <t>bar 6m</t>
  </si>
  <si>
    <t>camion</t>
  </si>
  <si>
    <t>designation</t>
  </si>
  <si>
    <t>ref</t>
  </si>
  <si>
    <t>unité</t>
  </si>
  <si>
    <t>2x30x12x18</t>
  </si>
  <si>
    <t>top cot</t>
  </si>
  <si>
    <t>Grille de ventilation</t>
  </si>
  <si>
    <t>Ø 100</t>
  </si>
  <si>
    <t xml:space="preserve">Prime Coresp àà une heure = 5%  </t>
  </si>
  <si>
    <t>5kg</t>
  </si>
  <si>
    <t>Fil  recuit</t>
  </si>
  <si>
    <t>sachet 100</t>
  </si>
  <si>
    <t>1,20m L</t>
  </si>
  <si>
    <t>40 x 40</t>
  </si>
  <si>
    <t>25 x 40</t>
  </si>
  <si>
    <t>260 x 120</t>
  </si>
  <si>
    <t xml:space="preserve">enduit </t>
  </si>
  <si>
    <t>rouleau</t>
  </si>
  <si>
    <t>topcot</t>
  </si>
  <si>
    <t>bande renfort etan</t>
  </si>
  <si>
    <t>bande renfort plac</t>
  </si>
  <si>
    <t>roule 150m</t>
  </si>
  <si>
    <t>Plancher hourdis 20+0</t>
  </si>
  <si>
    <t>raille placo</t>
  </si>
  <si>
    <t>Montan placo</t>
  </si>
  <si>
    <t>2,6m</t>
  </si>
  <si>
    <t xml:space="preserve">3m </t>
  </si>
  <si>
    <t xml:space="preserve">25x25 </t>
  </si>
  <si>
    <t xml:space="preserve">10x25 </t>
  </si>
  <si>
    <t>20x20x10x25(l)</t>
  </si>
  <si>
    <t>2x12x15x2 (l)</t>
  </si>
  <si>
    <t>Hydrofuge</t>
  </si>
  <si>
    <t>2% / ciment (5l)</t>
  </si>
  <si>
    <t xml:space="preserve">Caisson de rive </t>
  </si>
  <si>
    <t>Caisson sous-rive pré-laquée</t>
  </si>
  <si>
    <t>Cheneaux Tôle pré-laquée</t>
  </si>
  <si>
    <t>Arrêtier pour tôle ondulée avec étanchéité</t>
  </si>
  <si>
    <t>sous Arrêtier</t>
  </si>
  <si>
    <t>Arrêtier Tôle pré-laquée</t>
  </si>
  <si>
    <t>Façon de noue avec étanchéité</t>
  </si>
  <si>
    <t>Appui de fenêtre béton préfa posé à bain de mortier  /ML</t>
  </si>
  <si>
    <t>appui fenêtre</t>
  </si>
  <si>
    <t xml:space="preserve">Escalier béton armé marche balancer </t>
  </si>
  <si>
    <t>MORTIER Jointage  cim blanc</t>
  </si>
  <si>
    <t>Main d'œuvre FORM</t>
  </si>
  <si>
    <t>carreaux standard (20e)</t>
  </si>
  <si>
    <t>Sable 0,5 (CHARPE)</t>
  </si>
  <si>
    <t>Ciments</t>
  </si>
  <si>
    <t xml:space="preserve">JOINTS </t>
  </si>
  <si>
    <t>faillance</t>
  </si>
  <si>
    <t>Consomable</t>
  </si>
  <si>
    <t>Etanchéïté dalle et salle de bains</t>
  </si>
  <si>
    <t>etancheité primaire</t>
  </si>
  <si>
    <t>Sable 0,6</t>
  </si>
  <si>
    <t>Pose Carrelage avec pleinte escalier y compris sans fourniture carrelage</t>
  </si>
  <si>
    <t>50m x 20cm(5m/m²)</t>
  </si>
  <si>
    <t>sable cylice</t>
  </si>
  <si>
    <t>0,5kg/ml 25kg</t>
  </si>
  <si>
    <t>4g/u</t>
  </si>
  <si>
    <t>1,2x1</t>
  </si>
  <si>
    <t>05.03</t>
  </si>
  <si>
    <t>Cheneaux en métal galvanisée avec étanchéité</t>
  </si>
  <si>
    <t>caisson de rive/sous-rive pour tôle ondulée laquée 2 F 75/100/ml</t>
  </si>
  <si>
    <t>Caisson de rive pour tôle ondulée laquée 2 F 75 /100/ML</t>
  </si>
  <si>
    <t>Couverture en tôle ondulé acier laquée 2 F 75 /100/M²</t>
  </si>
  <si>
    <t>Cheneaux en tôle laquée 2F 75/100/ml avec étanchéité</t>
  </si>
  <si>
    <t>Bande de solin et contre solin pour tôle ondulée laquée 2 F 75 /100/ML avec étanchéité</t>
  </si>
  <si>
    <t>Superstructure</t>
  </si>
  <si>
    <t>Charpente_Couverture</t>
  </si>
  <si>
    <t>Enduit intérieur sur murs et plafonds type plâtre ou tradi</t>
  </si>
  <si>
    <t xml:space="preserve">Enduit tradi extérieur sur Façade </t>
  </si>
  <si>
    <t>Enduit</t>
  </si>
  <si>
    <t>Revêtement_Sol</t>
  </si>
  <si>
    <t>Peinture</t>
  </si>
  <si>
    <t>Dalle_ Plancher</t>
  </si>
  <si>
    <t xml:space="preserve">                                                                                                                                                           </t>
  </si>
  <si>
    <t>Instalation_chantier</t>
  </si>
  <si>
    <t>pose faillance sur mur avec ciment en cole sans fourniture faillance</t>
  </si>
  <si>
    <t>Adresse:</t>
  </si>
  <si>
    <t xml:space="preserve">Saint Denis  </t>
  </si>
  <si>
    <t xml:space="preserve">Saint Pierre    </t>
  </si>
  <si>
    <t xml:space="preserve">Bois de Néfles st Paul     </t>
  </si>
  <si>
    <t xml:space="preserve">Bras-Panon    </t>
  </si>
  <si>
    <t xml:space="preserve">Cilaos    </t>
  </si>
  <si>
    <t xml:space="preserve">L'Entre-Deux    </t>
  </si>
  <si>
    <t xml:space="preserve">La Chaloupe st Leu     </t>
  </si>
  <si>
    <t xml:space="preserve">La Montagne     </t>
  </si>
  <si>
    <t>Plaine des Cafres</t>
  </si>
  <si>
    <t xml:space="preserve">La Possession     </t>
  </si>
  <si>
    <t xml:space="preserve">Le Port     </t>
  </si>
  <si>
    <t xml:space="preserve">La Riviére     </t>
  </si>
  <si>
    <t xml:space="preserve">La Saline </t>
  </si>
  <si>
    <t xml:space="preserve">Le Guillaume    </t>
  </si>
  <si>
    <t xml:space="preserve">Piton st Leu   </t>
  </si>
  <si>
    <t xml:space="preserve">les Avirons     </t>
  </si>
  <si>
    <t xml:space="preserve">Traois-Bassins     </t>
  </si>
  <si>
    <t xml:space="preserve">L'étang-Salé    </t>
  </si>
  <si>
    <t xml:space="preserve">La Nouvelle     </t>
  </si>
  <si>
    <t xml:space="preserve">Petite-île     </t>
  </si>
  <si>
    <t xml:space="preserve">Le Tampon   </t>
  </si>
  <si>
    <t xml:space="preserve">Pleine des Palmistes     </t>
  </si>
  <si>
    <t xml:space="preserve">Ravine des Cabris     </t>
  </si>
  <si>
    <t xml:space="preserve">Salazie    </t>
  </si>
  <si>
    <t xml:space="preserve">St Gilles Les Bains     </t>
  </si>
  <si>
    <t xml:space="preserve">St Gilles Les hauts     </t>
  </si>
  <si>
    <t xml:space="preserve">Saint Leu     </t>
  </si>
  <si>
    <t xml:space="preserve">Saint Anne  </t>
  </si>
  <si>
    <t xml:space="preserve">Saint Marie     </t>
  </si>
  <si>
    <t xml:space="preserve">Saint Rose     </t>
  </si>
  <si>
    <t xml:space="preserve">Saint André    </t>
  </si>
  <si>
    <t xml:space="preserve">Saint Suzanne     </t>
  </si>
  <si>
    <t xml:space="preserve">Saint Philippe     </t>
  </si>
  <si>
    <t xml:space="preserve">Saint Louis    </t>
  </si>
  <si>
    <t xml:space="preserve">Saint Paul     </t>
  </si>
  <si>
    <t xml:space="preserve">Saint Benoît   </t>
  </si>
  <si>
    <t xml:space="preserve">Saint Joseph   </t>
  </si>
  <si>
    <t>Saint Clotilde</t>
  </si>
  <si>
    <t>CP</t>
  </si>
  <si>
    <t>Villes</t>
  </si>
  <si>
    <t>INSTALATION CHANTIER</t>
  </si>
  <si>
    <t>SUPERSTRUCTURE ETAGE</t>
  </si>
  <si>
    <t>PLANCHER / DALLE</t>
  </si>
  <si>
    <t>CHARPENTE / COUVERTURE</t>
  </si>
  <si>
    <t>ENDUIT</t>
  </si>
  <si>
    <t>Echéancier facturation</t>
  </si>
  <si>
    <t>Nom</t>
  </si>
  <si>
    <t>Prénom</t>
  </si>
  <si>
    <t>Ville</t>
  </si>
  <si>
    <t>Code Postal</t>
  </si>
  <si>
    <t>Superficie</t>
  </si>
  <si>
    <t>Nom Notaire</t>
  </si>
  <si>
    <t>Facturation</t>
  </si>
  <si>
    <t>Faux Plafond</t>
  </si>
  <si>
    <t>97440 Saint André</t>
  </si>
  <si>
    <t xml:space="preserve">Adresse: 2157 chemin lefaguyes </t>
  </si>
  <si>
    <t>lavabo</t>
  </si>
  <si>
    <t>WC</t>
  </si>
  <si>
    <t>evier</t>
  </si>
  <si>
    <t>receveur de douche</t>
  </si>
  <si>
    <t>mitigeur evier</t>
  </si>
  <si>
    <t>mitigeur douche</t>
  </si>
  <si>
    <t>mitigeur lavabo</t>
  </si>
  <si>
    <t>vannes d'arrêt</t>
  </si>
  <si>
    <t>lave mains</t>
  </si>
  <si>
    <t>robinet</t>
  </si>
  <si>
    <t>tube PER</t>
  </si>
  <si>
    <t>raccordement divers</t>
  </si>
  <si>
    <t>pommeaux de douche</t>
  </si>
  <si>
    <t>siphon douche</t>
  </si>
  <si>
    <t>PVC 100</t>
  </si>
  <si>
    <t>PVC 50</t>
  </si>
  <si>
    <t>Tuyau polyéthyléne</t>
  </si>
  <si>
    <t>nourrice</t>
  </si>
  <si>
    <t>bainoir</t>
  </si>
  <si>
    <t>Accessoir</t>
  </si>
  <si>
    <t xml:space="preserve">Pose et fourniture WC </t>
  </si>
  <si>
    <t>Raccordement divers</t>
  </si>
  <si>
    <t>Tuyau PVC 100</t>
  </si>
  <si>
    <t>Pose et fourniture baignoire</t>
  </si>
  <si>
    <t>Pose et fourniture receveur de douche</t>
  </si>
  <si>
    <t>Pose et fourniture vasque /lavabo</t>
  </si>
  <si>
    <t>Pose et fourniture lave mains</t>
  </si>
  <si>
    <t>Pose et fourniture évier</t>
  </si>
  <si>
    <t>Douche a l'Italienne</t>
  </si>
  <si>
    <t>Robinet d'arriver EF</t>
  </si>
  <si>
    <t>regard EU</t>
  </si>
  <si>
    <t>Raccordement EU</t>
  </si>
  <si>
    <t>mitigeur</t>
  </si>
  <si>
    <t>baignoir</t>
  </si>
  <si>
    <t>receveur douche</t>
  </si>
  <si>
    <t>vasque</t>
  </si>
  <si>
    <t>Tuyau PVC 50</t>
  </si>
  <si>
    <t>siphon</t>
  </si>
  <si>
    <t>vannes</t>
  </si>
  <si>
    <t xml:space="preserve">Robinet </t>
  </si>
  <si>
    <t>Tuyau PER</t>
  </si>
  <si>
    <t>Plomberie</t>
  </si>
  <si>
    <t>Divers</t>
  </si>
  <si>
    <t>FONDATION</t>
  </si>
  <si>
    <t>Canalisation PVC</t>
  </si>
  <si>
    <t>forfait</t>
  </si>
  <si>
    <t>mur moellon</t>
  </si>
  <si>
    <t>Mur moellons ( jointé 1 face ) y compris fondations à la base</t>
  </si>
  <si>
    <t>Siret: 83026631800013 APE 4399C</t>
  </si>
  <si>
    <t>Mail:sorec.construcion@gmail.com</t>
  </si>
  <si>
    <t>Etanchéïté Sur murs enterrés</t>
  </si>
  <si>
    <t xml:space="preserve">fourniture et pause Carrelage (17e) avec pleinte escalier y compris </t>
  </si>
  <si>
    <t>fourniture et pause faillance (10e) sur mur avec ciment en cole</t>
  </si>
  <si>
    <t>TVA</t>
  </si>
  <si>
    <t>Mur cloison en BA13 double face sans isolation</t>
  </si>
  <si>
    <t xml:space="preserve"> Plancher dalle pleines confectionnées a partir de prédalle préfabriquées béton en œuvre</t>
  </si>
  <si>
    <t>Saint André le</t>
  </si>
  <si>
    <t>ADRESSE DE FACTURATION</t>
  </si>
  <si>
    <t xml:space="preserve">Adresse </t>
  </si>
  <si>
    <t>MONTANT HT</t>
  </si>
  <si>
    <t>Virement</t>
  </si>
  <si>
    <t>Entreprise:</t>
  </si>
  <si>
    <t>Chéque</t>
  </si>
  <si>
    <t>BON DE COMMANDE</t>
  </si>
  <si>
    <t>ADRESSE DE LIVRAISON</t>
  </si>
  <si>
    <t>FOURNISSEUR</t>
  </si>
  <si>
    <t>Dénomination:</t>
  </si>
  <si>
    <t>Livraison</t>
  </si>
  <si>
    <t>2157 chemin lefaguyes 97440 st André</t>
  </si>
  <si>
    <t>Référence de l'engagement :</t>
  </si>
  <si>
    <t>Date:</t>
  </si>
  <si>
    <t>Montant:</t>
  </si>
  <si>
    <t>code</t>
  </si>
  <si>
    <t>Qantité</t>
  </si>
  <si>
    <t>PU</t>
  </si>
  <si>
    <t>SOREC</t>
  </si>
  <si>
    <t>N° Dossier:</t>
  </si>
  <si>
    <t>Appel de Fond</t>
  </si>
  <si>
    <t>Télephone</t>
  </si>
  <si>
    <t>Email</t>
  </si>
  <si>
    <t>CAD</t>
  </si>
  <si>
    <t>Date Compro</t>
  </si>
  <si>
    <t>Commentaire</t>
  </si>
  <si>
    <t>Prospect</t>
  </si>
  <si>
    <t>Contact</t>
  </si>
  <si>
    <t>Devis</t>
  </si>
  <si>
    <t>Portefeuille</t>
  </si>
  <si>
    <t>Abandon</t>
  </si>
  <si>
    <t>Relance</t>
  </si>
  <si>
    <t>O.S / MAP</t>
  </si>
  <si>
    <t>Réceptionné</t>
  </si>
  <si>
    <t>Montant facturé</t>
  </si>
  <si>
    <t>Incrémenté D</t>
  </si>
  <si>
    <t>Incrémenté F</t>
  </si>
  <si>
    <t xml:space="preserve">RAMSAMY </t>
  </si>
  <si>
    <t>2157 chemin lefaguyes</t>
  </si>
  <si>
    <t>VIRASSAMY</t>
  </si>
  <si>
    <t>EDDY</t>
  </si>
  <si>
    <t>eddy@orange.fr</t>
  </si>
  <si>
    <t>CE 592</t>
  </si>
  <si>
    <t>RAMSAMY</t>
  </si>
  <si>
    <t>ANNE CLAIRE</t>
  </si>
  <si>
    <t>wjp@gmail.fr</t>
  </si>
  <si>
    <t>109 rue des begonias</t>
  </si>
  <si>
    <t>Saint Andre</t>
  </si>
  <si>
    <t>VELMANT</t>
  </si>
  <si>
    <t>AP2129</t>
  </si>
  <si>
    <t>10 rue des longose</t>
  </si>
  <si>
    <t xml:space="preserve">BOYER </t>
  </si>
  <si>
    <t>SABINE</t>
  </si>
  <si>
    <t>aline@orange</t>
  </si>
  <si>
    <t>10 chemin severe</t>
  </si>
  <si>
    <t>LN2928</t>
  </si>
  <si>
    <t>SETAMA</t>
  </si>
  <si>
    <t>RAAN00007</t>
  </si>
  <si>
    <t>VIRAPOULE PAUL</t>
  </si>
  <si>
    <t>21 chemin belle vue terre</t>
  </si>
  <si>
    <t>LAURET</t>
  </si>
  <si>
    <t>ELIANE</t>
  </si>
  <si>
    <t>105 rue des petunias</t>
  </si>
  <si>
    <t>eliane@gmail.fr</t>
  </si>
  <si>
    <t>95 rue des goyavier</t>
  </si>
  <si>
    <t>AC451</t>
  </si>
  <si>
    <t>TAZAR</t>
  </si>
  <si>
    <t>LUDMILLA</t>
  </si>
  <si>
    <t>20157 bis chemin lefaguyes</t>
  </si>
  <si>
    <t>ludmi@orange</t>
  </si>
  <si>
    <t>156 chemin loranger</t>
  </si>
  <si>
    <t>RL2910</t>
  </si>
  <si>
    <t>KAPORAL</t>
  </si>
  <si>
    <t xml:space="preserve">NAGUIN </t>
  </si>
  <si>
    <t>MARIE CELINE</t>
  </si>
  <si>
    <t>109 rue des begonias ravine creuse</t>
  </si>
  <si>
    <t>18 lot des vague</t>
  </si>
  <si>
    <t>MC2808</t>
  </si>
  <si>
    <t>celine@orange.fr</t>
  </si>
  <si>
    <t>NAMA00017</t>
  </si>
  <si>
    <t>RALU00018</t>
  </si>
  <si>
    <t>DIJOUX</t>
  </si>
  <si>
    <t>LOIC</t>
  </si>
  <si>
    <t>52 rue margueritte</t>
  </si>
  <si>
    <t>loic@gmail.fr</t>
  </si>
  <si>
    <t>52 chemin lagourd</t>
  </si>
  <si>
    <t>cv520</t>
  </si>
  <si>
    <t>MARMOTE</t>
  </si>
  <si>
    <t>LAEL00024</t>
  </si>
  <si>
    <t>VOIR LA MAIRIE LE 22/06/2018</t>
  </si>
  <si>
    <t>BOSA00024</t>
  </si>
  <si>
    <t>DILO00024</t>
  </si>
  <si>
    <t>MOGAMAT</t>
  </si>
  <si>
    <t>PREFABETON</t>
  </si>
  <si>
    <t>HOLCIM</t>
  </si>
  <si>
    <t>Fournisseurs</t>
  </si>
  <si>
    <t>SEIGNERIE</t>
  </si>
  <si>
    <t>Incrémenté BD</t>
  </si>
  <si>
    <t>4 Rue lafayette</t>
  </si>
  <si>
    <t>N° Devis :</t>
  </si>
  <si>
    <t>prendre rdv le 22/07/2018</t>
  </si>
  <si>
    <t>permis a faire avant le 2/07/2018</t>
  </si>
  <si>
    <t>Tableau2</t>
  </si>
  <si>
    <t>Tableau4</t>
  </si>
  <si>
    <t>Tableau5</t>
  </si>
  <si>
    <t>Tableau6</t>
  </si>
  <si>
    <t>TVA 8,5%</t>
  </si>
  <si>
    <t>TVA NP 8,5%</t>
  </si>
  <si>
    <t>CT</t>
  </si>
  <si>
    <t>TVA/NP</t>
  </si>
  <si>
    <t>Tel : 0693 82 63 82</t>
  </si>
  <si>
    <t>Tableau9</t>
  </si>
  <si>
    <t>Tableau10</t>
  </si>
  <si>
    <t>Tableau11</t>
  </si>
  <si>
    <t>Tableau12</t>
  </si>
  <si>
    <t>Tableau13</t>
  </si>
  <si>
    <t>Tableau14</t>
  </si>
  <si>
    <t>Tableau15</t>
  </si>
  <si>
    <t>Tableau16</t>
  </si>
  <si>
    <t>Tableau17</t>
  </si>
  <si>
    <t>Tableau18</t>
  </si>
  <si>
    <t>Tableau19</t>
  </si>
  <si>
    <t>Tableau20</t>
  </si>
  <si>
    <t>02.00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</si>
  <si>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</si>
  <si>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</si>
  <si>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</si>
  <si>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</si>
  <si>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</si>
  <si>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</si>
  <si>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</si>
  <si>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</si>
  <si>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</si>
  <si>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</si>
  <si>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</si>
  <si>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</si>
  <si>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:</t>
  </si>
  <si>
    <t>gravier 0,3</t>
  </si>
  <si>
    <t>gravier 0,2</t>
  </si>
  <si>
    <t>l</t>
  </si>
  <si>
    <t>50m²</t>
  </si>
  <si>
    <t>standar</t>
  </si>
  <si>
    <t>unité d'achat</t>
  </si>
  <si>
    <t>Qté</t>
  </si>
  <si>
    <t>01.00</t>
  </si>
  <si>
    <t>01.01</t>
  </si>
  <si>
    <t>01.02</t>
  </si>
  <si>
    <t>01.03</t>
  </si>
  <si>
    <t>01.04</t>
  </si>
  <si>
    <t>01.05</t>
  </si>
  <si>
    <t>01.06</t>
  </si>
  <si>
    <t>01.07</t>
  </si>
  <si>
    <t>01.09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</si>
  <si>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</si>
  <si>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</si>
  <si>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</si>
  <si>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</si>
  <si>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</si>
  <si>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</si>
  <si>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</si>
  <si>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</si>
  <si>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</si>
  <si>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01.20</t>
  </si>
  <si>
    <t>01.21</t>
  </si>
  <si>
    <t>01.22</t>
  </si>
  <si>
    <t>01.23</t>
  </si>
  <si>
    <t>01.24</t>
  </si>
  <si>
    <t>01.25</t>
  </si>
  <si>
    <t>01.26</t>
  </si>
  <si>
    <t>01.27</t>
  </si>
  <si>
    <t>01.28</t>
  </si>
  <si>
    <t>01.29</t>
  </si>
  <si>
    <t>01.30</t>
  </si>
  <si>
    <t>01.31</t>
  </si>
  <si>
    <t>01.32</t>
  </si>
  <si>
    <t>01.33</t>
  </si>
  <si>
    <t>01.34</t>
  </si>
  <si>
    <t>01.35</t>
  </si>
  <si>
    <t>01.36</t>
  </si>
  <si>
    <t>01.37</t>
  </si>
  <si>
    <t>01.38</t>
  </si>
  <si>
    <t>01.39</t>
  </si>
  <si>
    <t>01.40</t>
  </si>
  <si>
    <t>01.41</t>
  </si>
  <si>
    <t>01.43</t>
  </si>
  <si>
    <t>01.44</t>
  </si>
  <si>
    <t>01.45</t>
  </si>
  <si>
    <t>01.46</t>
  </si>
  <si>
    <t>01.47</t>
  </si>
  <si>
    <t>01.49</t>
  </si>
  <si>
    <t>01.50</t>
  </si>
  <si>
    <t>01.51</t>
  </si>
  <si>
    <t>01.52</t>
  </si>
  <si>
    <t>01.53</t>
  </si>
  <si>
    <t>01.54</t>
  </si>
  <si>
    <t>01.55</t>
  </si>
  <si>
    <t>01.56</t>
  </si>
  <si>
    <t>01.57</t>
  </si>
  <si>
    <t>01.58</t>
  </si>
  <si>
    <t>01.59</t>
  </si>
  <si>
    <t>01.60</t>
  </si>
  <si>
    <t>01.61</t>
  </si>
  <si>
    <t>01.62</t>
  </si>
  <si>
    <t>01.63</t>
  </si>
  <si>
    <t>01.64</t>
  </si>
  <si>
    <t>01.65</t>
  </si>
  <si>
    <t>01.66</t>
  </si>
  <si>
    <t>01.67</t>
  </si>
  <si>
    <t>01.68</t>
  </si>
  <si>
    <t>01.69</t>
  </si>
  <si>
    <t>01.70</t>
  </si>
  <si>
    <t>01.71</t>
  </si>
  <si>
    <t>01.72</t>
  </si>
  <si>
    <t>01.73</t>
  </si>
  <si>
    <t>01.74</t>
  </si>
  <si>
    <t>01.75</t>
  </si>
  <si>
    <t>01.76</t>
  </si>
  <si>
    <t>01.77</t>
  </si>
  <si>
    <t>Qté Achat</t>
  </si>
  <si>
    <t>Transport</t>
  </si>
  <si>
    <t>Manutention</t>
  </si>
  <si>
    <t>Prix U. Achat</t>
  </si>
  <si>
    <t>Qté.Convertie</t>
  </si>
  <si>
    <t>Prix.Fournisseur</t>
  </si>
  <si>
    <t>Prx.U.Reviens</t>
  </si>
  <si>
    <t>Prx.reviens TO</t>
  </si>
  <si>
    <t>Prx.Vente</t>
  </si>
  <si>
    <t>Indice</t>
  </si>
  <si>
    <t>Caracteristique.Conv</t>
  </si>
  <si>
    <t>ALDEBARAN</t>
  </si>
  <si>
    <t>CATENAT</t>
  </si>
  <si>
    <t>OUESTCARRELAGE</t>
  </si>
  <si>
    <t>(=E/D)</t>
  </si>
  <si>
    <r>
      <t>(=(H*I)+(</t>
    </r>
    <r>
      <rPr>
        <b/>
        <sz val="11"/>
        <color theme="1"/>
        <rFont val="Calibri"/>
        <family val="2"/>
      </rPr>
      <t>∑ J:K))</t>
    </r>
  </si>
  <si>
    <t>(=H*Q/O)</t>
  </si>
  <si>
    <t>(=L / I)</t>
  </si>
  <si>
    <t>(= O * AGM * ALEA)</t>
  </si>
  <si>
    <t>(=( I +(∑ J:K)/ H)/ I)</t>
  </si>
  <si>
    <t>liée au tableau de bord</t>
  </si>
  <si>
    <t>(AGM) liée au tableau de bord</t>
  </si>
  <si>
    <t>(ALEA) liée au tableau de bord</t>
  </si>
  <si>
    <t>Ref</t>
  </si>
  <si>
    <t xml:space="preserve"> Pose Tuyau PER</t>
  </si>
  <si>
    <t>Nourrice</t>
  </si>
  <si>
    <t>Regard EU</t>
  </si>
  <si>
    <t xml:space="preserve">Vannes d'arrêt </t>
  </si>
  <si>
    <t>07.00</t>
  </si>
  <si>
    <t>08.00</t>
  </si>
  <si>
    <t>09.00</t>
  </si>
  <si>
    <t>10.00</t>
  </si>
  <si>
    <t>11.00</t>
  </si>
  <si>
    <t>13.00</t>
  </si>
  <si>
    <t>02.01</t>
  </si>
  <si>
    <t>03.01</t>
  </si>
  <si>
    <t>03.02</t>
  </si>
  <si>
    <t>03.03</t>
  </si>
  <si>
    <t>03.04</t>
  </si>
  <si>
    <t>03.05</t>
  </si>
  <si>
    <t>03.06</t>
  </si>
  <si>
    <t>04.01</t>
  </si>
  <si>
    <t>05.04</t>
  </si>
  <si>
    <t>05.05</t>
  </si>
  <si>
    <t>05.06</t>
  </si>
  <si>
    <t>05.07</t>
  </si>
  <si>
    <t>07.01</t>
  </si>
  <si>
    <t>07.02</t>
  </si>
  <si>
    <t>07.03</t>
  </si>
  <si>
    <t>07.04</t>
  </si>
  <si>
    <t>07.05</t>
  </si>
  <si>
    <t>07.06</t>
  </si>
  <si>
    <t>07.07</t>
  </si>
  <si>
    <t>07.08</t>
  </si>
  <si>
    <t>07.09</t>
  </si>
  <si>
    <t>07.10</t>
  </si>
  <si>
    <t>08.01</t>
  </si>
  <si>
    <t>09.01</t>
  </si>
  <si>
    <t>10.01</t>
  </si>
  <si>
    <t>13.01</t>
  </si>
  <si>
    <t>13.02</t>
  </si>
  <si>
    <t>14.11</t>
  </si>
  <si>
    <t>01.500</t>
  </si>
  <si>
    <t>01.501</t>
  </si>
  <si>
    <t>01.502</t>
  </si>
  <si>
    <t>01.503</t>
  </si>
  <si>
    <t>01.504</t>
  </si>
  <si>
    <t>01.08</t>
  </si>
  <si>
    <t>01.19</t>
  </si>
  <si>
    <t>01.42</t>
  </si>
  <si>
    <t>01.48</t>
  </si>
  <si>
    <t>01.600</t>
  </si>
  <si>
    <t>Fil montage bloc</t>
  </si>
  <si>
    <t>50mX5</t>
  </si>
  <si>
    <t>Semmelle Métallique</t>
  </si>
  <si>
    <t>semmelle Métallique</t>
  </si>
  <si>
    <t>fer béton HA12</t>
  </si>
  <si>
    <t>grave 0,30</t>
  </si>
  <si>
    <t>4,33kg/ml</t>
  </si>
  <si>
    <t>8,1kg/ml</t>
  </si>
  <si>
    <t>1,43kg/ml</t>
  </si>
  <si>
    <t>1,87kg/(4,8mx2,4m)</t>
  </si>
  <si>
    <t>2,46kg/ml</t>
  </si>
  <si>
    <t>Solin Tôle pré-laquée</t>
  </si>
  <si>
    <t>Faitage Tôle pré-laquée</t>
  </si>
  <si>
    <t>Noue Tôle pré-laquée</t>
  </si>
  <si>
    <t>Façon de Noue</t>
  </si>
  <si>
    <t>10.02</t>
  </si>
  <si>
    <t>10.03</t>
  </si>
  <si>
    <t>Vanne</t>
  </si>
  <si>
    <t>Fer Chainage</t>
  </si>
  <si>
    <t>0,87k/ml</t>
  </si>
  <si>
    <t>1,5kg/m2</t>
  </si>
  <si>
    <t>0,3kg/m²</t>
  </si>
  <si>
    <t>1kg/m²</t>
  </si>
  <si>
    <t xml:space="preserve"> (8m²/kg)</t>
  </si>
  <si>
    <t xml:space="preserve"> 25kg 16l (8m²/l)/2</t>
  </si>
  <si>
    <t>25kg (0,15l/m²)</t>
  </si>
  <si>
    <t>25kg(1,4k/m²)</t>
  </si>
  <si>
    <t>25kg 0,5kg/m²</t>
  </si>
  <si>
    <t>2kg/m²</t>
  </si>
  <si>
    <t>0,26kg/m²</t>
  </si>
  <si>
    <t xml:space="preserve"> 25kg (2,4/m²)</t>
  </si>
  <si>
    <t>peinture prim etan.</t>
  </si>
  <si>
    <t xml:space="preserve">Unité </t>
  </si>
  <si>
    <t>(=Rech.prix in BD_Prod &amp; BD_ET_PR)</t>
  </si>
  <si>
    <t>Total + Coef</t>
  </si>
  <si>
    <t>coef</t>
  </si>
  <si>
    <t>FDF</t>
  </si>
  <si>
    <t>N° Dossier</t>
  </si>
  <si>
    <t>Adrésse</t>
  </si>
  <si>
    <t>Adrésse Terrain</t>
  </si>
  <si>
    <t>Ville2</t>
  </si>
  <si>
    <t>Etapes</t>
  </si>
  <si>
    <t>Date d'écheance</t>
  </si>
  <si>
    <t>RAPA00008</t>
  </si>
  <si>
    <t>PATRICK</t>
  </si>
  <si>
    <t>65 bis chemin lafaillette</t>
  </si>
  <si>
    <t>pat@gmail.fr</t>
  </si>
  <si>
    <t>CD 5692</t>
  </si>
  <si>
    <t>VIRAPIN HARI</t>
  </si>
  <si>
    <t xml:space="preserve">rappeler le client </t>
  </si>
  <si>
    <t>VIED00003</t>
  </si>
  <si>
    <t>45 bis chemin des fleurs</t>
  </si>
  <si>
    <t>Liste Etapes</t>
  </si>
  <si>
    <t>prix MO</t>
  </si>
  <si>
    <t>Quantité(TU)</t>
  </si>
  <si>
    <t>membrane à excroissances imperméable</t>
  </si>
  <si>
    <t>membrane  imperméable DELTA</t>
  </si>
  <si>
    <t>25x26</t>
  </si>
  <si>
    <t>grav 0.20</t>
  </si>
  <si>
    <t>ELECTRICITE</t>
  </si>
  <si>
    <t xml:space="preserve">RESEAUX DE PLOMBERIE </t>
  </si>
  <si>
    <t>Coût hors taxe avec coeff 1,42 de majr</t>
  </si>
  <si>
    <t>rendement 0,06</t>
  </si>
  <si>
    <t>01.78</t>
  </si>
  <si>
    <t>planche 4m</t>
  </si>
  <si>
    <t>coef de perte seche</t>
  </si>
  <si>
    <t>mini pelle</t>
  </si>
  <si>
    <t>01.79</t>
  </si>
  <si>
    <t>01.80</t>
  </si>
  <si>
    <t>rendement 30/j</t>
  </si>
  <si>
    <t>01.81</t>
  </si>
  <si>
    <t>grille</t>
  </si>
  <si>
    <t>ALEA</t>
  </si>
  <si>
    <t>AGM</t>
  </si>
  <si>
    <t>02.</t>
  </si>
  <si>
    <t>03.</t>
  </si>
  <si>
    <t>04.</t>
  </si>
  <si>
    <t>05.</t>
  </si>
  <si>
    <t>07.</t>
  </si>
  <si>
    <t>08.</t>
  </si>
  <si>
    <t>09.</t>
  </si>
  <si>
    <t>10.</t>
  </si>
  <si>
    <t>11.</t>
  </si>
  <si>
    <t>12.</t>
  </si>
  <si>
    <t>13.</t>
  </si>
  <si>
    <t>09.02</t>
  </si>
  <si>
    <t>09.03</t>
  </si>
  <si>
    <t>10.04</t>
  </si>
  <si>
    <t>13.03</t>
  </si>
  <si>
    <t>13.04</t>
  </si>
  <si>
    <t>13.05</t>
  </si>
  <si>
    <t>13.06</t>
  </si>
  <si>
    <t>13.07</t>
  </si>
  <si>
    <t>13.08</t>
  </si>
  <si>
    <t>13.09</t>
  </si>
  <si>
    <t>13.10</t>
  </si>
  <si>
    <t>13.12</t>
  </si>
  <si>
    <t>13.13</t>
  </si>
  <si>
    <t>13.14</t>
  </si>
  <si>
    <t>12.01</t>
  </si>
  <si>
    <t>12.02</t>
  </si>
  <si>
    <t>12.03</t>
  </si>
  <si>
    <t>12.04</t>
  </si>
  <si>
    <t>13.11</t>
  </si>
  <si>
    <t>04.02</t>
  </si>
  <si>
    <t>04.03</t>
  </si>
  <si>
    <t>(=H*F)</t>
  </si>
  <si>
    <t>Prix unitaire Matériaux</t>
  </si>
  <si>
    <t>Denomination</t>
  </si>
  <si>
    <t>N° Télèphone</t>
  </si>
  <si>
    <t>Adresse</t>
  </si>
  <si>
    <t>0262 50 40 00</t>
  </si>
  <si>
    <t>Saint- Benoit</t>
  </si>
  <si>
    <t>N° BDC</t>
  </si>
  <si>
    <t>Fournisseur</t>
  </si>
  <si>
    <t>Montant</t>
  </si>
  <si>
    <t>date</t>
  </si>
  <si>
    <t>Code</t>
  </si>
  <si>
    <t>BC00001</t>
  </si>
  <si>
    <t>BC00002</t>
  </si>
  <si>
    <t>BC00003</t>
  </si>
  <si>
    <t>RAPA00009</t>
  </si>
  <si>
    <t>66 bis chemin lafaillette</t>
  </si>
  <si>
    <t>5 Rue lafayette</t>
  </si>
  <si>
    <t>6 Rue lafayette</t>
  </si>
  <si>
    <t>7 Rue lafayette</t>
  </si>
  <si>
    <t>8 Rue lafayette</t>
  </si>
  <si>
    <t>0263 50 40 00</t>
  </si>
  <si>
    <t>0264 50 40 00</t>
  </si>
  <si>
    <t>0265 50 40 00</t>
  </si>
  <si>
    <t>0266 50 40 00</t>
  </si>
  <si>
    <t>Saint- Denis</t>
  </si>
  <si>
    <t>Saint- André</t>
  </si>
  <si>
    <t>Sainte - Anne</t>
  </si>
  <si>
    <t>Sainte - Marie</t>
  </si>
  <si>
    <t>BC00025</t>
  </si>
  <si>
    <t>Mail</t>
  </si>
  <si>
    <t>wjp974@yahoo.fr</t>
  </si>
  <si>
    <t>Total HT</t>
  </si>
  <si>
    <t>Total TTC</t>
  </si>
  <si>
    <t>251.60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</si>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</sst>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_(* #,##0.00_);_(* \(#,##0.00\);_(* &quot;-&quot;??_);_(@_)"/>
    <numFmt numFmtId="167" formatCode="0.000"/>
    <numFmt numFmtId="168" formatCode="0;[Red]0"/>
    <numFmt numFmtId="169" formatCode="#,##0.00\ &quot;€&quot;"/>
    <numFmt numFmtId="170" formatCode="[$-F800]dddd\,\ mmmm\ dd\,\ yyyy"/>
    <numFmt numFmtId="171" formatCode="_-* #,##0.00\ [$€]_-;\-* #,##0.00\ [$€]_-;_-* &quot;-&quot;??\ [$€]_-;_-@_-"/>
    <numFmt numFmtId="172" formatCode="_-* #,##0.00\ [$€-81D]_-;\-* #,##0.00\ [$€-81D]_-;_-* &quot;-&quot;??\ [$€-81D]_-;_-@_-"/>
    <numFmt numFmtId="173" formatCode="00"/>
    <numFmt numFmtId="174" formatCode="0.00;[Red]0.00"/>
    <numFmt numFmtId="175" formatCode="#,##0.0\ &quot;€&quot;"/>
    <numFmt numFmtId="176" formatCode="0.0"/>
  </numFmts>
  <fonts count="4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i/>
      <u/>
      <sz val="16"/>
      <name val="Arial Narrow"/>
      <family val="2"/>
    </font>
    <font>
      <sz val="16"/>
      <name val="Arial Narrow"/>
      <family val="2"/>
    </font>
    <font>
      <sz val="14"/>
      <color rgb="FF080808"/>
      <name val="Arial Narrow"/>
      <family val="2"/>
    </font>
    <font>
      <u/>
      <sz val="12"/>
      <name val="Arial Narrow"/>
      <family val="2"/>
    </font>
    <font>
      <u/>
      <sz val="12"/>
      <color rgb="FF000000"/>
      <name val="Arial Narrow"/>
      <family val="2"/>
    </font>
    <font>
      <sz val="10"/>
      <color theme="0"/>
      <name val="Arial Narrow"/>
      <family val="2"/>
    </font>
    <font>
      <sz val="11"/>
      <color theme="0"/>
      <name val="Arial Narrow"/>
      <family val="2"/>
    </font>
    <font>
      <sz val="8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rgb="FF99000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Arial"/>
      <family val="2"/>
    </font>
    <font>
      <sz val="10"/>
      <color theme="0"/>
      <name val="Calibri"/>
      <family val="2"/>
      <scheme val="minor"/>
    </font>
    <font>
      <i/>
      <sz val="10"/>
      <name val="Calibri"/>
      <family val="2"/>
      <scheme val="minor"/>
    </font>
    <font>
      <b/>
      <sz val="14"/>
      <name val="Calibri"/>
      <family val="2"/>
      <scheme val="minor"/>
    </font>
    <font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hair">
        <color rgb="FF7030A0"/>
      </left>
      <right/>
      <top style="thin">
        <color theme="4" tint="-0.24994659260841701"/>
      </top>
      <bottom style="hair">
        <color theme="4" tint="-0.24994659260841701"/>
      </bottom>
      <diagonal/>
    </border>
    <border>
      <left style="hair">
        <color rgb="FF7030A0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 applyNumberFormat="0" applyBorder="0" applyAlignment="0" applyProtection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0" fontId="20" fillId="0" borderId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</cellStyleXfs>
  <cellXfs count="286">
    <xf numFmtId="0" fontId="0" fillId="0" borderId="0" xfId="0"/>
    <xf numFmtId="2" fontId="10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8" borderId="0" xfId="0" applyFont="1" applyFill="1"/>
    <xf numFmtId="0" fontId="4" fillId="8" borderId="0" xfId="0" applyNumberFormat="1" applyFont="1" applyFill="1" applyBorder="1" applyAlignment="1" applyProtection="1">
      <alignment vertical="top"/>
    </xf>
    <xf numFmtId="0" fontId="5" fillId="8" borderId="3" xfId="0" applyNumberFormat="1" applyFont="1" applyFill="1" applyBorder="1" applyAlignment="1" applyProtection="1">
      <alignment vertical="center"/>
    </xf>
    <xf numFmtId="0" fontId="5" fillId="8" borderId="6" xfId="0" applyNumberFormat="1" applyFont="1" applyFill="1" applyBorder="1" applyAlignment="1" applyProtection="1">
      <alignment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6" xfId="0" applyNumberFormat="1" applyFont="1" applyFill="1" applyBorder="1" applyAlignment="1" applyProtection="1">
      <alignment horizontal="center" vertical="center"/>
    </xf>
    <xf numFmtId="2" fontId="8" fillId="8" borderId="7" xfId="0" applyNumberFormat="1" applyFont="1" applyFill="1" applyBorder="1" applyAlignment="1" applyProtection="1">
      <alignment horizontal="center" vertical="center"/>
    </xf>
    <xf numFmtId="0" fontId="11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/>
    <xf numFmtId="0" fontId="14" fillId="8" borderId="0" xfId="0" applyNumberFormat="1" applyFont="1" applyFill="1" applyBorder="1" applyAlignment="1" applyProtection="1">
      <alignment horizontal="right" vertical="top"/>
    </xf>
    <xf numFmtId="0" fontId="14" fillId="8" borderId="0" xfId="0" applyNumberFormat="1" applyFont="1" applyFill="1" applyBorder="1" applyAlignment="1" applyProtection="1">
      <alignment horizontal="left" vertical="top"/>
    </xf>
    <xf numFmtId="0" fontId="14" fillId="8" borderId="0" xfId="0" applyNumberFormat="1" applyFont="1" applyFill="1" applyBorder="1" applyAlignment="1" applyProtection="1">
      <alignment vertical="top"/>
    </xf>
    <xf numFmtId="0" fontId="16" fillId="8" borderId="0" xfId="0" applyNumberFormat="1" applyFont="1" applyFill="1" applyBorder="1" applyAlignment="1" applyProtection="1">
      <alignment horizontal="center" vertical="center"/>
    </xf>
    <xf numFmtId="165" fontId="16" fillId="8" borderId="0" xfId="0" applyNumberFormat="1" applyFont="1" applyFill="1" applyBorder="1" applyAlignment="1" applyProtection="1">
      <alignment horizontal="center" vertical="center"/>
    </xf>
    <xf numFmtId="169" fontId="8" fillId="8" borderId="0" xfId="0" applyNumberFormat="1" applyFont="1" applyFill="1" applyBorder="1" applyAlignment="1" applyProtection="1">
      <alignment horizontal="center" vertical="center"/>
    </xf>
    <xf numFmtId="0" fontId="17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Alignment="1"/>
    <xf numFmtId="0" fontId="18" fillId="8" borderId="0" xfId="0" applyFont="1" applyFill="1" applyBorder="1" applyAlignment="1"/>
    <xf numFmtId="167" fontId="19" fillId="8" borderId="0" xfId="0" applyNumberFormat="1" applyFont="1" applyFill="1" applyBorder="1" applyAlignment="1" applyProtection="1">
      <alignment vertical="top"/>
    </xf>
    <xf numFmtId="167" fontId="9" fillId="8" borderId="0" xfId="0" applyNumberFormat="1" applyFont="1" applyFill="1" applyBorder="1" applyAlignment="1" applyProtection="1">
      <alignment vertical="top"/>
    </xf>
    <xf numFmtId="165" fontId="9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 applyAlignment="1"/>
    <xf numFmtId="0" fontId="9" fillId="8" borderId="0" xfId="0" applyNumberFormat="1" applyFont="1" applyFill="1" applyBorder="1" applyAlignment="1" applyProtection="1">
      <alignment horizontal="center" vertical="top"/>
    </xf>
    <xf numFmtId="167" fontId="9" fillId="8" borderId="0" xfId="0" applyNumberFormat="1" applyFont="1" applyFill="1" applyBorder="1" applyAlignment="1" applyProtection="1">
      <alignment horizontal="center" vertical="top"/>
    </xf>
    <xf numFmtId="165" fontId="9" fillId="8" borderId="0" xfId="0" applyNumberFormat="1" applyFont="1" applyFill="1" applyBorder="1" applyAlignment="1" applyProtection="1">
      <alignment horizontal="right" vertical="top"/>
    </xf>
    <xf numFmtId="2" fontId="8" fillId="8" borderId="19" xfId="0" applyNumberFormat="1" applyFont="1" applyFill="1" applyBorder="1" applyAlignment="1" applyProtection="1">
      <alignment horizontal="center" vertical="center"/>
    </xf>
    <xf numFmtId="2" fontId="8" fillId="8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168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Fill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2" fontId="22" fillId="5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5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168" fontId="22" fillId="0" borderId="0" xfId="0" applyNumberFormat="1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2" fontId="22" fillId="0" borderId="0" xfId="0" applyNumberFormat="1" applyFont="1" applyAlignment="1">
      <alignment horizontal="center" vertical="center" wrapText="1"/>
    </xf>
    <xf numFmtId="2" fontId="21" fillId="6" borderId="0" xfId="0" applyNumberFormat="1" applyFont="1" applyFill="1" applyAlignment="1">
      <alignment horizontal="center" vertical="center" wrapText="1"/>
    </xf>
    <xf numFmtId="0" fontId="25" fillId="9" borderId="0" xfId="0" applyFont="1" applyFill="1" applyAlignment="1">
      <alignment horizontal="center" vertical="center" wrapText="1"/>
    </xf>
    <xf numFmtId="2" fontId="21" fillId="9" borderId="0" xfId="0" applyNumberFormat="1" applyFont="1" applyFill="1" applyAlignment="1">
      <alignment horizontal="center" vertical="center"/>
    </xf>
    <xf numFmtId="2" fontId="21" fillId="9" borderId="0" xfId="0" applyNumberFormat="1" applyFont="1" applyFill="1" applyAlignment="1">
      <alignment horizontal="center" vertical="center" wrapText="1"/>
    </xf>
    <xf numFmtId="2" fontId="24" fillId="5" borderId="0" xfId="0" applyNumberFormat="1" applyFont="1" applyFill="1" applyAlignment="1">
      <alignment horizontal="center" vertical="center"/>
    </xf>
    <xf numFmtId="2" fontId="27" fillId="5" borderId="0" xfId="0" applyNumberFormat="1" applyFont="1" applyFill="1" applyAlignment="1">
      <alignment horizontal="center" vertical="center"/>
    </xf>
    <xf numFmtId="2" fontId="30" fillId="0" borderId="0" xfId="0" applyNumberFormat="1" applyFont="1" applyAlignment="1"/>
    <xf numFmtId="2" fontId="30" fillId="3" borderId="0" xfId="0" applyNumberFormat="1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30" fillId="0" borderId="0" xfId="0" applyNumberFormat="1" applyFont="1" applyFill="1" applyAlignment="1"/>
    <xf numFmtId="2" fontId="30" fillId="7" borderId="0" xfId="0" applyNumberFormat="1" applyFont="1" applyFill="1" applyAlignment="1"/>
    <xf numFmtId="2" fontId="31" fillId="3" borderId="0" xfId="0" applyNumberFormat="1" applyFont="1" applyFill="1" applyAlignment="1"/>
    <xf numFmtId="0" fontId="24" fillId="5" borderId="31" xfId="0" applyFont="1" applyFill="1" applyBorder="1"/>
    <xf numFmtId="0" fontId="24" fillId="5" borderId="32" xfId="0" applyFont="1" applyFill="1" applyBorder="1"/>
    <xf numFmtId="0" fontId="24" fillId="5" borderId="32" xfId="0" applyFont="1" applyFill="1" applyBorder="1" applyAlignment="1">
      <alignment horizontal="left"/>
    </xf>
    <xf numFmtId="0" fontId="24" fillId="0" borderId="0" xfId="0" applyFont="1" applyFill="1"/>
    <xf numFmtId="2" fontId="22" fillId="0" borderId="31" xfId="0" applyNumberFormat="1" applyFont="1" applyFill="1" applyBorder="1"/>
    <xf numFmtId="0" fontId="22" fillId="0" borderId="32" xfId="0" applyFont="1" applyFill="1" applyBorder="1"/>
    <xf numFmtId="0" fontId="22" fillId="0" borderId="32" xfId="0" applyNumberFormat="1" applyFont="1" applyFill="1" applyBorder="1"/>
    <xf numFmtId="14" fontId="22" fillId="0" borderId="32" xfId="0" applyNumberFormat="1" applyFont="1" applyFill="1" applyBorder="1"/>
    <xf numFmtId="0" fontId="22" fillId="0" borderId="32" xfId="0" applyFont="1" applyFill="1" applyBorder="1" applyAlignment="1">
      <alignment horizontal="left"/>
    </xf>
    <xf numFmtId="14" fontId="22" fillId="0" borderId="33" xfId="0" applyNumberFormat="1" applyFont="1" applyFill="1" applyBorder="1"/>
    <xf numFmtId="0" fontId="22" fillId="0" borderId="0" xfId="0" applyFont="1" applyFill="1"/>
    <xf numFmtId="0" fontId="22" fillId="0" borderId="31" xfId="0" applyFont="1" applyFill="1" applyBorder="1"/>
    <xf numFmtId="3" fontId="22" fillId="0" borderId="32" xfId="0" applyNumberFormat="1" applyFont="1" applyFill="1" applyBorder="1"/>
    <xf numFmtId="0" fontId="22" fillId="0" borderId="0" xfId="0" applyFont="1" applyFill="1" applyBorder="1"/>
    <xf numFmtId="0" fontId="22" fillId="0" borderId="0" xfId="0" applyNumberFormat="1" applyFont="1" applyFill="1" applyBorder="1"/>
    <xf numFmtId="0" fontId="22" fillId="0" borderId="0" xfId="0" applyNumberFormat="1" applyFont="1" applyFill="1"/>
    <xf numFmtId="2" fontId="30" fillId="6" borderId="0" xfId="0" applyNumberFormat="1" applyFont="1" applyFill="1" applyAlignment="1">
      <alignment horizontal="center" vertical="center"/>
    </xf>
    <xf numFmtId="2" fontId="30" fillId="11" borderId="0" xfId="0" applyNumberFormat="1" applyFont="1" applyFill="1" applyAlignment="1">
      <alignment horizontal="center" vertical="center"/>
    </xf>
    <xf numFmtId="2" fontId="8" fillId="8" borderId="9" xfId="0" applyNumberFormat="1" applyFont="1" applyFill="1" applyBorder="1" applyAlignment="1" applyProtection="1">
      <alignment horizontal="center" vertical="center"/>
    </xf>
    <xf numFmtId="0" fontId="33" fillId="0" borderId="0" xfId="0" applyFont="1"/>
    <xf numFmtId="0" fontId="4" fillId="0" borderId="0" xfId="0" applyFont="1" applyFill="1" applyBorder="1" applyAlignment="1">
      <alignment vertical="top" wrapText="1"/>
    </xf>
    <xf numFmtId="2" fontId="30" fillId="0" borderId="0" xfId="0" applyNumberFormat="1" applyFont="1" applyFill="1" applyAlignment="1">
      <alignment horizontal="center" vertical="center"/>
    </xf>
    <xf numFmtId="0" fontId="0" fillId="6" borderId="0" xfId="0" applyFill="1"/>
    <xf numFmtId="0" fontId="22" fillId="0" borderId="0" xfId="0" applyFont="1" applyFill="1" applyBorder="1" applyAlignment="1">
      <alignment vertical="center"/>
    </xf>
    <xf numFmtId="0" fontId="22" fillId="0" borderId="0" xfId="0" applyFont="1" applyBorder="1"/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Border="1" applyAlignment="1">
      <alignment horizontal="left" vertical="center"/>
    </xf>
    <xf numFmtId="0" fontId="22" fillId="5" borderId="0" xfId="0" applyFont="1" applyFill="1" applyBorder="1" applyAlignment="1">
      <alignment horizontal="center" vertical="center" wrapText="1"/>
    </xf>
    <xf numFmtId="0" fontId="28" fillId="5" borderId="0" xfId="0" applyFont="1" applyFill="1" applyBorder="1" applyAlignment="1">
      <alignment horizontal="center" vertical="center" wrapText="1"/>
    </xf>
    <xf numFmtId="2" fontId="22" fillId="5" borderId="0" xfId="0" applyNumberFormat="1" applyFont="1" applyFill="1" applyBorder="1" applyAlignment="1">
      <alignment horizontal="center" vertical="center" wrapText="1"/>
    </xf>
    <xf numFmtId="2" fontId="28" fillId="5" borderId="0" xfId="0" applyNumberFormat="1" applyFont="1" applyFill="1" applyBorder="1" applyAlignment="1">
      <alignment horizontal="center" vertical="center" wrapText="1"/>
    </xf>
    <xf numFmtId="2" fontId="29" fillId="3" borderId="1" xfId="0" applyNumberFormat="1" applyFont="1" applyFill="1" applyBorder="1" applyAlignment="1"/>
    <xf numFmtId="2" fontId="29" fillId="3" borderId="27" xfId="0" applyNumberFormat="1" applyFont="1" applyFill="1" applyBorder="1" applyAlignment="1"/>
    <xf numFmtId="2" fontId="32" fillId="3" borderId="27" xfId="0" applyNumberFormat="1" applyFont="1" applyFill="1" applyBorder="1" applyAlignment="1"/>
    <xf numFmtId="2" fontId="30" fillId="3" borderId="27" xfId="0" applyNumberFormat="1" applyFont="1" applyFill="1" applyBorder="1" applyAlignment="1"/>
    <xf numFmtId="2" fontId="30" fillId="7" borderId="0" xfId="0" applyNumberFormat="1" applyFont="1" applyFill="1" applyAlignment="1">
      <alignment horizontal="center" vertical="center" wrapText="1"/>
    </xf>
    <xf numFmtId="2" fontId="30" fillId="7" borderId="0" xfId="0" applyNumberFormat="1" applyFont="1" applyFill="1" applyAlignment="1">
      <alignment horizontal="center" vertical="center"/>
    </xf>
    <xf numFmtId="2" fontId="32" fillId="12" borderId="0" xfId="0" applyNumberFormat="1" applyFont="1" applyFill="1" applyAlignment="1">
      <alignment horizontal="center" vertical="center"/>
    </xf>
    <xf numFmtId="2" fontId="32" fillId="10" borderId="0" xfId="0" applyNumberFormat="1" applyFont="1" applyFill="1" applyAlignment="1">
      <alignment horizontal="center" vertical="center"/>
    </xf>
    <xf numFmtId="2" fontId="30" fillId="5" borderId="0" xfId="0" applyNumberFormat="1" applyFont="1" applyFill="1" applyAlignment="1">
      <alignment horizontal="center" vertical="center"/>
    </xf>
    <xf numFmtId="2" fontId="32" fillId="3" borderId="0" xfId="0" applyNumberFormat="1" applyFont="1" applyFill="1" applyAlignment="1">
      <alignment horizontal="center" vertical="center"/>
    </xf>
    <xf numFmtId="2" fontId="30" fillId="3" borderId="0" xfId="0" applyNumberFormat="1" applyFont="1" applyFill="1" applyAlignment="1">
      <alignment horizontal="center" vertical="center"/>
    </xf>
    <xf numFmtId="2" fontId="3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/>
    </xf>
    <xf numFmtId="0" fontId="10" fillId="0" borderId="0" xfId="0" applyNumberFormat="1" applyFon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right" wrapText="1"/>
    </xf>
    <xf numFmtId="169" fontId="10" fillId="0" borderId="0" xfId="0" applyNumberFormat="1" applyFont="1" applyFill="1" applyBorder="1" applyAlignment="1">
      <alignment horizontal="right" vertical="top" wrapText="1"/>
    </xf>
    <xf numFmtId="2" fontId="6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right"/>
    </xf>
    <xf numFmtId="169" fontId="6" fillId="0" borderId="0" xfId="0" applyNumberFormat="1" applyFont="1" applyFill="1" applyBorder="1" applyAlignment="1">
      <alignment horizontal="right"/>
    </xf>
    <xf numFmtId="169" fontId="10" fillId="0" borderId="0" xfId="0" applyNumberFormat="1" applyFont="1" applyFill="1" applyBorder="1" applyAlignment="1">
      <alignment horizontal="right"/>
    </xf>
    <xf numFmtId="2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 wrapText="1"/>
    </xf>
    <xf numFmtId="2" fontId="4" fillId="0" borderId="0" xfId="0" applyNumberFormat="1" applyFont="1" applyFill="1" applyBorder="1" applyAlignment="1">
      <alignment horizontal="center" vertical="center"/>
    </xf>
    <xf numFmtId="2" fontId="32" fillId="3" borderId="27" xfId="0" applyNumberFormat="1" applyFont="1" applyFill="1" applyBorder="1" applyAlignment="1">
      <alignment vertical="center"/>
    </xf>
    <xf numFmtId="2" fontId="30" fillId="0" borderId="0" xfId="0" applyNumberFormat="1" applyFont="1" applyFill="1" applyAlignment="1">
      <alignment horizontal="center" vertical="center" wrapText="1"/>
    </xf>
    <xf numFmtId="2" fontId="30" fillId="0" borderId="0" xfId="0" applyNumberFormat="1" applyFont="1" applyAlignment="1">
      <alignment horizontal="center"/>
    </xf>
    <xf numFmtId="2" fontId="30" fillId="0" borderId="0" xfId="0" applyNumberFormat="1" applyFont="1" applyFill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2" fontId="29" fillId="3" borderId="1" xfId="0" applyNumberFormat="1" applyFont="1" applyFill="1" applyBorder="1" applyAlignment="1">
      <alignment horizontal="center" vertical="center"/>
    </xf>
    <xf numFmtId="2" fontId="32" fillId="3" borderId="1" xfId="0" applyNumberFormat="1" applyFont="1" applyFill="1" applyBorder="1" applyAlignment="1">
      <alignment horizontal="center" vertical="center"/>
    </xf>
    <xf numFmtId="2" fontId="30" fillId="7" borderId="0" xfId="0" applyNumberFormat="1" applyFont="1" applyFill="1" applyAlignment="1">
      <alignment horizontal="center"/>
    </xf>
    <xf numFmtId="2" fontId="32" fillId="3" borderId="1" xfId="0" applyNumberFormat="1" applyFont="1" applyFill="1" applyBorder="1" applyAlignment="1">
      <alignment horizontal="center"/>
    </xf>
    <xf numFmtId="169" fontId="10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center" vertical="center"/>
    </xf>
    <xf numFmtId="2" fontId="32" fillId="3" borderId="27" xfId="0" applyNumberFormat="1" applyFon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center" vertical="center" wrapText="1"/>
    </xf>
    <xf numFmtId="169" fontId="10" fillId="0" borderId="0" xfId="0" applyNumberFormat="1" applyFont="1" applyFill="1" applyBorder="1" applyAlignment="1">
      <alignment horizontal="center" vertical="top" wrapText="1"/>
    </xf>
    <xf numFmtId="169" fontId="6" fillId="0" borderId="0" xfId="0" applyNumberFormat="1" applyFont="1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0" fontId="24" fillId="0" borderId="0" xfId="3" applyFont="1" applyProtection="1"/>
    <xf numFmtId="0" fontId="24" fillId="0" borderId="0" xfId="3" applyFont="1" applyAlignment="1" applyProtection="1">
      <alignment horizontal="right" vertical="top"/>
    </xf>
    <xf numFmtId="0" fontId="24" fillId="0" borderId="0" xfId="3" applyFont="1" applyBorder="1" applyProtection="1"/>
    <xf numFmtId="0" fontId="34" fillId="0" borderId="0" xfId="3" applyFont="1" applyProtection="1"/>
    <xf numFmtId="0" fontId="24" fillId="4" borderId="0" xfId="3" applyFont="1" applyFill="1" applyBorder="1" applyAlignment="1" applyProtection="1">
      <alignment vertical="center"/>
    </xf>
    <xf numFmtId="0" fontId="34" fillId="0" borderId="6" xfId="3" applyFont="1" applyBorder="1" applyProtection="1"/>
    <xf numFmtId="0" fontId="28" fillId="0" borderId="14" xfId="3" applyFont="1" applyBorder="1" applyAlignment="1" applyProtection="1"/>
    <xf numFmtId="0" fontId="24" fillId="0" borderId="18" xfId="3" applyFont="1" applyBorder="1" applyAlignment="1" applyProtection="1"/>
    <xf numFmtId="0" fontId="24" fillId="0" borderId="16" xfId="3" applyFont="1" applyBorder="1" applyAlignment="1" applyProtection="1"/>
    <xf numFmtId="0" fontId="24" fillId="4" borderId="0" xfId="3" applyFont="1" applyFill="1" applyBorder="1" applyAlignment="1" applyProtection="1">
      <alignment vertical="center" readingOrder="1"/>
    </xf>
    <xf numFmtId="0" fontId="24" fillId="0" borderId="3" xfId="3" applyFont="1" applyBorder="1" applyAlignment="1" applyProtection="1"/>
    <xf numFmtId="0" fontId="24" fillId="0" borderId="0" xfId="3" applyFont="1" applyBorder="1" applyAlignment="1" applyProtection="1">
      <alignment horizontal="center"/>
    </xf>
    <xf numFmtId="0" fontId="24" fillId="0" borderId="6" xfId="3" applyFont="1" applyBorder="1" applyAlignment="1" applyProtection="1">
      <alignment horizontal="center"/>
    </xf>
    <xf numFmtId="0" fontId="24" fillId="0" borderId="6" xfId="3" applyFont="1" applyBorder="1" applyProtection="1"/>
    <xf numFmtId="0" fontId="24" fillId="0" borderId="3" xfId="3" applyFont="1" applyBorder="1" applyProtection="1"/>
    <xf numFmtId="0" fontId="24" fillId="0" borderId="13" xfId="3" applyFont="1" applyBorder="1" applyProtection="1"/>
    <xf numFmtId="0" fontId="24" fillId="0" borderId="19" xfId="3" applyFont="1" applyBorder="1" applyProtection="1"/>
    <xf numFmtId="0" fontId="24" fillId="0" borderId="28" xfId="3" applyFont="1" applyBorder="1" applyProtection="1"/>
    <xf numFmtId="0" fontId="24" fillId="0" borderId="25" xfId="3" applyFont="1" applyBorder="1" applyProtection="1"/>
    <xf numFmtId="0" fontId="24" fillId="0" borderId="8" xfId="3" applyFont="1" applyBorder="1" applyProtection="1"/>
    <xf numFmtId="0" fontId="37" fillId="0" borderId="0" xfId="3" applyFont="1" applyBorder="1" applyAlignment="1" applyProtection="1">
      <alignment vertical="center"/>
    </xf>
    <xf numFmtId="0" fontId="24" fillId="0" borderId="0" xfId="3" applyFont="1" applyBorder="1" applyAlignment="1" applyProtection="1">
      <alignment vertical="center"/>
    </xf>
    <xf numFmtId="49" fontId="24" fillId="0" borderId="0" xfId="3" applyNumberFormat="1" applyFont="1" applyBorder="1" applyAlignment="1" applyProtection="1"/>
    <xf numFmtId="0" fontId="28" fillId="0" borderId="22" xfId="3" applyFont="1" applyBorder="1" applyAlignment="1" applyProtection="1">
      <alignment horizontal="left" vertical="top" wrapText="1"/>
    </xf>
    <xf numFmtId="0" fontId="28" fillId="0" borderId="6" xfId="3" applyFont="1" applyBorder="1" applyAlignment="1" applyProtection="1">
      <alignment vertical="top" wrapText="1"/>
    </xf>
    <xf numFmtId="0" fontId="24" fillId="0" borderId="0" xfId="3" applyFont="1" applyBorder="1" applyAlignment="1" applyProtection="1"/>
    <xf numFmtId="14" fontId="24" fillId="0" borderId="23" xfId="3" applyNumberFormat="1" applyFont="1" applyBorder="1" applyAlignment="1" applyProtection="1">
      <alignment horizontal="left"/>
      <protection locked="0"/>
    </xf>
    <xf numFmtId="0" fontId="24" fillId="0" borderId="6" xfId="3" applyNumberFormat="1" applyFont="1" applyBorder="1" applyAlignment="1" applyProtection="1">
      <alignment horizontal="left"/>
      <protection locked="0"/>
    </xf>
    <xf numFmtId="0" fontId="24" fillId="0" borderId="12" xfId="3" applyFont="1" applyBorder="1" applyAlignment="1" applyProtection="1"/>
    <xf numFmtId="169" fontId="24" fillId="0" borderId="23" xfId="3" applyNumberFormat="1" applyFont="1" applyBorder="1" applyAlignment="1" applyProtection="1">
      <alignment horizontal="left"/>
      <protection locked="0"/>
    </xf>
    <xf numFmtId="0" fontId="37" fillId="0" borderId="0" xfId="3" applyFont="1" applyBorder="1" applyProtection="1"/>
    <xf numFmtId="0" fontId="24" fillId="0" borderId="9" xfId="3" applyFont="1" applyBorder="1" applyProtection="1"/>
    <xf numFmtId="0" fontId="28" fillId="0" borderId="0" xfId="3" applyFont="1" applyBorder="1" applyAlignment="1" applyProtection="1">
      <alignment horizontal="left"/>
    </xf>
    <xf numFmtId="0" fontId="24" fillId="0" borderId="0" xfId="3" applyFont="1" applyBorder="1" applyAlignment="1" applyProtection="1">
      <alignment horizontal="left"/>
    </xf>
    <xf numFmtId="0" fontId="28" fillId="0" borderId="3" xfId="3" applyFont="1" applyBorder="1" applyAlignment="1" applyProtection="1"/>
    <xf numFmtId="0" fontId="28" fillId="0" borderId="0" xfId="3" applyNumberFormat="1" applyFont="1" applyBorder="1" applyAlignment="1" applyProtection="1">
      <alignment horizontal="left"/>
    </xf>
    <xf numFmtId="0" fontId="28" fillId="0" borderId="0" xfId="3" applyFont="1" applyBorder="1" applyAlignment="1" applyProtection="1">
      <alignment horizontal="right"/>
    </xf>
    <xf numFmtId="49" fontId="28" fillId="0" borderId="0" xfId="3" applyNumberFormat="1" applyFont="1" applyBorder="1" applyAlignment="1" applyProtection="1">
      <alignment horizontal="left"/>
    </xf>
    <xf numFmtId="0" fontId="24" fillId="0" borderId="12" xfId="3" applyFont="1" applyBorder="1" applyProtection="1"/>
    <xf numFmtId="0" fontId="24" fillId="0" borderId="1" xfId="3" applyFont="1" applyBorder="1" applyProtection="1"/>
    <xf numFmtId="0" fontId="28" fillId="0" borderId="14" xfId="3" applyFont="1" applyBorder="1" applyAlignment="1" applyProtection="1">
      <alignment horizontal="center"/>
    </xf>
    <xf numFmtId="0" fontId="28" fillId="0" borderId="27" xfId="3" applyFont="1" applyBorder="1" applyAlignment="1" applyProtection="1">
      <alignment horizontal="right"/>
    </xf>
    <xf numFmtId="0" fontId="24" fillId="0" borderId="29" xfId="3" applyFont="1" applyBorder="1" applyAlignment="1" applyProtection="1">
      <alignment horizontal="center" vertical="center"/>
    </xf>
    <xf numFmtId="0" fontId="24" fillId="0" borderId="27" xfId="3" applyFont="1" applyBorder="1" applyAlignment="1" applyProtection="1">
      <alignment horizontal="center" vertical="center"/>
    </xf>
    <xf numFmtId="0" fontId="24" fillId="0" borderId="26" xfId="3" applyFont="1" applyBorder="1" applyAlignment="1" applyProtection="1">
      <alignment horizontal="center" vertical="center"/>
    </xf>
    <xf numFmtId="0" fontId="20" fillId="0" borderId="36" xfId="0" applyFont="1" applyBorder="1"/>
    <xf numFmtId="0" fontId="20" fillId="0" borderId="0" xfId="0" applyFont="1"/>
    <xf numFmtId="0" fontId="20" fillId="0" borderId="8" xfId="0" applyFont="1" applyBorder="1"/>
    <xf numFmtId="0" fontId="20" fillId="0" borderId="3" xfId="0" applyFont="1" applyBorder="1"/>
    <xf numFmtId="0" fontId="20" fillId="0" borderId="6" xfId="0" applyFont="1" applyBorder="1"/>
    <xf numFmtId="0" fontId="20" fillId="0" borderId="12" xfId="0" applyFont="1" applyBorder="1"/>
    <xf numFmtId="175" fontId="24" fillId="0" borderId="27" xfId="3" applyNumberFormat="1" applyFont="1" applyBorder="1" applyProtection="1"/>
    <xf numFmtId="49" fontId="38" fillId="0" borderId="0" xfId="3" applyNumberFormat="1" applyFont="1" applyBorder="1" applyAlignment="1" applyProtection="1">
      <alignment horizontal="center"/>
    </xf>
    <xf numFmtId="49" fontId="38" fillId="0" borderId="6" xfId="3" applyNumberFormat="1" applyFont="1" applyBorder="1" applyAlignment="1" applyProtection="1">
      <alignment horizontal="center"/>
    </xf>
    <xf numFmtId="0" fontId="38" fillId="0" borderId="13" xfId="3" applyFont="1" applyBorder="1" applyAlignment="1" applyProtection="1">
      <alignment horizontal="center"/>
    </xf>
    <xf numFmtId="0" fontId="28" fillId="0" borderId="15" xfId="3" applyFont="1" applyBorder="1" applyAlignment="1" applyProtection="1">
      <alignment horizontal="center"/>
    </xf>
    <xf numFmtId="0" fontId="24" fillId="0" borderId="10" xfId="3" applyFont="1" applyBorder="1" applyAlignment="1" applyProtection="1">
      <alignment horizontal="center"/>
    </xf>
    <xf numFmtId="0" fontId="24" fillId="0" borderId="13" xfId="3" applyFont="1" applyBorder="1" applyAlignment="1" applyProtection="1">
      <alignment horizontal="right"/>
    </xf>
    <xf numFmtId="0" fontId="24" fillId="0" borderId="13" xfId="3" applyFont="1" applyBorder="1" applyProtection="1">
      <protection locked="0"/>
    </xf>
    <xf numFmtId="0" fontId="22" fillId="3" borderId="27" xfId="0" applyFont="1" applyFill="1" applyBorder="1"/>
    <xf numFmtId="0" fontId="28" fillId="3" borderId="27" xfId="0" applyNumberFormat="1" applyFont="1" applyFill="1" applyBorder="1"/>
    <xf numFmtId="0" fontId="28" fillId="3" borderId="27" xfId="0" applyNumberFormat="1" applyFont="1" applyFill="1" applyBorder="1" applyAlignment="1">
      <alignment horizontal="center"/>
    </xf>
    <xf numFmtId="2" fontId="28" fillId="3" borderId="29" xfId="0" applyNumberFormat="1" applyFont="1" applyFill="1" applyBorder="1" applyAlignment="1">
      <alignment horizontal="center"/>
    </xf>
    <xf numFmtId="0" fontId="22" fillId="3" borderId="0" xfId="0" applyFont="1" applyFill="1"/>
    <xf numFmtId="0" fontId="22" fillId="0" borderId="27" xfId="0" applyFont="1" applyFill="1" applyBorder="1"/>
    <xf numFmtId="2" fontId="22" fillId="0" borderId="27" xfId="0" applyNumberFormat="1" applyFont="1" applyFill="1" applyBorder="1" applyAlignment="1">
      <alignment horizontal="center" vertical="center"/>
    </xf>
    <xf numFmtId="2" fontId="22" fillId="0" borderId="29" xfId="0" applyNumberFormat="1" applyFont="1" applyFill="1" applyBorder="1"/>
    <xf numFmtId="0" fontId="22" fillId="0" borderId="8" xfId="0" applyFont="1" applyFill="1" applyBorder="1"/>
    <xf numFmtId="0" fontId="25" fillId="3" borderId="27" xfId="0" applyFont="1" applyFill="1" applyBorder="1"/>
    <xf numFmtId="2" fontId="22" fillId="3" borderId="27" xfId="0" applyNumberFormat="1" applyFont="1" applyFill="1" applyBorder="1" applyAlignment="1">
      <alignment horizontal="center" vertical="center"/>
    </xf>
    <xf numFmtId="2" fontId="22" fillId="3" borderId="29" xfId="0" applyNumberFormat="1" applyFont="1" applyFill="1" applyBorder="1" applyAlignment="1">
      <alignment horizontal="center" vertical="center"/>
    </xf>
    <xf numFmtId="166" fontId="22" fillId="3" borderId="12" xfId="0" applyNumberFormat="1" applyFont="1" applyFill="1" applyBorder="1"/>
    <xf numFmtId="0" fontId="22" fillId="0" borderId="36" xfId="0" applyFont="1" applyFill="1" applyBorder="1"/>
    <xf numFmtId="2" fontId="22" fillId="0" borderId="0" xfId="0" applyNumberFormat="1" applyFont="1" applyFill="1"/>
    <xf numFmtId="0" fontId="25" fillId="2" borderId="0" xfId="0" applyFont="1" applyFill="1"/>
    <xf numFmtId="0" fontId="22" fillId="0" borderId="0" xfId="0" applyFont="1"/>
    <xf numFmtId="0" fontId="25" fillId="2" borderId="0" xfId="0" applyFont="1" applyFill="1" applyAlignment="1"/>
    <xf numFmtId="176" fontId="22" fillId="0" borderId="0" xfId="0" applyNumberFormat="1" applyFont="1"/>
    <xf numFmtId="0" fontId="22" fillId="2" borderId="0" xfId="0" applyFont="1" applyFill="1"/>
    <xf numFmtId="173" fontId="22" fillId="2" borderId="0" xfId="0" applyNumberFormat="1" applyFont="1" applyFill="1" applyAlignment="1">
      <alignment horizontal="right" vertical="center"/>
    </xf>
    <xf numFmtId="174" fontId="22" fillId="2" borderId="0" xfId="0" applyNumberFormat="1" applyFont="1" applyFill="1"/>
    <xf numFmtId="0" fontId="39" fillId="4" borderId="34" xfId="3" applyFont="1" applyFill="1" applyBorder="1" applyAlignment="1" applyProtection="1"/>
    <xf numFmtId="0" fontId="40" fillId="0" borderId="35" xfId="3" applyNumberFormat="1" applyFont="1" applyBorder="1" applyAlignment="1" applyProtection="1">
      <alignment wrapText="1" readingOrder="1"/>
    </xf>
    <xf numFmtId="0" fontId="41" fillId="4" borderId="35" xfId="3" applyFont="1" applyFill="1" applyBorder="1" applyAlignment="1" applyProtection="1"/>
    <xf numFmtId="0" fontId="42" fillId="0" borderId="0" xfId="10" applyAlignment="1" applyProtection="1"/>
    <xf numFmtId="0" fontId="28" fillId="0" borderId="24" xfId="3" applyFont="1" applyBorder="1" applyAlignment="1" applyProtection="1">
      <alignment horizontal="center"/>
    </xf>
    <xf numFmtId="0" fontId="28" fillId="0" borderId="25" xfId="3" applyFont="1" applyBorder="1" applyAlignment="1" applyProtection="1">
      <alignment horizontal="center"/>
    </xf>
    <xf numFmtId="0" fontId="28" fillId="0" borderId="26" xfId="3" applyFont="1" applyBorder="1" applyAlignment="1" applyProtection="1">
      <alignment horizontal="center"/>
    </xf>
    <xf numFmtId="0" fontId="20" fillId="0" borderId="24" xfId="0" applyFont="1" applyBorder="1"/>
    <xf numFmtId="0" fontId="20" fillId="0" borderId="25" xfId="0" applyFont="1" applyBorder="1"/>
    <xf numFmtId="0" fontId="20" fillId="0" borderId="26" xfId="0" applyFont="1" applyBorder="1"/>
    <xf numFmtId="0" fontId="20" fillId="0" borderId="0" xfId="0" applyFont="1" applyBorder="1"/>
    <xf numFmtId="0" fontId="20" fillId="0" borderId="19" xfId="0" applyFont="1" applyBorder="1"/>
    <xf numFmtId="0" fontId="20" fillId="0" borderId="13" xfId="0" applyFont="1" applyBorder="1"/>
    <xf numFmtId="0" fontId="20" fillId="0" borderId="17" xfId="0" applyFont="1" applyBorder="1"/>
    <xf numFmtId="0" fontId="24" fillId="0" borderId="24" xfId="3" applyFont="1" applyBorder="1" applyProtection="1"/>
    <xf numFmtId="0" fontId="35" fillId="0" borderId="26" xfId="3" applyFont="1" applyBorder="1" applyAlignment="1" applyProtection="1">
      <alignment horizontal="center"/>
    </xf>
    <xf numFmtId="0" fontId="24" fillId="0" borderId="17" xfId="3" applyFont="1" applyBorder="1" applyProtection="1"/>
    <xf numFmtId="0" fontId="24" fillId="0" borderId="30" xfId="3" applyFont="1" applyBorder="1" applyProtection="1"/>
    <xf numFmtId="171" fontId="28" fillId="0" borderId="26" xfId="7" applyFont="1" applyBorder="1" applyProtection="1"/>
    <xf numFmtId="0" fontId="28" fillId="0" borderId="19" xfId="3" applyFont="1" applyBorder="1" applyAlignment="1" applyProtection="1">
      <alignment horizontal="left"/>
    </xf>
    <xf numFmtId="169" fontId="28" fillId="0" borderId="17" xfId="7" applyNumberFormat="1" applyFont="1" applyBorder="1" applyProtection="1"/>
    <xf numFmtId="0" fontId="28" fillId="0" borderId="37" xfId="3" applyFont="1" applyBorder="1" applyAlignment="1" applyProtection="1">
      <alignment horizontal="left"/>
    </xf>
    <xf numFmtId="172" fontId="28" fillId="0" borderId="38" xfId="3" applyNumberFormat="1" applyFont="1" applyBorder="1" applyProtection="1"/>
    <xf numFmtId="0" fontId="24" fillId="0" borderId="39" xfId="3" applyFont="1" applyBorder="1" applyAlignment="1" applyProtection="1">
      <alignment horizontal="center"/>
    </xf>
    <xf numFmtId="171" fontId="24" fillId="0" borderId="40" xfId="7" applyFont="1" applyBorder="1" applyProtection="1"/>
    <xf numFmtId="0" fontId="28" fillId="0" borderId="13" xfId="3" applyFont="1" applyBorder="1" applyAlignment="1" applyProtection="1">
      <alignment horizontal="center"/>
    </xf>
    <xf numFmtId="172" fontId="28" fillId="0" borderId="17" xfId="3" applyNumberFormat="1" applyFont="1" applyBorder="1" applyProtection="1"/>
    <xf numFmtId="0" fontId="28" fillId="0" borderId="27" xfId="3" applyFont="1" applyBorder="1" applyAlignment="1" applyProtection="1">
      <alignment horizontal="center"/>
    </xf>
    <xf numFmtId="0" fontId="28" fillId="0" borderId="24" xfId="3" applyFont="1" applyBorder="1" applyAlignment="1" applyProtection="1">
      <alignment horizontal="left"/>
    </xf>
    <xf numFmtId="169" fontId="43" fillId="0" borderId="6" xfId="3" applyNumberFormat="1" applyFont="1" applyBorder="1" applyAlignment="1" applyProtection="1">
      <alignment horizontal="left"/>
      <protection locked="0"/>
    </xf>
    <xf numFmtId="0" fontId="5" fillId="8" borderId="5" xfId="0" applyNumberFormat="1" applyFont="1" applyFill="1" applyBorder="1" applyAlignment="1" applyProtection="1">
      <alignment horizontal="center" vertical="center" wrapText="1"/>
    </xf>
    <xf numFmtId="0" fontId="5" fillId="8" borderId="6" xfId="0" applyNumberFormat="1" applyFont="1" applyFill="1" applyBorder="1" applyAlignment="1" applyProtection="1">
      <alignment horizontal="center" vertical="center" wrapText="1"/>
    </xf>
    <xf numFmtId="165" fontId="9" fillId="8" borderId="0" xfId="0" applyNumberFormat="1" applyFont="1" applyFill="1" applyBorder="1" applyAlignment="1" applyProtection="1">
      <alignment horizontal="center" vertical="top"/>
    </xf>
    <xf numFmtId="0" fontId="8" fillId="8" borderId="0" xfId="0" applyNumberFormat="1" applyFont="1" applyFill="1" applyBorder="1" applyAlignment="1" applyProtection="1">
      <alignment horizontal="center" vertical="center"/>
    </xf>
    <xf numFmtId="0" fontId="13" fillId="8" borderId="0" xfId="0" applyNumberFormat="1" applyFont="1" applyFill="1" applyBorder="1" applyAlignment="1" applyProtection="1">
      <alignment horizontal="center" vertical="top"/>
    </xf>
    <xf numFmtId="0" fontId="15" fillId="8" borderId="0" xfId="0" applyNumberFormat="1" applyFont="1" applyFill="1" applyBorder="1" applyAlignment="1" applyProtection="1">
      <alignment horizontal="center" vertical="center" wrapText="1"/>
    </xf>
    <xf numFmtId="0" fontId="15" fillId="8" borderId="0" xfId="0" applyNumberFormat="1" applyFont="1" applyFill="1" applyBorder="1" applyAlignment="1" applyProtection="1">
      <alignment horizontal="center" vertical="center"/>
    </xf>
    <xf numFmtId="0" fontId="17" fillId="8" borderId="0" xfId="0" applyNumberFormat="1" applyFont="1" applyFill="1" applyBorder="1" applyAlignment="1" applyProtection="1">
      <alignment horizontal="center" vertical="top"/>
    </xf>
    <xf numFmtId="0" fontId="12" fillId="8" borderId="0" xfId="0" applyNumberFormat="1" applyFont="1" applyFill="1" applyBorder="1" applyAlignment="1" applyProtection="1">
      <alignment horizontal="center" vertical="top"/>
    </xf>
    <xf numFmtId="0" fontId="5" fillId="8" borderId="4" xfId="0" applyNumberFormat="1" applyFont="1" applyFill="1" applyBorder="1" applyAlignment="1" applyProtection="1">
      <alignment horizontal="center" vertical="center" wrapText="1"/>
    </xf>
    <xf numFmtId="0" fontId="5" fillId="8" borderId="3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16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top"/>
    </xf>
    <xf numFmtId="0" fontId="5" fillId="8" borderId="16" xfId="0" applyNumberFormat="1" applyFont="1" applyFill="1" applyBorder="1" applyAlignment="1" applyProtection="1">
      <alignment horizontal="center" vertical="top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0" fontId="5" fillId="8" borderId="11" xfId="0" applyNumberFormat="1" applyFont="1" applyFill="1" applyBorder="1" applyAlignment="1" applyProtection="1">
      <alignment horizontal="center" vertical="top" wrapText="1"/>
    </xf>
    <xf numFmtId="167" fontId="9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left" vertical="top"/>
    </xf>
    <xf numFmtId="0" fontId="24" fillId="0" borderId="28" xfId="3" applyFont="1" applyBorder="1" applyAlignment="1" applyProtection="1">
      <alignment horizontal="center" textRotation="90"/>
    </xf>
    <xf numFmtId="0" fontId="24" fillId="0" borderId="8" xfId="3" applyFont="1" applyBorder="1" applyAlignment="1" applyProtection="1">
      <alignment horizontal="center" textRotation="90"/>
    </xf>
    <xf numFmtId="170" fontId="24" fillId="0" borderId="0" xfId="3" applyNumberFormat="1" applyFont="1" applyAlignment="1" applyProtection="1">
      <alignment horizontal="center" vertical="top"/>
    </xf>
    <xf numFmtId="0" fontId="36" fillId="0" borderId="2" xfId="3" applyFont="1" applyBorder="1" applyAlignment="1" applyProtection="1">
      <alignment horizontal="center" vertical="center"/>
    </xf>
    <xf numFmtId="0" fontId="36" fillId="0" borderId="20" xfId="3" applyFont="1" applyBorder="1" applyAlignment="1" applyProtection="1">
      <alignment horizontal="center" vertical="center"/>
    </xf>
    <xf numFmtId="0" fontId="36" fillId="0" borderId="21" xfId="3" applyFont="1" applyBorder="1" applyAlignment="1" applyProtection="1">
      <alignment horizontal="center" vertical="center"/>
    </xf>
    <xf numFmtId="0" fontId="28" fillId="0" borderId="14" xfId="3" applyFont="1" applyBorder="1" applyAlignment="1" applyProtection="1">
      <alignment horizontal="center"/>
    </xf>
    <xf numFmtId="0" fontId="28" fillId="0" borderId="18" xfId="3" applyFont="1" applyBorder="1" applyAlignment="1" applyProtection="1">
      <alignment horizontal="center"/>
    </xf>
    <xf numFmtId="0" fontId="28" fillId="0" borderId="16" xfId="3" applyFont="1" applyBorder="1" applyAlignment="1" applyProtection="1">
      <alignment horizontal="center"/>
    </xf>
    <xf numFmtId="0" fontId="24" fillId="0" borderId="0" xfId="3" applyFont="1" applyBorder="1" applyAlignment="1" applyProtection="1">
      <alignment horizontal="left"/>
    </xf>
    <xf numFmtId="0" fontId="24" fillId="0" borderId="6" xfId="3" applyFont="1" applyBorder="1" applyAlignment="1" applyProtection="1">
      <alignment horizontal="left"/>
    </xf>
    <xf numFmtId="0" fontId="35" fillId="0" borderId="2" xfId="3" applyFont="1" applyBorder="1" applyAlignment="1" applyProtection="1">
      <alignment horizontal="center" vertical="center"/>
    </xf>
    <xf numFmtId="0" fontId="35" fillId="0" borderId="20" xfId="3" applyFont="1" applyBorder="1" applyAlignment="1" applyProtection="1">
      <alignment horizontal="center" vertical="center"/>
    </xf>
    <xf numFmtId="0" fontId="35" fillId="0" borderId="21" xfId="3" applyFont="1" applyBorder="1" applyAlignment="1" applyProtection="1">
      <alignment horizontal="center" vertical="center"/>
    </xf>
    <xf numFmtId="49" fontId="24" fillId="0" borderId="0" xfId="3" applyNumberFormat="1" applyFont="1" applyBorder="1" applyAlignment="1" applyProtection="1">
      <alignment horizontal="left"/>
    </xf>
    <xf numFmtId="49" fontId="24" fillId="0" borderId="6" xfId="3" applyNumberFormat="1" applyFont="1" applyBorder="1" applyAlignment="1" applyProtection="1">
      <alignment horizontal="left"/>
    </xf>
    <xf numFmtId="0" fontId="24" fillId="0" borderId="13" xfId="3" applyFont="1" applyBorder="1" applyAlignment="1" applyProtection="1">
      <alignment horizontal="left"/>
    </xf>
    <xf numFmtId="0" fontId="24" fillId="0" borderId="17" xfId="3" applyFont="1" applyBorder="1" applyAlignment="1" applyProtection="1">
      <alignment horizontal="left"/>
    </xf>
    <xf numFmtId="2" fontId="0" fillId="6" borderId="0" xfId="0" applyNumberFormat="1" applyFill="1"/>
    <xf numFmtId="2" fontId="0" fillId="0" borderId="0" xfId="0" applyNumberFormat="1"/>
  </cellXfs>
  <cellStyles count="11">
    <cellStyle name="Euro" xfId="1"/>
    <cellStyle name="Euro 2" xfId="7"/>
    <cellStyle name="Lien hypertexte" xfId="10" builtinId="8"/>
    <cellStyle name="Milliers" xfId="2" builtinId="3"/>
    <cellStyle name="Monétaire 2" xfId="4"/>
    <cellStyle name="Normal" xfId="0" builtinId="0"/>
    <cellStyle name="Normal 2" xfId="3"/>
    <cellStyle name="Normal 2 2" xfId="5"/>
    <cellStyle name="Normal 3" xfId="6"/>
    <cellStyle name="Normal 4" xfId="8"/>
    <cellStyle name="Normal 5" xfId="9"/>
  </cellStyles>
  <dxfs count="7">
    <dxf>
      <font>
        <b/>
        <i val="0"/>
      </font>
      <fill>
        <patternFill>
          <bgColor rgb="FFFFC000"/>
        </patternFill>
      </fill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dotted">
          <color auto="1"/>
        </horizontal>
      </border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dotted">
          <color auto="1"/>
        </vertical>
      </border>
    </dxf>
  </dxfs>
  <tableStyles count="5" defaultTableStyle="TableStyleMedium9" defaultPivotStyle="PivotStyleLight16">
    <tableStyle name="Style de tableau 1" pivot="0" count="1">
      <tableStyleElement type="wholeTable" dxfId="6"/>
    </tableStyle>
    <tableStyle name="Style de tableau 2" pivot="0" count="1">
      <tableStyleElement type="wholeTable" dxfId="5"/>
    </tableStyle>
    <tableStyle name="Style de tableau 3" pivot="0" count="1">
      <tableStyleElement type="wholeTable" dxfId="4"/>
    </tableStyle>
    <tableStyle name="Style de tableau 4" pivot="0" count="1">
      <tableStyleElement type="wholeTable" dxfId="3"/>
    </tableStyle>
    <tableStyle name="Style de tableau croisé dynamique 1" table="0" count="3">
      <tableStyleElement type="wholeTable" dxfId="2"/>
      <tableStyleElement type="firstColumnStripe" dxfId="1"/>
      <tableStyleElement type="pageFieldLabel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AEAEA"/>
      <rgbColor rgb="00993366"/>
      <rgbColor rgb="00E1E1E1"/>
      <rgbColor rgb="00CCFFFF"/>
      <rgbColor rgb="00660066"/>
      <rgbColor rgb="00FF8080"/>
      <rgbColor rgb="000066CC"/>
      <rgbColor rgb="00EAEBAF"/>
      <rgbColor rgb="00F4F3FB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4F3F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E5"/>
      <color rgb="FF990000"/>
      <color rgb="FF5F5F5F"/>
      <color rgb="FF777777"/>
      <color rgb="FF000000"/>
      <color rgb="FFFFFFCC"/>
      <color rgb="FFFFFFF3"/>
      <color rgb="FFFFFFFF"/>
      <color rgb="FF4D4D4D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hyperlink" Target="#Matric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1</xdr:row>
      <xdr:rowOff>0</xdr:rowOff>
    </xdr:from>
    <xdr:to>
      <xdr:col>12</xdr:col>
      <xdr:colOff>444500</xdr:colOff>
      <xdr:row>2</xdr:row>
      <xdr:rowOff>38100</xdr:rowOff>
    </xdr:to>
    <xdr:sp macro="[0]!ouvrir" textlink="">
      <xdr:nvSpPr>
        <xdr:cNvPr id="10" name="Rectangle 9"/>
        <xdr:cNvSpPr/>
      </xdr:nvSpPr>
      <xdr:spPr>
        <a:xfrm>
          <a:off x="13576300" y="571500"/>
          <a:ext cx="1346200" cy="406400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  <xdr:twoCellAnchor>
    <xdr:from>
      <xdr:col>1</xdr:col>
      <xdr:colOff>965200</xdr:colOff>
      <xdr:row>7</xdr:row>
      <xdr:rowOff>88900</xdr:rowOff>
    </xdr:from>
    <xdr:to>
      <xdr:col>11</xdr:col>
      <xdr:colOff>596900</xdr:colOff>
      <xdr:row>50</xdr:row>
      <xdr:rowOff>12700</xdr:rowOff>
    </xdr:to>
    <xdr:sp macro="" textlink="">
      <xdr:nvSpPr>
        <xdr:cNvPr id="15" name="ZoneTexte 14"/>
        <xdr:cNvSpPr txBox="1"/>
      </xdr:nvSpPr>
      <xdr:spPr>
        <a:xfrm>
          <a:off x="1498600" y="2641600"/>
          <a:ext cx="11912600" cy="962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 n'est que la suite du programme sur lequel tu as déjà travaillé et donc tu connais en gros son fonctionnement.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 but est de 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1- pouvoir géré des commande produit via des bons de commande en utilisant la base de produit.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2- maintenir des prix a jour dans la base de produit pour pouvoir s'en servir dans un étude de prix pour être le plus cohérent possible au prix du marché.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3- pouvoir ajuster les différents coef ( ALEA, AGM, FDF ) en temps réel.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4- géré l'étude de prix avec ces sous-détails ( modif , mise a jour 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5- créer de nouvelles prestation "ouvrage" grâce a une étude de prix et des sous-détails et permettre la vente de celle-ci dans un devis.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les bases de données comme tu me les as montrées avec toujours des "ID" dans la première colonne qui ont un sens logique les produit commence toujours par 01.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Les ouvrages commencent par 02. Ainsi de suite et ceux qui appartiennent à la même sous famille utilise le second numéro (Exemple 02.01 est de la même famille que 02. et dé qu'on change de famille, on passe à 03.)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 formulaire en 3 grandes parties.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DEMO 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1) Tu cliques "GO"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2) Tu sélectionnes un fournisseur "MOGAMAT" et un client.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3) Tu as des produits que tu peux modifier ou envoyer dans la liste a coté à laide des différents boutons au-dessus.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4) Tu sélectionnes quelques produits, tu donnes des quantités.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5) Si TVA non perçu, tu rentres « 1 » sinon rien (dans l'indice)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7) Tu enregistres et ça renseigne la BD_BDC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 n'est qu'un commencement, il me faut tes connaissances et tes compétences pour donnée vie a ce programme qui devra se joindre a ton premier programme déjà opérationnel 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Merci</a:t>
          </a:r>
          <a:endParaRPr lang="fr-FR" sz="2000" b="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133350</xdr:rowOff>
    </xdr:to>
    <xdr:sp macro="" textlink="">
      <xdr:nvSpPr>
        <xdr:cNvPr id="9217" name="CB_Efface" hidden="1">
          <a:extLst>
            <a:ext uri="{63B3BB69-23CF-44E3-9099-C40C66FF867C}">
              <a14:compatExt xmlns:a14="http://schemas.microsoft.com/office/drawing/2010/main" spid="_x0000_s9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38100</xdr:colOff>
      <xdr:row>4</xdr:row>
      <xdr:rowOff>0</xdr:rowOff>
    </xdr:from>
    <xdr:to>
      <xdr:col>3</xdr:col>
      <xdr:colOff>390525</xdr:colOff>
      <xdr:row>9</xdr:row>
      <xdr:rowOff>57150</xdr:rowOff>
    </xdr:to>
    <xdr:sp macro="" textlink="">
      <xdr:nvSpPr>
        <xdr:cNvPr id="9218" name="SpinButton1" hidden="1">
          <a:extLst>
            <a:ext uri="{63B3BB69-23CF-44E3-9099-C40C66FF867C}">
              <a14:compatExt xmlns:a14="http://schemas.microsoft.com/office/drawing/2010/main" spid="_x0000_s9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1195952</xdr:colOff>
      <xdr:row>3</xdr:row>
      <xdr:rowOff>111944</xdr:rowOff>
    </xdr:from>
    <xdr:to>
      <xdr:col>4</xdr:col>
      <xdr:colOff>589116</xdr:colOff>
      <xdr:row>7</xdr:row>
      <xdr:rowOff>4586</xdr:rowOff>
    </xdr:to>
    <xdr:sp macro="" textlink="">
      <xdr:nvSpPr>
        <xdr:cNvPr id="14" name="Sourire 9">
          <a:hlinkClick xmlns:r="http://schemas.openxmlformats.org/officeDocument/2006/relationships" r:id="rId1"/>
        </xdr:cNvPr>
        <xdr:cNvSpPr/>
      </xdr:nvSpPr>
      <xdr:spPr>
        <a:xfrm>
          <a:off x="3193129" y="1002992"/>
          <a:ext cx="611955" cy="543005"/>
        </a:xfrm>
        <a:prstGeom prst="smileyFace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127592</xdr:rowOff>
    </xdr:to>
    <xdr:sp macro="" textlink="">
      <xdr:nvSpPr>
        <xdr:cNvPr id="15" name="CB_Efface" hidden="1">
          <a:extLst>
            <a:ext uri="{63B3BB69-23CF-44E3-9099-C40C66FF867C}">
              <a14:compatExt xmlns:a14="http://schemas.microsoft.com/office/drawing/2010/main" spid="_x0000_s5160"/>
            </a:ext>
          </a:extLst>
        </xdr:cNvPr>
        <xdr:cNvSpPr/>
      </xdr:nvSpPr>
      <xdr:spPr bwMode="auto">
        <a:xfrm>
          <a:off x="371475" y="2019300"/>
          <a:ext cx="800100" cy="31809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234132</xdr:colOff>
      <xdr:row>0</xdr:row>
      <xdr:rowOff>143387</xdr:rowOff>
    </xdr:from>
    <xdr:to>
      <xdr:col>2</xdr:col>
      <xdr:colOff>729431</xdr:colOff>
      <xdr:row>3</xdr:row>
      <xdr:rowOff>30726</xdr:rowOff>
    </xdr:to>
    <xdr:pic>
      <xdr:nvPicPr>
        <xdr:cNvPr id="10" name="Image 9" descr="sorec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4132" y="143387"/>
          <a:ext cx="1642396" cy="778387"/>
        </a:xfrm>
        <a:prstGeom prst="rect">
          <a:avLst/>
        </a:prstGeom>
      </xdr:spPr>
    </xdr:pic>
    <xdr:clientData/>
  </xdr:twoCellAnchor>
  <xdr:twoCellAnchor editAs="oneCell">
    <xdr:from>
      <xdr:col>6</xdr:col>
      <xdr:colOff>199571</xdr:colOff>
      <xdr:row>54</xdr:row>
      <xdr:rowOff>157355</xdr:rowOff>
    </xdr:from>
    <xdr:to>
      <xdr:col>7</xdr:col>
      <xdr:colOff>852957</xdr:colOff>
      <xdr:row>60</xdr:row>
      <xdr:rowOff>36098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3571" y="10031605"/>
          <a:ext cx="1748761" cy="8312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6</xdr:col>
          <xdr:colOff>95250</xdr:colOff>
          <xdr:row>3</xdr:row>
          <xdr:rowOff>254000</xdr:rowOff>
        </xdr:to>
        <xdr:sp macro="" textlink="">
          <xdr:nvSpPr>
            <xdr:cNvPr id="8193" name="Bt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mpatrick/Downloads/Ramsapat%20V16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msapat%20V33%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BDsorec/Ramsapat%20V35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Matrice"/>
      <sheetName val="Devis (2)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E3" t="str">
            <v>RAPA00008</v>
          </cell>
        </row>
        <row r="5">
          <cell r="E5" t="str">
            <v>RAMSAMY    PATRICK</v>
          </cell>
        </row>
        <row r="6">
          <cell r="E6" t="str">
            <v>2157 chemin lefaguyes</v>
          </cell>
        </row>
        <row r="7">
          <cell r="E7" t="str">
            <v xml:space="preserve">97400    Saint Denis  </v>
          </cell>
        </row>
        <row r="58">
          <cell r="H58" t="e">
            <v>#REF!</v>
          </cell>
          <cell r="L58" t="e">
            <v>#REF!</v>
          </cell>
          <cell r="M58" t="e">
            <v>#REF!</v>
          </cell>
          <cell r="P58">
            <v>0</v>
          </cell>
        </row>
        <row r="62">
          <cell r="O62">
            <v>0</v>
          </cell>
        </row>
        <row r="63">
          <cell r="P6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F5">
            <v>0.05</v>
          </cell>
          <cell r="H5">
            <v>0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F5">
            <v>0.05</v>
          </cell>
          <cell r="H5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2">
          <cell r="O122" t="e">
            <v>#REF!</v>
          </cell>
        </row>
        <row r="127">
          <cell r="O127" t="e">
            <v>#REF!</v>
          </cell>
        </row>
      </sheetData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wjp974@yahoo.fr" TargetMode="External"/><Relationship Id="rId1" Type="http://schemas.openxmlformats.org/officeDocument/2006/relationships/hyperlink" Target="mailto:wjp974@yahoo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62"/>
  <sheetViews>
    <sheetView showGridLines="0" topLeftCell="B1" workbookViewId="0">
      <selection activeCell="G25" sqref="G25"/>
    </sheetView>
  </sheetViews>
  <sheetFormatPr baseColWidth="10" defaultRowHeight="12.75" x14ac:dyDescent="0.2"/>
  <cols>
    <col min="1" max="15" width="11.42578125" style="209"/>
    <col min="16" max="16" width="11.42578125" style="34"/>
    <col min="17" max="17" width="11.42578125" style="211"/>
    <col min="18" max="16384" width="11.42578125" style="209"/>
  </cols>
  <sheetData>
    <row r="1" spans="1:17" x14ac:dyDescent="0.2">
      <c r="A1" s="208" t="s">
        <v>289</v>
      </c>
      <c r="B1" s="208" t="s">
        <v>290</v>
      </c>
      <c r="C1" s="209" t="s">
        <v>689</v>
      </c>
      <c r="D1" s="209" t="s">
        <v>459</v>
      </c>
      <c r="H1" s="209" t="s">
        <v>461</v>
      </c>
      <c r="I1" s="209" t="s">
        <v>399</v>
      </c>
      <c r="J1" s="208" t="s">
        <v>296</v>
      </c>
      <c r="K1" s="209" t="s">
        <v>400</v>
      </c>
      <c r="L1" s="210" t="s">
        <v>398</v>
      </c>
      <c r="M1" s="210"/>
      <c r="O1" s="209" t="s">
        <v>706</v>
      </c>
    </row>
    <row r="2" spans="1:17" x14ac:dyDescent="0.2">
      <c r="A2" s="212">
        <v>97400</v>
      </c>
      <c r="B2" s="212" t="s">
        <v>251</v>
      </c>
      <c r="C2" s="209">
        <v>1</v>
      </c>
      <c r="D2" s="209" t="s">
        <v>456</v>
      </c>
      <c r="E2" s="209" t="s">
        <v>466</v>
      </c>
      <c r="G2" s="212" t="s">
        <v>475</v>
      </c>
      <c r="H2" s="209">
        <v>0</v>
      </c>
      <c r="I2" s="209">
        <v>0</v>
      </c>
      <c r="J2" s="213" t="s">
        <v>489</v>
      </c>
      <c r="K2" s="209">
        <v>0</v>
      </c>
      <c r="L2" s="213">
        <v>1</v>
      </c>
      <c r="M2" s="214">
        <v>0.2</v>
      </c>
      <c r="O2" s="208" t="s">
        <v>390</v>
      </c>
      <c r="P2" s="212" t="s">
        <v>248</v>
      </c>
      <c r="Q2" s="209" t="s">
        <v>728</v>
      </c>
    </row>
    <row r="3" spans="1:17" x14ac:dyDescent="0.2">
      <c r="A3" s="212">
        <v>97410</v>
      </c>
      <c r="B3" s="212" t="s">
        <v>252</v>
      </c>
      <c r="C3" s="209">
        <v>1.1499999999999999</v>
      </c>
      <c r="D3" s="209" t="s">
        <v>457</v>
      </c>
      <c r="E3" s="209" t="s">
        <v>467</v>
      </c>
      <c r="G3" s="212" t="s">
        <v>476</v>
      </c>
      <c r="H3" s="209">
        <v>1</v>
      </c>
      <c r="I3" s="209">
        <v>93</v>
      </c>
      <c r="J3" s="213" t="s">
        <v>488</v>
      </c>
      <c r="K3" s="209">
        <v>107</v>
      </c>
      <c r="L3" s="213">
        <v>2</v>
      </c>
      <c r="M3" s="214">
        <v>0.4</v>
      </c>
      <c r="O3" s="208" t="s">
        <v>391</v>
      </c>
      <c r="P3" s="212" t="s">
        <v>149</v>
      </c>
      <c r="Q3" s="209" t="s">
        <v>729</v>
      </c>
    </row>
    <row r="4" spans="1:17" x14ac:dyDescent="0.2">
      <c r="A4" s="212">
        <v>97411</v>
      </c>
      <c r="B4" s="212" t="s">
        <v>253</v>
      </c>
      <c r="C4" s="209">
        <v>1.1599999999999999</v>
      </c>
      <c r="D4" s="209" t="s">
        <v>458</v>
      </c>
      <c r="E4" s="209" t="s">
        <v>468</v>
      </c>
      <c r="G4" s="212" t="s">
        <v>477</v>
      </c>
      <c r="J4" s="213" t="s">
        <v>490</v>
      </c>
      <c r="L4" s="213">
        <v>3</v>
      </c>
      <c r="M4" s="214">
        <v>0.2</v>
      </c>
      <c r="O4" s="208" t="s">
        <v>392</v>
      </c>
      <c r="P4" s="212" t="s">
        <v>239</v>
      </c>
      <c r="Q4" s="209" t="s">
        <v>731</v>
      </c>
    </row>
    <row r="5" spans="1:17" x14ac:dyDescent="0.2">
      <c r="A5" s="212">
        <v>97412</v>
      </c>
      <c r="B5" s="212" t="s">
        <v>254</v>
      </c>
      <c r="C5" s="209">
        <v>1.17</v>
      </c>
      <c r="D5" s="209" t="s">
        <v>460</v>
      </c>
      <c r="E5" s="209" t="s">
        <v>469</v>
      </c>
      <c r="G5" s="212" t="s">
        <v>478</v>
      </c>
      <c r="J5" s="213" t="s">
        <v>491</v>
      </c>
      <c r="L5" s="213">
        <v>4</v>
      </c>
      <c r="M5" s="214">
        <v>0.15</v>
      </c>
      <c r="O5" s="208" t="s">
        <v>393</v>
      </c>
      <c r="P5" s="212" t="s">
        <v>239</v>
      </c>
      <c r="Q5" s="209" t="s">
        <v>731</v>
      </c>
    </row>
    <row r="6" spans="1:17" x14ac:dyDescent="0.2">
      <c r="A6" s="212">
        <v>97413</v>
      </c>
      <c r="B6" s="212" t="s">
        <v>255</v>
      </c>
      <c r="C6" s="209">
        <v>1.17</v>
      </c>
      <c r="G6" s="212" t="s">
        <v>479</v>
      </c>
      <c r="J6" s="213" t="s">
        <v>492</v>
      </c>
      <c r="L6" s="213">
        <v>5</v>
      </c>
      <c r="M6" s="214">
        <v>0.05</v>
      </c>
      <c r="O6" s="208" t="s">
        <v>396</v>
      </c>
      <c r="P6" s="212" t="s">
        <v>246</v>
      </c>
      <c r="Q6" s="209" t="s">
        <v>730</v>
      </c>
    </row>
    <row r="7" spans="1:17" x14ac:dyDescent="0.2">
      <c r="A7" s="212">
        <v>97414</v>
      </c>
      <c r="B7" s="212" t="s">
        <v>256</v>
      </c>
      <c r="C7" s="209">
        <v>1.18</v>
      </c>
      <c r="G7" s="212" t="s">
        <v>480</v>
      </c>
      <c r="J7" s="213" t="s">
        <v>493</v>
      </c>
      <c r="O7" s="208" t="s">
        <v>384</v>
      </c>
      <c r="P7" s="212" t="s">
        <v>240</v>
      </c>
      <c r="Q7" s="209" t="s">
        <v>732</v>
      </c>
    </row>
    <row r="8" spans="1:17" x14ac:dyDescent="0.2">
      <c r="A8" s="212">
        <v>97416</v>
      </c>
      <c r="B8" s="212" t="s">
        <v>257</v>
      </c>
      <c r="C8" s="209">
        <v>1.19</v>
      </c>
      <c r="G8" s="212" t="s">
        <v>481</v>
      </c>
      <c r="J8" s="213" t="s">
        <v>494</v>
      </c>
      <c r="O8" s="208" t="s">
        <v>397</v>
      </c>
      <c r="P8" s="212" t="s">
        <v>243</v>
      </c>
      <c r="Q8" s="209" t="s">
        <v>733</v>
      </c>
    </row>
    <row r="9" spans="1:17" x14ac:dyDescent="0.2">
      <c r="A9" s="212">
        <v>97417</v>
      </c>
      <c r="B9" s="212" t="s">
        <v>258</v>
      </c>
      <c r="C9" s="209">
        <v>1.2</v>
      </c>
      <c r="G9" s="212" t="s">
        <v>482</v>
      </c>
      <c r="J9" s="213" t="s">
        <v>495</v>
      </c>
      <c r="O9" s="208" t="s">
        <v>394</v>
      </c>
      <c r="P9" s="212" t="s">
        <v>244</v>
      </c>
      <c r="Q9" s="209" t="s">
        <v>734</v>
      </c>
    </row>
    <row r="10" spans="1:17" x14ac:dyDescent="0.2">
      <c r="A10" s="212"/>
      <c r="B10" s="212" t="s">
        <v>259</v>
      </c>
      <c r="C10" s="209">
        <v>1.21</v>
      </c>
      <c r="G10" s="212" t="s">
        <v>483</v>
      </c>
      <c r="J10" s="213" t="s">
        <v>496</v>
      </c>
      <c r="O10" s="208" t="s">
        <v>395</v>
      </c>
      <c r="P10" s="212" t="s">
        <v>245</v>
      </c>
      <c r="Q10" s="209" t="s">
        <v>735</v>
      </c>
    </row>
    <row r="11" spans="1:17" x14ac:dyDescent="0.2">
      <c r="A11" s="212">
        <v>97419</v>
      </c>
      <c r="B11" s="212" t="s">
        <v>260</v>
      </c>
      <c r="C11" s="209">
        <v>1.22</v>
      </c>
      <c r="G11" s="212" t="s">
        <v>484</v>
      </c>
      <c r="J11" s="213" t="s">
        <v>497</v>
      </c>
      <c r="P11" s="212" t="s">
        <v>304</v>
      </c>
      <c r="Q11" s="209" t="s">
        <v>736</v>
      </c>
    </row>
    <row r="12" spans="1:17" x14ac:dyDescent="0.2">
      <c r="A12" s="212">
        <v>97420</v>
      </c>
      <c r="B12" s="212" t="s">
        <v>261</v>
      </c>
      <c r="C12" s="209">
        <v>1.23</v>
      </c>
      <c r="G12" s="212" t="s">
        <v>485</v>
      </c>
      <c r="J12" s="213" t="s">
        <v>498</v>
      </c>
      <c r="P12" s="212" t="s">
        <v>349</v>
      </c>
      <c r="Q12" s="209" t="s">
        <v>737</v>
      </c>
    </row>
    <row r="13" spans="1:17" x14ac:dyDescent="0.2">
      <c r="A13" s="212">
        <v>97421</v>
      </c>
      <c r="B13" s="212" t="s">
        <v>262</v>
      </c>
      <c r="C13" s="72">
        <v>1.24</v>
      </c>
      <c r="G13" s="212" t="s">
        <v>486</v>
      </c>
      <c r="J13" s="213" t="s">
        <v>499</v>
      </c>
      <c r="P13" s="212" t="s">
        <v>348</v>
      </c>
      <c r="Q13" s="209" t="s">
        <v>738</v>
      </c>
    </row>
    <row r="14" spans="1:17" x14ac:dyDescent="0.2">
      <c r="A14" s="212">
        <v>97422</v>
      </c>
      <c r="B14" s="212" t="s">
        <v>263</v>
      </c>
      <c r="C14" s="72">
        <v>1.25</v>
      </c>
      <c r="F14" s="212"/>
      <c r="G14" s="212"/>
    </row>
    <row r="15" spans="1:17" x14ac:dyDescent="0.2">
      <c r="A15" s="212">
        <v>97423</v>
      </c>
      <c r="B15" s="212" t="s">
        <v>264</v>
      </c>
      <c r="C15" s="209">
        <v>1.26</v>
      </c>
    </row>
    <row r="16" spans="1:17" x14ac:dyDescent="0.2">
      <c r="A16" s="212">
        <v>97424</v>
      </c>
      <c r="B16" s="212" t="s">
        <v>265</v>
      </c>
      <c r="C16" s="72">
        <v>1.27</v>
      </c>
    </row>
    <row r="17" spans="1:11" ht="17.25" customHeight="1" x14ac:dyDescent="0.2">
      <c r="A17" s="212">
        <v>97425</v>
      </c>
      <c r="B17" s="212" t="s">
        <v>266</v>
      </c>
      <c r="C17" s="72">
        <v>1.28</v>
      </c>
    </row>
    <row r="18" spans="1:11" x14ac:dyDescent="0.2">
      <c r="A18" s="212">
        <v>97426</v>
      </c>
      <c r="B18" s="212" t="s">
        <v>267</v>
      </c>
      <c r="C18" s="209">
        <v>1.29</v>
      </c>
      <c r="K18" s="215" t="s">
        <v>291</v>
      </c>
    </row>
    <row r="19" spans="1:11" x14ac:dyDescent="0.2">
      <c r="A19" s="212">
        <v>97427</v>
      </c>
      <c r="B19" s="212" t="s">
        <v>268</v>
      </c>
      <c r="C19" s="72">
        <v>1.3</v>
      </c>
      <c r="K19" s="216" t="s">
        <v>350</v>
      </c>
    </row>
    <row r="20" spans="1:11" x14ac:dyDescent="0.2">
      <c r="A20" s="212">
        <v>97428</v>
      </c>
      <c r="B20" s="212" t="s">
        <v>269</v>
      </c>
      <c r="C20" s="209">
        <v>1.31</v>
      </c>
      <c r="K20" s="217" t="s">
        <v>82</v>
      </c>
    </row>
    <row r="21" spans="1:11" x14ac:dyDescent="0.2">
      <c r="A21" s="212">
        <v>97429</v>
      </c>
      <c r="B21" s="212" t="s">
        <v>270</v>
      </c>
      <c r="C21" s="72">
        <v>1.32</v>
      </c>
      <c r="K21" s="217" t="s">
        <v>293</v>
      </c>
    </row>
    <row r="22" spans="1:11" x14ac:dyDescent="0.2">
      <c r="A22" s="212">
        <v>97430</v>
      </c>
      <c r="B22" s="212" t="s">
        <v>271</v>
      </c>
      <c r="C22" s="209">
        <v>1.33</v>
      </c>
      <c r="K22" s="217" t="s">
        <v>292</v>
      </c>
    </row>
    <row r="23" spans="1:11" x14ac:dyDescent="0.2">
      <c r="A23" s="212">
        <v>97431</v>
      </c>
      <c r="B23" s="212" t="s">
        <v>272</v>
      </c>
      <c r="C23" s="72">
        <v>1.34</v>
      </c>
      <c r="K23" s="217" t="s">
        <v>295</v>
      </c>
    </row>
    <row r="24" spans="1:11" x14ac:dyDescent="0.2">
      <c r="A24" s="212">
        <v>97432</v>
      </c>
      <c r="B24" s="212" t="s">
        <v>273</v>
      </c>
      <c r="C24" s="209">
        <v>1.35</v>
      </c>
      <c r="K24" s="217" t="s">
        <v>294</v>
      </c>
    </row>
    <row r="25" spans="1:11" x14ac:dyDescent="0.2">
      <c r="A25" s="212">
        <v>97433</v>
      </c>
      <c r="B25" s="212" t="s">
        <v>274</v>
      </c>
      <c r="C25" s="72">
        <v>1.36</v>
      </c>
      <c r="K25" s="217" t="s">
        <v>714</v>
      </c>
    </row>
    <row r="26" spans="1:11" x14ac:dyDescent="0.2">
      <c r="A26" s="212">
        <v>97434</v>
      </c>
      <c r="B26" s="212" t="s">
        <v>275</v>
      </c>
      <c r="C26" s="209">
        <v>1.37</v>
      </c>
      <c r="K26" s="217" t="s">
        <v>713</v>
      </c>
    </row>
    <row r="27" spans="1:11" x14ac:dyDescent="0.2">
      <c r="A27" s="212">
        <v>97435</v>
      </c>
      <c r="B27" s="212" t="s">
        <v>276</v>
      </c>
      <c r="C27" s="72">
        <v>1.38</v>
      </c>
    </row>
    <row r="28" spans="1:11" x14ac:dyDescent="0.2">
      <c r="A28" s="212">
        <v>97436</v>
      </c>
      <c r="B28" s="212" t="s">
        <v>277</v>
      </c>
      <c r="C28" s="209">
        <v>1.39</v>
      </c>
    </row>
    <row r="29" spans="1:11" x14ac:dyDescent="0.2">
      <c r="A29" s="212">
        <v>97437</v>
      </c>
      <c r="B29" s="212" t="s">
        <v>278</v>
      </c>
      <c r="C29" s="72">
        <v>1.4</v>
      </c>
    </row>
    <row r="30" spans="1:11" x14ac:dyDescent="0.2">
      <c r="A30" s="212">
        <v>97438</v>
      </c>
      <c r="B30" s="212" t="s">
        <v>279</v>
      </c>
      <c r="C30" s="209">
        <v>1.41</v>
      </c>
    </row>
    <row r="31" spans="1:11" x14ac:dyDescent="0.2">
      <c r="A31" s="212">
        <v>97439</v>
      </c>
      <c r="B31" s="212" t="s">
        <v>280</v>
      </c>
      <c r="C31" s="209">
        <v>1.42</v>
      </c>
    </row>
    <row r="32" spans="1:11" x14ac:dyDescent="0.2">
      <c r="A32" s="212">
        <v>97440</v>
      </c>
      <c r="B32" s="212" t="s">
        <v>281</v>
      </c>
      <c r="C32" s="72">
        <v>1.43</v>
      </c>
    </row>
    <row r="33" spans="1:3" x14ac:dyDescent="0.2">
      <c r="A33" s="212">
        <v>97441</v>
      </c>
      <c r="B33" s="212" t="s">
        <v>282</v>
      </c>
      <c r="C33" s="209">
        <v>1.44</v>
      </c>
    </row>
    <row r="34" spans="1:3" x14ac:dyDescent="0.2">
      <c r="A34" s="212">
        <v>97442</v>
      </c>
      <c r="B34" s="212" t="s">
        <v>283</v>
      </c>
      <c r="C34" s="72">
        <v>1.45</v>
      </c>
    </row>
    <row r="35" spans="1:3" x14ac:dyDescent="0.2">
      <c r="A35" s="212">
        <v>97450</v>
      </c>
      <c r="B35" s="212" t="s">
        <v>284</v>
      </c>
      <c r="C35" s="209">
        <v>1.46</v>
      </c>
    </row>
    <row r="36" spans="1:3" x14ac:dyDescent="0.2">
      <c r="A36" s="212">
        <v>97460</v>
      </c>
      <c r="B36" s="212" t="s">
        <v>285</v>
      </c>
      <c r="C36" s="209">
        <v>1.47</v>
      </c>
    </row>
    <row r="37" spans="1:3" x14ac:dyDescent="0.2">
      <c r="A37" s="212">
        <v>97470</v>
      </c>
      <c r="B37" s="212" t="s">
        <v>286</v>
      </c>
      <c r="C37" s="72">
        <v>1.48</v>
      </c>
    </row>
    <row r="38" spans="1:3" x14ac:dyDescent="0.2">
      <c r="A38" s="212">
        <v>97480</v>
      </c>
      <c r="B38" s="212" t="s">
        <v>287</v>
      </c>
      <c r="C38" s="209">
        <v>1.49</v>
      </c>
    </row>
    <row r="39" spans="1:3" x14ac:dyDescent="0.2">
      <c r="A39" s="212">
        <v>97490</v>
      </c>
      <c r="B39" s="212" t="s">
        <v>288</v>
      </c>
      <c r="C39" s="209">
        <v>1.5</v>
      </c>
    </row>
    <row r="40" spans="1:3" x14ac:dyDescent="0.2">
      <c r="A40" s="212"/>
      <c r="B40" s="212"/>
      <c r="C40" s="72">
        <v>1.51</v>
      </c>
    </row>
    <row r="41" spans="1:3" x14ac:dyDescent="0.2">
      <c r="A41" s="212"/>
      <c r="B41" s="212"/>
      <c r="C41" s="209">
        <v>1.52</v>
      </c>
    </row>
    <row r="42" spans="1:3" x14ac:dyDescent="0.2">
      <c r="A42" s="212"/>
      <c r="B42" s="212"/>
      <c r="C42" s="209">
        <v>1.53</v>
      </c>
    </row>
    <row r="43" spans="1:3" x14ac:dyDescent="0.2">
      <c r="A43" s="212"/>
      <c r="B43" s="212"/>
      <c r="C43" s="72">
        <v>1.54</v>
      </c>
    </row>
    <row r="44" spans="1:3" x14ac:dyDescent="0.2">
      <c r="C44" s="209">
        <v>1.55</v>
      </c>
    </row>
    <row r="45" spans="1:3" x14ac:dyDescent="0.2">
      <c r="C45" s="72">
        <v>1.56</v>
      </c>
    </row>
    <row r="46" spans="1:3" x14ac:dyDescent="0.2">
      <c r="C46" s="209">
        <v>1.57</v>
      </c>
    </row>
    <row r="47" spans="1:3" x14ac:dyDescent="0.2">
      <c r="C47" s="72">
        <v>1.58</v>
      </c>
    </row>
    <row r="48" spans="1:3" x14ac:dyDescent="0.2">
      <c r="C48" s="209">
        <v>1.59</v>
      </c>
    </row>
    <row r="49" spans="3:3" x14ac:dyDescent="0.2">
      <c r="C49" s="72">
        <v>1.6</v>
      </c>
    </row>
    <row r="50" spans="3:3" x14ac:dyDescent="0.2">
      <c r="C50" s="209">
        <v>1.61</v>
      </c>
    </row>
    <row r="51" spans="3:3" x14ac:dyDescent="0.2">
      <c r="C51" s="72">
        <v>1.62</v>
      </c>
    </row>
    <row r="52" spans="3:3" x14ac:dyDescent="0.2">
      <c r="C52" s="209">
        <v>1.63</v>
      </c>
    </row>
    <row r="53" spans="3:3" x14ac:dyDescent="0.2">
      <c r="C53" s="72">
        <v>1.64</v>
      </c>
    </row>
    <row r="54" spans="3:3" x14ac:dyDescent="0.2">
      <c r="C54" s="209">
        <v>1.65</v>
      </c>
    </row>
    <row r="55" spans="3:3" x14ac:dyDescent="0.2">
      <c r="C55" s="72">
        <v>1.66</v>
      </c>
    </row>
    <row r="56" spans="3:3" x14ac:dyDescent="0.2">
      <c r="C56" s="209">
        <v>1.67</v>
      </c>
    </row>
    <row r="57" spans="3:3" x14ac:dyDescent="0.2">
      <c r="C57" s="72">
        <v>1.68</v>
      </c>
    </row>
    <row r="58" spans="3:3" x14ac:dyDescent="0.2">
      <c r="C58" s="209">
        <v>1.69</v>
      </c>
    </row>
    <row r="59" spans="3:3" x14ac:dyDescent="0.2">
      <c r="C59" s="209">
        <v>1.7</v>
      </c>
    </row>
    <row r="60" spans="3:3" x14ac:dyDescent="0.2">
      <c r="C60" s="72"/>
    </row>
    <row r="62" spans="3:3" x14ac:dyDescent="0.2">
      <c r="C62" s="72"/>
    </row>
  </sheetData>
  <pageMargins left="0.7" right="0.7" top="0.75" bottom="0.75" header="0.3" footer="0.3"/>
  <pageSetup paperSiz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"/>
  <sheetViews>
    <sheetView zoomScaleNormal="100" workbookViewId="0">
      <pane ySplit="1" topLeftCell="A2" activePane="bottomLeft" state="frozen"/>
      <selection pane="bottomLeft" activeCell="H1" sqref="H1"/>
    </sheetView>
  </sheetViews>
  <sheetFormatPr baseColWidth="10" defaultRowHeight="12.75" x14ac:dyDescent="0.2"/>
  <cols>
    <col min="1" max="4" width="11.7109375" style="72" customWidth="1"/>
    <col min="5" max="5" width="9.5703125" style="77" customWidth="1"/>
    <col min="6" max="6" width="14.85546875" style="72" customWidth="1"/>
    <col min="7" max="10" width="11.7109375" style="72" customWidth="1"/>
    <col min="11" max="11" width="8.7109375" style="72" customWidth="1"/>
    <col min="12" max="12" width="6.7109375" style="72" customWidth="1"/>
    <col min="13" max="15" width="11.7109375" style="72" customWidth="1"/>
    <col min="16" max="19" width="11.42578125" style="72"/>
    <col min="20" max="20" width="5.28515625" style="72" customWidth="1"/>
    <col min="21" max="16384" width="11.42578125" style="72"/>
  </cols>
  <sheetData>
    <row r="1" spans="1:17" s="65" customFormat="1" x14ac:dyDescent="0.2">
      <c r="A1" s="62" t="s">
        <v>691</v>
      </c>
      <c r="B1" s="63" t="s">
        <v>297</v>
      </c>
      <c r="C1" s="63" t="s">
        <v>298</v>
      </c>
      <c r="D1" s="63" t="s">
        <v>692</v>
      </c>
      <c r="E1" s="63" t="s">
        <v>300</v>
      </c>
      <c r="F1" s="63" t="s">
        <v>299</v>
      </c>
      <c r="G1" s="63" t="s">
        <v>693</v>
      </c>
      <c r="H1" s="63" t="s">
        <v>694</v>
      </c>
      <c r="I1" s="63" t="s">
        <v>385</v>
      </c>
      <c r="J1" s="63" t="s">
        <v>386</v>
      </c>
      <c r="K1" s="63" t="s">
        <v>387</v>
      </c>
      <c r="L1" s="63" t="s">
        <v>301</v>
      </c>
      <c r="M1" s="63" t="s">
        <v>302</v>
      </c>
      <c r="N1" s="63" t="s">
        <v>388</v>
      </c>
      <c r="O1" s="63" t="s">
        <v>695</v>
      </c>
      <c r="P1" s="64" t="s">
        <v>389</v>
      </c>
      <c r="Q1" s="63" t="s">
        <v>696</v>
      </c>
    </row>
    <row r="2" spans="1:17" x14ac:dyDescent="0.2">
      <c r="A2" s="66" t="s">
        <v>697</v>
      </c>
      <c r="B2" s="67" t="s">
        <v>401</v>
      </c>
      <c r="C2" s="67" t="s">
        <v>698</v>
      </c>
      <c r="D2" s="67" t="s">
        <v>402</v>
      </c>
      <c r="E2" s="68">
        <v>97400</v>
      </c>
      <c r="F2" s="67" t="s">
        <v>251</v>
      </c>
      <c r="G2" s="67" t="s">
        <v>699</v>
      </c>
      <c r="H2" s="67" t="s">
        <v>251</v>
      </c>
      <c r="I2" s="67">
        <v>693826382</v>
      </c>
      <c r="J2" s="67" t="s">
        <v>700</v>
      </c>
      <c r="K2" s="67" t="s">
        <v>701</v>
      </c>
      <c r="L2" s="67">
        <v>540</v>
      </c>
      <c r="M2" s="67" t="s">
        <v>702</v>
      </c>
      <c r="N2" s="69">
        <v>42907</v>
      </c>
      <c r="O2" s="67" t="s">
        <v>390</v>
      </c>
      <c r="P2" s="70" t="s">
        <v>703</v>
      </c>
      <c r="Q2" s="71">
        <v>43334</v>
      </c>
    </row>
    <row r="3" spans="1:17" x14ac:dyDescent="0.2">
      <c r="A3" s="73" t="s">
        <v>704</v>
      </c>
      <c r="B3" s="74" t="s">
        <v>403</v>
      </c>
      <c r="C3" s="67" t="s">
        <v>404</v>
      </c>
      <c r="D3" s="67" t="s">
        <v>423</v>
      </c>
      <c r="E3" s="68">
        <v>97460</v>
      </c>
      <c r="F3" s="67" t="s">
        <v>285</v>
      </c>
      <c r="G3" s="67" t="s">
        <v>705</v>
      </c>
      <c r="H3" s="67" t="s">
        <v>253</v>
      </c>
      <c r="I3" s="67">
        <v>692589547</v>
      </c>
      <c r="J3" s="67" t="s">
        <v>405</v>
      </c>
      <c r="K3" s="67" t="s">
        <v>406</v>
      </c>
      <c r="L3" s="67">
        <v>400</v>
      </c>
      <c r="M3" s="67" t="s">
        <v>422</v>
      </c>
      <c r="N3" s="69">
        <v>42542</v>
      </c>
      <c r="O3" s="67" t="s">
        <v>396</v>
      </c>
      <c r="P3" s="70"/>
      <c r="Q3" s="71">
        <v>43335</v>
      </c>
    </row>
    <row r="4" spans="1:17" x14ac:dyDescent="0.2">
      <c r="A4" s="73" t="s">
        <v>421</v>
      </c>
      <c r="B4" s="67" t="s">
        <v>407</v>
      </c>
      <c r="C4" s="67" t="s">
        <v>408</v>
      </c>
      <c r="D4" s="67" t="s">
        <v>402</v>
      </c>
      <c r="E4" s="68">
        <v>97440</v>
      </c>
      <c r="F4" s="67" t="s">
        <v>281</v>
      </c>
      <c r="G4" s="67" t="s">
        <v>410</v>
      </c>
      <c r="H4" s="67" t="s">
        <v>411</v>
      </c>
      <c r="I4" s="68">
        <v>692156074</v>
      </c>
      <c r="J4" s="67" t="s">
        <v>409</v>
      </c>
      <c r="K4" s="67" t="s">
        <v>413</v>
      </c>
      <c r="L4" s="68">
        <v>500</v>
      </c>
      <c r="M4" s="67" t="s">
        <v>412</v>
      </c>
      <c r="N4" s="69">
        <v>43141</v>
      </c>
      <c r="O4" s="67" t="s">
        <v>393</v>
      </c>
      <c r="P4" s="70" t="s">
        <v>247</v>
      </c>
      <c r="Q4" s="71">
        <v>43336</v>
      </c>
    </row>
    <row r="5" spans="1:17" x14ac:dyDescent="0.2">
      <c r="A5" s="73" t="s">
        <v>454</v>
      </c>
      <c r="B5" s="67" t="s">
        <v>415</v>
      </c>
      <c r="C5" s="67" t="s">
        <v>416</v>
      </c>
      <c r="D5" s="67" t="s">
        <v>414</v>
      </c>
      <c r="E5" s="68">
        <v>97450</v>
      </c>
      <c r="F5" s="67" t="s">
        <v>284</v>
      </c>
      <c r="G5" s="67" t="s">
        <v>418</v>
      </c>
      <c r="H5" s="67" t="s">
        <v>278</v>
      </c>
      <c r="I5" s="68">
        <v>692727287</v>
      </c>
      <c r="J5" s="67" t="s">
        <v>417</v>
      </c>
      <c r="K5" s="67" t="s">
        <v>419</v>
      </c>
      <c r="L5" s="67">
        <v>600</v>
      </c>
      <c r="M5" s="67" t="s">
        <v>420</v>
      </c>
      <c r="N5" s="69">
        <v>41812</v>
      </c>
      <c r="O5" s="67" t="s">
        <v>396</v>
      </c>
      <c r="P5" s="70" t="s">
        <v>247</v>
      </c>
      <c r="Q5" s="71">
        <v>43337</v>
      </c>
    </row>
    <row r="6" spans="1:17" x14ac:dyDescent="0.2">
      <c r="A6" s="73" t="s">
        <v>452</v>
      </c>
      <c r="B6" s="67" t="s">
        <v>424</v>
      </c>
      <c r="C6" s="67" t="s">
        <v>425</v>
      </c>
      <c r="D6" s="67" t="s">
        <v>426</v>
      </c>
      <c r="E6" s="68">
        <v>97450</v>
      </c>
      <c r="F6" s="67" t="s">
        <v>284</v>
      </c>
      <c r="G6" s="67" t="s">
        <v>428</v>
      </c>
      <c r="H6" s="67" t="s">
        <v>285</v>
      </c>
      <c r="I6" s="67">
        <v>693584612</v>
      </c>
      <c r="J6" s="67" t="s">
        <v>427</v>
      </c>
      <c r="K6" s="67" t="s">
        <v>429</v>
      </c>
      <c r="L6" s="67">
        <v>600</v>
      </c>
      <c r="M6" s="67" t="s">
        <v>430</v>
      </c>
      <c r="N6" s="69">
        <v>42492</v>
      </c>
      <c r="O6" s="67" t="s">
        <v>392</v>
      </c>
      <c r="P6" s="70"/>
      <c r="Q6" s="71">
        <v>43338</v>
      </c>
    </row>
    <row r="7" spans="1:17" x14ac:dyDescent="0.2">
      <c r="A7" s="73" t="s">
        <v>444</v>
      </c>
      <c r="B7" s="67" t="s">
        <v>401</v>
      </c>
      <c r="C7" s="67" t="s">
        <v>431</v>
      </c>
      <c r="D7" s="67" t="s">
        <v>432</v>
      </c>
      <c r="E7" s="68">
        <v>97440</v>
      </c>
      <c r="F7" s="67" t="s">
        <v>281</v>
      </c>
      <c r="G7" s="67" t="s">
        <v>434</v>
      </c>
      <c r="H7" s="67" t="s">
        <v>275</v>
      </c>
      <c r="I7" s="68">
        <v>692747641</v>
      </c>
      <c r="J7" s="67" t="s">
        <v>433</v>
      </c>
      <c r="K7" s="74" t="s">
        <v>435</v>
      </c>
      <c r="L7" s="74">
        <v>650</v>
      </c>
      <c r="M7" s="67" t="s">
        <v>436</v>
      </c>
      <c r="N7" s="69">
        <v>43079</v>
      </c>
      <c r="O7" s="67" t="s">
        <v>392</v>
      </c>
      <c r="P7" s="70" t="s">
        <v>465</v>
      </c>
      <c r="Q7" s="71">
        <v>43339</v>
      </c>
    </row>
    <row r="8" spans="1:17" x14ac:dyDescent="0.2">
      <c r="A8" s="73" t="s">
        <v>443</v>
      </c>
      <c r="B8" s="67" t="s">
        <v>437</v>
      </c>
      <c r="C8" s="67" t="s">
        <v>438</v>
      </c>
      <c r="D8" s="67" t="s">
        <v>439</v>
      </c>
      <c r="E8" s="68">
        <v>97440</v>
      </c>
      <c r="F8" s="67" t="s">
        <v>281</v>
      </c>
      <c r="G8" s="67" t="s">
        <v>440</v>
      </c>
      <c r="H8" s="67" t="s">
        <v>281</v>
      </c>
      <c r="I8" s="68">
        <v>692727283</v>
      </c>
      <c r="J8" s="67" t="s">
        <v>442</v>
      </c>
      <c r="K8" s="67" t="s">
        <v>441</v>
      </c>
      <c r="L8" s="68">
        <v>750</v>
      </c>
      <c r="M8" s="67" t="s">
        <v>424</v>
      </c>
      <c r="N8" s="69">
        <v>43006</v>
      </c>
      <c r="O8" s="67" t="s">
        <v>391</v>
      </c>
      <c r="P8" s="70" t="s">
        <v>464</v>
      </c>
      <c r="Q8" s="71">
        <v>43340</v>
      </c>
    </row>
    <row r="9" spans="1:17" x14ac:dyDescent="0.2">
      <c r="A9" s="73" t="s">
        <v>455</v>
      </c>
      <c r="B9" s="67" t="s">
        <v>445</v>
      </c>
      <c r="C9" s="67" t="s">
        <v>446</v>
      </c>
      <c r="D9" s="67" t="s">
        <v>447</v>
      </c>
      <c r="E9" s="68">
        <v>97460</v>
      </c>
      <c r="F9" s="67" t="s">
        <v>285</v>
      </c>
      <c r="G9" s="67" t="s">
        <v>449</v>
      </c>
      <c r="H9" s="67" t="s">
        <v>252</v>
      </c>
      <c r="I9" s="68">
        <v>698452531</v>
      </c>
      <c r="J9" s="67" t="s">
        <v>448</v>
      </c>
      <c r="K9" s="67" t="s">
        <v>450</v>
      </c>
      <c r="L9" s="68">
        <v>252</v>
      </c>
      <c r="M9" s="67" t="s">
        <v>451</v>
      </c>
      <c r="N9" s="69">
        <v>43242</v>
      </c>
      <c r="O9" s="67" t="s">
        <v>390</v>
      </c>
      <c r="P9" s="70" t="s">
        <v>453</v>
      </c>
      <c r="Q9" s="71">
        <v>43341</v>
      </c>
    </row>
    <row r="10" spans="1:17" x14ac:dyDescent="0.2">
      <c r="A10" s="75"/>
      <c r="B10" s="75"/>
      <c r="C10" s="75"/>
      <c r="D10" s="75"/>
      <c r="E10" s="76"/>
      <c r="F10" s="75"/>
      <c r="G10" s="75"/>
      <c r="H10" s="75"/>
      <c r="I10" s="75"/>
      <c r="J10" s="75"/>
      <c r="K10" s="75"/>
      <c r="L10" s="75"/>
      <c r="M10" s="75"/>
      <c r="N10" s="75"/>
      <c r="O10" s="7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workbookViewId="0">
      <selection activeCell="H11" sqref="H11"/>
    </sheetView>
  </sheetViews>
  <sheetFormatPr baseColWidth="10" defaultRowHeight="15" x14ac:dyDescent="0.25"/>
  <cols>
    <col min="1" max="1" width="16.140625" customWidth="1"/>
    <col min="2" max="2" width="16.28515625" customWidth="1"/>
    <col min="3" max="3" width="27.42578125" customWidth="1"/>
    <col min="5" max="5" width="19.7109375" customWidth="1"/>
    <col min="6" max="6" width="22.140625" customWidth="1"/>
  </cols>
  <sheetData>
    <row r="1" spans="1:6" x14ac:dyDescent="0.25">
      <c r="A1" s="84" t="s">
        <v>762</v>
      </c>
      <c r="B1" s="84" t="s">
        <v>763</v>
      </c>
      <c r="C1" s="84" t="s">
        <v>764</v>
      </c>
      <c r="D1" s="84" t="s">
        <v>289</v>
      </c>
      <c r="E1" s="84" t="s">
        <v>299</v>
      </c>
      <c r="F1" s="84" t="s">
        <v>790</v>
      </c>
    </row>
    <row r="2" spans="1:6" x14ac:dyDescent="0.25">
      <c r="A2" t="s">
        <v>456</v>
      </c>
      <c r="B2" t="s">
        <v>765</v>
      </c>
      <c r="C2" t="s">
        <v>462</v>
      </c>
      <c r="D2" s="132">
        <v>97470</v>
      </c>
      <c r="E2" t="s">
        <v>766</v>
      </c>
      <c r="F2" s="218" t="s">
        <v>791</v>
      </c>
    </row>
    <row r="3" spans="1:6" x14ac:dyDescent="0.25">
      <c r="A3" t="s">
        <v>457</v>
      </c>
      <c r="B3" t="s">
        <v>781</v>
      </c>
      <c r="C3" t="s">
        <v>777</v>
      </c>
      <c r="D3" s="132">
        <v>97471</v>
      </c>
      <c r="E3" t="s">
        <v>785</v>
      </c>
      <c r="F3" s="218" t="s">
        <v>791</v>
      </c>
    </row>
    <row r="4" spans="1:6" x14ac:dyDescent="0.25">
      <c r="A4" t="s">
        <v>458</v>
      </c>
      <c r="B4" t="s">
        <v>782</v>
      </c>
      <c r="C4" t="s">
        <v>778</v>
      </c>
      <c r="D4" s="132">
        <v>97472</v>
      </c>
      <c r="E4" t="s">
        <v>786</v>
      </c>
      <c r="F4" s="218" t="s">
        <v>791</v>
      </c>
    </row>
    <row r="5" spans="1:6" x14ac:dyDescent="0.25">
      <c r="A5" t="s">
        <v>460</v>
      </c>
      <c r="B5" t="s">
        <v>783</v>
      </c>
      <c r="C5" t="s">
        <v>779</v>
      </c>
      <c r="D5" s="132">
        <v>97473</v>
      </c>
      <c r="E5" t="s">
        <v>787</v>
      </c>
      <c r="F5" s="218" t="s">
        <v>791</v>
      </c>
    </row>
    <row r="6" spans="1:6" x14ac:dyDescent="0.25">
      <c r="A6" t="s">
        <v>593</v>
      </c>
      <c r="B6" t="s">
        <v>784</v>
      </c>
      <c r="C6" t="s">
        <v>780</v>
      </c>
      <c r="D6" s="132">
        <v>97474</v>
      </c>
      <c r="E6" t="s">
        <v>788</v>
      </c>
      <c r="F6" s="218" t="s">
        <v>791</v>
      </c>
    </row>
  </sheetData>
  <hyperlinks>
    <hyperlink ref="F2" r:id="rId1"/>
    <hyperlink ref="F3:F6" r:id="rId2" display="wjp974@yahoo.fr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EJ42"/>
  <sheetViews>
    <sheetView showGridLines="0" zoomScale="75" workbookViewId="0">
      <selection activeCell="E1" sqref="E1"/>
    </sheetView>
  </sheetViews>
  <sheetFormatPr baseColWidth="10" defaultRowHeight="16.5" x14ac:dyDescent="0.3"/>
  <cols>
    <col min="1" max="1" width="8" style="3" customWidth="1"/>
    <col min="2" max="2" width="15" style="3" customWidth="1"/>
    <col min="3" max="3" width="9.28515625" style="3" customWidth="1"/>
    <col min="4" max="4" width="8" style="3" customWidth="1"/>
    <col min="5" max="5" width="24" style="4" customWidth="1"/>
    <col min="6" max="6" width="23.5703125" style="4" customWidth="1"/>
    <col min="7" max="7" width="24.140625" style="4" customWidth="1"/>
    <col min="8" max="8" width="25.140625" style="4" customWidth="1"/>
    <col min="9" max="9" width="23.140625" style="4" customWidth="1"/>
    <col min="10" max="10" width="22.42578125" style="4" customWidth="1"/>
    <col min="11" max="11" width="9.140625" style="3" customWidth="1"/>
    <col min="12" max="13" width="13.7109375" style="3" customWidth="1"/>
    <col min="14" max="14" width="10.85546875" style="3" customWidth="1"/>
    <col min="15" max="656" width="0" style="3" hidden="1" customWidth="1"/>
    <col min="657" max="677" width="11.42578125" style="3" hidden="1" customWidth="1"/>
    <col min="678" max="1245" width="0" style="3" hidden="1" customWidth="1"/>
    <col min="1246" max="1266" width="11.42578125" style="3" hidden="1" customWidth="1"/>
    <col min="1267" max="2900" width="0" style="3" hidden="1" customWidth="1"/>
    <col min="2901" max="2921" width="11.42578125" style="3" hidden="1" customWidth="1"/>
    <col min="2922" max="3489" width="0" style="3" hidden="1" customWidth="1"/>
    <col min="3490" max="3510" width="11.42578125" style="3" hidden="1" customWidth="1"/>
    <col min="3511" max="5144" width="0" style="3" hidden="1" customWidth="1"/>
    <col min="5145" max="5165" width="11.42578125" style="3" hidden="1" customWidth="1"/>
    <col min="5166" max="5733" width="0" style="3" hidden="1" customWidth="1"/>
    <col min="5734" max="5754" width="11.42578125" style="3" hidden="1" customWidth="1"/>
    <col min="5755" max="7388" width="0" style="3" hidden="1" customWidth="1"/>
    <col min="7389" max="7409" width="11.42578125" style="3" hidden="1" customWidth="1"/>
    <col min="7410" max="7977" width="0" style="3" hidden="1" customWidth="1"/>
    <col min="7978" max="7998" width="11.42578125" style="3" hidden="1" customWidth="1"/>
    <col min="7999" max="9632" width="0" style="3" hidden="1" customWidth="1"/>
    <col min="9633" max="9653" width="11.42578125" style="3" hidden="1" customWidth="1"/>
    <col min="9654" max="10221" width="0" style="3" hidden="1" customWidth="1"/>
    <col min="10222" max="10242" width="11.42578125" style="3" hidden="1" customWidth="1"/>
    <col min="10243" max="11876" width="0" style="3" hidden="1" customWidth="1"/>
    <col min="11877" max="11897" width="11.42578125" style="3" hidden="1" customWidth="1"/>
    <col min="11898" max="12465" width="0" style="3" hidden="1" customWidth="1"/>
    <col min="12466" max="12486" width="11.42578125" style="3" hidden="1" customWidth="1"/>
    <col min="12487" max="14120" width="0" style="3" hidden="1" customWidth="1"/>
    <col min="14121" max="14141" width="11.42578125" style="3" hidden="1" customWidth="1"/>
    <col min="14142" max="14709" width="0" style="3" hidden="1" customWidth="1"/>
    <col min="14710" max="14730" width="11.42578125" style="3" hidden="1" customWidth="1"/>
    <col min="14731" max="16364" width="0" style="3" hidden="1" customWidth="1"/>
    <col min="16365" max="16384" width="11.42578125" style="3" hidden="1" customWidth="1"/>
  </cols>
  <sheetData>
    <row r="1" spans="4:10" ht="45" customHeight="1" x14ac:dyDescent="0.3"/>
    <row r="2" spans="4:10" ht="28.5" customHeight="1" x14ac:dyDescent="0.3">
      <c r="E2" s="254" t="s">
        <v>2</v>
      </c>
      <c r="F2" s="259" t="s">
        <v>108</v>
      </c>
      <c r="G2" s="260"/>
      <c r="H2" s="261" t="s">
        <v>3</v>
      </c>
      <c r="I2" s="262"/>
      <c r="J2" s="245" t="s">
        <v>4</v>
      </c>
    </row>
    <row r="3" spans="4:10" ht="25.5" customHeight="1" x14ac:dyDescent="0.3">
      <c r="E3" s="255"/>
      <c r="F3" s="256" t="s">
        <v>109</v>
      </c>
      <c r="G3" s="258" t="s">
        <v>110</v>
      </c>
      <c r="H3" s="5" t="s">
        <v>111</v>
      </c>
      <c r="I3" s="6" t="s">
        <v>112</v>
      </c>
      <c r="J3" s="246"/>
    </row>
    <row r="4" spans="4:10" ht="26.25" customHeight="1" x14ac:dyDescent="0.3">
      <c r="E4" s="255"/>
      <c r="F4" s="257"/>
      <c r="G4" s="246"/>
      <c r="H4" s="7" t="s">
        <v>113</v>
      </c>
      <c r="I4" s="8" t="s">
        <v>113</v>
      </c>
      <c r="J4" s="246"/>
    </row>
    <row r="5" spans="4:10" ht="36" customHeight="1" x14ac:dyDescent="0.3">
      <c r="E5" s="9" t="e">
        <f>BD_ET_PR!#REF!</f>
        <v>#REF!</v>
      </c>
      <c r="F5" s="28">
        <v>1.05</v>
      </c>
      <c r="G5" s="29">
        <v>1.05</v>
      </c>
      <c r="H5" s="28">
        <v>1.05</v>
      </c>
      <c r="I5" s="29">
        <v>1.02</v>
      </c>
      <c r="J5" s="80">
        <v>1.3</v>
      </c>
    </row>
    <row r="6" spans="4:10" x14ac:dyDescent="0.3">
      <c r="E6" s="10"/>
      <c r="F6" s="10"/>
      <c r="G6" s="10"/>
      <c r="H6" s="10"/>
      <c r="I6" s="10"/>
      <c r="J6" s="10"/>
    </row>
    <row r="7" spans="4:10" ht="21.75" customHeight="1" x14ac:dyDescent="0.3">
      <c r="D7" s="11"/>
      <c r="E7" s="253"/>
      <c r="F7" s="253"/>
      <c r="G7" s="253"/>
      <c r="H7" s="249"/>
      <c r="I7" s="249"/>
      <c r="J7" s="249"/>
    </row>
    <row r="8" spans="4:10" ht="18" x14ac:dyDescent="0.3">
      <c r="D8" s="11"/>
      <c r="E8" s="12"/>
      <c r="F8" s="13"/>
      <c r="G8" s="14"/>
      <c r="H8" s="250"/>
      <c r="I8" s="251"/>
      <c r="J8" s="251"/>
    </row>
    <row r="9" spans="4:10" ht="18" x14ac:dyDescent="0.3">
      <c r="D9" s="11"/>
      <c r="E9" s="12"/>
      <c r="F9" s="265"/>
      <c r="G9" s="265"/>
      <c r="H9" s="250"/>
      <c r="I9" s="251"/>
      <c r="J9" s="251"/>
    </row>
    <row r="10" spans="4:10" ht="18" x14ac:dyDescent="0.3">
      <c r="D10" s="11"/>
      <c r="E10" s="12"/>
      <c r="F10" s="265"/>
      <c r="G10" s="265"/>
      <c r="H10" s="248"/>
      <c r="I10" s="248"/>
      <c r="J10" s="248"/>
    </row>
    <row r="11" spans="4:10" ht="18" x14ac:dyDescent="0.3">
      <c r="E11" s="14"/>
      <c r="F11" s="264"/>
      <c r="G11" s="264"/>
      <c r="H11" s="248"/>
      <c r="I11" s="248"/>
      <c r="J11" s="248"/>
    </row>
    <row r="12" spans="4:10" x14ac:dyDescent="0.3">
      <c r="E12" s="10"/>
      <c r="F12" s="10"/>
      <c r="G12" s="10"/>
      <c r="H12" s="10"/>
      <c r="I12" s="10"/>
      <c r="J12" s="10"/>
    </row>
    <row r="13" spans="4:10" ht="32.25" customHeight="1" x14ac:dyDescent="0.3">
      <c r="E13" s="15"/>
      <c r="F13" s="15"/>
      <c r="G13" s="15"/>
      <c r="H13" s="15"/>
      <c r="I13" s="15"/>
      <c r="J13" s="16"/>
    </row>
    <row r="14" spans="4:10" ht="30.75" customHeight="1" x14ac:dyDescent="0.3">
      <c r="E14" s="17"/>
      <c r="F14" s="17"/>
      <c r="G14" s="17"/>
      <c r="H14" s="17"/>
      <c r="I14" s="17"/>
      <c r="J14" s="17"/>
    </row>
    <row r="16" spans="4:10" x14ac:dyDescent="0.3">
      <c r="E16" s="252"/>
      <c r="F16" s="252"/>
      <c r="G16" s="252"/>
      <c r="H16" s="252"/>
      <c r="I16" s="252"/>
      <c r="J16" s="252"/>
    </row>
    <row r="17" spans="4:11" x14ac:dyDescent="0.3">
      <c r="E17" s="18"/>
      <c r="F17" s="18"/>
    </row>
    <row r="18" spans="4:11" x14ac:dyDescent="0.3">
      <c r="D18" s="19"/>
      <c r="E18" s="20"/>
      <c r="F18" s="21"/>
      <c r="G18" s="22"/>
      <c r="H18" s="23"/>
      <c r="I18" s="23"/>
      <c r="J18" s="23"/>
      <c r="K18" s="23"/>
    </row>
    <row r="19" spans="4:11" x14ac:dyDescent="0.3">
      <c r="D19" s="19"/>
      <c r="E19" s="24"/>
      <c r="F19" s="263"/>
      <c r="G19" s="263"/>
      <c r="H19" s="23"/>
      <c r="I19" s="247"/>
      <c r="J19" s="247"/>
      <c r="K19" s="23"/>
    </row>
    <row r="20" spans="4:11" x14ac:dyDescent="0.3">
      <c r="D20" s="19"/>
      <c r="E20" s="24"/>
      <c r="F20" s="22"/>
      <c r="G20" s="22"/>
      <c r="H20" s="23"/>
      <c r="I20" s="247"/>
      <c r="J20" s="247"/>
      <c r="K20" s="23"/>
    </row>
    <row r="21" spans="4:11" x14ac:dyDescent="0.3">
      <c r="E21" s="25"/>
      <c r="F21" s="26"/>
      <c r="G21" s="27"/>
      <c r="H21" s="27"/>
      <c r="I21" s="27"/>
      <c r="J21" s="27"/>
    </row>
    <row r="22" spans="4:11" x14ac:dyDescent="0.3">
      <c r="E22" s="25"/>
      <c r="F22" s="26"/>
      <c r="G22" s="27"/>
      <c r="H22" s="27"/>
      <c r="I22" s="27"/>
      <c r="J22" s="27"/>
    </row>
    <row r="23" spans="4:11" x14ac:dyDescent="0.3">
      <c r="E23" s="25"/>
      <c r="F23" s="26"/>
      <c r="G23" s="27"/>
      <c r="H23" s="27"/>
      <c r="I23" s="27"/>
      <c r="J23" s="27"/>
    </row>
    <row r="24" spans="4:11" x14ac:dyDescent="0.3">
      <c r="E24" s="25"/>
      <c r="F24" s="26"/>
      <c r="G24" s="27"/>
      <c r="H24" s="27"/>
      <c r="I24" s="27"/>
      <c r="J24" s="27"/>
    </row>
    <row r="25" spans="4:11" x14ac:dyDescent="0.3">
      <c r="E25" s="25"/>
      <c r="F25" s="26"/>
      <c r="G25" s="27"/>
      <c r="H25" s="27"/>
      <c r="I25" s="27"/>
      <c r="J25" s="27"/>
    </row>
    <row r="26" spans="4:11" x14ac:dyDescent="0.3">
      <c r="E26" s="25"/>
      <c r="F26" s="26"/>
      <c r="G26" s="27"/>
      <c r="H26" s="27"/>
      <c r="I26" s="27"/>
      <c r="J26" s="27"/>
    </row>
    <row r="27" spans="4:11" x14ac:dyDescent="0.3">
      <c r="E27" s="25"/>
      <c r="F27" s="26"/>
      <c r="G27" s="27"/>
      <c r="H27" s="27"/>
      <c r="I27" s="27"/>
      <c r="J27" s="27"/>
    </row>
    <row r="28" spans="4:11" x14ac:dyDescent="0.3">
      <c r="E28" s="25"/>
      <c r="F28" s="26"/>
      <c r="G28" s="27"/>
      <c r="H28" s="27"/>
      <c r="I28" s="27"/>
      <c r="J28" s="27"/>
    </row>
    <row r="29" spans="4:11" x14ac:dyDescent="0.3">
      <c r="E29" s="25"/>
      <c r="F29" s="26"/>
      <c r="G29" s="27"/>
      <c r="H29" s="27"/>
      <c r="I29" s="27"/>
      <c r="J29" s="27"/>
    </row>
    <row r="30" spans="4:11" x14ac:dyDescent="0.3">
      <c r="E30" s="3"/>
      <c r="F30" s="25"/>
      <c r="G30" s="26"/>
      <c r="H30" s="27"/>
      <c r="I30" s="27"/>
      <c r="J30" s="27"/>
      <c r="K30" s="27"/>
    </row>
    <row r="31" spans="4:11" x14ac:dyDescent="0.3">
      <c r="E31" s="3"/>
      <c r="F31" s="25"/>
      <c r="G31" s="26"/>
      <c r="H31" s="27"/>
      <c r="I31" s="27"/>
      <c r="J31" s="27"/>
      <c r="K31" s="27"/>
    </row>
    <row r="32" spans="4:11" x14ac:dyDescent="0.3">
      <c r="E32" s="3"/>
      <c r="F32" s="25"/>
      <c r="G32" s="26"/>
      <c r="H32" s="27"/>
      <c r="I32" s="27"/>
      <c r="J32" s="27"/>
      <c r="K32" s="27"/>
    </row>
    <row r="33" spans="5:11" x14ac:dyDescent="0.3">
      <c r="E33" s="3"/>
      <c r="F33" s="25"/>
      <c r="G33" s="26"/>
      <c r="H33" s="27"/>
      <c r="I33" s="27"/>
      <c r="J33" s="27"/>
      <c r="K33" s="27"/>
    </row>
    <row r="34" spans="5:11" x14ac:dyDescent="0.3">
      <c r="E34" s="3"/>
      <c r="F34" s="25"/>
      <c r="G34" s="26"/>
      <c r="H34" s="27"/>
      <c r="I34" s="27"/>
      <c r="J34" s="27"/>
      <c r="K34" s="27"/>
    </row>
    <row r="35" spans="5:11" x14ac:dyDescent="0.3">
      <c r="E35" s="3"/>
      <c r="F35" s="25"/>
      <c r="G35" s="26"/>
      <c r="H35" s="27"/>
      <c r="I35" s="27"/>
      <c r="J35" s="27"/>
      <c r="K35" s="27"/>
    </row>
    <row r="36" spans="5:11" x14ac:dyDescent="0.3">
      <c r="E36" s="3"/>
      <c r="F36" s="25"/>
      <c r="G36" s="26"/>
      <c r="H36" s="27"/>
      <c r="I36" s="27"/>
      <c r="J36" s="27"/>
      <c r="K36" s="27"/>
    </row>
    <row r="37" spans="5:11" x14ac:dyDescent="0.3">
      <c r="E37" s="25"/>
      <c r="F37" s="26"/>
      <c r="G37" s="27"/>
      <c r="H37" s="27"/>
      <c r="I37" s="27"/>
      <c r="J37" s="27"/>
    </row>
    <row r="38" spans="5:11" x14ac:dyDescent="0.3">
      <c r="E38" s="25"/>
      <c r="F38" s="26"/>
      <c r="G38" s="27"/>
      <c r="H38" s="27"/>
      <c r="I38" s="27"/>
      <c r="J38" s="27"/>
    </row>
    <row r="39" spans="5:11" x14ac:dyDescent="0.3">
      <c r="E39" s="25"/>
      <c r="F39" s="26"/>
      <c r="G39" s="27"/>
      <c r="H39" s="27"/>
      <c r="I39" s="27"/>
      <c r="J39" s="27"/>
    </row>
    <row r="40" spans="5:11" x14ac:dyDescent="0.3">
      <c r="E40" s="25"/>
      <c r="F40" s="26"/>
      <c r="G40" s="27"/>
      <c r="H40" s="27"/>
      <c r="I40" s="27"/>
      <c r="J40" s="27"/>
    </row>
    <row r="41" spans="5:11" x14ac:dyDescent="0.3">
      <c r="E41" s="25"/>
      <c r="F41" s="26"/>
      <c r="G41" s="27"/>
      <c r="H41" s="27"/>
      <c r="I41" s="27"/>
      <c r="J41" s="27"/>
    </row>
    <row r="42" spans="5:11" x14ac:dyDescent="0.3">
      <c r="E42" s="25"/>
      <c r="F42" s="26"/>
      <c r="G42" s="27"/>
      <c r="H42" s="27"/>
      <c r="I42" s="27"/>
      <c r="J42" s="27"/>
    </row>
  </sheetData>
  <mergeCells count="21">
    <mergeCell ref="F19:G19"/>
    <mergeCell ref="I19:I20"/>
    <mergeCell ref="F11:G11"/>
    <mergeCell ref="F10:G10"/>
    <mergeCell ref="F9:G9"/>
    <mergeCell ref="J2:J4"/>
    <mergeCell ref="J19:J20"/>
    <mergeCell ref="J10:J11"/>
    <mergeCell ref="I10:I11"/>
    <mergeCell ref="H7:J7"/>
    <mergeCell ref="H8:H9"/>
    <mergeCell ref="I8:I9"/>
    <mergeCell ref="J8:J9"/>
    <mergeCell ref="E16:J16"/>
    <mergeCell ref="E7:G7"/>
    <mergeCell ref="E2:E4"/>
    <mergeCell ref="F3:F4"/>
    <mergeCell ref="G3:G4"/>
    <mergeCell ref="F2:G2"/>
    <mergeCell ref="H10:H11"/>
    <mergeCell ref="H2:I2"/>
  </mergeCells>
  <phoneticPr fontId="1" type="noConversion"/>
  <pageMargins left="0.78740157499999996" right="0.78740157499999996" top="0.984251969" bottom="0.984251969" header="0.4921259845" footer="0.4921259845"/>
  <pageSetup paperSize="13" orientation="portrait" r:id="rId1"/>
  <headerFooter alignWithMargins="0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"/>
  <sheetViews>
    <sheetView workbookViewId="0">
      <selection activeCell="M9" sqref="M9"/>
    </sheetView>
  </sheetViews>
  <sheetFormatPr baseColWidth="10" defaultRowHeight="15" x14ac:dyDescent="0.25"/>
  <cols>
    <col min="2" max="2" width="12.7109375" customWidth="1"/>
    <col min="6" max="6" width="13" customWidth="1"/>
    <col min="7" max="7" width="16.28515625" customWidth="1"/>
    <col min="8" max="8" width="11.42578125" style="285"/>
  </cols>
  <sheetData>
    <row r="1" spans="1:9" x14ac:dyDescent="0.25">
      <c r="A1" s="84" t="s">
        <v>767</v>
      </c>
      <c r="B1" s="84" t="s">
        <v>691</v>
      </c>
      <c r="C1" s="84" t="s">
        <v>297</v>
      </c>
      <c r="D1" s="84" t="s">
        <v>298</v>
      </c>
      <c r="E1" s="84" t="s">
        <v>764</v>
      </c>
      <c r="F1" s="84" t="s">
        <v>299</v>
      </c>
      <c r="G1" s="84" t="s">
        <v>768</v>
      </c>
      <c r="H1" s="284" t="s">
        <v>769</v>
      </c>
      <c r="I1" s="84" t="s">
        <v>770</v>
      </c>
    </row>
    <row r="2" spans="1:9" x14ac:dyDescent="0.25">
      <c r="A2" t="s">
        <v>772</v>
      </c>
      <c r="B2" t="s">
        <v>697</v>
      </c>
      <c r="C2" t="s">
        <v>401</v>
      </c>
      <c r="D2" t="s">
        <v>698</v>
      </c>
      <c r="E2" t="s">
        <v>699</v>
      </c>
      <c r="F2" t="s">
        <v>251</v>
      </c>
      <c r="G2" t="s">
        <v>456</v>
      </c>
      <c r="H2" s="285">
        <v>1917.08</v>
      </c>
      <c r="I2" s="133">
        <v>43309</v>
      </c>
    </row>
    <row r="3" spans="1:9" x14ac:dyDescent="0.25">
      <c r="A3" t="s">
        <v>773</v>
      </c>
      <c r="B3" t="s">
        <v>775</v>
      </c>
      <c r="C3" t="s">
        <v>401</v>
      </c>
      <c r="D3" t="s">
        <v>698</v>
      </c>
      <c r="E3" t="s">
        <v>776</v>
      </c>
      <c r="F3" t="s">
        <v>251</v>
      </c>
      <c r="G3" t="s">
        <v>456</v>
      </c>
      <c r="H3" s="285">
        <v>1918.08</v>
      </c>
      <c r="I3" s="133">
        <v>43310</v>
      </c>
    </row>
    <row r="4" spans="1:9" x14ac:dyDescent="0.25">
      <c r="A4" t="s">
        <v>774</v>
      </c>
      <c r="B4" t="s">
        <v>421</v>
      </c>
      <c r="C4" t="s">
        <v>407</v>
      </c>
      <c r="D4" t="s">
        <v>408</v>
      </c>
      <c r="E4" t="s">
        <v>410</v>
      </c>
      <c r="F4" t="s">
        <v>411</v>
      </c>
      <c r="G4" t="s">
        <v>593</v>
      </c>
      <c r="H4" s="285">
        <v>3792.7</v>
      </c>
      <c r="I4" s="133">
        <v>43309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/>
  </sheetPr>
  <dimension ref="A2:XFC263"/>
  <sheetViews>
    <sheetView showGridLines="0" zoomScaleNormal="100" workbookViewId="0">
      <pane ySplit="21" topLeftCell="A22" activePane="bottomLeft" state="frozen"/>
      <selection activeCell="E16" sqref="E16"/>
      <selection pane="bottomLeft" activeCell="G38" sqref="G38"/>
    </sheetView>
  </sheetViews>
  <sheetFormatPr baseColWidth="10" defaultColWidth="0" defaultRowHeight="12.75" x14ac:dyDescent="0.2"/>
  <cols>
    <col min="1" max="1" width="5.140625" style="134" customWidth="1"/>
    <col min="2" max="2" width="12.140625" style="134" customWidth="1"/>
    <col min="3" max="3" width="12.7109375" style="134" customWidth="1"/>
    <col min="4" max="4" width="18.28515625" style="134" customWidth="1"/>
    <col min="5" max="5" width="15.28515625" style="134" customWidth="1"/>
    <col min="6" max="8" width="16.42578125" style="134" customWidth="1"/>
    <col min="9" max="9" width="8.7109375" style="134" customWidth="1"/>
    <col min="10" max="11" width="8.5703125" style="134" customWidth="1"/>
    <col min="12" max="14635" width="1.42578125" style="134" hidden="1"/>
    <col min="14636" max="14636" width="3.5703125" style="134" hidden="1"/>
    <col min="14637" max="14637" width="0.5703125" style="134" hidden="1"/>
    <col min="14638" max="14926" width="1.42578125" style="134" hidden="1"/>
    <col min="14927" max="14927" width="3.5703125" style="134" hidden="1"/>
    <col min="14928" max="14928" width="0.5703125" style="134" hidden="1"/>
    <col min="14929" max="15217" width="1.42578125" style="134" hidden="1"/>
    <col min="15218" max="15218" width="3.5703125" style="134" hidden="1"/>
    <col min="15219" max="15219" width="0.5703125" style="134" hidden="1"/>
    <col min="15220" max="15508" width="1.42578125" style="134" hidden="1"/>
    <col min="15509" max="15509" width="3.5703125" style="134" hidden="1"/>
    <col min="15510" max="15510" width="0.5703125" style="134" hidden="1"/>
    <col min="15511" max="15799" width="1.42578125" style="134" hidden="1"/>
    <col min="15800" max="15800" width="3.5703125" style="134" hidden="1"/>
    <col min="15801" max="15801" width="0.5703125" style="134" hidden="1"/>
    <col min="15802" max="16090" width="1.42578125" style="134" hidden="1"/>
    <col min="16091" max="16091" width="3.5703125" style="134" hidden="1"/>
    <col min="16092" max="16092" width="0.5703125" style="134" hidden="1"/>
    <col min="16093" max="16380" width="1.42578125" style="134" hidden="1"/>
    <col min="16381" max="16381" width="4.7109375" style="134" hidden="1"/>
    <col min="16382" max="16383" width="7.85546875" style="134" hidden="1"/>
    <col min="16384" max="16384" width="5.28515625" style="134" hidden="1"/>
  </cols>
  <sheetData>
    <row r="2" spans="1:8" x14ac:dyDescent="0.2">
      <c r="F2" s="135" t="s">
        <v>363</v>
      </c>
      <c r="G2" s="268">
        <f ca="1">NOW()</f>
        <v>43312.31380034722</v>
      </c>
      <c r="H2" s="268"/>
    </row>
    <row r="3" spans="1:8" ht="44.25" customHeight="1" x14ac:dyDescent="0.2">
      <c r="A3" s="136"/>
      <c r="B3" s="136"/>
      <c r="C3" s="136"/>
      <c r="D3" s="136"/>
      <c r="E3" s="136"/>
      <c r="G3" s="137"/>
    </row>
    <row r="4" spans="1:8" ht="12.95" customHeight="1" x14ac:dyDescent="0.2">
      <c r="A4" s="136"/>
      <c r="B4" s="138" t="s">
        <v>306</v>
      </c>
      <c r="C4" s="136"/>
      <c r="D4" s="136"/>
      <c r="E4" s="139" t="s">
        <v>369</v>
      </c>
      <c r="F4" s="277" t="s">
        <v>372</v>
      </c>
      <c r="G4" s="278"/>
      <c r="H4" s="279"/>
    </row>
    <row r="5" spans="1:8" ht="12.95" customHeight="1" x14ac:dyDescent="0.2">
      <c r="A5" s="136"/>
      <c r="B5" s="138" t="s">
        <v>305</v>
      </c>
      <c r="C5" s="136"/>
      <c r="D5" s="136"/>
      <c r="E5" s="139" t="s">
        <v>367</v>
      </c>
      <c r="F5" s="140" t="s">
        <v>373</v>
      </c>
      <c r="G5" s="141" t="s">
        <v>593</v>
      </c>
      <c r="H5" s="142"/>
    </row>
    <row r="6" spans="1:8" ht="12.95" customHeight="1" x14ac:dyDescent="0.2">
      <c r="A6" s="136"/>
      <c r="B6" s="143" t="s">
        <v>474</v>
      </c>
      <c r="C6" s="136"/>
      <c r="D6" s="136"/>
      <c r="E6" s="139"/>
      <c r="F6" s="144" t="s">
        <v>365</v>
      </c>
      <c r="G6" s="145" t="s">
        <v>780</v>
      </c>
      <c r="H6" s="146"/>
    </row>
    <row r="7" spans="1:8" ht="12.95" customHeight="1" x14ac:dyDescent="0.2">
      <c r="A7" s="136"/>
      <c r="B7" s="138" t="s">
        <v>356</v>
      </c>
      <c r="C7" s="136"/>
      <c r="D7" s="136"/>
      <c r="E7" s="147"/>
      <c r="F7" s="148" t="s">
        <v>300</v>
      </c>
      <c r="G7" s="275">
        <v>97474</v>
      </c>
      <c r="H7" s="276"/>
    </row>
    <row r="8" spans="1:8" ht="12.95" customHeight="1" x14ac:dyDescent="0.2">
      <c r="A8" s="149"/>
      <c r="B8" s="138" t="s">
        <v>355</v>
      </c>
      <c r="C8" s="136"/>
      <c r="D8" s="136"/>
      <c r="E8" s="147"/>
      <c r="F8" s="150" t="s">
        <v>299</v>
      </c>
      <c r="G8" s="282" t="s">
        <v>788</v>
      </c>
      <c r="H8" s="283"/>
    </row>
    <row r="9" spans="1:8" ht="12.95" customHeight="1" x14ac:dyDescent="0.2">
      <c r="A9" s="151"/>
      <c r="B9" s="152"/>
      <c r="C9" s="152"/>
      <c r="D9" s="152"/>
      <c r="E9" s="152"/>
      <c r="F9" s="136"/>
      <c r="G9" s="136"/>
      <c r="H9" s="147"/>
    </row>
    <row r="10" spans="1:8" ht="18" customHeight="1" x14ac:dyDescent="0.2">
      <c r="A10" s="153"/>
      <c r="B10" s="136"/>
      <c r="C10" s="269" t="s">
        <v>370</v>
      </c>
      <c r="D10" s="270"/>
      <c r="E10" s="270"/>
      <c r="F10" s="270"/>
      <c r="G10" s="271"/>
      <c r="H10" s="147"/>
    </row>
    <row r="11" spans="1:8" ht="12.95" customHeight="1" x14ac:dyDescent="0.2">
      <c r="A11" s="153"/>
      <c r="B11" s="136"/>
      <c r="C11" s="136"/>
      <c r="D11" s="136"/>
      <c r="E11" s="136"/>
      <c r="F11" s="136"/>
      <c r="G11" s="136"/>
      <c r="H11" s="147"/>
    </row>
    <row r="12" spans="1:8" ht="12.95" customHeight="1" x14ac:dyDescent="0.2">
      <c r="A12" s="267" t="s">
        <v>374</v>
      </c>
      <c r="B12" s="154" t="s">
        <v>371</v>
      </c>
      <c r="C12" s="155"/>
      <c r="D12" s="155"/>
      <c r="E12" s="155"/>
      <c r="F12" s="272" t="s">
        <v>376</v>
      </c>
      <c r="G12" s="273"/>
      <c r="H12" s="274"/>
    </row>
    <row r="13" spans="1:8" ht="12.95" customHeight="1" collapsed="1" x14ac:dyDescent="0.2">
      <c r="A13" s="267"/>
      <c r="B13" s="156" t="s">
        <v>250</v>
      </c>
      <c r="C13" s="280" t="s">
        <v>418</v>
      </c>
      <c r="D13" s="280"/>
      <c r="E13" s="281"/>
      <c r="F13" s="148" t="s">
        <v>463</v>
      </c>
      <c r="G13" s="157">
        <v>522</v>
      </c>
      <c r="H13" s="158"/>
    </row>
    <row r="14" spans="1:8" ht="12.95" customHeight="1" x14ac:dyDescent="0.2">
      <c r="A14" s="267"/>
      <c r="B14" s="159" t="s">
        <v>299</v>
      </c>
      <c r="C14" s="275" t="s">
        <v>278</v>
      </c>
      <c r="D14" s="275"/>
      <c r="E14" s="276"/>
      <c r="F14" s="144" t="s">
        <v>377</v>
      </c>
      <c r="G14" s="160">
        <v>43336</v>
      </c>
      <c r="H14" s="161"/>
    </row>
    <row r="15" spans="1:8" ht="12.95" customHeight="1" x14ac:dyDescent="0.2">
      <c r="A15" s="162"/>
      <c r="B15" s="159"/>
      <c r="C15" s="136"/>
      <c r="D15" s="159"/>
      <c r="E15" s="136"/>
      <c r="F15" s="148" t="s">
        <v>378</v>
      </c>
      <c r="G15" s="163" t="s">
        <v>794</v>
      </c>
      <c r="H15" s="244" t="s">
        <v>795</v>
      </c>
    </row>
    <row r="16" spans="1:8" ht="12.95" customHeight="1" x14ac:dyDescent="0.2">
      <c r="A16" s="266" t="s">
        <v>303</v>
      </c>
      <c r="B16" s="164" t="s">
        <v>364</v>
      </c>
      <c r="C16" s="136"/>
      <c r="D16" s="159"/>
      <c r="E16" s="136"/>
      <c r="F16" s="150"/>
      <c r="G16" s="149"/>
      <c r="H16" s="165"/>
    </row>
    <row r="17" spans="1:11" ht="12.95" customHeight="1" x14ac:dyDescent="0.2">
      <c r="A17" s="267"/>
      <c r="B17" s="166" t="s">
        <v>382</v>
      </c>
      <c r="C17" s="167"/>
      <c r="D17" s="167"/>
      <c r="E17" s="136"/>
      <c r="F17" s="136"/>
      <c r="G17" s="136"/>
      <c r="H17" s="147"/>
    </row>
    <row r="18" spans="1:11" ht="12.95" customHeight="1" x14ac:dyDescent="0.2">
      <c r="A18" s="267"/>
      <c r="B18" s="167" t="s">
        <v>375</v>
      </c>
      <c r="C18" s="167"/>
      <c r="D18" s="167"/>
      <c r="E18" s="136"/>
      <c r="F18" s="136"/>
      <c r="G18" s="136"/>
      <c r="H18" s="147"/>
    </row>
    <row r="19" spans="1:11" ht="12.95" customHeight="1" x14ac:dyDescent="0.2">
      <c r="A19" s="267"/>
      <c r="B19" s="168" t="s">
        <v>383</v>
      </c>
      <c r="C19" s="169" t="s">
        <v>454</v>
      </c>
      <c r="D19" s="136"/>
      <c r="E19" s="136"/>
      <c r="F19" s="170" t="s">
        <v>500</v>
      </c>
      <c r="G19" s="171" t="s">
        <v>789</v>
      </c>
      <c r="H19" s="147"/>
    </row>
    <row r="20" spans="1:11" ht="12.95" customHeight="1" x14ac:dyDescent="0.2">
      <c r="A20" s="172"/>
      <c r="B20" s="149"/>
      <c r="C20" s="149"/>
      <c r="D20" s="149"/>
      <c r="E20" s="149"/>
      <c r="F20" s="149"/>
      <c r="G20" s="149"/>
      <c r="H20" s="165"/>
    </row>
    <row r="21" spans="1:11" x14ac:dyDescent="0.2">
      <c r="A21" s="173" t="s">
        <v>379</v>
      </c>
      <c r="B21" s="219" t="s">
        <v>56</v>
      </c>
      <c r="C21" s="220"/>
      <c r="D21" s="220"/>
      <c r="E21" s="221"/>
      <c r="F21" s="174" t="s">
        <v>380</v>
      </c>
      <c r="G21" s="242" t="s">
        <v>381</v>
      </c>
      <c r="H21" s="175" t="s">
        <v>366</v>
      </c>
      <c r="I21" s="176" t="s">
        <v>472</v>
      </c>
      <c r="J21" s="177" t="s">
        <v>360</v>
      </c>
      <c r="K21" s="178" t="s">
        <v>473</v>
      </c>
    </row>
    <row r="22" spans="1:11" ht="15" x14ac:dyDescent="0.25">
      <c r="A22" s="179"/>
      <c r="B22" s="222"/>
      <c r="C22" s="223"/>
      <c r="D22" s="223"/>
      <c r="E22" s="224"/>
      <c r="F22" s="179"/>
      <c r="G22" s="180"/>
      <c r="H22" s="179"/>
      <c r="I22" s="180"/>
      <c r="J22" s="180"/>
      <c r="K22" s="180"/>
    </row>
    <row r="23" spans="1:11" ht="15" x14ac:dyDescent="0.25">
      <c r="A23" s="181"/>
      <c r="B23" s="182"/>
      <c r="C23" s="225"/>
      <c r="D23" s="225"/>
      <c r="E23" s="183"/>
      <c r="F23" s="182"/>
      <c r="G23" s="181"/>
      <c r="H23" s="183"/>
      <c r="I23" s="180"/>
      <c r="J23" s="180"/>
      <c r="K23" s="180"/>
    </row>
    <row r="24" spans="1:11" ht="15" x14ac:dyDescent="0.25">
      <c r="A24" s="181"/>
      <c r="B24" s="182"/>
      <c r="C24" s="225"/>
      <c r="D24" s="225"/>
      <c r="E24" s="183"/>
      <c r="F24" s="181"/>
      <c r="G24" s="181"/>
      <c r="H24" s="181"/>
      <c r="I24" s="180"/>
      <c r="J24" s="180"/>
      <c r="K24" s="180"/>
    </row>
    <row r="25" spans="1:11" ht="15" x14ac:dyDescent="0.25">
      <c r="A25" s="181"/>
      <c r="B25" s="182"/>
      <c r="C25" s="225"/>
      <c r="D25" s="225"/>
      <c r="E25" s="183"/>
      <c r="F25" s="181"/>
      <c r="G25" s="181"/>
      <c r="H25" s="181"/>
      <c r="I25" s="180"/>
      <c r="J25" s="180"/>
      <c r="K25" s="180"/>
    </row>
    <row r="26" spans="1:11" ht="15" x14ac:dyDescent="0.25">
      <c r="A26" s="181"/>
      <c r="B26" s="182"/>
      <c r="C26" s="225"/>
      <c r="D26" s="225"/>
      <c r="E26" s="183"/>
      <c r="F26" s="181"/>
      <c r="G26" s="181"/>
      <c r="H26" s="181"/>
      <c r="I26" s="180"/>
      <c r="J26" s="180"/>
      <c r="K26" s="180"/>
    </row>
    <row r="27" spans="1:11" ht="15" x14ac:dyDescent="0.25">
      <c r="A27" s="181"/>
      <c r="B27" s="182"/>
      <c r="C27" s="225"/>
      <c r="D27" s="225"/>
      <c r="E27" s="183"/>
      <c r="F27" s="181"/>
      <c r="G27" s="181"/>
      <c r="H27" s="181"/>
      <c r="I27" s="180"/>
      <c r="J27" s="180"/>
      <c r="K27" s="180"/>
    </row>
    <row r="28" spans="1:11" ht="15" x14ac:dyDescent="0.25">
      <c r="A28" s="181"/>
      <c r="B28" s="182"/>
      <c r="C28" s="225"/>
      <c r="D28" s="225"/>
      <c r="E28" s="183"/>
      <c r="F28" s="181"/>
      <c r="G28" s="181"/>
      <c r="H28" s="181"/>
      <c r="I28" s="180"/>
      <c r="J28" s="180"/>
      <c r="K28" s="180"/>
    </row>
    <row r="29" spans="1:11" ht="15" x14ac:dyDescent="0.25">
      <c r="A29" s="181"/>
      <c r="B29" s="182"/>
      <c r="C29" s="225"/>
      <c r="D29" s="225"/>
      <c r="E29" s="183"/>
      <c r="F29" s="181"/>
      <c r="G29" s="181"/>
      <c r="H29" s="181"/>
      <c r="I29" s="180"/>
      <c r="J29" s="180"/>
      <c r="K29" s="180"/>
    </row>
    <row r="30" spans="1:11" ht="15" x14ac:dyDescent="0.25">
      <c r="A30" s="181"/>
      <c r="B30" s="182"/>
      <c r="C30" s="225"/>
      <c r="D30" s="225"/>
      <c r="E30" s="183"/>
      <c r="F30" s="181"/>
      <c r="G30" s="181"/>
      <c r="H30" s="181"/>
      <c r="I30" s="180"/>
      <c r="J30" s="180"/>
      <c r="K30" s="180"/>
    </row>
    <row r="31" spans="1:11" ht="15" x14ac:dyDescent="0.25">
      <c r="A31" s="181"/>
      <c r="B31" s="182"/>
      <c r="C31" s="225"/>
      <c r="D31" s="225"/>
      <c r="E31" s="183"/>
      <c r="F31" s="181"/>
      <c r="G31" s="181"/>
      <c r="H31" s="181"/>
      <c r="I31" s="180"/>
      <c r="J31" s="180"/>
      <c r="K31" s="180"/>
    </row>
    <row r="32" spans="1:11" ht="15" x14ac:dyDescent="0.25">
      <c r="A32" s="181"/>
      <c r="B32" s="182"/>
      <c r="C32" s="225"/>
      <c r="D32" s="225"/>
      <c r="E32" s="183"/>
      <c r="F32" s="181"/>
      <c r="G32" s="181"/>
      <c r="H32" s="181"/>
      <c r="I32" s="180"/>
      <c r="J32" s="180"/>
      <c r="K32" s="180"/>
    </row>
    <row r="33" spans="1:11" ht="15" x14ac:dyDescent="0.25">
      <c r="A33" s="181"/>
      <c r="B33" s="182"/>
      <c r="C33" s="225"/>
      <c r="D33" s="225"/>
      <c r="E33" s="183"/>
      <c r="F33" s="181"/>
      <c r="G33" s="181"/>
      <c r="H33" s="181"/>
      <c r="I33" s="180"/>
      <c r="J33" s="180"/>
      <c r="K33" s="180"/>
    </row>
    <row r="34" spans="1:11" ht="15" x14ac:dyDescent="0.25">
      <c r="A34" s="181"/>
      <c r="B34" s="182"/>
      <c r="C34" s="225"/>
      <c r="D34" s="225"/>
      <c r="E34" s="183"/>
      <c r="F34" s="181"/>
      <c r="G34" s="181"/>
      <c r="H34" s="181"/>
      <c r="I34" s="180"/>
      <c r="J34" s="180"/>
      <c r="K34" s="180"/>
    </row>
    <row r="35" spans="1:11" ht="15" x14ac:dyDescent="0.25">
      <c r="A35" s="181"/>
      <c r="B35" s="182"/>
      <c r="C35" s="225"/>
      <c r="D35" s="225"/>
      <c r="E35" s="183"/>
      <c r="F35" s="181"/>
      <c r="G35" s="181"/>
      <c r="H35" s="181"/>
      <c r="I35" s="180"/>
      <c r="J35" s="180"/>
      <c r="K35" s="180"/>
    </row>
    <row r="36" spans="1:11" ht="15" x14ac:dyDescent="0.25">
      <c r="A36" s="181"/>
      <c r="B36" s="182"/>
      <c r="C36" s="225"/>
      <c r="D36" s="225"/>
      <c r="E36" s="183"/>
      <c r="F36" s="181"/>
      <c r="G36" s="181"/>
      <c r="H36" s="181"/>
      <c r="I36" s="180"/>
      <c r="J36" s="180"/>
      <c r="K36" s="180"/>
    </row>
    <row r="37" spans="1:11" ht="15" x14ac:dyDescent="0.25">
      <c r="A37" s="181"/>
      <c r="B37" s="182"/>
      <c r="C37" s="225"/>
      <c r="D37" s="225"/>
      <c r="E37" s="183"/>
      <c r="F37" s="181"/>
      <c r="G37" s="181"/>
      <c r="H37" s="181"/>
      <c r="I37" s="180"/>
      <c r="J37" s="180"/>
      <c r="K37" s="180"/>
    </row>
    <row r="38" spans="1:11" ht="15" x14ac:dyDescent="0.25">
      <c r="A38" s="181"/>
      <c r="B38" s="182"/>
      <c r="C38" s="225"/>
      <c r="D38" s="225"/>
      <c r="E38" s="183"/>
      <c r="F38" s="181"/>
      <c r="G38" s="181"/>
      <c r="H38" s="181"/>
      <c r="I38" s="180"/>
      <c r="J38" s="180"/>
      <c r="K38" s="180"/>
    </row>
    <row r="39" spans="1:11" ht="15" x14ac:dyDescent="0.25">
      <c r="A39" s="181"/>
      <c r="B39" s="182"/>
      <c r="C39" s="225"/>
      <c r="D39" s="225"/>
      <c r="E39" s="183"/>
      <c r="F39" s="181"/>
      <c r="G39" s="181"/>
      <c r="H39" s="181"/>
      <c r="I39" s="180"/>
      <c r="J39" s="180"/>
      <c r="K39" s="180"/>
    </row>
    <row r="40" spans="1:11" ht="15" x14ac:dyDescent="0.25">
      <c r="A40" s="181"/>
      <c r="B40" s="182"/>
      <c r="C40" s="225"/>
      <c r="D40" s="225"/>
      <c r="E40" s="183"/>
      <c r="F40" s="181"/>
      <c r="G40" s="181"/>
      <c r="H40" s="181"/>
      <c r="I40" s="180"/>
      <c r="J40" s="180"/>
      <c r="K40" s="180"/>
    </row>
    <row r="41" spans="1:11" ht="15" x14ac:dyDescent="0.25">
      <c r="A41" s="181"/>
      <c r="B41" s="182"/>
      <c r="C41" s="225"/>
      <c r="D41" s="225"/>
      <c r="E41" s="183"/>
      <c r="F41" s="181"/>
      <c r="G41" s="181"/>
      <c r="H41" s="181"/>
      <c r="I41" s="180"/>
      <c r="J41" s="180"/>
      <c r="K41" s="180"/>
    </row>
    <row r="42" spans="1:11" ht="15" x14ac:dyDescent="0.25">
      <c r="A42" s="181"/>
      <c r="B42" s="182"/>
      <c r="C42" s="225"/>
      <c r="D42" s="225"/>
      <c r="E42" s="183"/>
      <c r="F42" s="181"/>
      <c r="G42" s="181"/>
      <c r="H42" s="181"/>
      <c r="I42" s="180"/>
      <c r="J42" s="180"/>
      <c r="K42" s="180"/>
    </row>
    <row r="43" spans="1:11" ht="15" x14ac:dyDescent="0.25">
      <c r="A43" s="181"/>
      <c r="B43" s="182"/>
      <c r="C43" s="225"/>
      <c r="D43" s="225"/>
      <c r="E43" s="183"/>
      <c r="F43" s="181"/>
      <c r="G43" s="181"/>
      <c r="H43" s="181"/>
      <c r="I43" s="180"/>
      <c r="J43" s="180"/>
      <c r="K43" s="180"/>
    </row>
    <row r="44" spans="1:11" ht="15" x14ac:dyDescent="0.25">
      <c r="A44" s="181"/>
      <c r="B44" s="182"/>
      <c r="C44" s="225"/>
      <c r="D44" s="225"/>
      <c r="E44" s="183"/>
      <c r="F44" s="181"/>
      <c r="G44" s="181"/>
      <c r="H44" s="181"/>
      <c r="I44" s="180"/>
      <c r="J44" s="180"/>
      <c r="K44" s="180"/>
    </row>
    <row r="45" spans="1:11" ht="15" x14ac:dyDescent="0.25">
      <c r="A45" s="181"/>
      <c r="B45" s="182"/>
      <c r="C45" s="225"/>
      <c r="D45" s="225"/>
      <c r="E45" s="183"/>
      <c r="F45" s="181"/>
      <c r="G45" s="181"/>
      <c r="H45" s="181"/>
      <c r="I45" s="180"/>
      <c r="J45" s="180"/>
      <c r="K45" s="180"/>
    </row>
    <row r="46" spans="1:11" ht="15" x14ac:dyDescent="0.25">
      <c r="A46" s="181"/>
      <c r="B46" s="182"/>
      <c r="C46" s="225"/>
      <c r="D46" s="225"/>
      <c r="E46" s="183"/>
      <c r="F46" s="181"/>
      <c r="G46" s="181"/>
      <c r="H46" s="181"/>
      <c r="I46" s="180"/>
      <c r="J46" s="180"/>
      <c r="K46" s="180"/>
    </row>
    <row r="47" spans="1:11" ht="15" x14ac:dyDescent="0.25">
      <c r="A47" s="184"/>
      <c r="B47" s="226"/>
      <c r="C47" s="227"/>
      <c r="D47" s="227"/>
      <c r="E47" s="228"/>
      <c r="F47" s="184"/>
      <c r="G47" s="184"/>
      <c r="H47" s="184"/>
      <c r="I47" s="180"/>
      <c r="J47" s="180"/>
      <c r="K47" s="180"/>
    </row>
    <row r="48" spans="1:11" x14ac:dyDescent="0.2">
      <c r="A48" s="229"/>
      <c r="B48" s="152"/>
      <c r="C48" s="152"/>
      <c r="D48" s="152"/>
      <c r="E48" s="230"/>
      <c r="F48" s="243" t="s">
        <v>792</v>
      </c>
      <c r="G48" s="220"/>
      <c r="H48" s="233">
        <f>SUM(H22:H47)</f>
        <v>0</v>
      </c>
      <c r="I48" s="232"/>
      <c r="J48" s="185">
        <f>SUM(J22:J47)</f>
        <v>0</v>
      </c>
      <c r="K48" s="185">
        <f>SUM(K22:K47)</f>
        <v>0</v>
      </c>
    </row>
    <row r="49" spans="1:11" x14ac:dyDescent="0.2">
      <c r="A49" s="148"/>
      <c r="B49" s="186"/>
      <c r="C49" s="186"/>
      <c r="D49" s="186"/>
      <c r="E49" s="187"/>
      <c r="F49" s="234" t="s">
        <v>470</v>
      </c>
      <c r="G49" s="188"/>
      <c r="H49" s="235">
        <f>J49</f>
        <v>0</v>
      </c>
      <c r="I49" s="232"/>
      <c r="J49" s="185">
        <f>J48*8.5/100</f>
        <v>0</v>
      </c>
      <c r="K49" s="185">
        <f>K48*8.5/100</f>
        <v>0</v>
      </c>
    </row>
    <row r="50" spans="1:11" ht="13.5" thickBot="1" x14ac:dyDescent="0.25">
      <c r="A50" s="148"/>
      <c r="B50" s="136"/>
      <c r="C50" s="136"/>
      <c r="D50" s="136"/>
      <c r="E50" s="147"/>
      <c r="F50" s="236" t="s">
        <v>471</v>
      </c>
      <c r="G50" s="189"/>
      <c r="H50" s="237">
        <f>K49</f>
        <v>0</v>
      </c>
    </row>
    <row r="51" spans="1:11" x14ac:dyDescent="0.2">
      <c r="A51" s="148"/>
      <c r="B51" s="136"/>
      <c r="C51" s="136"/>
      <c r="D51" s="136"/>
      <c r="E51" s="147"/>
      <c r="F51" s="238"/>
      <c r="G51" s="190"/>
      <c r="H51" s="239">
        <v>0</v>
      </c>
    </row>
    <row r="52" spans="1:11" x14ac:dyDescent="0.2">
      <c r="A52" s="150"/>
      <c r="B52" s="191"/>
      <c r="C52" s="191"/>
      <c r="D52" s="192"/>
      <c r="E52" s="231"/>
      <c r="F52" s="234" t="s">
        <v>793</v>
      </c>
      <c r="G52" s="240"/>
      <c r="H52" s="241">
        <f>+H48+H49</f>
        <v>0</v>
      </c>
    </row>
    <row r="54" spans="1:11" x14ac:dyDescent="0.2">
      <c r="G54" s="134" t="s">
        <v>368</v>
      </c>
    </row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</sheetData>
  <mergeCells count="10">
    <mergeCell ref="A16:A19"/>
    <mergeCell ref="G2:H2"/>
    <mergeCell ref="C10:G10"/>
    <mergeCell ref="F12:H12"/>
    <mergeCell ref="C14:E14"/>
    <mergeCell ref="A12:A14"/>
    <mergeCell ref="F4:H4"/>
    <mergeCell ref="C13:E13"/>
    <mergeCell ref="G7:H7"/>
    <mergeCell ref="G8:H8"/>
  </mergeCells>
  <dataValidations disablePrompts="1" count="1">
    <dataValidation type="list" showInputMessage="1" showErrorMessage="1" sqref="D52">
      <formula1>$E$4:$E$6</formula1>
    </dataValidation>
  </dataValidations>
  <printOptions horizontalCentered="1"/>
  <pageMargins left="0.27559055118110237" right="0.19685039370078741" top="0.39370078740157483" bottom="0.98425196850393704" header="0.43307086614173229" footer="0.51181102362204722"/>
  <pageSetup paperSize="9" scale="87" orientation="portrait" r:id="rId1"/>
  <headerFooter alignWithMargins="0">
    <oddFooter>&amp;C&amp;8&amp;KC00000SOREC&amp;K01+000 Societé Réunionnaise de construction.
 Siret : 83026631800013 APE 4399C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6"/>
  <sheetViews>
    <sheetView showGridLines="0" workbookViewId="0">
      <selection activeCell="I18" sqref="I18"/>
    </sheetView>
  </sheetViews>
  <sheetFormatPr baseColWidth="10" defaultColWidth="3.7109375" defaultRowHeight="12.75" x14ac:dyDescent="0.2"/>
  <cols>
    <col min="1" max="1" width="9.28515625" style="72" customWidth="1"/>
    <col min="2" max="2" width="18" style="72" customWidth="1"/>
    <col min="3" max="3" width="10.140625" style="72" customWidth="1"/>
    <col min="4" max="5" width="11.42578125" style="72" customWidth="1"/>
    <col min="6" max="6" width="13" style="207" customWidth="1"/>
    <col min="7" max="7" width="14.42578125" style="72" customWidth="1"/>
    <col min="8" max="8" width="11.42578125" style="72" customWidth="1"/>
    <col min="9" max="9" width="7.7109375" style="72" customWidth="1"/>
    <col min="10" max="10" width="12.42578125" style="72" customWidth="1"/>
    <col min="11" max="16384" width="3.7109375" style="72"/>
  </cols>
  <sheetData>
    <row r="1" spans="1:9" s="197" customFormat="1" x14ac:dyDescent="0.2">
      <c r="A1" s="193" t="s">
        <v>174</v>
      </c>
      <c r="B1" s="194" t="s">
        <v>57</v>
      </c>
      <c r="C1" s="195" t="s">
        <v>0</v>
      </c>
      <c r="D1" s="195" t="s">
        <v>58</v>
      </c>
      <c r="E1" s="195"/>
      <c r="F1" s="196" t="s">
        <v>59</v>
      </c>
      <c r="G1" s="195" t="s">
        <v>60</v>
      </c>
    </row>
    <row r="2" spans="1:9" x14ac:dyDescent="0.2">
      <c r="A2" s="198" t="s">
        <v>653</v>
      </c>
      <c r="B2" s="198" t="s">
        <v>61</v>
      </c>
      <c r="C2" s="199" t="s">
        <v>5</v>
      </c>
      <c r="D2" s="199">
        <v>1.5</v>
      </c>
      <c r="E2" s="199">
        <f>VLOOKUP(A2,BD_Prod!$A$1:$P$102,15,0)</f>
        <v>21.021161699999997</v>
      </c>
      <c r="F2" s="200">
        <f>D2*E2</f>
        <v>31.531742549999997</v>
      </c>
      <c r="G2" s="201"/>
      <c r="H2" s="39"/>
      <c r="I2" s="42"/>
    </row>
    <row r="3" spans="1:9" x14ac:dyDescent="0.2">
      <c r="A3" s="198" t="s">
        <v>508</v>
      </c>
      <c r="B3" s="198" t="s">
        <v>62</v>
      </c>
      <c r="C3" s="199" t="s">
        <v>36</v>
      </c>
      <c r="D3" s="199">
        <v>400</v>
      </c>
      <c r="E3" s="199">
        <f>VLOOKUP(A3,BD_Prod!$A$1:$P$102,15,0)</f>
        <v>0.27011249999999998</v>
      </c>
      <c r="F3" s="200">
        <f t="shared" ref="F3:F5" si="0">D3*E3</f>
        <v>108.04499999999999</v>
      </c>
      <c r="G3" s="201"/>
      <c r="H3" s="39"/>
      <c r="I3" s="42"/>
    </row>
    <row r="4" spans="1:9" x14ac:dyDescent="0.2">
      <c r="A4" s="198" t="s">
        <v>512</v>
      </c>
      <c r="B4" s="198" t="s">
        <v>63</v>
      </c>
      <c r="C4" s="199" t="s">
        <v>64</v>
      </c>
      <c r="D4" s="199">
        <v>1</v>
      </c>
      <c r="E4" s="199">
        <f>VLOOKUP(A4,BD_Prod!$A$1:$P$102,15,0)</f>
        <v>22.601250000000004</v>
      </c>
      <c r="F4" s="200">
        <f t="shared" si="0"/>
        <v>22.601250000000004</v>
      </c>
      <c r="G4" s="201"/>
      <c r="H4" s="39"/>
      <c r="I4" s="42"/>
    </row>
    <row r="5" spans="1:9" x14ac:dyDescent="0.2">
      <c r="A5" s="198" t="s">
        <v>722</v>
      </c>
      <c r="B5" s="198" t="s">
        <v>65</v>
      </c>
      <c r="C5" s="199" t="s">
        <v>66</v>
      </c>
      <c r="D5" s="199">
        <v>0</v>
      </c>
      <c r="E5" s="199">
        <f>VLOOKUP(A5,BD_Prod!$A$1:$P$102,15,0)</f>
        <v>2.2050000000000001</v>
      </c>
      <c r="F5" s="200">
        <f t="shared" si="0"/>
        <v>0</v>
      </c>
      <c r="G5" s="201"/>
      <c r="H5" s="39"/>
      <c r="I5" s="42"/>
    </row>
    <row r="6" spans="1:9" s="197" customFormat="1" x14ac:dyDescent="0.2">
      <c r="A6" s="193" t="s">
        <v>644</v>
      </c>
      <c r="B6" s="202" t="s">
        <v>115</v>
      </c>
      <c r="C6" s="203"/>
      <c r="D6" s="203"/>
      <c r="E6" s="193" t="s">
        <v>67</v>
      </c>
      <c r="F6" s="204">
        <f>SUM(F2:F5)</f>
        <v>162.17799254999997</v>
      </c>
      <c r="G6" s="205">
        <f>SUM(F3:F4)</f>
        <v>130.64624999999998</v>
      </c>
      <c r="H6" s="87"/>
      <c r="I6" s="88"/>
    </row>
    <row r="7" spans="1:9" x14ac:dyDescent="0.2">
      <c r="A7" s="198" t="s">
        <v>653</v>
      </c>
      <c r="B7" s="198" t="s">
        <v>61</v>
      </c>
      <c r="C7" s="199" t="s">
        <v>5</v>
      </c>
      <c r="D7" s="199">
        <v>1.5</v>
      </c>
      <c r="E7" s="199">
        <f>VLOOKUP(A7,BD_Prod!$A$1:$P$102,15,0)</f>
        <v>21.021161699999997</v>
      </c>
      <c r="F7" s="200">
        <f>D7*E7</f>
        <v>31.531742549999997</v>
      </c>
      <c r="G7" s="206"/>
      <c r="H7" s="39"/>
      <c r="I7" s="42"/>
    </row>
    <row r="8" spans="1:9" x14ac:dyDescent="0.2">
      <c r="A8" s="198" t="s">
        <v>508</v>
      </c>
      <c r="B8" s="198" t="s">
        <v>62</v>
      </c>
      <c r="C8" s="199" t="s">
        <v>36</v>
      </c>
      <c r="D8" s="199">
        <v>350</v>
      </c>
      <c r="E8" s="199">
        <f>VLOOKUP(A8,BD_Prod!$A$1:$P$102,15,0)</f>
        <v>0.27011249999999998</v>
      </c>
      <c r="F8" s="200">
        <f t="shared" ref="F8:F10" si="1">D8*E8</f>
        <v>94.539374999999993</v>
      </c>
      <c r="G8" s="201"/>
      <c r="H8" s="39"/>
      <c r="I8" s="42"/>
    </row>
    <row r="9" spans="1:9" x14ac:dyDescent="0.2">
      <c r="A9" s="198" t="s">
        <v>513</v>
      </c>
      <c r="B9" s="198" t="s">
        <v>712</v>
      </c>
      <c r="C9" s="199" t="s">
        <v>64</v>
      </c>
      <c r="D9" s="199">
        <v>1</v>
      </c>
      <c r="E9" s="199">
        <f>VLOOKUP(A9,BD_Prod!$A$1:$P$102,15,0)</f>
        <v>32.52375</v>
      </c>
      <c r="F9" s="200">
        <f t="shared" si="1"/>
        <v>32.52375</v>
      </c>
      <c r="G9" s="201"/>
      <c r="H9" s="39"/>
      <c r="I9" s="42"/>
    </row>
    <row r="10" spans="1:9" x14ac:dyDescent="0.2">
      <c r="A10" s="198" t="s">
        <v>722</v>
      </c>
      <c r="B10" s="198" t="s">
        <v>65</v>
      </c>
      <c r="C10" s="199" t="s">
        <v>66</v>
      </c>
      <c r="D10" s="199">
        <v>0</v>
      </c>
      <c r="E10" s="199">
        <f>VLOOKUP(A10,BD_Prod!$A$1:$P$102,15,0)</f>
        <v>2.2050000000000001</v>
      </c>
      <c r="F10" s="200">
        <f t="shared" si="1"/>
        <v>0</v>
      </c>
      <c r="G10" s="201"/>
    </row>
    <row r="11" spans="1:9" s="197" customFormat="1" x14ac:dyDescent="0.2">
      <c r="A11" s="193" t="s">
        <v>645</v>
      </c>
      <c r="B11" s="202" t="s">
        <v>116</v>
      </c>
      <c r="C11" s="203"/>
      <c r="D11" s="203"/>
      <c r="E11" s="193" t="s">
        <v>67</v>
      </c>
      <c r="F11" s="204">
        <f>SUM(F7:F10)</f>
        <v>158.59486755</v>
      </c>
      <c r="G11" s="205">
        <f>SUM(F8:F9)</f>
        <v>127.06312499999999</v>
      </c>
    </row>
    <row r="12" spans="1:9" x14ac:dyDescent="0.2">
      <c r="A12" s="198" t="s">
        <v>653</v>
      </c>
      <c r="B12" s="198" t="s">
        <v>61</v>
      </c>
      <c r="C12" s="199" t="s">
        <v>5</v>
      </c>
      <c r="D12" s="199">
        <v>1.5</v>
      </c>
      <c r="E12" s="199">
        <f>VLOOKUP(A12,BD_Prod!$A$1:$P$102,15,0)</f>
        <v>21.021161699999997</v>
      </c>
      <c r="F12" s="200">
        <f>D12*E12</f>
        <v>31.531742549999997</v>
      </c>
      <c r="G12" s="206"/>
    </row>
    <row r="13" spans="1:9" x14ac:dyDescent="0.2">
      <c r="A13" s="198" t="s">
        <v>508</v>
      </c>
      <c r="B13" s="198" t="s">
        <v>62</v>
      </c>
      <c r="C13" s="199" t="s">
        <v>36</v>
      </c>
      <c r="D13" s="199">
        <v>250</v>
      </c>
      <c r="E13" s="199">
        <f>VLOOKUP(A13,BD_Prod!$A$1:$P$102,15,0)</f>
        <v>0.27011249999999998</v>
      </c>
      <c r="F13" s="200">
        <f t="shared" ref="F13:F15" si="2">D13*E13</f>
        <v>67.528124999999989</v>
      </c>
      <c r="G13" s="201"/>
    </row>
    <row r="14" spans="1:9" x14ac:dyDescent="0.2">
      <c r="A14" s="198" t="s">
        <v>513</v>
      </c>
      <c r="B14" s="198" t="s">
        <v>712</v>
      </c>
      <c r="C14" s="199" t="s">
        <v>64</v>
      </c>
      <c r="D14" s="199">
        <v>1</v>
      </c>
      <c r="E14" s="199">
        <f>VLOOKUP(A14,BD_Prod!$A$1:$P$102,15,0)</f>
        <v>32.52375</v>
      </c>
      <c r="F14" s="200">
        <f t="shared" si="2"/>
        <v>32.52375</v>
      </c>
      <c r="G14" s="201"/>
    </row>
    <row r="15" spans="1:9" x14ac:dyDescent="0.2">
      <c r="A15" s="198" t="s">
        <v>722</v>
      </c>
      <c r="B15" s="198" t="s">
        <v>65</v>
      </c>
      <c r="C15" s="199" t="s">
        <v>66</v>
      </c>
      <c r="D15" s="199">
        <v>0</v>
      </c>
      <c r="E15" s="199">
        <f>VLOOKUP(A15,BD_Prod!$A$1:$P$102,15,0)</f>
        <v>2.2050000000000001</v>
      </c>
      <c r="F15" s="200">
        <f t="shared" si="2"/>
        <v>0</v>
      </c>
      <c r="G15" s="201"/>
    </row>
    <row r="16" spans="1:9" s="197" customFormat="1" x14ac:dyDescent="0.2">
      <c r="A16" s="193" t="s">
        <v>646</v>
      </c>
      <c r="B16" s="202" t="s">
        <v>117</v>
      </c>
      <c r="C16" s="203"/>
      <c r="D16" s="203"/>
      <c r="E16" s="193" t="s">
        <v>67</v>
      </c>
      <c r="F16" s="204">
        <f>SUM(F12:F15)</f>
        <v>131.58361754999999</v>
      </c>
      <c r="G16" s="205">
        <f>SUM(F13:F14)</f>
        <v>100.051875</v>
      </c>
    </row>
    <row r="17" spans="1:7" ht="12.75" customHeight="1" x14ac:dyDescent="0.2">
      <c r="A17" s="198" t="s">
        <v>653</v>
      </c>
      <c r="B17" s="198" t="s">
        <v>61</v>
      </c>
      <c r="C17" s="199" t="s">
        <v>5</v>
      </c>
      <c r="D17" s="199">
        <v>1.5</v>
      </c>
      <c r="E17" s="199">
        <f>VLOOKUP(A17,BD_Prod!$A$1:$P$102,15,0)</f>
        <v>21.021161699999997</v>
      </c>
      <c r="F17" s="200">
        <f>D17*E17</f>
        <v>31.531742549999997</v>
      </c>
      <c r="G17" s="206"/>
    </row>
    <row r="18" spans="1:7" x14ac:dyDescent="0.2">
      <c r="A18" s="198" t="s">
        <v>508</v>
      </c>
      <c r="B18" s="198" t="s">
        <v>62</v>
      </c>
      <c r="C18" s="199" t="s">
        <v>36</v>
      </c>
      <c r="D18" s="199">
        <v>400</v>
      </c>
      <c r="E18" s="199">
        <f>VLOOKUP(A18,BD_Prod!$A$1:$P$102,15,0)</f>
        <v>0.27011249999999998</v>
      </c>
      <c r="F18" s="200">
        <f t="shared" ref="F18:F20" si="3">D18*E18</f>
        <v>108.04499999999999</v>
      </c>
      <c r="G18" s="201"/>
    </row>
    <row r="19" spans="1:7" x14ac:dyDescent="0.2">
      <c r="A19" s="198" t="s">
        <v>510</v>
      </c>
      <c r="B19" s="198" t="s">
        <v>68</v>
      </c>
      <c r="C19" s="199" t="s">
        <v>64</v>
      </c>
      <c r="D19" s="199">
        <v>1</v>
      </c>
      <c r="E19" s="199">
        <f>VLOOKUP(A19,BD_Prod!$A$1:$P$102,15,0)</f>
        <v>170.88750000000002</v>
      </c>
      <c r="F19" s="200">
        <f t="shared" si="3"/>
        <v>170.88750000000002</v>
      </c>
      <c r="G19" s="201"/>
    </row>
    <row r="20" spans="1:7" x14ac:dyDescent="0.2">
      <c r="A20" s="198" t="s">
        <v>722</v>
      </c>
      <c r="B20" s="198" t="s">
        <v>65</v>
      </c>
      <c r="C20" s="199" t="s">
        <v>66</v>
      </c>
      <c r="D20" s="199">
        <v>0</v>
      </c>
      <c r="E20" s="199">
        <f>VLOOKUP(A20,BD_Prod!$A$1:$P$102,15,0)</f>
        <v>2.2050000000000001</v>
      </c>
      <c r="F20" s="200">
        <f t="shared" si="3"/>
        <v>0</v>
      </c>
      <c r="G20" s="201"/>
    </row>
    <row r="21" spans="1:7" s="197" customFormat="1" x14ac:dyDescent="0.2">
      <c r="A21" s="193" t="s">
        <v>647</v>
      </c>
      <c r="B21" s="202" t="s">
        <v>118</v>
      </c>
      <c r="C21" s="203"/>
      <c r="D21" s="203"/>
      <c r="E21" s="193" t="s">
        <v>67</v>
      </c>
      <c r="F21" s="204">
        <f>SUM(F17:F20)</f>
        <v>310.46424254999999</v>
      </c>
      <c r="G21" s="205">
        <f>SUM(F18:F19)</f>
        <v>278.9325</v>
      </c>
    </row>
    <row r="22" spans="1:7" x14ac:dyDescent="0.2">
      <c r="A22" s="198" t="s">
        <v>653</v>
      </c>
      <c r="B22" s="198" t="s">
        <v>61</v>
      </c>
      <c r="C22" s="199" t="s">
        <v>5</v>
      </c>
      <c r="D22" s="199">
        <v>1.5</v>
      </c>
      <c r="E22" s="199">
        <f>VLOOKUP(A22,BD_Prod!$A$1:$P$102,15,0)</f>
        <v>21.021161699999997</v>
      </c>
      <c r="F22" s="200">
        <f>D22*E22</f>
        <v>31.531742549999997</v>
      </c>
      <c r="G22" s="206"/>
    </row>
    <row r="23" spans="1:7" x14ac:dyDescent="0.2">
      <c r="A23" s="198" t="s">
        <v>508</v>
      </c>
      <c r="B23" s="198" t="s">
        <v>62</v>
      </c>
      <c r="C23" s="199" t="s">
        <v>36</v>
      </c>
      <c r="D23" s="199">
        <v>400</v>
      </c>
      <c r="E23" s="199">
        <f>VLOOKUP(A23,BD_Prod!$A$1:$P$102,15,0)</f>
        <v>0.27011249999999998</v>
      </c>
      <c r="F23" s="200">
        <f t="shared" ref="F23:F25" si="4">D23*E23</f>
        <v>108.04499999999999</v>
      </c>
      <c r="G23" s="201"/>
    </row>
    <row r="24" spans="1:7" x14ac:dyDescent="0.2">
      <c r="A24" s="198" t="s">
        <v>510</v>
      </c>
      <c r="B24" s="198" t="s">
        <v>68</v>
      </c>
      <c r="C24" s="199" t="s">
        <v>64</v>
      </c>
      <c r="D24" s="199">
        <v>1</v>
      </c>
      <c r="E24" s="199">
        <f>VLOOKUP(A24,BD_Prod!$A$1:$P$102,15,0)</f>
        <v>170.88750000000002</v>
      </c>
      <c r="F24" s="200">
        <f t="shared" si="4"/>
        <v>170.88750000000002</v>
      </c>
      <c r="G24" s="201"/>
    </row>
    <row r="25" spans="1:7" x14ac:dyDescent="0.2">
      <c r="A25" s="198" t="s">
        <v>551</v>
      </c>
      <c r="B25" s="198" t="s">
        <v>27</v>
      </c>
      <c r="C25" s="199" t="s">
        <v>45</v>
      </c>
      <c r="D25" s="199">
        <v>8</v>
      </c>
      <c r="E25" s="199">
        <f>VLOOKUP(A25,BD_Prod!$A$1:$P$102,15,0)</f>
        <v>16.978500000000004</v>
      </c>
      <c r="F25" s="200">
        <f t="shared" si="4"/>
        <v>135.82800000000003</v>
      </c>
      <c r="G25" s="201"/>
    </row>
    <row r="26" spans="1:7" s="197" customFormat="1" x14ac:dyDescent="0.2">
      <c r="A26" s="193" t="s">
        <v>648</v>
      </c>
      <c r="B26" s="202" t="s">
        <v>119</v>
      </c>
      <c r="C26" s="203"/>
      <c r="D26" s="203"/>
      <c r="E26" s="193" t="s">
        <v>67</v>
      </c>
      <c r="F26" s="204">
        <f>SUM(F22:F25)</f>
        <v>446.29224255000003</v>
      </c>
      <c r="G26" s="205">
        <f>SUM(F23:F25)</f>
        <v>414.76050000000004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104"/>
  <sheetViews>
    <sheetView tabSelected="1" workbookViewId="0">
      <pane ySplit="5" topLeftCell="A6" activePane="bottomLeft" state="frozen"/>
      <selection pane="bottomLeft" activeCell="T16" sqref="T16"/>
    </sheetView>
  </sheetViews>
  <sheetFormatPr baseColWidth="10" defaultRowHeight="12.75" x14ac:dyDescent="0.25"/>
  <cols>
    <col min="1" max="1" width="6.7109375" style="34" customWidth="1"/>
    <col min="2" max="2" width="12.140625" style="40" customWidth="1"/>
    <col min="3" max="3" width="12.140625" style="34" customWidth="1"/>
    <col min="4" max="8" width="12.140625" style="35" customWidth="1"/>
    <col min="9" max="9" width="12.140625" style="36" customWidth="1"/>
    <col min="10" max="15" width="12.140625" style="35" customWidth="1"/>
    <col min="16" max="16" width="11.42578125" style="35" customWidth="1"/>
    <col min="17" max="18" width="6.7109375" style="34" customWidth="1"/>
    <col min="19" max="19" width="6.5703125" style="34" customWidth="1"/>
    <col min="20" max="16384" width="11.42578125" style="34"/>
  </cols>
  <sheetData>
    <row r="1" spans="1:18" s="30" customFormat="1" ht="43.5" customHeight="1" x14ac:dyDescent="0.25">
      <c r="A1" s="89" t="s">
        <v>174</v>
      </c>
      <c r="B1" s="90" t="s">
        <v>7</v>
      </c>
      <c r="C1" s="89" t="s">
        <v>9</v>
      </c>
      <c r="D1" s="91">
        <v>5</v>
      </c>
      <c r="E1" s="91" t="s">
        <v>10</v>
      </c>
      <c r="F1" s="91" t="s">
        <v>11</v>
      </c>
      <c r="G1" s="91" t="s">
        <v>715</v>
      </c>
      <c r="H1" s="92" t="s">
        <v>8</v>
      </c>
      <c r="I1" s="91" t="s">
        <v>9</v>
      </c>
      <c r="J1" s="91" t="s">
        <v>180</v>
      </c>
      <c r="K1" s="91" t="s">
        <v>10</v>
      </c>
      <c r="L1" s="91" t="s">
        <v>11</v>
      </c>
      <c r="M1" s="91" t="s">
        <v>715</v>
      </c>
      <c r="N1" s="91" t="s">
        <v>13</v>
      </c>
      <c r="O1" s="91" t="s">
        <v>14</v>
      </c>
      <c r="P1" s="91" t="s">
        <v>12</v>
      </c>
    </row>
    <row r="2" spans="1:18" ht="24" customHeight="1" x14ac:dyDescent="0.25">
      <c r="A2" s="34" t="s">
        <v>653</v>
      </c>
      <c r="B2" s="35">
        <v>2</v>
      </c>
      <c r="C2" s="35">
        <v>9.67</v>
      </c>
      <c r="D2" s="35">
        <f>C2*5/100</f>
        <v>0.48350000000000004</v>
      </c>
      <c r="E2" s="35">
        <f>(C2+D2)*0.22</f>
        <v>2.2337699999999998</v>
      </c>
      <c r="F2" s="35">
        <f>(C2+D2)*0.42</f>
        <v>4.2644699999999993</v>
      </c>
      <c r="G2" s="35">
        <f>(C2+D2+E2)*1.42</f>
        <v>17.589923399999996</v>
      </c>
      <c r="H2" s="35">
        <v>2</v>
      </c>
      <c r="I2" s="35">
        <v>10</v>
      </c>
      <c r="J2" s="35">
        <f>I2*5/100</f>
        <v>0.5</v>
      </c>
      <c r="K2" s="35">
        <f>(I2+J2)*0.22</f>
        <v>2.31</v>
      </c>
      <c r="L2" s="35">
        <f>(I2+J2)*0.42</f>
        <v>4.41</v>
      </c>
      <c r="M2" s="35">
        <f>(I2+J2+K2+L2)*1.42</f>
        <v>24.452399999999997</v>
      </c>
      <c r="N2" s="35">
        <f>(M2*H2)+(G2*B2)</f>
        <v>84.084646799999987</v>
      </c>
      <c r="O2" s="35">
        <f>N2/(B2+H2)</f>
        <v>21.021161699999997</v>
      </c>
      <c r="P2" s="35">
        <f>F2+L2</f>
        <v>8.6744699999999995</v>
      </c>
    </row>
    <row r="3" spans="1:18" ht="24" customHeight="1" x14ac:dyDescent="0.25">
      <c r="B3" s="35"/>
      <c r="C3" s="35"/>
      <c r="G3" s="35" t="s">
        <v>726</v>
      </c>
      <c r="H3" s="35" t="s">
        <v>690</v>
      </c>
      <c r="I3" s="35" t="s">
        <v>727</v>
      </c>
    </row>
    <row r="4" spans="1:18" ht="66.75" customHeight="1" x14ac:dyDescent="0.25">
      <c r="A4" s="45"/>
      <c r="B4" s="46"/>
      <c r="C4" s="45"/>
      <c r="D4" s="47"/>
      <c r="E4" s="47"/>
      <c r="F4" s="47"/>
      <c r="G4" s="47"/>
      <c r="H4" s="47"/>
      <c r="I4" s="48" t="s">
        <v>596</v>
      </c>
      <c r="J4" s="51" t="s">
        <v>602</v>
      </c>
      <c r="K4" s="51" t="s">
        <v>602</v>
      </c>
      <c r="L4" s="48" t="s">
        <v>597</v>
      </c>
      <c r="M4" s="48" t="s">
        <v>598</v>
      </c>
      <c r="N4" s="48" t="s">
        <v>599</v>
      </c>
      <c r="O4" s="48" t="s">
        <v>600</v>
      </c>
      <c r="P4" s="48" t="s">
        <v>601</v>
      </c>
      <c r="Q4" s="49" t="s">
        <v>603</v>
      </c>
      <c r="R4" s="49" t="s">
        <v>604</v>
      </c>
    </row>
    <row r="5" spans="1:18" s="39" customFormat="1" ht="20.25" customHeight="1" x14ac:dyDescent="0.25">
      <c r="A5" s="37" t="s">
        <v>771</v>
      </c>
      <c r="B5" s="41" t="s">
        <v>173</v>
      </c>
      <c r="C5" s="37" t="s">
        <v>459</v>
      </c>
      <c r="D5" s="38" t="s">
        <v>587</v>
      </c>
      <c r="E5" s="38" t="s">
        <v>586</v>
      </c>
      <c r="F5" s="38" t="s">
        <v>506</v>
      </c>
      <c r="G5" s="38" t="s">
        <v>592</v>
      </c>
      <c r="H5" s="52" t="s">
        <v>582</v>
      </c>
      <c r="I5" s="38" t="s">
        <v>585</v>
      </c>
      <c r="J5" s="53" t="s">
        <v>583</v>
      </c>
      <c r="K5" s="53" t="s">
        <v>584</v>
      </c>
      <c r="L5" s="38" t="s">
        <v>589</v>
      </c>
      <c r="M5" s="38" t="s">
        <v>507</v>
      </c>
      <c r="N5" s="38" t="s">
        <v>588</v>
      </c>
      <c r="O5" s="38" t="s">
        <v>590</v>
      </c>
      <c r="P5" s="38" t="s">
        <v>591</v>
      </c>
      <c r="Q5" s="50">
        <v>1.05</v>
      </c>
      <c r="R5" s="50">
        <v>1.05</v>
      </c>
    </row>
    <row r="6" spans="1:18" x14ac:dyDescent="0.25">
      <c r="A6" s="34" t="s">
        <v>508</v>
      </c>
      <c r="B6" s="42" t="s">
        <v>15</v>
      </c>
      <c r="C6" s="30" t="s">
        <v>456</v>
      </c>
      <c r="D6" s="31">
        <v>5.5</v>
      </c>
      <c r="E6" s="35">
        <v>25</v>
      </c>
      <c r="F6" s="35" t="s">
        <v>36</v>
      </c>
      <c r="G6" s="32" t="s">
        <v>169</v>
      </c>
      <c r="H6" s="36">
        <v>1000</v>
      </c>
      <c r="I6" s="36">
        <f t="shared" ref="I6:I37" si="0">D6/E6</f>
        <v>0.22</v>
      </c>
      <c r="J6" s="36">
        <v>20</v>
      </c>
      <c r="K6" s="36">
        <v>5</v>
      </c>
      <c r="L6" s="35">
        <f t="shared" ref="L6:L37" si="1">(I6*H6)+SUM(J6:K6)</f>
        <v>245</v>
      </c>
      <c r="M6" s="35">
        <f t="shared" ref="M6:M37" si="2">I6*P6/N6</f>
        <v>1.0000000000000002</v>
      </c>
      <c r="N6" s="35">
        <f t="shared" ref="N6:N37" si="3">L6/H6</f>
        <v>0.245</v>
      </c>
      <c r="O6" s="35">
        <f t="shared" ref="O6:O37" si="4">N6*ALEA*AGM</f>
        <v>0.27011249999999998</v>
      </c>
      <c r="P6" s="35">
        <f t="shared" ref="P6:P37" si="5">(H6+SUM(J6:K6)/I6)/H6</f>
        <v>1.1136363636363638</v>
      </c>
    </row>
    <row r="7" spans="1:18" s="30" customFormat="1" x14ac:dyDescent="0.25">
      <c r="A7" s="34" t="s">
        <v>509</v>
      </c>
      <c r="B7" s="42" t="s">
        <v>16</v>
      </c>
      <c r="C7" s="30" t="s">
        <v>456</v>
      </c>
      <c r="D7" s="31">
        <v>5</v>
      </c>
      <c r="E7" s="32">
        <v>25</v>
      </c>
      <c r="F7" s="32" t="s">
        <v>36</v>
      </c>
      <c r="G7" s="32" t="s">
        <v>169</v>
      </c>
      <c r="H7" s="32">
        <v>1000</v>
      </c>
      <c r="I7" s="36">
        <f t="shared" si="0"/>
        <v>0.2</v>
      </c>
      <c r="J7" s="36">
        <v>20</v>
      </c>
      <c r="K7" s="36">
        <v>5</v>
      </c>
      <c r="L7" s="35">
        <f t="shared" si="1"/>
        <v>225</v>
      </c>
      <c r="M7" s="35">
        <f t="shared" si="2"/>
        <v>1</v>
      </c>
      <c r="N7" s="35">
        <f t="shared" si="3"/>
        <v>0.22500000000000001</v>
      </c>
      <c r="O7" s="35">
        <f t="shared" si="4"/>
        <v>0.24806250000000002</v>
      </c>
      <c r="P7" s="35">
        <f t="shared" si="5"/>
        <v>1.125</v>
      </c>
      <c r="Q7" s="32"/>
      <c r="R7" s="32"/>
    </row>
    <row r="8" spans="1:18" s="39" customFormat="1" x14ac:dyDescent="0.25">
      <c r="A8" s="34" t="s">
        <v>510</v>
      </c>
      <c r="B8" s="42" t="s">
        <v>17</v>
      </c>
      <c r="C8" s="30" t="s">
        <v>593</v>
      </c>
      <c r="D8" s="31">
        <v>130</v>
      </c>
      <c r="E8" s="36">
        <v>1</v>
      </c>
      <c r="F8" s="36" t="s">
        <v>22</v>
      </c>
      <c r="G8" s="32" t="s">
        <v>172</v>
      </c>
      <c r="H8" s="36">
        <v>1</v>
      </c>
      <c r="I8" s="36">
        <f t="shared" si="0"/>
        <v>130</v>
      </c>
      <c r="J8" s="36">
        <v>20</v>
      </c>
      <c r="K8" s="36">
        <v>5</v>
      </c>
      <c r="L8" s="35">
        <f t="shared" si="1"/>
        <v>155</v>
      </c>
      <c r="M8" s="35">
        <f t="shared" si="2"/>
        <v>1</v>
      </c>
      <c r="N8" s="35">
        <f t="shared" si="3"/>
        <v>155</v>
      </c>
      <c r="O8" s="35">
        <f t="shared" si="4"/>
        <v>170.88750000000002</v>
      </c>
      <c r="P8" s="35">
        <f t="shared" si="5"/>
        <v>1.1923076923076923</v>
      </c>
    </row>
    <row r="9" spans="1:18" s="39" customFormat="1" x14ac:dyDescent="0.25">
      <c r="A9" s="34" t="s">
        <v>511</v>
      </c>
      <c r="B9" s="42" t="s">
        <v>225</v>
      </c>
      <c r="C9" s="30" t="s">
        <v>593</v>
      </c>
      <c r="D9" s="31">
        <v>35</v>
      </c>
      <c r="E9" s="36">
        <v>1</v>
      </c>
      <c r="F9" s="36" t="s">
        <v>22</v>
      </c>
      <c r="G9" s="32" t="s">
        <v>172</v>
      </c>
      <c r="H9" s="36">
        <v>1</v>
      </c>
      <c r="I9" s="36">
        <f t="shared" si="0"/>
        <v>35</v>
      </c>
      <c r="J9" s="36">
        <v>20</v>
      </c>
      <c r="K9" s="36">
        <v>5</v>
      </c>
      <c r="L9" s="35">
        <f t="shared" si="1"/>
        <v>60</v>
      </c>
      <c r="M9" s="35">
        <f t="shared" si="2"/>
        <v>1.0000000000000002</v>
      </c>
      <c r="N9" s="35">
        <f t="shared" si="3"/>
        <v>60</v>
      </c>
      <c r="O9" s="35">
        <f t="shared" si="4"/>
        <v>66.150000000000006</v>
      </c>
      <c r="P9" s="35">
        <f t="shared" si="5"/>
        <v>1.7142857142857144</v>
      </c>
    </row>
    <row r="10" spans="1:18" s="39" customFormat="1" x14ac:dyDescent="0.25">
      <c r="A10" s="34" t="s">
        <v>512</v>
      </c>
      <c r="B10" s="43" t="s">
        <v>501</v>
      </c>
      <c r="C10" s="30" t="s">
        <v>593</v>
      </c>
      <c r="D10" s="31">
        <v>180</v>
      </c>
      <c r="E10" s="36">
        <v>10</v>
      </c>
      <c r="F10" s="36" t="s">
        <v>22</v>
      </c>
      <c r="G10" s="32" t="s">
        <v>172</v>
      </c>
      <c r="H10" s="36">
        <v>10</v>
      </c>
      <c r="I10" s="36">
        <f t="shared" si="0"/>
        <v>18</v>
      </c>
      <c r="J10" s="36">
        <v>20</v>
      </c>
      <c r="K10" s="36">
        <v>5</v>
      </c>
      <c r="L10" s="35">
        <f t="shared" si="1"/>
        <v>205</v>
      </c>
      <c r="M10" s="35">
        <f t="shared" si="2"/>
        <v>1</v>
      </c>
      <c r="N10" s="35">
        <f t="shared" si="3"/>
        <v>20.5</v>
      </c>
      <c r="O10" s="35">
        <f t="shared" si="4"/>
        <v>22.601250000000004</v>
      </c>
      <c r="P10" s="35">
        <f t="shared" si="5"/>
        <v>1.1388888888888888</v>
      </c>
    </row>
    <row r="11" spans="1:18" s="30" customFormat="1" x14ac:dyDescent="0.25">
      <c r="A11" s="34" t="s">
        <v>513</v>
      </c>
      <c r="B11" s="43" t="s">
        <v>502</v>
      </c>
      <c r="C11" s="30" t="s">
        <v>593</v>
      </c>
      <c r="D11" s="31">
        <v>270</v>
      </c>
      <c r="E11" s="32">
        <v>10</v>
      </c>
      <c r="F11" s="32" t="s">
        <v>22</v>
      </c>
      <c r="G11" s="32" t="s">
        <v>172</v>
      </c>
      <c r="H11" s="32">
        <v>10</v>
      </c>
      <c r="I11" s="36">
        <f t="shared" si="0"/>
        <v>27</v>
      </c>
      <c r="J11" s="36">
        <v>20</v>
      </c>
      <c r="K11" s="36">
        <v>5</v>
      </c>
      <c r="L11" s="35">
        <f t="shared" si="1"/>
        <v>295</v>
      </c>
      <c r="M11" s="35">
        <f t="shared" si="2"/>
        <v>1</v>
      </c>
      <c r="N11" s="35">
        <f t="shared" si="3"/>
        <v>29.5</v>
      </c>
      <c r="O11" s="35">
        <f t="shared" si="4"/>
        <v>32.52375</v>
      </c>
      <c r="P11" s="35">
        <f t="shared" si="5"/>
        <v>1.0925925925925926</v>
      </c>
      <c r="Q11" s="32"/>
      <c r="R11" s="32"/>
    </row>
    <row r="12" spans="1:18" s="39" customFormat="1" x14ac:dyDescent="0.25">
      <c r="A12" s="34" t="s">
        <v>514</v>
      </c>
      <c r="B12" s="42" t="s">
        <v>19</v>
      </c>
      <c r="C12" s="30" t="s">
        <v>457</v>
      </c>
      <c r="D12" s="31">
        <v>1</v>
      </c>
      <c r="E12" s="36">
        <v>1</v>
      </c>
      <c r="F12" s="36" t="s">
        <v>34</v>
      </c>
      <c r="G12" s="32" t="s">
        <v>170</v>
      </c>
      <c r="H12" s="36">
        <v>630</v>
      </c>
      <c r="I12" s="36">
        <f t="shared" si="0"/>
        <v>1</v>
      </c>
      <c r="J12" s="36">
        <v>20</v>
      </c>
      <c r="K12" s="36">
        <v>5</v>
      </c>
      <c r="L12" s="35">
        <f t="shared" si="1"/>
        <v>655</v>
      </c>
      <c r="M12" s="35">
        <f t="shared" si="2"/>
        <v>1</v>
      </c>
      <c r="N12" s="35">
        <f t="shared" si="3"/>
        <v>1.0396825396825398</v>
      </c>
      <c r="O12" s="35">
        <f t="shared" si="4"/>
        <v>1.1462500000000002</v>
      </c>
      <c r="P12" s="35">
        <f t="shared" si="5"/>
        <v>1.0396825396825398</v>
      </c>
    </row>
    <row r="13" spans="1:18" s="39" customFormat="1" x14ac:dyDescent="0.25">
      <c r="A13" s="34" t="s">
        <v>515</v>
      </c>
      <c r="B13" s="42" t="s">
        <v>26</v>
      </c>
      <c r="C13" s="30" t="s">
        <v>457</v>
      </c>
      <c r="D13" s="31">
        <v>0.9</v>
      </c>
      <c r="E13" s="32">
        <v>1</v>
      </c>
      <c r="F13" s="32" t="s">
        <v>34</v>
      </c>
      <c r="G13" s="32" t="s">
        <v>170</v>
      </c>
      <c r="H13" s="32">
        <v>1260</v>
      </c>
      <c r="I13" s="36">
        <f t="shared" si="0"/>
        <v>0.9</v>
      </c>
      <c r="J13" s="36">
        <v>20</v>
      </c>
      <c r="K13" s="36">
        <v>5</v>
      </c>
      <c r="L13" s="35">
        <f t="shared" si="1"/>
        <v>1159</v>
      </c>
      <c r="M13" s="35">
        <f t="shared" si="2"/>
        <v>1</v>
      </c>
      <c r="N13" s="35">
        <f t="shared" si="3"/>
        <v>0.91984126984126979</v>
      </c>
      <c r="O13" s="35">
        <f t="shared" si="4"/>
        <v>1.0141249999999999</v>
      </c>
      <c r="P13" s="35">
        <f t="shared" si="5"/>
        <v>1.0220458553791887</v>
      </c>
    </row>
    <row r="14" spans="1:18" s="39" customFormat="1" x14ac:dyDescent="0.25">
      <c r="A14" s="34" t="s">
        <v>649</v>
      </c>
      <c r="B14" s="42" t="s">
        <v>21</v>
      </c>
      <c r="C14" s="30"/>
      <c r="D14" s="31">
        <v>170</v>
      </c>
      <c r="E14" s="36">
        <v>1</v>
      </c>
      <c r="F14" s="36" t="s">
        <v>22</v>
      </c>
      <c r="G14" s="32"/>
      <c r="H14" s="36">
        <v>1</v>
      </c>
      <c r="I14" s="36">
        <f t="shared" si="0"/>
        <v>170</v>
      </c>
      <c r="J14" s="36">
        <v>20</v>
      </c>
      <c r="K14" s="36">
        <v>5</v>
      </c>
      <c r="L14" s="35">
        <f t="shared" si="1"/>
        <v>195</v>
      </c>
      <c r="M14" s="35">
        <f t="shared" si="2"/>
        <v>1</v>
      </c>
      <c r="N14" s="35">
        <f t="shared" si="3"/>
        <v>195</v>
      </c>
      <c r="O14" s="35">
        <f t="shared" si="4"/>
        <v>214.98750000000001</v>
      </c>
      <c r="P14" s="35">
        <f t="shared" si="5"/>
        <v>1.1470588235294117</v>
      </c>
    </row>
    <row r="15" spans="1:18" s="39" customFormat="1" x14ac:dyDescent="0.25">
      <c r="A15" s="34" t="s">
        <v>516</v>
      </c>
      <c r="B15" s="42" t="s">
        <v>658</v>
      </c>
      <c r="C15" s="30" t="s">
        <v>456</v>
      </c>
      <c r="D15" s="31">
        <v>6</v>
      </c>
      <c r="E15" s="36">
        <v>7.92</v>
      </c>
      <c r="F15" s="36" t="s">
        <v>36</v>
      </c>
      <c r="G15" s="32" t="s">
        <v>171</v>
      </c>
      <c r="H15" s="36">
        <v>1000</v>
      </c>
      <c r="I15" s="36">
        <f t="shared" si="0"/>
        <v>0.75757575757575757</v>
      </c>
      <c r="J15" s="36">
        <v>20</v>
      </c>
      <c r="K15" s="36">
        <v>5</v>
      </c>
      <c r="L15" s="35">
        <f t="shared" si="1"/>
        <v>782.57575757575762</v>
      </c>
      <c r="M15" s="35">
        <f t="shared" si="2"/>
        <v>0.99999999999999989</v>
      </c>
      <c r="N15" s="35">
        <f t="shared" si="3"/>
        <v>0.78257575757575759</v>
      </c>
      <c r="O15" s="35">
        <f t="shared" si="4"/>
        <v>0.86278977272727286</v>
      </c>
      <c r="P15" s="35">
        <f t="shared" si="5"/>
        <v>1.0329999999999999</v>
      </c>
    </row>
    <row r="16" spans="1:18" x14ac:dyDescent="0.25">
      <c r="A16" s="34" t="s">
        <v>517</v>
      </c>
      <c r="B16" s="42" t="s">
        <v>23</v>
      </c>
      <c r="C16" s="30" t="s">
        <v>456</v>
      </c>
      <c r="D16" s="31">
        <v>500</v>
      </c>
      <c r="E16" s="35">
        <v>150</v>
      </c>
      <c r="F16" s="35" t="s">
        <v>39</v>
      </c>
      <c r="G16" s="32" t="s">
        <v>189</v>
      </c>
      <c r="H16" s="36">
        <v>150</v>
      </c>
      <c r="I16" s="36">
        <f t="shared" si="0"/>
        <v>3.3333333333333335</v>
      </c>
      <c r="J16" s="36">
        <v>20</v>
      </c>
      <c r="K16" s="36">
        <v>5</v>
      </c>
      <c r="L16" s="35">
        <f t="shared" si="1"/>
        <v>525</v>
      </c>
      <c r="M16" s="35">
        <f t="shared" si="2"/>
        <v>1.0000000000000002</v>
      </c>
      <c r="N16" s="35">
        <f t="shared" si="3"/>
        <v>3.5</v>
      </c>
      <c r="O16" s="35">
        <f t="shared" si="4"/>
        <v>3.8587500000000006</v>
      </c>
      <c r="P16" s="35">
        <f t="shared" si="5"/>
        <v>1.05</v>
      </c>
    </row>
    <row r="17" spans="1:22" x14ac:dyDescent="0.2">
      <c r="A17" s="34" t="s">
        <v>518</v>
      </c>
      <c r="B17" s="42" t="s">
        <v>25</v>
      </c>
      <c r="C17" s="30" t="s">
        <v>456</v>
      </c>
      <c r="D17" s="31">
        <v>15</v>
      </c>
      <c r="E17" s="35">
        <v>5.22</v>
      </c>
      <c r="F17" s="35" t="s">
        <v>36</v>
      </c>
      <c r="G17" s="32" t="s">
        <v>673</v>
      </c>
      <c r="H17" s="36">
        <v>1000</v>
      </c>
      <c r="I17" s="36">
        <f t="shared" si="0"/>
        <v>2.8735632183908049</v>
      </c>
      <c r="J17" s="36">
        <v>20</v>
      </c>
      <c r="K17" s="36">
        <v>5</v>
      </c>
      <c r="L17" s="35">
        <f t="shared" si="1"/>
        <v>2898.5632183908046</v>
      </c>
      <c r="M17" s="35">
        <f t="shared" si="2"/>
        <v>1.0000000000000002</v>
      </c>
      <c r="N17" s="35">
        <f t="shared" si="3"/>
        <v>2.8985632183908048</v>
      </c>
      <c r="O17" s="35">
        <f t="shared" si="4"/>
        <v>3.1956659482758627</v>
      </c>
      <c r="P17" s="35">
        <f t="shared" si="5"/>
        <v>1.0087000000000002</v>
      </c>
      <c r="Q17" s="56"/>
      <c r="R17" s="57"/>
      <c r="S17" s="57"/>
      <c r="T17" s="30"/>
      <c r="U17" s="30"/>
      <c r="V17" s="30"/>
    </row>
    <row r="18" spans="1:22" x14ac:dyDescent="0.2">
      <c r="A18" s="34" t="s">
        <v>519</v>
      </c>
      <c r="B18" s="42" t="s">
        <v>166</v>
      </c>
      <c r="C18" s="30" t="s">
        <v>456</v>
      </c>
      <c r="D18" s="31">
        <v>14</v>
      </c>
      <c r="E18" s="35">
        <v>0.9</v>
      </c>
      <c r="F18" s="35" t="s">
        <v>31</v>
      </c>
      <c r="G18" s="32" t="s">
        <v>167</v>
      </c>
      <c r="H18" s="36">
        <v>100</v>
      </c>
      <c r="I18" s="36">
        <f t="shared" si="0"/>
        <v>15.555555555555555</v>
      </c>
      <c r="J18" s="36">
        <v>20</v>
      </c>
      <c r="K18" s="36">
        <v>5</v>
      </c>
      <c r="L18" s="35">
        <f t="shared" si="1"/>
        <v>1580.5555555555554</v>
      </c>
      <c r="M18" s="35">
        <f t="shared" si="2"/>
        <v>1</v>
      </c>
      <c r="N18" s="35">
        <f t="shared" si="3"/>
        <v>15.805555555555554</v>
      </c>
      <c r="O18" s="35">
        <f t="shared" si="4"/>
        <v>17.425625</v>
      </c>
      <c r="P18" s="35">
        <f t="shared" si="5"/>
        <v>1.0160714285714285</v>
      </c>
      <c r="Q18" s="56"/>
      <c r="R18" s="57"/>
      <c r="S18" s="57"/>
      <c r="T18" s="30"/>
      <c r="U18" s="30"/>
      <c r="V18" s="30"/>
    </row>
    <row r="19" spans="1:22" x14ac:dyDescent="0.2">
      <c r="A19" s="34" t="s">
        <v>520</v>
      </c>
      <c r="B19" s="42" t="s">
        <v>120</v>
      </c>
      <c r="C19" s="30" t="s">
        <v>456</v>
      </c>
      <c r="D19" s="31">
        <v>17</v>
      </c>
      <c r="E19" s="35">
        <v>21.54</v>
      </c>
      <c r="F19" s="35" t="s">
        <v>36</v>
      </c>
      <c r="G19" s="32" t="s">
        <v>663</v>
      </c>
      <c r="H19" s="36">
        <v>1000</v>
      </c>
      <c r="I19" s="36">
        <f t="shared" si="0"/>
        <v>0.78922934076137419</v>
      </c>
      <c r="J19" s="36">
        <v>20</v>
      </c>
      <c r="K19" s="36">
        <v>5</v>
      </c>
      <c r="L19" s="35">
        <f t="shared" si="1"/>
        <v>814.22934076137415</v>
      </c>
      <c r="M19" s="35">
        <f t="shared" si="2"/>
        <v>1.0000000000000002</v>
      </c>
      <c r="N19" s="35">
        <f t="shared" si="3"/>
        <v>0.8142293407613741</v>
      </c>
      <c r="O19" s="35">
        <f t="shared" si="4"/>
        <v>0.89768784818941494</v>
      </c>
      <c r="P19" s="35">
        <f t="shared" si="5"/>
        <v>1.0316764705882353</v>
      </c>
      <c r="Q19" s="56"/>
      <c r="R19" s="57"/>
      <c r="S19" s="57"/>
      <c r="T19" s="30"/>
      <c r="U19" s="30"/>
      <c r="V19" s="30"/>
    </row>
    <row r="20" spans="1:22" x14ac:dyDescent="0.2">
      <c r="A20" s="34" t="s">
        <v>521</v>
      </c>
      <c r="B20" s="42" t="s">
        <v>142</v>
      </c>
      <c r="C20" s="30" t="s">
        <v>456</v>
      </c>
      <c r="D20" s="31">
        <v>40</v>
      </c>
      <c r="E20" s="35">
        <v>17.32</v>
      </c>
      <c r="F20" s="35" t="s">
        <v>36</v>
      </c>
      <c r="G20" s="32" t="s">
        <v>660</v>
      </c>
      <c r="H20" s="36">
        <v>100</v>
      </c>
      <c r="I20" s="36">
        <f t="shared" si="0"/>
        <v>2.3094688221709005</v>
      </c>
      <c r="J20" s="36">
        <v>20</v>
      </c>
      <c r="K20" s="36">
        <v>5</v>
      </c>
      <c r="L20" s="35">
        <f t="shared" si="1"/>
        <v>255.94688221709006</v>
      </c>
      <c r="M20" s="35">
        <f t="shared" si="2"/>
        <v>1</v>
      </c>
      <c r="N20" s="35">
        <f t="shared" si="3"/>
        <v>2.5594688221709005</v>
      </c>
      <c r="O20" s="35">
        <f t="shared" si="4"/>
        <v>2.821814376443418</v>
      </c>
      <c r="P20" s="35">
        <f t="shared" si="5"/>
        <v>1.10825</v>
      </c>
      <c r="Q20" s="56"/>
      <c r="R20" s="57"/>
      <c r="S20" s="58"/>
      <c r="T20" s="57"/>
      <c r="U20" s="58"/>
      <c r="V20" s="30"/>
    </row>
    <row r="21" spans="1:22" x14ac:dyDescent="0.2">
      <c r="A21" s="34" t="s">
        <v>522</v>
      </c>
      <c r="B21" s="42" t="s">
        <v>164</v>
      </c>
      <c r="C21" s="30" t="s">
        <v>456</v>
      </c>
      <c r="D21" s="31">
        <v>25</v>
      </c>
      <c r="E21" s="35">
        <v>14.76</v>
      </c>
      <c r="F21" s="35" t="s">
        <v>36</v>
      </c>
      <c r="G21" s="32" t="s">
        <v>664</v>
      </c>
      <c r="H21" s="36">
        <v>1000</v>
      </c>
      <c r="I21" s="36">
        <f t="shared" si="0"/>
        <v>1.6937669376693767</v>
      </c>
      <c r="J21" s="36">
        <v>20</v>
      </c>
      <c r="K21" s="36">
        <v>5</v>
      </c>
      <c r="L21" s="35">
        <f t="shared" si="1"/>
        <v>1718.7669376693766</v>
      </c>
      <c r="M21" s="35">
        <f t="shared" si="2"/>
        <v>1</v>
      </c>
      <c r="N21" s="35">
        <f t="shared" si="3"/>
        <v>1.7187669376693766</v>
      </c>
      <c r="O21" s="35">
        <f t="shared" si="4"/>
        <v>1.8949405487804878</v>
      </c>
      <c r="P21" s="35">
        <f t="shared" si="5"/>
        <v>1.0147599999999999</v>
      </c>
      <c r="Q21" s="56"/>
      <c r="R21" s="57"/>
      <c r="S21" s="58"/>
      <c r="T21" s="57"/>
      <c r="U21" s="58"/>
      <c r="V21" s="30"/>
    </row>
    <row r="22" spans="1:22" x14ac:dyDescent="0.2">
      <c r="A22" s="34" t="s">
        <v>523</v>
      </c>
      <c r="B22" s="42" t="s">
        <v>163</v>
      </c>
      <c r="C22" s="30" t="s">
        <v>456</v>
      </c>
      <c r="D22" s="31">
        <v>45</v>
      </c>
      <c r="E22" s="35">
        <v>48.6</v>
      </c>
      <c r="F22" s="35" t="s">
        <v>36</v>
      </c>
      <c r="G22" s="32" t="s">
        <v>661</v>
      </c>
      <c r="H22" s="36">
        <v>1000</v>
      </c>
      <c r="I22" s="36">
        <f t="shared" si="0"/>
        <v>0.92592592592592593</v>
      </c>
      <c r="J22" s="36">
        <v>20</v>
      </c>
      <c r="K22" s="36">
        <v>5</v>
      </c>
      <c r="L22" s="35">
        <f t="shared" si="1"/>
        <v>950.92592592592598</v>
      </c>
      <c r="M22" s="35">
        <f t="shared" si="2"/>
        <v>0.99999999999999989</v>
      </c>
      <c r="N22" s="35">
        <f t="shared" si="3"/>
        <v>0.95092592592592595</v>
      </c>
      <c r="O22" s="35">
        <f t="shared" si="4"/>
        <v>1.0483958333333334</v>
      </c>
      <c r="P22" s="35">
        <f t="shared" si="5"/>
        <v>1.0269999999999999</v>
      </c>
      <c r="Q22" s="56"/>
      <c r="R22" s="57"/>
      <c r="S22" s="58"/>
      <c r="T22" s="57"/>
      <c r="U22" s="58"/>
      <c r="V22" s="30"/>
    </row>
    <row r="23" spans="1:22" x14ac:dyDescent="0.2">
      <c r="A23" s="34" t="s">
        <v>524</v>
      </c>
      <c r="B23" s="42" t="s">
        <v>141</v>
      </c>
      <c r="C23" s="30" t="s">
        <v>456</v>
      </c>
      <c r="D23" s="31">
        <v>20</v>
      </c>
      <c r="E23" s="35">
        <v>8.58</v>
      </c>
      <c r="F23" s="35" t="s">
        <v>36</v>
      </c>
      <c r="G23" s="32" t="s">
        <v>662</v>
      </c>
      <c r="H23" s="36">
        <v>1000</v>
      </c>
      <c r="I23" s="36">
        <f t="shared" si="0"/>
        <v>2.3310023310023311</v>
      </c>
      <c r="J23" s="36">
        <v>20</v>
      </c>
      <c r="K23" s="36">
        <v>5</v>
      </c>
      <c r="L23" s="35">
        <f t="shared" si="1"/>
        <v>2356.0023310023312</v>
      </c>
      <c r="M23" s="35">
        <f t="shared" si="2"/>
        <v>1.0000000000000002</v>
      </c>
      <c r="N23" s="35">
        <f t="shared" si="3"/>
        <v>2.356002331002331</v>
      </c>
      <c r="O23" s="35">
        <f t="shared" si="4"/>
        <v>2.5974925699300702</v>
      </c>
      <c r="P23" s="35">
        <f t="shared" si="5"/>
        <v>1.0107250000000001</v>
      </c>
      <c r="Q23" s="56"/>
      <c r="R23" s="57"/>
      <c r="S23" s="58"/>
      <c r="T23" s="57"/>
      <c r="U23" s="58"/>
      <c r="V23" s="30"/>
    </row>
    <row r="24" spans="1:22" x14ac:dyDescent="0.25">
      <c r="A24" s="34" t="s">
        <v>525</v>
      </c>
      <c r="B24" s="42" t="s">
        <v>182</v>
      </c>
      <c r="C24" s="30" t="s">
        <v>456</v>
      </c>
      <c r="D24" s="31">
        <v>11</v>
      </c>
      <c r="E24" s="35">
        <v>5</v>
      </c>
      <c r="F24" s="35" t="s">
        <v>36</v>
      </c>
      <c r="G24" s="32" t="s">
        <v>181</v>
      </c>
      <c r="H24" s="36">
        <v>1000</v>
      </c>
      <c r="I24" s="36">
        <f t="shared" si="0"/>
        <v>2.2000000000000002</v>
      </c>
      <c r="J24" s="36">
        <v>20</v>
      </c>
      <c r="K24" s="36">
        <v>5</v>
      </c>
      <c r="L24" s="35">
        <f t="shared" si="1"/>
        <v>2225</v>
      </c>
      <c r="M24" s="35">
        <f t="shared" si="2"/>
        <v>1.0000000000000002</v>
      </c>
      <c r="N24" s="35">
        <f t="shared" si="3"/>
        <v>2.2250000000000001</v>
      </c>
      <c r="O24" s="35">
        <f t="shared" si="4"/>
        <v>2.4530625000000001</v>
      </c>
      <c r="P24" s="35">
        <f t="shared" si="5"/>
        <v>1.0113636363636365</v>
      </c>
      <c r="Q24" s="30"/>
      <c r="R24" s="30"/>
      <c r="S24" s="30"/>
      <c r="T24" s="30"/>
      <c r="U24" s="30"/>
      <c r="V24" s="30"/>
    </row>
    <row r="25" spans="1:22" x14ac:dyDescent="0.25">
      <c r="A25" s="34" t="s">
        <v>650</v>
      </c>
      <c r="B25" s="42" t="s">
        <v>129</v>
      </c>
      <c r="C25" s="30" t="s">
        <v>594</v>
      </c>
      <c r="D25" s="31">
        <v>17</v>
      </c>
      <c r="E25" s="35">
        <v>25</v>
      </c>
      <c r="F25" s="35" t="s">
        <v>36</v>
      </c>
      <c r="G25" s="32" t="s">
        <v>674</v>
      </c>
      <c r="H25" s="36">
        <v>1000</v>
      </c>
      <c r="I25" s="36">
        <f t="shared" si="0"/>
        <v>0.68</v>
      </c>
      <c r="J25" s="36">
        <v>20</v>
      </c>
      <c r="K25" s="36">
        <v>5</v>
      </c>
      <c r="L25" s="35">
        <f t="shared" si="1"/>
        <v>705</v>
      </c>
      <c r="M25" s="35">
        <f t="shared" si="2"/>
        <v>1.0000000000000002</v>
      </c>
      <c r="N25" s="35">
        <f t="shared" si="3"/>
        <v>0.70499999999999996</v>
      </c>
      <c r="O25" s="35">
        <f t="shared" si="4"/>
        <v>0.77726249999999997</v>
      </c>
      <c r="P25" s="35">
        <f t="shared" si="5"/>
        <v>1.036764705882353</v>
      </c>
      <c r="Q25" s="30"/>
      <c r="R25" s="30"/>
      <c r="S25" s="30"/>
      <c r="T25" s="30"/>
      <c r="U25" s="30"/>
      <c r="V25" s="30"/>
    </row>
    <row r="26" spans="1:22" x14ac:dyDescent="0.25">
      <c r="A26" s="34" t="s">
        <v>526</v>
      </c>
      <c r="B26" s="42" t="s">
        <v>130</v>
      </c>
      <c r="C26" s="30" t="s">
        <v>456</v>
      </c>
      <c r="D26" s="31">
        <v>80</v>
      </c>
      <c r="E26" s="35">
        <v>25</v>
      </c>
      <c r="F26" s="35" t="s">
        <v>36</v>
      </c>
      <c r="G26" s="32" t="s">
        <v>675</v>
      </c>
      <c r="H26" s="36">
        <v>1000</v>
      </c>
      <c r="I26" s="36">
        <f t="shared" si="0"/>
        <v>3.2</v>
      </c>
      <c r="J26" s="36">
        <v>20</v>
      </c>
      <c r="K26" s="36">
        <v>5</v>
      </c>
      <c r="L26" s="35">
        <f t="shared" si="1"/>
        <v>3225</v>
      </c>
      <c r="M26" s="35">
        <f t="shared" si="2"/>
        <v>1</v>
      </c>
      <c r="N26" s="35">
        <f t="shared" si="3"/>
        <v>3.2250000000000001</v>
      </c>
      <c r="O26" s="35">
        <f t="shared" si="4"/>
        <v>3.5555625000000006</v>
      </c>
      <c r="P26" s="35">
        <f t="shared" si="5"/>
        <v>1.0078125</v>
      </c>
      <c r="Q26" s="30"/>
      <c r="R26" s="30"/>
      <c r="S26" s="30"/>
      <c r="T26" s="30"/>
      <c r="U26" s="30"/>
      <c r="V26" s="30"/>
    </row>
    <row r="27" spans="1:22" x14ac:dyDescent="0.25">
      <c r="A27" s="34" t="s">
        <v>527</v>
      </c>
      <c r="B27" s="42" t="s">
        <v>178</v>
      </c>
      <c r="C27" s="30" t="s">
        <v>456</v>
      </c>
      <c r="D27" s="31">
        <v>11</v>
      </c>
      <c r="E27" s="35">
        <v>1</v>
      </c>
      <c r="F27" s="35" t="s">
        <v>34</v>
      </c>
      <c r="G27" s="32" t="s">
        <v>179</v>
      </c>
      <c r="H27" s="36">
        <v>1000</v>
      </c>
      <c r="I27" s="36">
        <f t="shared" si="0"/>
        <v>11</v>
      </c>
      <c r="J27" s="36">
        <v>20</v>
      </c>
      <c r="K27" s="36">
        <v>5</v>
      </c>
      <c r="L27" s="35">
        <f t="shared" si="1"/>
        <v>11025</v>
      </c>
      <c r="M27" s="35">
        <f t="shared" si="2"/>
        <v>0.99999999999999989</v>
      </c>
      <c r="N27" s="35">
        <f t="shared" si="3"/>
        <v>11.025</v>
      </c>
      <c r="O27" s="35">
        <f t="shared" si="4"/>
        <v>12.155062500000001</v>
      </c>
      <c r="P27" s="35">
        <f t="shared" si="5"/>
        <v>1.0022727272727272</v>
      </c>
      <c r="Q27" s="30"/>
      <c r="R27" s="30"/>
      <c r="S27" s="30"/>
      <c r="T27" s="30"/>
      <c r="U27" s="30"/>
      <c r="V27" s="30"/>
    </row>
    <row r="28" spans="1:22" x14ac:dyDescent="0.25">
      <c r="A28" s="34" t="s">
        <v>528</v>
      </c>
      <c r="B28" s="44" t="s">
        <v>40</v>
      </c>
      <c r="C28" s="30" t="s">
        <v>456</v>
      </c>
      <c r="D28" s="31">
        <v>35</v>
      </c>
      <c r="E28" s="35">
        <v>1</v>
      </c>
      <c r="F28" s="35" t="s">
        <v>31</v>
      </c>
      <c r="G28" s="32" t="s">
        <v>176</v>
      </c>
      <c r="H28" s="36">
        <v>1000</v>
      </c>
      <c r="I28" s="36">
        <f t="shared" si="0"/>
        <v>35</v>
      </c>
      <c r="J28" s="36">
        <v>20</v>
      </c>
      <c r="K28" s="36">
        <v>5</v>
      </c>
      <c r="L28" s="35">
        <f t="shared" si="1"/>
        <v>35025</v>
      </c>
      <c r="M28" s="35">
        <f t="shared" si="2"/>
        <v>1</v>
      </c>
      <c r="N28" s="35">
        <f t="shared" si="3"/>
        <v>35.024999999999999</v>
      </c>
      <c r="O28" s="35">
        <f t="shared" si="4"/>
        <v>38.615062500000001</v>
      </c>
      <c r="P28" s="35">
        <f t="shared" si="5"/>
        <v>1.0007142857142857</v>
      </c>
      <c r="Q28" s="30"/>
      <c r="R28" s="30"/>
      <c r="S28" s="30"/>
      <c r="T28" s="30"/>
      <c r="U28" s="30"/>
      <c r="V28" s="30"/>
    </row>
    <row r="29" spans="1:22" x14ac:dyDescent="0.25">
      <c r="A29" s="34" t="s">
        <v>529</v>
      </c>
      <c r="B29" s="44" t="s">
        <v>41</v>
      </c>
      <c r="C29" s="30" t="s">
        <v>456</v>
      </c>
      <c r="D29" s="31">
        <v>17</v>
      </c>
      <c r="E29" s="35">
        <v>1</v>
      </c>
      <c r="F29" s="35" t="s">
        <v>31</v>
      </c>
      <c r="G29" s="32" t="s">
        <v>199</v>
      </c>
      <c r="H29" s="36">
        <v>1000</v>
      </c>
      <c r="I29" s="36">
        <f t="shared" si="0"/>
        <v>17</v>
      </c>
      <c r="J29" s="36">
        <v>20</v>
      </c>
      <c r="K29" s="36">
        <v>5</v>
      </c>
      <c r="L29" s="35">
        <f t="shared" si="1"/>
        <v>17025</v>
      </c>
      <c r="M29" s="35">
        <f t="shared" si="2"/>
        <v>1</v>
      </c>
      <c r="N29" s="35">
        <f t="shared" si="3"/>
        <v>17.024999999999999</v>
      </c>
      <c r="O29" s="35">
        <f t="shared" si="4"/>
        <v>18.770062499999998</v>
      </c>
      <c r="P29" s="35">
        <f t="shared" si="5"/>
        <v>1.0014705882352941</v>
      </c>
      <c r="Q29" s="30"/>
      <c r="R29" s="30"/>
      <c r="S29" s="30"/>
      <c r="T29" s="30"/>
      <c r="U29" s="30"/>
      <c r="V29" s="30"/>
    </row>
    <row r="30" spans="1:22" x14ac:dyDescent="0.25">
      <c r="A30" s="34" t="s">
        <v>530</v>
      </c>
      <c r="B30" s="44" t="s">
        <v>42</v>
      </c>
      <c r="C30" s="30" t="s">
        <v>456</v>
      </c>
      <c r="D30" s="31">
        <v>17</v>
      </c>
      <c r="E30" s="35">
        <v>1</v>
      </c>
      <c r="F30" s="35" t="s">
        <v>31</v>
      </c>
      <c r="G30" s="32" t="s">
        <v>199</v>
      </c>
      <c r="H30" s="36">
        <v>1000</v>
      </c>
      <c r="I30" s="36">
        <f t="shared" si="0"/>
        <v>17</v>
      </c>
      <c r="J30" s="36">
        <v>20</v>
      </c>
      <c r="K30" s="36">
        <v>5</v>
      </c>
      <c r="L30" s="35">
        <f t="shared" si="1"/>
        <v>17025</v>
      </c>
      <c r="M30" s="35">
        <f t="shared" si="2"/>
        <v>1</v>
      </c>
      <c r="N30" s="35">
        <f t="shared" si="3"/>
        <v>17.024999999999999</v>
      </c>
      <c r="O30" s="35">
        <f t="shared" si="4"/>
        <v>18.770062499999998</v>
      </c>
      <c r="P30" s="35">
        <f t="shared" si="5"/>
        <v>1.0014705882352941</v>
      </c>
      <c r="Q30" s="30"/>
      <c r="R30" s="30"/>
      <c r="S30" s="30"/>
      <c r="T30" s="30"/>
      <c r="U30" s="30"/>
      <c r="V30" s="30"/>
    </row>
    <row r="31" spans="1:22" x14ac:dyDescent="0.25">
      <c r="A31" s="34" t="s">
        <v>531</v>
      </c>
      <c r="B31" s="44" t="s">
        <v>43</v>
      </c>
      <c r="C31" s="30" t="s">
        <v>456</v>
      </c>
      <c r="D31" s="31">
        <v>17</v>
      </c>
      <c r="E31" s="35">
        <v>1</v>
      </c>
      <c r="F31" s="35" t="s">
        <v>31</v>
      </c>
      <c r="G31" s="32" t="s">
        <v>200</v>
      </c>
      <c r="H31" s="36">
        <v>1000</v>
      </c>
      <c r="I31" s="36">
        <f t="shared" si="0"/>
        <v>17</v>
      </c>
      <c r="J31" s="36">
        <v>20</v>
      </c>
      <c r="K31" s="36">
        <v>5</v>
      </c>
      <c r="L31" s="35">
        <f t="shared" si="1"/>
        <v>17025</v>
      </c>
      <c r="M31" s="35">
        <f t="shared" si="2"/>
        <v>1</v>
      </c>
      <c r="N31" s="35">
        <f t="shared" si="3"/>
        <v>17.024999999999999</v>
      </c>
      <c r="O31" s="35">
        <f t="shared" si="4"/>
        <v>18.770062499999998</v>
      </c>
      <c r="P31" s="35">
        <f t="shared" si="5"/>
        <v>1.0014705882352941</v>
      </c>
      <c r="Q31" s="30"/>
      <c r="R31" s="30"/>
      <c r="S31" s="30"/>
      <c r="T31" s="30"/>
      <c r="U31" s="30"/>
      <c r="V31" s="30"/>
    </row>
    <row r="32" spans="1:22" x14ac:dyDescent="0.25">
      <c r="A32" s="34" t="s">
        <v>532</v>
      </c>
      <c r="B32" s="44" t="s">
        <v>44</v>
      </c>
      <c r="C32" s="30" t="s">
        <v>456</v>
      </c>
      <c r="D32" s="31">
        <v>35</v>
      </c>
      <c r="E32" s="35">
        <v>1</v>
      </c>
      <c r="F32" s="35" t="s">
        <v>31</v>
      </c>
      <c r="G32" s="32" t="s">
        <v>199</v>
      </c>
      <c r="H32" s="36">
        <v>1000</v>
      </c>
      <c r="I32" s="36">
        <f t="shared" si="0"/>
        <v>35</v>
      </c>
      <c r="J32" s="36">
        <v>20</v>
      </c>
      <c r="K32" s="36">
        <v>5</v>
      </c>
      <c r="L32" s="35">
        <f t="shared" si="1"/>
        <v>35025</v>
      </c>
      <c r="M32" s="35">
        <f t="shared" si="2"/>
        <v>1</v>
      </c>
      <c r="N32" s="35">
        <f t="shared" si="3"/>
        <v>35.024999999999999</v>
      </c>
      <c r="O32" s="35">
        <f t="shared" si="4"/>
        <v>38.615062500000001</v>
      </c>
      <c r="P32" s="35">
        <f t="shared" si="5"/>
        <v>1.0007142857142857</v>
      </c>
      <c r="Q32" s="30"/>
      <c r="R32" s="30"/>
      <c r="S32" s="30"/>
      <c r="T32" s="30"/>
      <c r="U32" s="30"/>
      <c r="V32" s="30"/>
    </row>
    <row r="33" spans="1:22" x14ac:dyDescent="0.25">
      <c r="A33" s="34" t="s">
        <v>533</v>
      </c>
      <c r="B33" s="44" t="s">
        <v>47</v>
      </c>
      <c r="C33" s="30" t="s">
        <v>456</v>
      </c>
      <c r="D33" s="31">
        <v>35</v>
      </c>
      <c r="E33" s="35">
        <v>1</v>
      </c>
      <c r="F33" s="35" t="s">
        <v>31</v>
      </c>
      <c r="G33" s="32" t="s">
        <v>201</v>
      </c>
      <c r="H33" s="36">
        <v>1000</v>
      </c>
      <c r="I33" s="36">
        <f t="shared" si="0"/>
        <v>35</v>
      </c>
      <c r="J33" s="36">
        <v>20</v>
      </c>
      <c r="K33" s="36">
        <v>5</v>
      </c>
      <c r="L33" s="35">
        <f t="shared" si="1"/>
        <v>35025</v>
      </c>
      <c r="M33" s="35">
        <f t="shared" si="2"/>
        <v>1</v>
      </c>
      <c r="N33" s="35">
        <f t="shared" si="3"/>
        <v>35.024999999999999</v>
      </c>
      <c r="O33" s="35">
        <f t="shared" si="4"/>
        <v>38.615062500000001</v>
      </c>
      <c r="P33" s="35">
        <f t="shared" si="5"/>
        <v>1.0007142857142857</v>
      </c>
      <c r="Q33" s="30"/>
      <c r="R33" s="30"/>
      <c r="S33" s="30"/>
      <c r="T33" s="30"/>
      <c r="U33" s="30"/>
      <c r="V33" s="30"/>
    </row>
    <row r="34" spans="1:22" x14ac:dyDescent="0.25">
      <c r="A34" s="34" t="s">
        <v>534</v>
      </c>
      <c r="B34" s="44" t="s">
        <v>49</v>
      </c>
      <c r="C34" s="30" t="s">
        <v>456</v>
      </c>
      <c r="D34" s="31">
        <v>35</v>
      </c>
      <c r="E34" s="35">
        <v>1</v>
      </c>
      <c r="F34" s="35" t="s">
        <v>31</v>
      </c>
      <c r="G34" s="32" t="s">
        <v>201</v>
      </c>
      <c r="H34" s="36">
        <v>1000</v>
      </c>
      <c r="I34" s="36">
        <f t="shared" si="0"/>
        <v>35</v>
      </c>
      <c r="J34" s="36">
        <v>20</v>
      </c>
      <c r="K34" s="36">
        <v>5</v>
      </c>
      <c r="L34" s="35">
        <f t="shared" si="1"/>
        <v>35025</v>
      </c>
      <c r="M34" s="35">
        <f t="shared" si="2"/>
        <v>1</v>
      </c>
      <c r="N34" s="35">
        <f t="shared" si="3"/>
        <v>35.024999999999999</v>
      </c>
      <c r="O34" s="35">
        <f t="shared" si="4"/>
        <v>38.615062500000001</v>
      </c>
      <c r="P34" s="35">
        <f t="shared" si="5"/>
        <v>1.0007142857142857</v>
      </c>
      <c r="Q34" s="30"/>
      <c r="R34" s="30"/>
      <c r="S34" s="30"/>
      <c r="T34" s="30"/>
      <c r="U34" s="30"/>
      <c r="V34" s="30"/>
    </row>
    <row r="35" spans="1:22" x14ac:dyDescent="0.25">
      <c r="A35" s="34" t="s">
        <v>535</v>
      </c>
      <c r="B35" s="44" t="s">
        <v>50</v>
      </c>
      <c r="C35" s="30" t="s">
        <v>456</v>
      </c>
      <c r="D35" s="31">
        <v>25</v>
      </c>
      <c r="E35" s="35">
        <v>1</v>
      </c>
      <c r="F35" s="35" t="s">
        <v>31</v>
      </c>
      <c r="G35" s="32" t="s">
        <v>202</v>
      </c>
      <c r="H35" s="36">
        <v>1000</v>
      </c>
      <c r="I35" s="36">
        <f t="shared" si="0"/>
        <v>25</v>
      </c>
      <c r="J35" s="36">
        <v>20</v>
      </c>
      <c r="K35" s="36">
        <v>5</v>
      </c>
      <c r="L35" s="35">
        <f t="shared" si="1"/>
        <v>25025</v>
      </c>
      <c r="M35" s="35">
        <f t="shared" si="2"/>
        <v>1</v>
      </c>
      <c r="N35" s="35">
        <f t="shared" si="3"/>
        <v>25.024999999999999</v>
      </c>
      <c r="O35" s="35">
        <f t="shared" si="4"/>
        <v>27.590062500000002</v>
      </c>
      <c r="P35" s="35">
        <f t="shared" si="5"/>
        <v>1.0009999999999999</v>
      </c>
      <c r="Q35" s="30"/>
      <c r="R35" s="30"/>
      <c r="S35" s="30"/>
      <c r="T35" s="30"/>
      <c r="U35" s="30"/>
      <c r="V35" s="30"/>
    </row>
    <row r="36" spans="1:22" x14ac:dyDescent="0.25">
      <c r="A36" s="34" t="s">
        <v>536</v>
      </c>
      <c r="B36" s="44" t="s">
        <v>46</v>
      </c>
      <c r="C36" s="30" t="s">
        <v>456</v>
      </c>
      <c r="D36" s="31">
        <v>25</v>
      </c>
      <c r="E36" s="35">
        <v>100</v>
      </c>
      <c r="F36" s="35" t="s">
        <v>34</v>
      </c>
      <c r="G36" s="32" t="s">
        <v>183</v>
      </c>
      <c r="H36" s="36">
        <v>100</v>
      </c>
      <c r="I36" s="36">
        <f t="shared" si="0"/>
        <v>0.25</v>
      </c>
      <c r="J36" s="36">
        <v>20</v>
      </c>
      <c r="K36" s="36">
        <v>5</v>
      </c>
      <c r="L36" s="35">
        <f t="shared" si="1"/>
        <v>50</v>
      </c>
      <c r="M36" s="35">
        <f t="shared" si="2"/>
        <v>1</v>
      </c>
      <c r="N36" s="35">
        <f t="shared" si="3"/>
        <v>0.5</v>
      </c>
      <c r="O36" s="35">
        <f t="shared" si="4"/>
        <v>0.55125000000000002</v>
      </c>
      <c r="P36" s="35">
        <f t="shared" si="5"/>
        <v>2</v>
      </c>
      <c r="Q36" s="30"/>
      <c r="R36" s="30"/>
      <c r="S36" s="30"/>
      <c r="T36" s="30"/>
      <c r="U36" s="30"/>
      <c r="V36" s="30"/>
    </row>
    <row r="37" spans="1:22" x14ac:dyDescent="0.25">
      <c r="A37" s="34" t="s">
        <v>537</v>
      </c>
      <c r="B37" s="44" t="s">
        <v>28</v>
      </c>
      <c r="C37" s="33" t="s">
        <v>460</v>
      </c>
      <c r="D37" s="31">
        <v>133</v>
      </c>
      <c r="E37" s="35">
        <v>25</v>
      </c>
      <c r="F37" s="35" t="s">
        <v>36</v>
      </c>
      <c r="G37" s="32" t="s">
        <v>676</v>
      </c>
      <c r="H37" s="36">
        <v>100</v>
      </c>
      <c r="I37" s="36">
        <f t="shared" si="0"/>
        <v>5.32</v>
      </c>
      <c r="J37" s="36">
        <v>20</v>
      </c>
      <c r="K37" s="36">
        <v>5</v>
      </c>
      <c r="L37" s="35">
        <f t="shared" si="1"/>
        <v>557</v>
      </c>
      <c r="M37" s="35">
        <f t="shared" si="2"/>
        <v>1</v>
      </c>
      <c r="N37" s="35">
        <f t="shared" si="3"/>
        <v>5.57</v>
      </c>
      <c r="O37" s="35">
        <f t="shared" si="4"/>
        <v>6.1409250000000011</v>
      </c>
      <c r="P37" s="35">
        <f t="shared" si="5"/>
        <v>1.0469924812030076</v>
      </c>
      <c r="Q37" s="30"/>
      <c r="R37" s="30"/>
      <c r="S37" s="30"/>
      <c r="T37" s="30"/>
      <c r="U37" s="30"/>
      <c r="V37" s="30"/>
    </row>
    <row r="38" spans="1:22" x14ac:dyDescent="0.25">
      <c r="A38" s="34" t="s">
        <v>538</v>
      </c>
      <c r="B38" s="44" t="s">
        <v>29</v>
      </c>
      <c r="C38" s="33" t="s">
        <v>460</v>
      </c>
      <c r="D38" s="31">
        <v>85</v>
      </c>
      <c r="E38" s="35">
        <v>25</v>
      </c>
      <c r="F38" s="35" t="s">
        <v>36</v>
      </c>
      <c r="G38" s="32" t="s">
        <v>677</v>
      </c>
      <c r="H38" s="36">
        <v>100</v>
      </c>
      <c r="I38" s="36">
        <f t="shared" ref="I38:I69" si="6">D38/E38</f>
        <v>3.4</v>
      </c>
      <c r="J38" s="36">
        <v>20</v>
      </c>
      <c r="K38" s="36">
        <v>5</v>
      </c>
      <c r="L38" s="35">
        <f t="shared" ref="L38:L69" si="7">(I38*H38)+SUM(J38:K38)</f>
        <v>365</v>
      </c>
      <c r="M38" s="35">
        <f t="shared" ref="M38:M69" si="8">I38*P38/N38</f>
        <v>1</v>
      </c>
      <c r="N38" s="35">
        <f t="shared" ref="N38:N69" si="9">L38/H38</f>
        <v>3.65</v>
      </c>
      <c r="O38" s="35">
        <f t="shared" ref="O38:O69" si="10">N38*ALEA*AGM</f>
        <v>4.0241250000000006</v>
      </c>
      <c r="P38" s="35">
        <f t="shared" ref="P38:P69" si="11">(H38+SUM(J38:K38)/I38)/H38</f>
        <v>1.0735294117647058</v>
      </c>
      <c r="Q38" s="30"/>
      <c r="R38" s="30"/>
      <c r="S38" s="30"/>
      <c r="T38" s="30"/>
      <c r="U38" s="30"/>
      <c r="V38" s="30"/>
    </row>
    <row r="39" spans="1:22" x14ac:dyDescent="0.25">
      <c r="A39" s="34" t="s">
        <v>539</v>
      </c>
      <c r="B39" s="44" t="s">
        <v>30</v>
      </c>
      <c r="C39" s="33" t="s">
        <v>460</v>
      </c>
      <c r="D39" s="31">
        <v>115</v>
      </c>
      <c r="E39" s="35">
        <v>25</v>
      </c>
      <c r="F39" s="35" t="s">
        <v>36</v>
      </c>
      <c r="G39" s="32" t="s">
        <v>678</v>
      </c>
      <c r="H39" s="36">
        <v>100</v>
      </c>
      <c r="I39" s="36">
        <f t="shared" si="6"/>
        <v>4.5999999999999996</v>
      </c>
      <c r="J39" s="36">
        <v>20</v>
      </c>
      <c r="K39" s="36">
        <v>5</v>
      </c>
      <c r="L39" s="35">
        <f t="shared" si="7"/>
        <v>484.99999999999994</v>
      </c>
      <c r="M39" s="35">
        <f t="shared" si="8"/>
        <v>1</v>
      </c>
      <c r="N39" s="35">
        <f t="shared" si="9"/>
        <v>4.8499999999999996</v>
      </c>
      <c r="O39" s="35">
        <f t="shared" si="10"/>
        <v>5.3471250000000001</v>
      </c>
      <c r="P39" s="35">
        <f t="shared" si="11"/>
        <v>1.0543478260869565</v>
      </c>
      <c r="Q39" s="30"/>
      <c r="R39" s="30"/>
      <c r="S39" s="30"/>
      <c r="T39" s="30"/>
      <c r="U39" s="30"/>
      <c r="V39" s="30"/>
    </row>
    <row r="40" spans="1:22" x14ac:dyDescent="0.25">
      <c r="A40" s="34" t="s">
        <v>540</v>
      </c>
      <c r="B40" s="44" t="s">
        <v>191</v>
      </c>
      <c r="C40" s="33" t="s">
        <v>460</v>
      </c>
      <c r="D40" s="31">
        <v>80</v>
      </c>
      <c r="E40" s="35">
        <v>50</v>
      </c>
      <c r="F40" s="35" t="s">
        <v>31</v>
      </c>
      <c r="G40" s="32" t="s">
        <v>227</v>
      </c>
      <c r="H40" s="36">
        <v>50</v>
      </c>
      <c r="I40" s="36">
        <f t="shared" si="6"/>
        <v>1.6</v>
      </c>
      <c r="J40" s="36">
        <v>20</v>
      </c>
      <c r="K40" s="36">
        <v>5</v>
      </c>
      <c r="L40" s="35">
        <f t="shared" si="7"/>
        <v>105</v>
      </c>
      <c r="M40" s="35">
        <f t="shared" si="8"/>
        <v>1</v>
      </c>
      <c r="N40" s="35">
        <f t="shared" si="9"/>
        <v>2.1</v>
      </c>
      <c r="O40" s="35">
        <f t="shared" si="10"/>
        <v>2.3152500000000003</v>
      </c>
      <c r="P40" s="35">
        <f t="shared" si="11"/>
        <v>1.3125</v>
      </c>
      <c r="Q40" s="30"/>
      <c r="R40" s="30"/>
      <c r="S40" s="30"/>
      <c r="T40" s="30"/>
      <c r="U40" s="30"/>
      <c r="V40" s="30"/>
    </row>
    <row r="41" spans="1:22" x14ac:dyDescent="0.25">
      <c r="A41" s="34" t="s">
        <v>541</v>
      </c>
      <c r="B41" s="44" t="s">
        <v>32</v>
      </c>
      <c r="C41" s="33" t="s">
        <v>460</v>
      </c>
      <c r="D41" s="31">
        <v>73</v>
      </c>
      <c r="E41" s="35">
        <v>25</v>
      </c>
      <c r="F41" s="35" t="s">
        <v>36</v>
      </c>
      <c r="G41" s="32" t="s">
        <v>679</v>
      </c>
      <c r="H41" s="36">
        <v>100</v>
      </c>
      <c r="I41" s="36">
        <f t="shared" si="6"/>
        <v>2.92</v>
      </c>
      <c r="J41" s="36">
        <v>20</v>
      </c>
      <c r="K41" s="36">
        <v>5</v>
      </c>
      <c r="L41" s="35">
        <f t="shared" si="7"/>
        <v>317</v>
      </c>
      <c r="M41" s="35">
        <f t="shared" si="8"/>
        <v>1</v>
      </c>
      <c r="N41" s="35">
        <f t="shared" si="9"/>
        <v>3.17</v>
      </c>
      <c r="O41" s="35">
        <f t="shared" si="10"/>
        <v>3.4949250000000003</v>
      </c>
      <c r="P41" s="35">
        <f t="shared" si="11"/>
        <v>1.0856164383561644</v>
      </c>
      <c r="Q41" s="30"/>
      <c r="R41" s="30"/>
      <c r="S41" s="30"/>
      <c r="T41" s="30"/>
      <c r="U41" s="30"/>
      <c r="V41" s="30"/>
    </row>
    <row r="42" spans="1:22" x14ac:dyDescent="0.25">
      <c r="A42" s="34" t="s">
        <v>542</v>
      </c>
      <c r="B42" s="44" t="s">
        <v>35</v>
      </c>
      <c r="C42" s="33" t="s">
        <v>460</v>
      </c>
      <c r="D42" s="31">
        <v>259</v>
      </c>
      <c r="E42" s="35">
        <v>25</v>
      </c>
      <c r="F42" s="35" t="s">
        <v>36</v>
      </c>
      <c r="G42" s="32" t="s">
        <v>680</v>
      </c>
      <c r="H42" s="36">
        <v>1000</v>
      </c>
      <c r="I42" s="36">
        <f t="shared" si="6"/>
        <v>10.36</v>
      </c>
      <c r="J42" s="36">
        <v>20</v>
      </c>
      <c r="K42" s="36">
        <v>5</v>
      </c>
      <c r="L42" s="35">
        <f t="shared" si="7"/>
        <v>10385</v>
      </c>
      <c r="M42" s="35">
        <f t="shared" si="8"/>
        <v>1</v>
      </c>
      <c r="N42" s="35">
        <f t="shared" si="9"/>
        <v>10.385</v>
      </c>
      <c r="O42" s="35">
        <f t="shared" si="10"/>
        <v>11.449462500000001</v>
      </c>
      <c r="P42" s="35">
        <f t="shared" si="11"/>
        <v>1.0024131274131274</v>
      </c>
      <c r="Q42" s="30"/>
      <c r="R42" s="30"/>
      <c r="S42" s="30"/>
      <c r="T42" s="30"/>
      <c r="U42" s="30"/>
      <c r="V42" s="30"/>
    </row>
    <row r="43" spans="1:22" x14ac:dyDescent="0.25">
      <c r="A43" s="34" t="s">
        <v>543</v>
      </c>
      <c r="B43" s="44" t="s">
        <v>157</v>
      </c>
      <c r="C43" s="33" t="s">
        <v>460</v>
      </c>
      <c r="D43" s="31">
        <v>60</v>
      </c>
      <c r="E43" s="35">
        <v>1.2</v>
      </c>
      <c r="F43" s="35" t="s">
        <v>31</v>
      </c>
      <c r="G43" s="32" t="s">
        <v>184</v>
      </c>
      <c r="H43" s="36">
        <v>100</v>
      </c>
      <c r="I43" s="36">
        <f t="shared" si="6"/>
        <v>50</v>
      </c>
      <c r="J43" s="36">
        <v>20</v>
      </c>
      <c r="K43" s="36">
        <v>5</v>
      </c>
      <c r="L43" s="35">
        <f t="shared" si="7"/>
        <v>5025</v>
      </c>
      <c r="M43" s="35">
        <f t="shared" si="8"/>
        <v>0.99999999999999989</v>
      </c>
      <c r="N43" s="35">
        <f t="shared" si="9"/>
        <v>50.25</v>
      </c>
      <c r="O43" s="35">
        <f t="shared" si="10"/>
        <v>55.400625000000005</v>
      </c>
      <c r="P43" s="35">
        <f t="shared" si="11"/>
        <v>1.0049999999999999</v>
      </c>
      <c r="Q43" s="30"/>
      <c r="R43" s="30"/>
      <c r="S43" s="30"/>
      <c r="T43" s="30"/>
      <c r="U43" s="30"/>
      <c r="V43" s="30"/>
    </row>
    <row r="44" spans="1:22" x14ac:dyDescent="0.25">
      <c r="A44" s="34" t="s">
        <v>544</v>
      </c>
      <c r="B44" s="44" t="s">
        <v>51</v>
      </c>
      <c r="C44" s="33" t="s">
        <v>595</v>
      </c>
      <c r="D44" s="31">
        <v>20</v>
      </c>
      <c r="E44" s="35">
        <v>1</v>
      </c>
      <c r="F44" s="35" t="s">
        <v>39</v>
      </c>
      <c r="G44" s="32" t="s">
        <v>185</v>
      </c>
      <c r="H44" s="36">
        <v>1000</v>
      </c>
      <c r="I44" s="36">
        <f t="shared" si="6"/>
        <v>20</v>
      </c>
      <c r="J44" s="36">
        <v>20</v>
      </c>
      <c r="K44" s="36">
        <v>5</v>
      </c>
      <c r="L44" s="35">
        <f t="shared" si="7"/>
        <v>20025</v>
      </c>
      <c r="M44" s="35">
        <f t="shared" si="8"/>
        <v>1</v>
      </c>
      <c r="N44" s="35">
        <f t="shared" si="9"/>
        <v>20.024999999999999</v>
      </c>
      <c r="O44" s="35">
        <f t="shared" si="10"/>
        <v>22.077562500000003</v>
      </c>
      <c r="P44" s="35">
        <f t="shared" si="11"/>
        <v>1.00125</v>
      </c>
      <c r="Q44" s="30"/>
      <c r="R44" s="30"/>
      <c r="S44" s="30"/>
      <c r="T44" s="30"/>
      <c r="U44" s="30"/>
      <c r="V44" s="30"/>
    </row>
    <row r="45" spans="1:22" x14ac:dyDescent="0.25">
      <c r="A45" s="34" t="s">
        <v>545</v>
      </c>
      <c r="B45" s="44" t="s">
        <v>52</v>
      </c>
      <c r="C45" s="33" t="s">
        <v>595</v>
      </c>
      <c r="D45" s="31">
        <v>20</v>
      </c>
      <c r="E45" s="35">
        <v>1</v>
      </c>
      <c r="F45" s="35" t="s">
        <v>39</v>
      </c>
      <c r="G45" s="32" t="s">
        <v>186</v>
      </c>
      <c r="H45" s="36">
        <v>1000</v>
      </c>
      <c r="I45" s="36">
        <f t="shared" si="6"/>
        <v>20</v>
      </c>
      <c r="J45" s="36">
        <v>20</v>
      </c>
      <c r="K45" s="36">
        <v>5</v>
      </c>
      <c r="L45" s="35">
        <f t="shared" si="7"/>
        <v>20025</v>
      </c>
      <c r="M45" s="35">
        <f t="shared" si="8"/>
        <v>1</v>
      </c>
      <c r="N45" s="35">
        <f t="shared" si="9"/>
        <v>20.024999999999999</v>
      </c>
      <c r="O45" s="35">
        <f t="shared" si="10"/>
        <v>22.077562500000003</v>
      </c>
      <c r="P45" s="35">
        <f t="shared" si="11"/>
        <v>1.00125</v>
      </c>
      <c r="Q45" s="30"/>
      <c r="R45" s="30"/>
      <c r="S45" s="30"/>
      <c r="T45" s="30"/>
      <c r="U45" s="30"/>
      <c r="V45" s="30"/>
    </row>
    <row r="46" spans="1:22" x14ac:dyDescent="0.25">
      <c r="A46" s="34" t="s">
        <v>546</v>
      </c>
      <c r="B46" s="44" t="s">
        <v>54</v>
      </c>
      <c r="C46" s="33" t="s">
        <v>456</v>
      </c>
      <c r="D46" s="31">
        <v>17</v>
      </c>
      <c r="E46" s="35">
        <v>3.12</v>
      </c>
      <c r="F46" s="35" t="s">
        <v>39</v>
      </c>
      <c r="G46" s="32" t="s">
        <v>187</v>
      </c>
      <c r="H46" s="36">
        <v>100</v>
      </c>
      <c r="I46" s="36">
        <f t="shared" si="6"/>
        <v>5.4487179487179489</v>
      </c>
      <c r="J46" s="36">
        <v>20</v>
      </c>
      <c r="K46" s="36">
        <v>5</v>
      </c>
      <c r="L46" s="35">
        <f t="shared" si="7"/>
        <v>569.87179487179492</v>
      </c>
      <c r="M46" s="35">
        <f t="shared" si="8"/>
        <v>1</v>
      </c>
      <c r="N46" s="35">
        <f t="shared" si="9"/>
        <v>5.6987179487179489</v>
      </c>
      <c r="O46" s="35">
        <f t="shared" si="10"/>
        <v>6.2828365384615399</v>
      </c>
      <c r="P46" s="35">
        <f t="shared" si="11"/>
        <v>1.0458823529411765</v>
      </c>
      <c r="Q46" s="30"/>
      <c r="R46" s="30"/>
      <c r="S46" s="30"/>
      <c r="T46" s="30"/>
      <c r="U46" s="30"/>
      <c r="V46" s="30"/>
    </row>
    <row r="47" spans="1:22" x14ac:dyDescent="0.25">
      <c r="A47" s="34" t="s">
        <v>547</v>
      </c>
      <c r="B47" s="44" t="s">
        <v>196</v>
      </c>
      <c r="C47" s="33" t="s">
        <v>456</v>
      </c>
      <c r="D47" s="31">
        <v>3.9</v>
      </c>
      <c r="E47" s="35">
        <v>2.6</v>
      </c>
      <c r="F47" s="35" t="s">
        <v>31</v>
      </c>
      <c r="G47" s="32" t="s">
        <v>197</v>
      </c>
      <c r="H47" s="36">
        <v>1000</v>
      </c>
      <c r="I47" s="36">
        <f t="shared" si="6"/>
        <v>1.5</v>
      </c>
      <c r="J47" s="36">
        <v>20</v>
      </c>
      <c r="K47" s="36">
        <v>5</v>
      </c>
      <c r="L47" s="35">
        <f t="shared" si="7"/>
        <v>1525</v>
      </c>
      <c r="M47" s="35">
        <f t="shared" si="8"/>
        <v>1</v>
      </c>
      <c r="N47" s="35">
        <f t="shared" si="9"/>
        <v>1.5249999999999999</v>
      </c>
      <c r="O47" s="35">
        <f t="shared" si="10"/>
        <v>1.6813125000000002</v>
      </c>
      <c r="P47" s="35">
        <f t="shared" si="11"/>
        <v>1.0166666666666666</v>
      </c>
      <c r="Q47" s="30"/>
      <c r="R47" s="30"/>
      <c r="S47" s="30"/>
      <c r="T47" s="30"/>
      <c r="U47" s="30"/>
      <c r="V47" s="30"/>
    </row>
    <row r="48" spans="1:22" x14ac:dyDescent="0.25">
      <c r="A48" s="34" t="s">
        <v>651</v>
      </c>
      <c r="B48" s="44" t="s">
        <v>195</v>
      </c>
      <c r="C48" s="33" t="s">
        <v>456</v>
      </c>
      <c r="D48" s="31">
        <v>3.1</v>
      </c>
      <c r="E48" s="35">
        <v>3</v>
      </c>
      <c r="F48" s="35" t="s">
        <v>31</v>
      </c>
      <c r="G48" s="32" t="s">
        <v>198</v>
      </c>
      <c r="H48" s="36">
        <v>1000</v>
      </c>
      <c r="I48" s="36">
        <f t="shared" si="6"/>
        <v>1.0333333333333334</v>
      </c>
      <c r="J48" s="36">
        <v>20</v>
      </c>
      <c r="K48" s="36">
        <v>5</v>
      </c>
      <c r="L48" s="35">
        <f t="shared" si="7"/>
        <v>1058.3333333333335</v>
      </c>
      <c r="M48" s="35">
        <f t="shared" si="8"/>
        <v>0.99999999999999978</v>
      </c>
      <c r="N48" s="35">
        <f t="shared" si="9"/>
        <v>1.0583333333333336</v>
      </c>
      <c r="O48" s="35">
        <f t="shared" si="10"/>
        <v>1.1668125000000003</v>
      </c>
      <c r="P48" s="35">
        <f t="shared" si="11"/>
        <v>1.0241935483870968</v>
      </c>
      <c r="Q48" s="30"/>
      <c r="R48" s="30"/>
      <c r="S48" s="30"/>
      <c r="T48" s="30"/>
      <c r="U48" s="30"/>
      <c r="V48" s="30"/>
    </row>
    <row r="49" spans="1:22" x14ac:dyDescent="0.25">
      <c r="A49" s="34" t="s">
        <v>548</v>
      </c>
      <c r="B49" s="44" t="s">
        <v>188</v>
      </c>
      <c r="C49" s="33" t="s">
        <v>460</v>
      </c>
      <c r="D49" s="31">
        <v>17</v>
      </c>
      <c r="E49" s="35">
        <v>25</v>
      </c>
      <c r="F49" s="35" t="s">
        <v>36</v>
      </c>
      <c r="G49" s="32" t="s">
        <v>681</v>
      </c>
      <c r="H49" s="36">
        <v>1000</v>
      </c>
      <c r="I49" s="36">
        <f t="shared" si="6"/>
        <v>0.68</v>
      </c>
      <c r="J49" s="36">
        <v>20</v>
      </c>
      <c r="K49" s="36">
        <v>5</v>
      </c>
      <c r="L49" s="35">
        <f t="shared" si="7"/>
        <v>705</v>
      </c>
      <c r="M49" s="35">
        <f t="shared" si="8"/>
        <v>1.0000000000000002</v>
      </c>
      <c r="N49" s="35">
        <f t="shared" si="9"/>
        <v>0.70499999999999996</v>
      </c>
      <c r="O49" s="35">
        <f t="shared" si="10"/>
        <v>0.77726249999999997</v>
      </c>
      <c r="P49" s="35">
        <f t="shared" si="11"/>
        <v>1.036764705882353</v>
      </c>
      <c r="Q49" s="30"/>
      <c r="R49" s="30"/>
      <c r="S49" s="30"/>
      <c r="T49" s="30"/>
      <c r="U49" s="30"/>
      <c r="V49" s="30"/>
    </row>
    <row r="50" spans="1:22" x14ac:dyDescent="0.25">
      <c r="A50" s="34" t="s">
        <v>549</v>
      </c>
      <c r="B50" s="44" t="s">
        <v>192</v>
      </c>
      <c r="C50" s="33" t="s">
        <v>460</v>
      </c>
      <c r="D50" s="31">
        <v>20</v>
      </c>
      <c r="E50" s="35">
        <v>150</v>
      </c>
      <c r="F50" s="35" t="s">
        <v>31</v>
      </c>
      <c r="G50" s="32" t="s">
        <v>193</v>
      </c>
      <c r="H50" s="36">
        <v>150</v>
      </c>
      <c r="I50" s="36">
        <f t="shared" si="6"/>
        <v>0.13333333333333333</v>
      </c>
      <c r="J50" s="36">
        <v>20</v>
      </c>
      <c r="K50" s="36">
        <v>5</v>
      </c>
      <c r="L50" s="35">
        <f t="shared" si="7"/>
        <v>45</v>
      </c>
      <c r="M50" s="35">
        <f t="shared" si="8"/>
        <v>1</v>
      </c>
      <c r="N50" s="35">
        <f t="shared" si="9"/>
        <v>0.3</v>
      </c>
      <c r="O50" s="35">
        <f t="shared" si="10"/>
        <v>0.33075000000000004</v>
      </c>
      <c r="P50" s="35">
        <f t="shared" si="11"/>
        <v>2.25</v>
      </c>
      <c r="Q50" s="30"/>
      <c r="R50" s="30"/>
      <c r="S50" s="30"/>
      <c r="T50" s="30"/>
      <c r="U50" s="30"/>
      <c r="V50" s="30"/>
    </row>
    <row r="51" spans="1:22" x14ac:dyDescent="0.25">
      <c r="A51" s="34" t="s">
        <v>550</v>
      </c>
      <c r="B51" s="44" t="s">
        <v>190</v>
      </c>
      <c r="C51" s="33" t="s">
        <v>456</v>
      </c>
      <c r="D51" s="31">
        <v>250</v>
      </c>
      <c r="E51" s="35">
        <v>50</v>
      </c>
      <c r="F51" s="35" t="s">
        <v>31</v>
      </c>
      <c r="G51" s="32" t="s">
        <v>229</v>
      </c>
      <c r="H51" s="36">
        <v>100</v>
      </c>
      <c r="I51" s="36">
        <f t="shared" si="6"/>
        <v>5</v>
      </c>
      <c r="J51" s="36">
        <v>20</v>
      </c>
      <c r="K51" s="36">
        <v>5</v>
      </c>
      <c r="L51" s="35">
        <f t="shared" si="7"/>
        <v>525</v>
      </c>
      <c r="M51" s="35">
        <f t="shared" si="8"/>
        <v>1</v>
      </c>
      <c r="N51" s="35">
        <f t="shared" si="9"/>
        <v>5.25</v>
      </c>
      <c r="O51" s="35">
        <f t="shared" si="10"/>
        <v>5.7881250000000009</v>
      </c>
      <c r="P51" s="35">
        <f t="shared" si="11"/>
        <v>1.05</v>
      </c>
      <c r="Q51" s="30"/>
      <c r="R51" s="30"/>
      <c r="S51" s="30"/>
      <c r="T51" s="30"/>
      <c r="U51" s="30"/>
      <c r="V51" s="30"/>
    </row>
    <row r="52" spans="1:22" x14ac:dyDescent="0.25">
      <c r="A52" s="34" t="s">
        <v>551</v>
      </c>
      <c r="B52" s="44" t="s">
        <v>27</v>
      </c>
      <c r="C52" s="33" t="s">
        <v>456</v>
      </c>
      <c r="D52" s="31">
        <v>52</v>
      </c>
      <c r="E52" s="35">
        <v>5</v>
      </c>
      <c r="F52" s="35" t="s">
        <v>503</v>
      </c>
      <c r="G52" s="32" t="s">
        <v>204</v>
      </c>
      <c r="H52" s="36">
        <v>5</v>
      </c>
      <c r="I52" s="36">
        <f t="shared" si="6"/>
        <v>10.4</v>
      </c>
      <c r="J52" s="36">
        <v>20</v>
      </c>
      <c r="K52" s="36">
        <v>5</v>
      </c>
      <c r="L52" s="35">
        <f t="shared" si="7"/>
        <v>77</v>
      </c>
      <c r="M52" s="35">
        <f t="shared" si="8"/>
        <v>0.99999999999999989</v>
      </c>
      <c r="N52" s="35">
        <f t="shared" si="9"/>
        <v>15.4</v>
      </c>
      <c r="O52" s="35">
        <f t="shared" si="10"/>
        <v>16.978500000000004</v>
      </c>
      <c r="P52" s="35">
        <f t="shared" si="11"/>
        <v>1.4807692307692306</v>
      </c>
      <c r="Q52" s="30"/>
      <c r="R52" s="30"/>
      <c r="S52" s="30"/>
      <c r="T52" s="30"/>
      <c r="U52" s="30"/>
      <c r="V52" s="30"/>
    </row>
    <row r="53" spans="1:22" x14ac:dyDescent="0.25">
      <c r="A53" s="34" t="s">
        <v>552</v>
      </c>
      <c r="B53" s="44" t="s">
        <v>37</v>
      </c>
      <c r="C53" s="33" t="s">
        <v>594</v>
      </c>
      <c r="D53" s="31">
        <v>8</v>
      </c>
      <c r="E53" s="35">
        <v>5</v>
      </c>
      <c r="F53" s="35" t="s">
        <v>36</v>
      </c>
      <c r="G53" s="32" t="s">
        <v>230</v>
      </c>
      <c r="H53" s="36">
        <v>1000</v>
      </c>
      <c r="I53" s="36">
        <f t="shared" si="6"/>
        <v>1.6</v>
      </c>
      <c r="J53" s="36">
        <v>20</v>
      </c>
      <c r="K53" s="36">
        <v>5</v>
      </c>
      <c r="L53" s="35">
        <f t="shared" si="7"/>
        <v>1625</v>
      </c>
      <c r="M53" s="35">
        <f t="shared" si="8"/>
        <v>1</v>
      </c>
      <c r="N53" s="35">
        <f t="shared" si="9"/>
        <v>1.625</v>
      </c>
      <c r="O53" s="35">
        <f t="shared" si="10"/>
        <v>1.7915625000000002</v>
      </c>
      <c r="P53" s="35">
        <f t="shared" si="11"/>
        <v>1.015625</v>
      </c>
      <c r="Q53" s="30"/>
      <c r="R53" s="30"/>
      <c r="S53" s="30"/>
      <c r="T53" s="30"/>
      <c r="U53" s="30"/>
      <c r="V53" s="30"/>
    </row>
    <row r="54" spans="1:22" x14ac:dyDescent="0.25">
      <c r="A54" s="34" t="s">
        <v>652</v>
      </c>
      <c r="B54" s="44" t="s">
        <v>38</v>
      </c>
      <c r="C54" s="33" t="s">
        <v>594</v>
      </c>
      <c r="D54" s="31">
        <v>11</v>
      </c>
      <c r="E54" s="35">
        <v>0.83</v>
      </c>
      <c r="F54" s="35" t="s">
        <v>39</v>
      </c>
      <c r="G54" s="32" t="s">
        <v>231</v>
      </c>
      <c r="H54" s="36">
        <v>100</v>
      </c>
      <c r="I54" s="36">
        <f t="shared" si="6"/>
        <v>13.253012048192772</v>
      </c>
      <c r="J54" s="36">
        <v>20</v>
      </c>
      <c r="K54" s="36">
        <v>5</v>
      </c>
      <c r="L54" s="35">
        <f t="shared" si="7"/>
        <v>1350.3012048192772</v>
      </c>
      <c r="M54" s="35">
        <f t="shared" si="8"/>
        <v>1</v>
      </c>
      <c r="N54" s="35">
        <f t="shared" si="9"/>
        <v>13.503012048192772</v>
      </c>
      <c r="O54" s="35">
        <f t="shared" si="10"/>
        <v>14.887070783132533</v>
      </c>
      <c r="P54" s="35">
        <f t="shared" si="11"/>
        <v>1.0188636363636363</v>
      </c>
      <c r="Q54" s="30"/>
      <c r="R54" s="30"/>
      <c r="S54" s="30"/>
      <c r="T54" s="30"/>
      <c r="U54" s="30"/>
      <c r="V54" s="30"/>
    </row>
    <row r="55" spans="1:22" x14ac:dyDescent="0.25">
      <c r="A55" s="34" t="s">
        <v>553</v>
      </c>
      <c r="B55" s="44" t="s">
        <v>228</v>
      </c>
      <c r="C55" s="33" t="s">
        <v>460</v>
      </c>
      <c r="D55" s="31">
        <v>60</v>
      </c>
      <c r="E55" s="35">
        <v>25</v>
      </c>
      <c r="F55" s="35" t="s">
        <v>36</v>
      </c>
      <c r="G55" s="32" t="s">
        <v>682</v>
      </c>
      <c r="H55" s="36">
        <v>100</v>
      </c>
      <c r="I55" s="36">
        <f t="shared" si="6"/>
        <v>2.4</v>
      </c>
      <c r="J55" s="36">
        <v>20</v>
      </c>
      <c r="K55" s="36">
        <v>5</v>
      </c>
      <c r="L55" s="35">
        <f t="shared" si="7"/>
        <v>265</v>
      </c>
      <c r="M55" s="35">
        <f t="shared" si="8"/>
        <v>1</v>
      </c>
      <c r="N55" s="35">
        <f t="shared" si="9"/>
        <v>2.65</v>
      </c>
      <c r="O55" s="35">
        <f t="shared" si="10"/>
        <v>2.9216250000000001</v>
      </c>
      <c r="P55" s="35">
        <f t="shared" si="11"/>
        <v>1.1041666666666667</v>
      </c>
      <c r="Q55" s="57"/>
      <c r="R55" s="57"/>
      <c r="S55" s="30"/>
      <c r="T55" s="30"/>
      <c r="U55" s="30"/>
      <c r="V55" s="30"/>
    </row>
    <row r="56" spans="1:22" x14ac:dyDescent="0.25">
      <c r="A56" s="34" t="s">
        <v>554</v>
      </c>
      <c r="B56" s="44" t="s">
        <v>224</v>
      </c>
      <c r="C56" s="33" t="s">
        <v>460</v>
      </c>
      <c r="D56" s="31">
        <v>130</v>
      </c>
      <c r="E56" s="35">
        <v>25</v>
      </c>
      <c r="F56" s="35" t="s">
        <v>36</v>
      </c>
      <c r="G56" s="32" t="s">
        <v>683</v>
      </c>
      <c r="H56" s="36">
        <v>100</v>
      </c>
      <c r="I56" s="36">
        <f t="shared" si="6"/>
        <v>5.2</v>
      </c>
      <c r="J56" s="36">
        <v>20</v>
      </c>
      <c r="K56" s="36">
        <v>5</v>
      </c>
      <c r="L56" s="35">
        <f t="shared" si="7"/>
        <v>545</v>
      </c>
      <c r="M56" s="35">
        <f t="shared" si="8"/>
        <v>1</v>
      </c>
      <c r="N56" s="35">
        <f t="shared" si="9"/>
        <v>5.45</v>
      </c>
      <c r="O56" s="35">
        <f t="shared" si="10"/>
        <v>6.0086250000000003</v>
      </c>
      <c r="P56" s="35">
        <f t="shared" si="11"/>
        <v>1.0480769230769231</v>
      </c>
      <c r="Q56" s="57"/>
      <c r="R56" s="57"/>
      <c r="S56" s="30"/>
      <c r="T56" s="30"/>
      <c r="U56" s="30"/>
      <c r="V56" s="30"/>
    </row>
    <row r="57" spans="1:22" x14ac:dyDescent="0.25">
      <c r="A57" s="34" t="s">
        <v>555</v>
      </c>
      <c r="B57" s="42" t="s">
        <v>194</v>
      </c>
      <c r="C57" s="30" t="s">
        <v>457</v>
      </c>
      <c r="D57" s="31">
        <v>2200</v>
      </c>
      <c r="E57" s="35">
        <v>50</v>
      </c>
      <c r="F57" s="35" t="s">
        <v>39</v>
      </c>
      <c r="G57" s="32" t="s">
        <v>504</v>
      </c>
      <c r="H57" s="36">
        <v>50</v>
      </c>
      <c r="I57" s="36">
        <f t="shared" si="6"/>
        <v>44</v>
      </c>
      <c r="J57" s="36">
        <v>20</v>
      </c>
      <c r="K57" s="36">
        <v>5</v>
      </c>
      <c r="L57" s="35">
        <f t="shared" si="7"/>
        <v>2225</v>
      </c>
      <c r="M57" s="35">
        <f t="shared" si="8"/>
        <v>1.0000000000000002</v>
      </c>
      <c r="N57" s="35">
        <f t="shared" si="9"/>
        <v>44.5</v>
      </c>
      <c r="O57" s="35">
        <f t="shared" si="10"/>
        <v>49.061250000000001</v>
      </c>
      <c r="P57" s="35">
        <f t="shared" si="11"/>
        <v>1.0113636363636365</v>
      </c>
      <c r="Q57" s="30"/>
      <c r="R57" s="30"/>
      <c r="S57" s="30"/>
      <c r="T57" s="30"/>
      <c r="U57" s="30"/>
      <c r="V57" s="30"/>
    </row>
    <row r="58" spans="1:22" x14ac:dyDescent="0.25">
      <c r="A58" s="34" t="s">
        <v>556</v>
      </c>
      <c r="B58" s="42" t="s">
        <v>307</v>
      </c>
      <c r="C58" s="30" t="s">
        <v>456</v>
      </c>
      <c r="D58" s="31">
        <v>200</v>
      </c>
      <c r="E58" s="35">
        <v>1</v>
      </c>
      <c r="F58" s="35" t="s">
        <v>34</v>
      </c>
      <c r="G58" s="32" t="s">
        <v>505</v>
      </c>
      <c r="H58" s="36">
        <v>1</v>
      </c>
      <c r="I58" s="36">
        <f t="shared" si="6"/>
        <v>200</v>
      </c>
      <c r="J58" s="36">
        <v>20</v>
      </c>
      <c r="K58" s="36">
        <v>5</v>
      </c>
      <c r="L58" s="35">
        <f t="shared" si="7"/>
        <v>225</v>
      </c>
      <c r="M58" s="35">
        <f t="shared" si="8"/>
        <v>1</v>
      </c>
      <c r="N58" s="35">
        <f t="shared" si="9"/>
        <v>225</v>
      </c>
      <c r="O58" s="35">
        <f t="shared" si="10"/>
        <v>248.0625</v>
      </c>
      <c r="P58" s="35">
        <f t="shared" si="11"/>
        <v>1.125</v>
      </c>
      <c r="Q58" s="30"/>
      <c r="R58" s="30"/>
      <c r="S58" s="30"/>
      <c r="T58" s="30"/>
      <c r="U58" s="30"/>
      <c r="V58" s="30"/>
    </row>
    <row r="59" spans="1:22" x14ac:dyDescent="0.25">
      <c r="A59" s="34" t="s">
        <v>557</v>
      </c>
      <c r="B59" s="42" t="s">
        <v>308</v>
      </c>
      <c r="C59" s="30" t="s">
        <v>456</v>
      </c>
      <c r="D59" s="31">
        <v>150</v>
      </c>
      <c r="E59" s="35">
        <v>1</v>
      </c>
      <c r="F59" s="35" t="s">
        <v>34</v>
      </c>
      <c r="G59" s="32" t="s">
        <v>505</v>
      </c>
      <c r="H59" s="36">
        <v>1</v>
      </c>
      <c r="I59" s="36">
        <f t="shared" si="6"/>
        <v>150</v>
      </c>
      <c r="J59" s="36">
        <v>20</v>
      </c>
      <c r="K59" s="36">
        <v>5</v>
      </c>
      <c r="L59" s="35">
        <f t="shared" si="7"/>
        <v>175</v>
      </c>
      <c r="M59" s="35">
        <f t="shared" si="8"/>
        <v>1</v>
      </c>
      <c r="N59" s="35">
        <f t="shared" si="9"/>
        <v>175</v>
      </c>
      <c r="O59" s="35">
        <f t="shared" si="10"/>
        <v>192.9375</v>
      </c>
      <c r="P59" s="35">
        <f t="shared" si="11"/>
        <v>1.1666666666666667</v>
      </c>
      <c r="Q59" s="30"/>
      <c r="R59" s="30"/>
      <c r="S59" s="30"/>
      <c r="T59" s="30"/>
      <c r="U59" s="30"/>
      <c r="V59" s="30"/>
    </row>
    <row r="60" spans="1:22" x14ac:dyDescent="0.25">
      <c r="A60" s="34" t="s">
        <v>558</v>
      </c>
      <c r="B60" s="42" t="s">
        <v>325</v>
      </c>
      <c r="C60" s="30" t="s">
        <v>456</v>
      </c>
      <c r="D60" s="31">
        <v>160</v>
      </c>
      <c r="E60" s="35">
        <v>1</v>
      </c>
      <c r="F60" s="35" t="s">
        <v>34</v>
      </c>
      <c r="G60" s="32" t="s">
        <v>505</v>
      </c>
      <c r="H60" s="36">
        <v>1</v>
      </c>
      <c r="I60" s="36">
        <f t="shared" si="6"/>
        <v>160</v>
      </c>
      <c r="J60" s="36">
        <v>20</v>
      </c>
      <c r="K60" s="36">
        <v>5</v>
      </c>
      <c r="L60" s="35">
        <f t="shared" si="7"/>
        <v>185</v>
      </c>
      <c r="M60" s="35">
        <f t="shared" si="8"/>
        <v>1</v>
      </c>
      <c r="N60" s="35">
        <f t="shared" si="9"/>
        <v>185</v>
      </c>
      <c r="O60" s="35">
        <f t="shared" si="10"/>
        <v>203.96250000000001</v>
      </c>
      <c r="P60" s="35">
        <f t="shared" si="11"/>
        <v>1.15625</v>
      </c>
      <c r="Q60" s="30"/>
      <c r="R60" s="30"/>
      <c r="S60" s="30"/>
      <c r="T60" s="30"/>
      <c r="U60" s="30"/>
      <c r="V60" s="30"/>
    </row>
    <row r="61" spans="1:22" x14ac:dyDescent="0.25">
      <c r="A61" s="34" t="s">
        <v>559</v>
      </c>
      <c r="B61" s="42" t="s">
        <v>309</v>
      </c>
      <c r="C61" s="30" t="s">
        <v>456</v>
      </c>
      <c r="D61" s="31">
        <v>100</v>
      </c>
      <c r="E61" s="35">
        <v>1</v>
      </c>
      <c r="F61" s="35" t="s">
        <v>34</v>
      </c>
      <c r="G61" s="32" t="s">
        <v>505</v>
      </c>
      <c r="H61" s="36">
        <v>1</v>
      </c>
      <c r="I61" s="36">
        <f t="shared" si="6"/>
        <v>100</v>
      </c>
      <c r="J61" s="36">
        <v>20</v>
      </c>
      <c r="K61" s="36">
        <v>5</v>
      </c>
      <c r="L61" s="35">
        <f t="shared" si="7"/>
        <v>125</v>
      </c>
      <c r="M61" s="35">
        <f t="shared" si="8"/>
        <v>1</v>
      </c>
      <c r="N61" s="35">
        <f t="shared" si="9"/>
        <v>125</v>
      </c>
      <c r="O61" s="35">
        <f t="shared" si="10"/>
        <v>137.8125</v>
      </c>
      <c r="P61" s="35">
        <f t="shared" si="11"/>
        <v>1.25</v>
      </c>
      <c r="Q61" s="30"/>
      <c r="R61" s="30"/>
      <c r="S61" s="30"/>
      <c r="T61" s="30"/>
      <c r="U61" s="30"/>
      <c r="V61" s="30"/>
    </row>
    <row r="62" spans="1:22" x14ac:dyDescent="0.25">
      <c r="A62" s="34" t="s">
        <v>560</v>
      </c>
      <c r="B62" s="42" t="s">
        <v>315</v>
      </c>
      <c r="C62" s="30" t="s">
        <v>456</v>
      </c>
      <c r="D62" s="31">
        <v>150</v>
      </c>
      <c r="E62" s="35">
        <v>1</v>
      </c>
      <c r="F62" s="35" t="s">
        <v>34</v>
      </c>
      <c r="G62" s="32" t="s">
        <v>505</v>
      </c>
      <c r="H62" s="36">
        <v>1</v>
      </c>
      <c r="I62" s="36">
        <f t="shared" si="6"/>
        <v>150</v>
      </c>
      <c r="J62" s="36">
        <v>20</v>
      </c>
      <c r="K62" s="36">
        <v>5</v>
      </c>
      <c r="L62" s="35">
        <f t="shared" si="7"/>
        <v>175</v>
      </c>
      <c r="M62" s="35">
        <f t="shared" si="8"/>
        <v>1</v>
      </c>
      <c r="N62" s="35">
        <f t="shared" si="9"/>
        <v>175</v>
      </c>
      <c r="O62" s="35">
        <f t="shared" si="10"/>
        <v>192.9375</v>
      </c>
      <c r="P62" s="35">
        <f t="shared" si="11"/>
        <v>1.1666666666666667</v>
      </c>
      <c r="Q62" s="30"/>
      <c r="R62" s="30"/>
      <c r="S62" s="30"/>
      <c r="T62" s="30"/>
      <c r="U62" s="30"/>
      <c r="V62" s="30"/>
    </row>
    <row r="63" spans="1:22" x14ac:dyDescent="0.25">
      <c r="A63" s="34" t="s">
        <v>561</v>
      </c>
      <c r="B63" s="42" t="s">
        <v>310</v>
      </c>
      <c r="C63" s="30" t="s">
        <v>456</v>
      </c>
      <c r="D63" s="31">
        <v>100</v>
      </c>
      <c r="E63" s="35">
        <v>1</v>
      </c>
      <c r="F63" s="35" t="s">
        <v>34</v>
      </c>
      <c r="G63" s="32" t="s">
        <v>505</v>
      </c>
      <c r="H63" s="36">
        <v>1</v>
      </c>
      <c r="I63" s="36">
        <f t="shared" si="6"/>
        <v>100</v>
      </c>
      <c r="J63" s="36">
        <v>20</v>
      </c>
      <c r="K63" s="36">
        <v>5</v>
      </c>
      <c r="L63" s="35">
        <f t="shared" si="7"/>
        <v>125</v>
      </c>
      <c r="M63" s="35">
        <f t="shared" si="8"/>
        <v>1</v>
      </c>
      <c r="N63" s="35">
        <f t="shared" si="9"/>
        <v>125</v>
      </c>
      <c r="O63" s="35">
        <f t="shared" si="10"/>
        <v>137.8125</v>
      </c>
      <c r="P63" s="35">
        <f t="shared" si="11"/>
        <v>1.25</v>
      </c>
      <c r="Q63" s="30"/>
      <c r="R63" s="30"/>
      <c r="S63" s="30"/>
      <c r="T63" s="30"/>
      <c r="U63" s="30"/>
      <c r="V63" s="30"/>
    </row>
    <row r="64" spans="1:22" x14ac:dyDescent="0.25">
      <c r="A64" s="34" t="s">
        <v>562</v>
      </c>
      <c r="B64" s="42" t="s">
        <v>311</v>
      </c>
      <c r="C64" s="30" t="s">
        <v>456</v>
      </c>
      <c r="D64" s="31">
        <v>25</v>
      </c>
      <c r="E64" s="35">
        <v>1</v>
      </c>
      <c r="F64" s="35" t="s">
        <v>34</v>
      </c>
      <c r="G64" s="32" t="s">
        <v>505</v>
      </c>
      <c r="H64" s="36">
        <v>1</v>
      </c>
      <c r="I64" s="36">
        <f t="shared" si="6"/>
        <v>25</v>
      </c>
      <c r="J64" s="36">
        <v>20</v>
      </c>
      <c r="K64" s="36">
        <v>5</v>
      </c>
      <c r="L64" s="35">
        <f t="shared" si="7"/>
        <v>50</v>
      </c>
      <c r="M64" s="35">
        <f t="shared" si="8"/>
        <v>1</v>
      </c>
      <c r="N64" s="35">
        <f t="shared" si="9"/>
        <v>50</v>
      </c>
      <c r="O64" s="35">
        <f t="shared" si="10"/>
        <v>55.125</v>
      </c>
      <c r="P64" s="35">
        <f t="shared" si="11"/>
        <v>2</v>
      </c>
      <c r="Q64" s="30"/>
      <c r="R64" s="30"/>
      <c r="S64" s="30"/>
      <c r="T64" s="30"/>
      <c r="U64" s="30"/>
      <c r="V64" s="30"/>
    </row>
    <row r="65" spans="1:22" x14ac:dyDescent="0.25">
      <c r="A65" s="34" t="s">
        <v>563</v>
      </c>
      <c r="B65" s="42" t="s">
        <v>312</v>
      </c>
      <c r="C65" s="30" t="s">
        <v>456</v>
      </c>
      <c r="D65" s="31">
        <v>25</v>
      </c>
      <c r="E65" s="35">
        <v>1</v>
      </c>
      <c r="F65" s="35" t="s">
        <v>34</v>
      </c>
      <c r="G65" s="32" t="s">
        <v>505</v>
      </c>
      <c r="H65" s="36">
        <v>1</v>
      </c>
      <c r="I65" s="36">
        <f t="shared" si="6"/>
        <v>25</v>
      </c>
      <c r="J65" s="36">
        <v>20</v>
      </c>
      <c r="K65" s="36">
        <v>5</v>
      </c>
      <c r="L65" s="35">
        <f t="shared" si="7"/>
        <v>50</v>
      </c>
      <c r="M65" s="35">
        <f t="shared" si="8"/>
        <v>1</v>
      </c>
      <c r="N65" s="35">
        <f t="shared" si="9"/>
        <v>50</v>
      </c>
      <c r="O65" s="35">
        <f t="shared" si="10"/>
        <v>55.125</v>
      </c>
      <c r="P65" s="35">
        <f t="shared" si="11"/>
        <v>2</v>
      </c>
      <c r="Q65" s="30"/>
      <c r="R65" s="30"/>
      <c r="S65" s="30"/>
      <c r="T65" s="30"/>
      <c r="U65" s="30"/>
      <c r="V65" s="30"/>
    </row>
    <row r="66" spans="1:22" x14ac:dyDescent="0.25">
      <c r="A66" s="34" t="s">
        <v>564</v>
      </c>
      <c r="B66" s="42" t="s">
        <v>313</v>
      </c>
      <c r="C66" s="30" t="s">
        <v>456</v>
      </c>
      <c r="D66" s="31">
        <v>25</v>
      </c>
      <c r="E66" s="35">
        <v>1</v>
      </c>
      <c r="F66" s="35" t="s">
        <v>34</v>
      </c>
      <c r="G66" s="32" t="s">
        <v>505</v>
      </c>
      <c r="H66" s="36">
        <v>1</v>
      </c>
      <c r="I66" s="36">
        <f t="shared" si="6"/>
        <v>25</v>
      </c>
      <c r="J66" s="36">
        <v>20</v>
      </c>
      <c r="K66" s="36">
        <v>5</v>
      </c>
      <c r="L66" s="35">
        <f t="shared" si="7"/>
        <v>50</v>
      </c>
      <c r="M66" s="35">
        <f t="shared" si="8"/>
        <v>1</v>
      </c>
      <c r="N66" s="35">
        <f t="shared" si="9"/>
        <v>50</v>
      </c>
      <c r="O66" s="35">
        <f t="shared" si="10"/>
        <v>55.125</v>
      </c>
      <c r="P66" s="35">
        <f t="shared" si="11"/>
        <v>2</v>
      </c>
      <c r="Q66" s="30"/>
      <c r="R66" s="30"/>
      <c r="S66" s="30"/>
      <c r="T66" s="30"/>
      <c r="U66" s="30"/>
      <c r="V66" s="30"/>
    </row>
    <row r="67" spans="1:22" x14ac:dyDescent="0.25">
      <c r="A67" s="34" t="s">
        <v>565</v>
      </c>
      <c r="B67" s="42" t="s">
        <v>314</v>
      </c>
      <c r="C67" s="30" t="s">
        <v>456</v>
      </c>
      <c r="D67" s="31">
        <v>15</v>
      </c>
      <c r="E67" s="35">
        <v>1</v>
      </c>
      <c r="F67" s="35" t="s">
        <v>34</v>
      </c>
      <c r="G67" s="32" t="s">
        <v>505</v>
      </c>
      <c r="H67" s="36">
        <v>1</v>
      </c>
      <c r="I67" s="36">
        <f t="shared" si="6"/>
        <v>15</v>
      </c>
      <c r="J67" s="36">
        <v>20</v>
      </c>
      <c r="K67" s="36">
        <v>5</v>
      </c>
      <c r="L67" s="35">
        <f t="shared" si="7"/>
        <v>40</v>
      </c>
      <c r="M67" s="35">
        <f t="shared" si="8"/>
        <v>1.0000000000000002</v>
      </c>
      <c r="N67" s="35">
        <f t="shared" si="9"/>
        <v>40</v>
      </c>
      <c r="O67" s="35">
        <f t="shared" si="10"/>
        <v>44.1</v>
      </c>
      <c r="P67" s="35">
        <f t="shared" si="11"/>
        <v>2.666666666666667</v>
      </c>
      <c r="Q67" s="30"/>
      <c r="R67" s="30"/>
      <c r="S67" s="30"/>
      <c r="T67" s="30"/>
      <c r="U67" s="30"/>
      <c r="V67" s="30"/>
    </row>
    <row r="68" spans="1:22" x14ac:dyDescent="0.25">
      <c r="A68" s="34" t="s">
        <v>566</v>
      </c>
      <c r="B68" s="42" t="s">
        <v>316</v>
      </c>
      <c r="C68" s="30" t="s">
        <v>456</v>
      </c>
      <c r="D68" s="31">
        <v>17</v>
      </c>
      <c r="E68" s="35">
        <v>1</v>
      </c>
      <c r="F68" s="35" t="s">
        <v>34</v>
      </c>
      <c r="G68" s="32" t="s">
        <v>505</v>
      </c>
      <c r="H68" s="36">
        <v>1</v>
      </c>
      <c r="I68" s="36">
        <f t="shared" si="6"/>
        <v>17</v>
      </c>
      <c r="J68" s="36">
        <v>20</v>
      </c>
      <c r="K68" s="36">
        <v>5</v>
      </c>
      <c r="L68" s="35">
        <f t="shared" si="7"/>
        <v>42</v>
      </c>
      <c r="M68" s="35">
        <f t="shared" si="8"/>
        <v>1</v>
      </c>
      <c r="N68" s="35">
        <f t="shared" si="9"/>
        <v>42</v>
      </c>
      <c r="O68" s="35">
        <f t="shared" si="10"/>
        <v>46.305000000000007</v>
      </c>
      <c r="P68" s="35">
        <f t="shared" si="11"/>
        <v>2.4705882352941178</v>
      </c>
      <c r="Q68" s="30"/>
      <c r="R68" s="30"/>
      <c r="S68" s="30"/>
      <c r="T68" s="30"/>
      <c r="U68" s="30"/>
      <c r="V68" s="30"/>
    </row>
    <row r="69" spans="1:22" x14ac:dyDescent="0.25">
      <c r="A69" s="34" t="s">
        <v>567</v>
      </c>
      <c r="B69" s="42" t="s">
        <v>317</v>
      </c>
      <c r="C69" s="30" t="s">
        <v>456</v>
      </c>
      <c r="D69" s="31">
        <v>1.5</v>
      </c>
      <c r="E69" s="35">
        <v>1</v>
      </c>
      <c r="F69" s="35" t="s">
        <v>31</v>
      </c>
      <c r="G69" s="32" t="s">
        <v>505</v>
      </c>
      <c r="H69" s="36">
        <v>1</v>
      </c>
      <c r="I69" s="36">
        <f t="shared" si="6"/>
        <v>1.5</v>
      </c>
      <c r="J69" s="36">
        <v>20</v>
      </c>
      <c r="K69" s="36">
        <v>5</v>
      </c>
      <c r="L69" s="35">
        <f t="shared" si="7"/>
        <v>26.5</v>
      </c>
      <c r="M69" s="35">
        <f t="shared" si="8"/>
        <v>1</v>
      </c>
      <c r="N69" s="35">
        <f t="shared" si="9"/>
        <v>26.5</v>
      </c>
      <c r="O69" s="35">
        <f t="shared" si="10"/>
        <v>29.216250000000006</v>
      </c>
      <c r="P69" s="35">
        <f t="shared" si="11"/>
        <v>17.666666666666668</v>
      </c>
      <c r="Q69" s="30"/>
      <c r="R69" s="30"/>
      <c r="S69" s="30"/>
      <c r="T69" s="30"/>
      <c r="U69" s="30"/>
      <c r="V69" s="30"/>
    </row>
    <row r="70" spans="1:22" x14ac:dyDescent="0.25">
      <c r="A70" s="34" t="s">
        <v>568</v>
      </c>
      <c r="B70" s="42" t="s">
        <v>318</v>
      </c>
      <c r="C70" s="30" t="s">
        <v>456</v>
      </c>
      <c r="D70" s="31">
        <v>8</v>
      </c>
      <c r="E70" s="35">
        <v>1</v>
      </c>
      <c r="F70" s="35" t="s">
        <v>159</v>
      </c>
      <c r="G70" s="32" t="s">
        <v>352</v>
      </c>
      <c r="H70" s="36">
        <v>1</v>
      </c>
      <c r="I70" s="36">
        <f t="shared" ref="I70:I87" si="12">D70/E70</f>
        <v>8</v>
      </c>
      <c r="J70" s="36">
        <v>20</v>
      </c>
      <c r="K70" s="36">
        <v>5</v>
      </c>
      <c r="L70" s="35">
        <f t="shared" ref="L70:L87" si="13">(I70*H70)+SUM(J70:K70)</f>
        <v>33</v>
      </c>
      <c r="M70" s="35">
        <f t="shared" ref="M70:M87" si="14">I70*P70/N70</f>
        <v>1</v>
      </c>
      <c r="N70" s="35">
        <f t="shared" ref="N70:N87" si="15">L70/H70</f>
        <v>33</v>
      </c>
      <c r="O70" s="35">
        <f t="shared" ref="O70:O87" si="16">N70*ALEA*AGM</f>
        <v>36.3825</v>
      </c>
      <c r="P70" s="35">
        <f t="shared" ref="P70:P87" si="17">(H70+SUM(J70:K70)/I70)/H70</f>
        <v>4.125</v>
      </c>
      <c r="Q70" s="30"/>
      <c r="R70" s="30"/>
      <c r="S70" s="30"/>
      <c r="T70" s="30"/>
      <c r="U70" s="30"/>
      <c r="V70" s="30"/>
    </row>
    <row r="71" spans="1:22" x14ac:dyDescent="0.25">
      <c r="A71" s="34" t="s">
        <v>569</v>
      </c>
      <c r="B71" s="42" t="s">
        <v>324</v>
      </c>
      <c r="C71" s="30" t="s">
        <v>456</v>
      </c>
      <c r="D71" s="31">
        <v>17</v>
      </c>
      <c r="E71" s="35">
        <v>1</v>
      </c>
      <c r="F71" s="35" t="s">
        <v>34</v>
      </c>
      <c r="G71" s="32" t="s">
        <v>505</v>
      </c>
      <c r="H71" s="36">
        <v>1</v>
      </c>
      <c r="I71" s="36">
        <f t="shared" si="12"/>
        <v>17</v>
      </c>
      <c r="J71" s="36">
        <v>20</v>
      </c>
      <c r="K71" s="36">
        <v>5</v>
      </c>
      <c r="L71" s="35">
        <f t="shared" si="13"/>
        <v>42</v>
      </c>
      <c r="M71" s="35">
        <f t="shared" si="14"/>
        <v>1</v>
      </c>
      <c r="N71" s="35">
        <f t="shared" si="15"/>
        <v>42</v>
      </c>
      <c r="O71" s="35">
        <f t="shared" si="16"/>
        <v>46.305000000000007</v>
      </c>
      <c r="P71" s="35">
        <f t="shared" si="17"/>
        <v>2.4705882352941178</v>
      </c>
      <c r="Q71" s="30"/>
      <c r="R71" s="30"/>
      <c r="S71" s="30"/>
      <c r="T71" s="30"/>
      <c r="U71" s="30"/>
      <c r="V71" s="30"/>
    </row>
    <row r="72" spans="1:22" x14ac:dyDescent="0.25">
      <c r="A72" s="34" t="s">
        <v>570</v>
      </c>
      <c r="B72" s="42" t="s">
        <v>319</v>
      </c>
      <c r="C72" s="30" t="s">
        <v>456</v>
      </c>
      <c r="D72" s="31">
        <v>12</v>
      </c>
      <c r="E72" s="35">
        <v>1</v>
      </c>
      <c r="F72" s="35" t="s">
        <v>34</v>
      </c>
      <c r="G72" s="32" t="s">
        <v>505</v>
      </c>
      <c r="H72" s="36">
        <v>1</v>
      </c>
      <c r="I72" s="36">
        <f t="shared" si="12"/>
        <v>12</v>
      </c>
      <c r="J72" s="36">
        <v>20</v>
      </c>
      <c r="K72" s="36">
        <v>5</v>
      </c>
      <c r="L72" s="35">
        <f t="shared" si="13"/>
        <v>37</v>
      </c>
      <c r="M72" s="35">
        <f t="shared" si="14"/>
        <v>1</v>
      </c>
      <c r="N72" s="35">
        <f t="shared" si="15"/>
        <v>37</v>
      </c>
      <c r="O72" s="35">
        <f t="shared" si="16"/>
        <v>40.792500000000004</v>
      </c>
      <c r="P72" s="35">
        <f t="shared" si="17"/>
        <v>3.0833333333333335</v>
      </c>
      <c r="Q72" s="30"/>
      <c r="R72" s="30"/>
      <c r="S72" s="30"/>
      <c r="T72" s="30"/>
      <c r="U72" s="30"/>
      <c r="V72" s="30"/>
    </row>
    <row r="73" spans="1:22" x14ac:dyDescent="0.25">
      <c r="A73" s="34" t="s">
        <v>571</v>
      </c>
      <c r="B73" s="42" t="s">
        <v>320</v>
      </c>
      <c r="C73" s="30" t="s">
        <v>456</v>
      </c>
      <c r="D73" s="31">
        <v>20</v>
      </c>
      <c r="E73" s="35">
        <v>1</v>
      </c>
      <c r="F73" s="35" t="s">
        <v>34</v>
      </c>
      <c r="G73" s="32" t="s">
        <v>505</v>
      </c>
      <c r="H73" s="36">
        <v>1</v>
      </c>
      <c r="I73" s="36">
        <f t="shared" si="12"/>
        <v>20</v>
      </c>
      <c r="J73" s="36">
        <v>20</v>
      </c>
      <c r="K73" s="36">
        <v>5</v>
      </c>
      <c r="L73" s="35">
        <f t="shared" si="13"/>
        <v>45</v>
      </c>
      <c r="M73" s="35">
        <f t="shared" si="14"/>
        <v>1</v>
      </c>
      <c r="N73" s="35">
        <f t="shared" si="15"/>
        <v>45</v>
      </c>
      <c r="O73" s="35">
        <f t="shared" si="16"/>
        <v>49.612500000000004</v>
      </c>
      <c r="P73" s="35">
        <f t="shared" si="17"/>
        <v>2.25</v>
      </c>
      <c r="Q73" s="30"/>
      <c r="R73" s="30"/>
      <c r="S73" s="30"/>
      <c r="T73" s="30"/>
      <c r="U73" s="30"/>
      <c r="V73" s="30"/>
    </row>
    <row r="74" spans="1:22" x14ac:dyDescent="0.25">
      <c r="A74" s="34" t="s">
        <v>572</v>
      </c>
      <c r="B74" s="42" t="s">
        <v>321</v>
      </c>
      <c r="C74" s="30" t="s">
        <v>594</v>
      </c>
      <c r="D74" s="31">
        <v>2.4</v>
      </c>
      <c r="E74" s="35">
        <v>1</v>
      </c>
      <c r="F74" s="35" t="s">
        <v>31</v>
      </c>
      <c r="G74" s="32" t="s">
        <v>505</v>
      </c>
      <c r="H74" s="36">
        <v>100</v>
      </c>
      <c r="I74" s="36">
        <f t="shared" si="12"/>
        <v>2.4</v>
      </c>
      <c r="J74" s="36">
        <v>20</v>
      </c>
      <c r="K74" s="36">
        <v>5</v>
      </c>
      <c r="L74" s="35">
        <f t="shared" si="13"/>
        <v>265</v>
      </c>
      <c r="M74" s="35">
        <f t="shared" si="14"/>
        <v>1</v>
      </c>
      <c r="N74" s="35">
        <f t="shared" si="15"/>
        <v>2.65</v>
      </c>
      <c r="O74" s="35">
        <f t="shared" si="16"/>
        <v>2.9216250000000001</v>
      </c>
      <c r="P74" s="35">
        <f t="shared" si="17"/>
        <v>1.1041666666666667</v>
      </c>
      <c r="Q74" s="30"/>
      <c r="R74" s="30"/>
      <c r="S74" s="30"/>
      <c r="T74" s="30"/>
      <c r="U74" s="30"/>
      <c r="V74" s="30"/>
    </row>
    <row r="75" spans="1:22" x14ac:dyDescent="0.25">
      <c r="A75" s="34" t="s">
        <v>573</v>
      </c>
      <c r="B75" s="42" t="s">
        <v>322</v>
      </c>
      <c r="C75" s="30" t="s">
        <v>594</v>
      </c>
      <c r="D75" s="31">
        <v>3</v>
      </c>
      <c r="E75" s="35">
        <v>1</v>
      </c>
      <c r="F75" s="35" t="s">
        <v>31</v>
      </c>
      <c r="G75" s="32" t="s">
        <v>505</v>
      </c>
      <c r="H75" s="36">
        <v>100</v>
      </c>
      <c r="I75" s="36">
        <f t="shared" si="12"/>
        <v>3</v>
      </c>
      <c r="J75" s="36">
        <v>20</v>
      </c>
      <c r="K75" s="36">
        <v>5</v>
      </c>
      <c r="L75" s="35">
        <f t="shared" si="13"/>
        <v>325</v>
      </c>
      <c r="M75" s="35">
        <f t="shared" si="14"/>
        <v>1</v>
      </c>
      <c r="N75" s="35">
        <f t="shared" si="15"/>
        <v>3.25</v>
      </c>
      <c r="O75" s="35">
        <f t="shared" si="16"/>
        <v>3.5831250000000003</v>
      </c>
      <c r="P75" s="35">
        <f t="shared" si="17"/>
        <v>1.0833333333333333</v>
      </c>
      <c r="Q75" s="30"/>
      <c r="R75" s="30"/>
      <c r="S75" s="30"/>
      <c r="T75" s="30"/>
      <c r="U75" s="30"/>
      <c r="V75" s="30"/>
    </row>
    <row r="76" spans="1:22" x14ac:dyDescent="0.25">
      <c r="A76" s="34" t="s">
        <v>574</v>
      </c>
      <c r="B76" s="42" t="s">
        <v>323</v>
      </c>
      <c r="C76" s="30" t="s">
        <v>594</v>
      </c>
      <c r="D76" s="31">
        <v>1.5</v>
      </c>
      <c r="E76" s="35">
        <v>1</v>
      </c>
      <c r="F76" s="35" t="s">
        <v>31</v>
      </c>
      <c r="G76" s="32" t="s">
        <v>505</v>
      </c>
      <c r="H76" s="36">
        <v>100</v>
      </c>
      <c r="I76" s="36">
        <f t="shared" si="12"/>
        <v>1.5</v>
      </c>
      <c r="J76" s="36">
        <v>20</v>
      </c>
      <c r="K76" s="36">
        <v>5</v>
      </c>
      <c r="L76" s="35">
        <f t="shared" si="13"/>
        <v>175</v>
      </c>
      <c r="M76" s="35">
        <f t="shared" si="14"/>
        <v>1</v>
      </c>
      <c r="N76" s="35">
        <f t="shared" si="15"/>
        <v>1.75</v>
      </c>
      <c r="O76" s="35">
        <f t="shared" si="16"/>
        <v>1.9293750000000003</v>
      </c>
      <c r="P76" s="35">
        <f t="shared" si="17"/>
        <v>1.1666666666666667</v>
      </c>
    </row>
    <row r="77" spans="1:22" x14ac:dyDescent="0.25">
      <c r="A77" s="34" t="s">
        <v>575</v>
      </c>
      <c r="B77" s="42" t="s">
        <v>326</v>
      </c>
      <c r="C77" s="30" t="s">
        <v>594</v>
      </c>
      <c r="D77" s="31">
        <v>2</v>
      </c>
      <c r="E77" s="35">
        <v>1</v>
      </c>
      <c r="F77" s="35" t="s">
        <v>159</v>
      </c>
      <c r="G77" s="32" t="s">
        <v>505</v>
      </c>
      <c r="H77" s="36">
        <v>100</v>
      </c>
      <c r="I77" s="36">
        <f t="shared" si="12"/>
        <v>2</v>
      </c>
      <c r="J77" s="36">
        <v>20</v>
      </c>
      <c r="K77" s="36">
        <v>5</v>
      </c>
      <c r="L77" s="35">
        <f t="shared" si="13"/>
        <v>225</v>
      </c>
      <c r="M77" s="35">
        <f t="shared" si="14"/>
        <v>1</v>
      </c>
      <c r="N77" s="35">
        <f t="shared" si="15"/>
        <v>2.25</v>
      </c>
      <c r="O77" s="35">
        <f t="shared" si="16"/>
        <v>2.4806250000000003</v>
      </c>
      <c r="P77" s="35">
        <f t="shared" si="17"/>
        <v>1.125</v>
      </c>
    </row>
    <row r="78" spans="1:22" x14ac:dyDescent="0.25">
      <c r="A78" s="34" t="s">
        <v>576</v>
      </c>
      <c r="B78" s="42" t="s">
        <v>337</v>
      </c>
      <c r="C78" s="30" t="s">
        <v>594</v>
      </c>
      <c r="D78" s="31">
        <v>50</v>
      </c>
      <c r="E78" s="35">
        <v>1</v>
      </c>
      <c r="F78" s="35" t="s">
        <v>34</v>
      </c>
      <c r="G78" s="32" t="s">
        <v>505</v>
      </c>
      <c r="H78" s="36">
        <v>1</v>
      </c>
      <c r="I78" s="36">
        <f t="shared" si="12"/>
        <v>50</v>
      </c>
      <c r="J78" s="36">
        <v>20</v>
      </c>
      <c r="K78" s="36">
        <v>5</v>
      </c>
      <c r="L78" s="35">
        <f t="shared" si="13"/>
        <v>75</v>
      </c>
      <c r="M78" s="35">
        <f t="shared" si="14"/>
        <v>1</v>
      </c>
      <c r="N78" s="35">
        <f t="shared" si="15"/>
        <v>75</v>
      </c>
      <c r="O78" s="35">
        <f t="shared" si="16"/>
        <v>82.6875</v>
      </c>
      <c r="P78" s="35">
        <f t="shared" si="17"/>
        <v>1.5</v>
      </c>
    </row>
    <row r="79" spans="1:22" x14ac:dyDescent="0.25">
      <c r="A79" s="34" t="s">
        <v>577</v>
      </c>
      <c r="B79" s="44" t="s">
        <v>53</v>
      </c>
      <c r="C79" s="30" t="s">
        <v>594</v>
      </c>
      <c r="D79" s="31">
        <v>25</v>
      </c>
      <c r="E79" s="35">
        <v>25</v>
      </c>
      <c r="F79" s="35" t="s">
        <v>36</v>
      </c>
      <c r="G79" s="32" t="s">
        <v>684</v>
      </c>
      <c r="H79" s="36">
        <v>100</v>
      </c>
      <c r="I79" s="36">
        <f t="shared" si="12"/>
        <v>1</v>
      </c>
      <c r="J79" s="36">
        <v>20</v>
      </c>
      <c r="K79" s="36">
        <v>5</v>
      </c>
      <c r="L79" s="35">
        <f t="shared" si="13"/>
        <v>125</v>
      </c>
      <c r="M79" s="35">
        <f t="shared" si="14"/>
        <v>1</v>
      </c>
      <c r="N79" s="35">
        <f t="shared" si="15"/>
        <v>1.25</v>
      </c>
      <c r="O79" s="35">
        <f t="shared" si="16"/>
        <v>1.378125</v>
      </c>
      <c r="P79" s="35">
        <f t="shared" si="17"/>
        <v>1.25</v>
      </c>
    </row>
    <row r="80" spans="1:22" x14ac:dyDescent="0.25">
      <c r="A80" s="34" t="s">
        <v>578</v>
      </c>
      <c r="B80" s="40" t="s">
        <v>654</v>
      </c>
      <c r="C80" s="30" t="s">
        <v>594</v>
      </c>
      <c r="D80" s="31">
        <v>16</v>
      </c>
      <c r="E80" s="35">
        <v>5</v>
      </c>
      <c r="F80" s="35" t="s">
        <v>34</v>
      </c>
      <c r="G80" s="36" t="s">
        <v>655</v>
      </c>
      <c r="H80" s="36">
        <v>50</v>
      </c>
      <c r="I80" s="36">
        <f t="shared" si="12"/>
        <v>3.2</v>
      </c>
      <c r="J80" s="36">
        <v>5</v>
      </c>
      <c r="K80" s="36">
        <v>5</v>
      </c>
      <c r="L80" s="35">
        <f t="shared" si="13"/>
        <v>170</v>
      </c>
      <c r="M80" s="35">
        <f t="shared" si="14"/>
        <v>1.0000000000000002</v>
      </c>
      <c r="N80" s="35">
        <f t="shared" si="15"/>
        <v>3.4</v>
      </c>
      <c r="O80" s="35">
        <f t="shared" si="16"/>
        <v>3.7484999999999999</v>
      </c>
      <c r="P80" s="35">
        <f t="shared" si="17"/>
        <v>1.0625</v>
      </c>
    </row>
    <row r="81" spans="1:16" x14ac:dyDescent="0.25">
      <c r="A81" s="34" t="s">
        <v>579</v>
      </c>
      <c r="B81" s="44" t="s">
        <v>668</v>
      </c>
      <c r="C81" s="30" t="s">
        <v>456</v>
      </c>
      <c r="D81" s="31">
        <v>17</v>
      </c>
      <c r="E81" s="35">
        <v>1</v>
      </c>
      <c r="F81" s="35" t="s">
        <v>31</v>
      </c>
      <c r="G81" s="32" t="s">
        <v>199</v>
      </c>
      <c r="H81" s="36">
        <v>100</v>
      </c>
      <c r="I81" s="36">
        <f t="shared" si="12"/>
        <v>17</v>
      </c>
      <c r="J81" s="36">
        <v>20</v>
      </c>
      <c r="K81" s="36">
        <v>5</v>
      </c>
      <c r="L81" s="35">
        <f t="shared" si="13"/>
        <v>1725</v>
      </c>
      <c r="M81" s="35">
        <f t="shared" si="14"/>
        <v>1</v>
      </c>
      <c r="N81" s="35">
        <f t="shared" si="15"/>
        <v>17.25</v>
      </c>
      <c r="O81" s="35">
        <f t="shared" si="16"/>
        <v>19.018125000000001</v>
      </c>
      <c r="P81" s="35">
        <f t="shared" si="17"/>
        <v>1.0147058823529411</v>
      </c>
    </row>
    <row r="82" spans="1:16" x14ac:dyDescent="0.2">
      <c r="A82" s="34" t="s">
        <v>580</v>
      </c>
      <c r="B82" s="81" t="s">
        <v>710</v>
      </c>
      <c r="C82" s="30" t="s">
        <v>456</v>
      </c>
      <c r="D82" s="31">
        <v>2.76</v>
      </c>
      <c r="E82" s="35">
        <v>1</v>
      </c>
      <c r="F82" s="35" t="s">
        <v>39</v>
      </c>
      <c r="G82" s="32" t="s">
        <v>711</v>
      </c>
      <c r="H82" s="36">
        <v>30</v>
      </c>
      <c r="I82" s="36">
        <f t="shared" si="12"/>
        <v>2.76</v>
      </c>
      <c r="J82" s="36">
        <v>20</v>
      </c>
      <c r="K82" s="36">
        <v>5</v>
      </c>
      <c r="L82" s="35">
        <f t="shared" si="13"/>
        <v>107.8</v>
      </c>
      <c r="M82" s="35">
        <f t="shared" si="14"/>
        <v>0.99999999999999978</v>
      </c>
      <c r="N82" s="35">
        <f t="shared" si="15"/>
        <v>3.5933333333333333</v>
      </c>
      <c r="O82" s="35">
        <f t="shared" si="16"/>
        <v>3.9616500000000001</v>
      </c>
      <c r="P82" s="35">
        <f t="shared" si="17"/>
        <v>1.3019323671497582</v>
      </c>
    </row>
    <row r="83" spans="1:16" x14ac:dyDescent="0.25">
      <c r="A83" s="34" t="s">
        <v>581</v>
      </c>
      <c r="B83" s="85" t="s">
        <v>20</v>
      </c>
      <c r="C83" s="30" t="s">
        <v>456</v>
      </c>
      <c r="D83" s="35">
        <v>15</v>
      </c>
      <c r="E83" s="35">
        <v>3.2000000000000001E-2</v>
      </c>
      <c r="F83" s="35" t="s">
        <v>22</v>
      </c>
      <c r="G83" s="36" t="s">
        <v>718</v>
      </c>
      <c r="H83" s="36">
        <v>1000</v>
      </c>
      <c r="I83" s="36">
        <f t="shared" si="12"/>
        <v>468.75</v>
      </c>
      <c r="J83" s="36">
        <v>20</v>
      </c>
      <c r="K83" s="36">
        <v>5</v>
      </c>
      <c r="L83" s="35">
        <f t="shared" si="13"/>
        <v>468775</v>
      </c>
      <c r="M83" s="35">
        <f t="shared" si="14"/>
        <v>1</v>
      </c>
      <c r="N83" s="35">
        <f t="shared" si="15"/>
        <v>468.77499999999998</v>
      </c>
      <c r="O83" s="35">
        <f t="shared" si="16"/>
        <v>516.82443750000004</v>
      </c>
      <c r="P83" s="35">
        <f t="shared" si="17"/>
        <v>1.0000533333333332</v>
      </c>
    </row>
    <row r="84" spans="1:16" x14ac:dyDescent="0.25">
      <c r="A84" s="34" t="s">
        <v>717</v>
      </c>
      <c r="B84" s="40" t="s">
        <v>48</v>
      </c>
      <c r="C84" s="30" t="s">
        <v>456</v>
      </c>
      <c r="D84" s="35">
        <v>15</v>
      </c>
      <c r="E84" s="35">
        <v>1</v>
      </c>
      <c r="F84" s="35" t="s">
        <v>39</v>
      </c>
      <c r="G84" s="36" t="s">
        <v>716</v>
      </c>
      <c r="H84" s="36">
        <v>100</v>
      </c>
      <c r="I84" s="36">
        <f t="shared" si="12"/>
        <v>15</v>
      </c>
      <c r="J84" s="36">
        <v>20</v>
      </c>
      <c r="K84" s="36">
        <v>5</v>
      </c>
      <c r="L84" s="35">
        <f t="shared" si="13"/>
        <v>1525</v>
      </c>
      <c r="M84" s="35">
        <f t="shared" si="14"/>
        <v>1</v>
      </c>
      <c r="N84" s="35">
        <f t="shared" si="15"/>
        <v>15.25</v>
      </c>
      <c r="O84" s="35">
        <f t="shared" si="16"/>
        <v>16.813124999999999</v>
      </c>
      <c r="P84" s="35">
        <f t="shared" si="17"/>
        <v>1.0166666666666666</v>
      </c>
    </row>
    <row r="85" spans="1:16" x14ac:dyDescent="0.2">
      <c r="A85" s="34" t="s">
        <v>721</v>
      </c>
      <c r="B85" s="86" t="s">
        <v>112</v>
      </c>
      <c r="C85" s="34" t="s">
        <v>593</v>
      </c>
      <c r="D85" s="35">
        <v>250</v>
      </c>
      <c r="E85" s="35">
        <v>1</v>
      </c>
      <c r="F85" s="35" t="s">
        <v>159</v>
      </c>
      <c r="G85" s="36" t="s">
        <v>720</v>
      </c>
      <c r="H85" s="36">
        <v>1</v>
      </c>
      <c r="I85" s="36">
        <f t="shared" si="12"/>
        <v>250</v>
      </c>
      <c r="J85" s="36">
        <v>0</v>
      </c>
      <c r="K85" s="36">
        <v>5</v>
      </c>
      <c r="L85" s="35">
        <f t="shared" si="13"/>
        <v>255</v>
      </c>
      <c r="M85" s="35">
        <f t="shared" si="14"/>
        <v>1</v>
      </c>
      <c r="N85" s="35">
        <f t="shared" si="15"/>
        <v>255</v>
      </c>
      <c r="O85" s="35">
        <f t="shared" si="16"/>
        <v>281.13749999999999</v>
      </c>
      <c r="P85" s="35">
        <f t="shared" si="17"/>
        <v>1.02</v>
      </c>
    </row>
    <row r="86" spans="1:16" x14ac:dyDescent="0.2">
      <c r="A86" s="34" t="s">
        <v>722</v>
      </c>
      <c r="B86" s="86" t="s">
        <v>222</v>
      </c>
      <c r="D86" s="35">
        <v>2</v>
      </c>
      <c r="E86" s="35">
        <v>1</v>
      </c>
      <c r="F86" s="35" t="s">
        <v>689</v>
      </c>
      <c r="G86" s="36" t="s">
        <v>719</v>
      </c>
      <c r="H86" s="36">
        <v>1000</v>
      </c>
      <c r="I86" s="36">
        <f t="shared" si="12"/>
        <v>2</v>
      </c>
      <c r="J86" s="36">
        <v>0</v>
      </c>
      <c r="K86" s="36">
        <v>0</v>
      </c>
      <c r="L86" s="35">
        <f t="shared" si="13"/>
        <v>2000</v>
      </c>
      <c r="M86" s="35">
        <f t="shared" si="14"/>
        <v>1</v>
      </c>
      <c r="N86" s="35">
        <f t="shared" si="15"/>
        <v>2</v>
      </c>
      <c r="O86" s="35">
        <f t="shared" si="16"/>
        <v>2.2050000000000001</v>
      </c>
      <c r="P86" s="35">
        <f t="shared" si="17"/>
        <v>1</v>
      </c>
    </row>
    <row r="87" spans="1:16" x14ac:dyDescent="0.2">
      <c r="A87" s="34" t="s">
        <v>724</v>
      </c>
      <c r="B87" s="86" t="s">
        <v>94</v>
      </c>
      <c r="C87" s="34" t="s">
        <v>593</v>
      </c>
      <c r="D87" s="35">
        <v>250</v>
      </c>
      <c r="E87" s="35">
        <v>30</v>
      </c>
      <c r="F87" s="35" t="s">
        <v>22</v>
      </c>
      <c r="G87" s="36" t="s">
        <v>723</v>
      </c>
      <c r="H87" s="36">
        <v>1</v>
      </c>
      <c r="I87" s="36">
        <f t="shared" si="12"/>
        <v>8.3333333333333339</v>
      </c>
      <c r="J87" s="36">
        <v>0</v>
      </c>
      <c r="K87" s="36">
        <v>5</v>
      </c>
      <c r="L87" s="35">
        <f t="shared" si="13"/>
        <v>13.333333333333334</v>
      </c>
      <c r="M87" s="35">
        <f t="shared" si="14"/>
        <v>1.0000000000000002</v>
      </c>
      <c r="N87" s="35">
        <f t="shared" si="15"/>
        <v>13.333333333333334</v>
      </c>
      <c r="O87" s="35">
        <f t="shared" si="16"/>
        <v>14.700000000000003</v>
      </c>
      <c r="P87" s="35">
        <f t="shared" si="17"/>
        <v>1.6</v>
      </c>
    </row>
    <row r="88" spans="1:16" x14ac:dyDescent="0.25">
      <c r="G88" s="36"/>
    </row>
    <row r="89" spans="1:16" x14ac:dyDescent="0.25">
      <c r="G89" s="36"/>
    </row>
    <row r="90" spans="1:16" x14ac:dyDescent="0.25">
      <c r="G90" s="36"/>
    </row>
    <row r="91" spans="1:16" x14ac:dyDescent="0.25">
      <c r="G91" s="36"/>
    </row>
    <row r="92" spans="1:16" x14ac:dyDescent="0.25">
      <c r="G92" s="36"/>
    </row>
    <row r="93" spans="1:16" x14ac:dyDescent="0.25">
      <c r="G93" s="36"/>
    </row>
    <row r="94" spans="1:16" x14ac:dyDescent="0.25">
      <c r="G94" s="36"/>
    </row>
    <row r="95" spans="1:16" x14ac:dyDescent="0.25">
      <c r="G95" s="36"/>
    </row>
    <row r="96" spans="1:16" x14ac:dyDescent="0.25">
      <c r="G96" s="36"/>
    </row>
    <row r="97" spans="7:7" x14ac:dyDescent="0.25">
      <c r="G97" s="36"/>
    </row>
    <row r="98" spans="7:7" x14ac:dyDescent="0.25">
      <c r="G98" s="36"/>
    </row>
    <row r="99" spans="7:7" x14ac:dyDescent="0.25">
      <c r="G99" s="36"/>
    </row>
    <row r="100" spans="7:7" x14ac:dyDescent="0.25">
      <c r="G100" s="36"/>
    </row>
    <row r="101" spans="7:7" x14ac:dyDescent="0.25">
      <c r="G101" s="36"/>
    </row>
    <row r="102" spans="7:7" x14ac:dyDescent="0.25">
      <c r="G102" s="36"/>
    </row>
    <row r="103" spans="7:7" x14ac:dyDescent="0.25">
      <c r="G103" s="36"/>
    </row>
    <row r="104" spans="7:7" x14ac:dyDescent="0.25">
      <c r="G104" s="36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8193" r:id="rId4" name="Bt1">
          <controlPr defaultSize="0" autoLin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6</xdr:col>
                <xdr:colOff>95250</xdr:colOff>
                <xdr:row>3</xdr:row>
                <xdr:rowOff>257175</xdr:rowOff>
              </to>
            </anchor>
          </controlPr>
        </control>
      </mc:Choice>
      <mc:Fallback>
        <control shapeId="8193" r:id="rId4" name="Bt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57"/>
  <sheetViews>
    <sheetView zoomScale="115" zoomScaleNormal="115" workbookViewId="0">
      <pane ySplit="2" topLeftCell="A3" activePane="bottomLeft" state="frozen"/>
      <selection pane="bottomLeft" activeCell="N347" sqref="N347"/>
    </sheetView>
  </sheetViews>
  <sheetFormatPr baseColWidth="10" defaultRowHeight="15" x14ac:dyDescent="0.25"/>
  <cols>
    <col min="1" max="1" width="11.42578125" style="59"/>
    <col min="2" max="2" width="7.140625" style="54" customWidth="1"/>
    <col min="3" max="3" width="26.28515625" style="54" customWidth="1"/>
    <col min="4" max="4" width="4.85546875" style="121" customWidth="1"/>
    <col min="5" max="5" width="4.85546875" style="54" customWidth="1"/>
    <col min="6" max="6" width="11.28515625" style="121" customWidth="1"/>
    <col min="7" max="7" width="11.28515625" style="59" customWidth="1"/>
    <col min="8" max="8" width="7.140625" style="121" customWidth="1"/>
    <col min="9" max="9" width="7.140625" style="59" customWidth="1"/>
    <col min="10" max="10" width="8.140625" style="121" customWidth="1"/>
    <col min="12" max="12" width="10.5703125" style="119" customWidth="1"/>
    <col min="13" max="13" width="10.5703125" style="59" customWidth="1"/>
    <col min="14" max="16384" width="11.42578125" style="54"/>
  </cols>
  <sheetData>
    <row r="1" spans="1:14" ht="36" customHeight="1" x14ac:dyDescent="0.25">
      <c r="F1" s="97" t="s">
        <v>687</v>
      </c>
      <c r="G1" s="118"/>
      <c r="L1" s="98" t="s">
        <v>760</v>
      </c>
      <c r="M1" s="83"/>
    </row>
    <row r="2" spans="1:14" s="55" customFormat="1" ht="12" x14ac:dyDescent="0.2">
      <c r="A2" s="93" t="s">
        <v>605</v>
      </c>
      <c r="B2" s="61" t="s">
        <v>771</v>
      </c>
      <c r="C2" s="93" t="s">
        <v>57</v>
      </c>
      <c r="D2" s="122" t="s">
        <v>0</v>
      </c>
      <c r="E2" s="94"/>
      <c r="F2" s="123" t="s">
        <v>761</v>
      </c>
      <c r="G2" s="117"/>
      <c r="H2" s="123" t="s">
        <v>708</v>
      </c>
      <c r="I2" s="95"/>
      <c r="J2" s="128" t="s">
        <v>707</v>
      </c>
      <c r="L2" s="125" t="s">
        <v>69</v>
      </c>
      <c r="M2" s="95"/>
      <c r="N2" s="96" t="s">
        <v>688</v>
      </c>
    </row>
    <row r="3" spans="1:14" s="59" customFormat="1" ht="18.75" customHeight="1" x14ac:dyDescent="0.2">
      <c r="A3" s="55"/>
      <c r="B3" s="55" t="s">
        <v>487</v>
      </c>
      <c r="C3" s="55" t="s">
        <v>151</v>
      </c>
      <c r="D3" s="103" t="s">
        <v>352</v>
      </c>
      <c r="E3" s="55"/>
      <c r="F3" s="79">
        <f>SUM(L4:L6)</f>
        <v>971.70013500000005</v>
      </c>
      <c r="G3" s="103"/>
      <c r="H3" s="99">
        <f>H7</f>
        <v>6</v>
      </c>
      <c r="I3" s="102"/>
      <c r="J3" s="100">
        <f>J7</f>
        <v>21.021161699999997</v>
      </c>
      <c r="K3" s="55"/>
      <c r="L3" s="101">
        <f>SUM(L4:L7)*FDF</f>
        <v>1152.71846046</v>
      </c>
      <c r="M3" s="103"/>
      <c r="N3" s="78">
        <f>L3*BENEF</f>
        <v>1498.5339985979999</v>
      </c>
    </row>
    <row r="4" spans="1:14" x14ac:dyDescent="0.25">
      <c r="A4" s="59" t="s">
        <v>487</v>
      </c>
      <c r="B4" s="54" t="s">
        <v>581</v>
      </c>
      <c r="C4" s="54" t="s">
        <v>70</v>
      </c>
      <c r="D4" s="121" t="s">
        <v>22</v>
      </c>
      <c r="F4" s="98">
        <f>VLOOKUP(B4,BD_Prod!$A$6:$O$104,15,0)</f>
        <v>516.82443750000004</v>
      </c>
      <c r="H4" s="121">
        <v>0.26</v>
      </c>
      <c r="L4" s="124">
        <f>H4*F4</f>
        <v>134.37435375000001</v>
      </c>
    </row>
    <row r="5" spans="1:14" x14ac:dyDescent="0.25">
      <c r="A5" s="59" t="s">
        <v>487</v>
      </c>
      <c r="B5" s="54" t="s">
        <v>519</v>
      </c>
      <c r="C5" s="54" t="s">
        <v>71</v>
      </c>
      <c r="D5" s="121" t="s">
        <v>31</v>
      </c>
      <c r="F5" s="98">
        <f>VLOOKUP(B5,BD_Prod!$A$6:$O$104,15,0)</f>
        <v>17.425625</v>
      </c>
      <c r="H5" s="121">
        <v>48</v>
      </c>
      <c r="L5" s="124">
        <f>H5*F5</f>
        <v>836.43000000000006</v>
      </c>
    </row>
    <row r="6" spans="1:14" x14ac:dyDescent="0.25">
      <c r="A6" s="59" t="s">
        <v>487</v>
      </c>
      <c r="B6" s="54" t="s">
        <v>552</v>
      </c>
      <c r="C6" s="54" t="s">
        <v>72</v>
      </c>
      <c r="D6" s="121" t="s">
        <v>36</v>
      </c>
      <c r="F6" s="98">
        <f>VLOOKUP(B6,BD_Prod!$A$6:$O$104,15,0)</f>
        <v>1.7915625000000002</v>
      </c>
      <c r="H6" s="121">
        <v>0.5</v>
      </c>
      <c r="L6" s="124">
        <f>H6*F6</f>
        <v>0.89578125000000008</v>
      </c>
    </row>
    <row r="7" spans="1:14" x14ac:dyDescent="0.25">
      <c r="A7" s="59" t="s">
        <v>487</v>
      </c>
      <c r="B7" s="54" t="s">
        <v>653</v>
      </c>
      <c r="C7" s="54" t="s">
        <v>1</v>
      </c>
      <c r="D7" s="121" t="s">
        <v>5</v>
      </c>
      <c r="F7" s="98"/>
      <c r="H7" s="121">
        <v>6</v>
      </c>
      <c r="J7" s="98">
        <f>VLOOKUP(B7,BD_Prod!$A$1:$O$104,15,0)</f>
        <v>21.021161699999997</v>
      </c>
      <c r="L7" s="124">
        <f>H7*J7</f>
        <v>126.12697019999999</v>
      </c>
    </row>
    <row r="8" spans="1:14" s="55" customFormat="1" ht="12" x14ac:dyDescent="0.2">
      <c r="B8" s="55" t="s">
        <v>616</v>
      </c>
      <c r="C8" s="55" t="s">
        <v>74</v>
      </c>
      <c r="D8" s="103" t="s">
        <v>352</v>
      </c>
      <c r="F8" s="103">
        <f>SUM(L9:L11)</f>
        <v>232.94281500000002</v>
      </c>
      <c r="G8" s="103"/>
      <c r="H8" s="102">
        <f>H12</f>
        <v>2</v>
      </c>
      <c r="I8" s="102"/>
      <c r="J8" s="102">
        <f>J12</f>
        <v>21.021161699999997</v>
      </c>
      <c r="L8" s="103">
        <f>SUM(L9:L12)*FDF</f>
        <v>288.73439532000003</v>
      </c>
      <c r="M8" s="103"/>
      <c r="N8" s="103">
        <f>L8*BENEF</f>
        <v>375.35471391600004</v>
      </c>
    </row>
    <row r="9" spans="1:14" x14ac:dyDescent="0.25">
      <c r="A9" s="59" t="s">
        <v>616</v>
      </c>
      <c r="B9" s="54" t="s">
        <v>581</v>
      </c>
      <c r="C9" s="54" t="s">
        <v>70</v>
      </c>
      <c r="D9" s="121" t="s">
        <v>22</v>
      </c>
      <c r="F9" s="98">
        <f>VLOOKUP(B9,BD_Prod!$A$6:$O$104,15,0)</f>
        <v>516.82443750000004</v>
      </c>
      <c r="H9" s="121">
        <v>0.44</v>
      </c>
      <c r="L9" s="124">
        <f>H9*F9</f>
        <v>227.40275250000002</v>
      </c>
    </row>
    <row r="10" spans="1:14" x14ac:dyDescent="0.25">
      <c r="A10" s="59" t="s">
        <v>616</v>
      </c>
      <c r="B10" s="54" t="s">
        <v>578</v>
      </c>
      <c r="C10" s="54" t="s">
        <v>75</v>
      </c>
      <c r="D10" s="121" t="s">
        <v>0</v>
      </c>
      <c r="F10" s="98">
        <f>VLOOKUP(B10,BD_Prod!$A$6:$O$104,15,0)</f>
        <v>3.7484999999999999</v>
      </c>
      <c r="H10" s="121">
        <v>1</v>
      </c>
      <c r="L10" s="124">
        <f>H10*F10</f>
        <v>3.7484999999999999</v>
      </c>
    </row>
    <row r="11" spans="1:14" x14ac:dyDescent="0.25">
      <c r="A11" s="59" t="s">
        <v>616</v>
      </c>
      <c r="B11" s="54" t="s">
        <v>552</v>
      </c>
      <c r="C11" s="54" t="s">
        <v>72</v>
      </c>
      <c r="D11" s="121" t="s">
        <v>36</v>
      </c>
      <c r="F11" s="98">
        <f>VLOOKUP(B11,BD_Prod!$A$6:$O$104,15,0)</f>
        <v>1.7915625000000002</v>
      </c>
      <c r="H11" s="121">
        <v>1</v>
      </c>
      <c r="L11" s="124">
        <f>H11*F11</f>
        <v>1.7915625000000002</v>
      </c>
    </row>
    <row r="12" spans="1:14" x14ac:dyDescent="0.25">
      <c r="A12" s="59" t="s">
        <v>616</v>
      </c>
      <c r="B12" s="54" t="s">
        <v>653</v>
      </c>
      <c r="C12" s="54" t="s">
        <v>1</v>
      </c>
      <c r="D12" s="121" t="s">
        <v>5</v>
      </c>
      <c r="F12" s="98"/>
      <c r="H12" s="121">
        <v>2</v>
      </c>
      <c r="J12" s="98">
        <f>VLOOKUP(B12,BD_Prod!$A$1:$O$104,15,0)</f>
        <v>21.021161699999997</v>
      </c>
      <c r="L12" s="124">
        <f>H12*J12</f>
        <v>42.042323399999994</v>
      </c>
    </row>
    <row r="13" spans="1:14" s="55" customFormat="1" ht="12" x14ac:dyDescent="0.2">
      <c r="B13" s="55" t="s">
        <v>73</v>
      </c>
      <c r="C13" s="55" t="s">
        <v>79</v>
      </c>
      <c r="D13" s="103" t="s">
        <v>22</v>
      </c>
      <c r="F13" s="103">
        <f>SUM(L14)</f>
        <v>14.700000000000003</v>
      </c>
      <c r="G13" s="103"/>
      <c r="H13" s="102">
        <f>H14</f>
        <v>1</v>
      </c>
      <c r="I13" s="102"/>
      <c r="J13" s="102">
        <f>J14</f>
        <v>0</v>
      </c>
      <c r="L13" s="103">
        <f>SUM(L14)*FDF</f>
        <v>15.435000000000004</v>
      </c>
      <c r="M13" s="103"/>
      <c r="N13" s="103">
        <f>L13*BENEF</f>
        <v>20.065500000000007</v>
      </c>
    </row>
    <row r="14" spans="1:14" x14ac:dyDescent="0.25">
      <c r="A14" s="59" t="s">
        <v>73</v>
      </c>
      <c r="B14" s="54" t="s">
        <v>724</v>
      </c>
      <c r="C14" s="54" t="s">
        <v>76</v>
      </c>
      <c r="D14" s="121" t="s">
        <v>77</v>
      </c>
      <c r="F14" s="98">
        <f>VLOOKUP(B14,BD_Prod!$A$6:$O$104,15,0)</f>
        <v>14.700000000000003</v>
      </c>
      <c r="H14" s="121">
        <v>1</v>
      </c>
      <c r="L14" s="124">
        <f>H14*F14</f>
        <v>14.700000000000003</v>
      </c>
    </row>
    <row r="15" spans="1:14" s="55" customFormat="1" ht="12" x14ac:dyDescent="0.2">
      <c r="B15" s="55" t="s">
        <v>617</v>
      </c>
      <c r="C15" s="55" t="s">
        <v>152</v>
      </c>
      <c r="D15" s="103" t="s">
        <v>39</v>
      </c>
      <c r="F15" s="103">
        <f>SUM(L16)</f>
        <v>3.8587500000000006</v>
      </c>
      <c r="G15" s="103"/>
      <c r="H15" s="102">
        <f>H17</f>
        <v>0.08</v>
      </c>
      <c r="I15" s="102"/>
      <c r="J15" s="102">
        <f>J17</f>
        <v>21.021161699999997</v>
      </c>
      <c r="L15" s="103">
        <f>SUM(L16:L17)*FDF</f>
        <v>5.8174650828000001</v>
      </c>
      <c r="M15" s="103"/>
      <c r="N15" s="103">
        <f>L15*BENEF</f>
        <v>7.5627046076400006</v>
      </c>
    </row>
    <row r="16" spans="1:14" x14ac:dyDescent="0.25">
      <c r="A16" s="59" t="s">
        <v>73</v>
      </c>
      <c r="B16" s="54" t="s">
        <v>517</v>
      </c>
      <c r="C16" s="54" t="s">
        <v>24</v>
      </c>
      <c r="D16" s="121" t="s">
        <v>39</v>
      </c>
      <c r="F16" s="98">
        <f>VLOOKUP(B16,BD_Prod!$A$6:$O$104,15,0)</f>
        <v>3.8587500000000006</v>
      </c>
      <c r="H16" s="121">
        <v>1</v>
      </c>
      <c r="L16" s="124">
        <f>H16*F16</f>
        <v>3.8587500000000006</v>
      </c>
    </row>
    <row r="17" spans="1:14" x14ac:dyDescent="0.25">
      <c r="A17" s="59" t="s">
        <v>73</v>
      </c>
      <c r="B17" s="54" t="s">
        <v>653</v>
      </c>
      <c r="C17" s="54" t="s">
        <v>1</v>
      </c>
      <c r="D17" s="121" t="s">
        <v>5</v>
      </c>
      <c r="F17" s="98"/>
      <c r="H17" s="121">
        <v>0.08</v>
      </c>
      <c r="J17" s="98">
        <f>VLOOKUP(B17,BD_Prod!$A$1:$O$104,15,0)</f>
        <v>21.021161699999997</v>
      </c>
      <c r="L17" s="124">
        <f>H17*J17</f>
        <v>1.6816929359999997</v>
      </c>
    </row>
    <row r="18" spans="1:14" s="55" customFormat="1" ht="12" x14ac:dyDescent="0.2">
      <c r="B18" s="55" t="s">
        <v>618</v>
      </c>
      <c r="C18" s="55" t="s">
        <v>114</v>
      </c>
      <c r="D18" s="103" t="s">
        <v>31</v>
      </c>
      <c r="F18" s="103">
        <f>SUM(L19:L21)</f>
        <v>25.039704374999999</v>
      </c>
      <c r="G18" s="103"/>
      <c r="H18" s="102">
        <f>H22</f>
        <v>0.16</v>
      </c>
      <c r="I18" s="102"/>
      <c r="J18" s="102">
        <f>J22</f>
        <v>21.021161699999997</v>
      </c>
      <c r="L18" s="103">
        <f>SUM(L19:L22)*FDF</f>
        <v>29.823244759350001</v>
      </c>
      <c r="M18" s="103"/>
      <c r="N18" s="103">
        <f>L18*BENEF</f>
        <v>38.770218187155002</v>
      </c>
    </row>
    <row r="19" spans="1:14" x14ac:dyDescent="0.25">
      <c r="A19" s="59" t="s">
        <v>618</v>
      </c>
      <c r="B19" s="54" t="s">
        <v>645</v>
      </c>
      <c r="C19" s="54" t="s">
        <v>84</v>
      </c>
      <c r="D19" s="121" t="s">
        <v>18</v>
      </c>
      <c r="F19" s="98">
        <f>VLOOKUP(B19,BD_ET_PR!$A$1:$G$26,7,0)</f>
        <v>127.06312499999999</v>
      </c>
      <c r="H19" s="121">
        <v>0.16</v>
      </c>
      <c r="L19" s="124">
        <f>H19*F19</f>
        <v>20.330099999999998</v>
      </c>
    </row>
    <row r="20" spans="1:14" x14ac:dyDescent="0.25">
      <c r="A20" s="59" t="s">
        <v>618</v>
      </c>
      <c r="B20" s="54" t="s">
        <v>517</v>
      </c>
      <c r="C20" s="54" t="s">
        <v>23</v>
      </c>
      <c r="D20" s="121" t="s">
        <v>39</v>
      </c>
      <c r="F20" s="98">
        <f>VLOOKUP(B20,BD_Prod!$A$1:$O$104,15,0)</f>
        <v>3.8587500000000006</v>
      </c>
      <c r="H20" s="121">
        <v>0.5</v>
      </c>
      <c r="L20" s="124">
        <f>H20*F20</f>
        <v>1.9293750000000003</v>
      </c>
    </row>
    <row r="21" spans="1:14" x14ac:dyDescent="0.25">
      <c r="A21" s="59" t="s">
        <v>618</v>
      </c>
      <c r="B21" s="54" t="s">
        <v>518</v>
      </c>
      <c r="C21" s="54" t="s">
        <v>657</v>
      </c>
      <c r="D21" s="121" t="s">
        <v>36</v>
      </c>
      <c r="F21" s="98">
        <f>VLOOKUP(B21,BD_Prod!$A$6:$O$104,15,0)</f>
        <v>3.1956659482758627</v>
      </c>
      <c r="H21" s="121">
        <v>0.87</v>
      </c>
      <c r="L21" s="124">
        <f>H21*F21</f>
        <v>2.7802293750000007</v>
      </c>
    </row>
    <row r="22" spans="1:14" x14ac:dyDescent="0.25">
      <c r="A22" s="59" t="s">
        <v>618</v>
      </c>
      <c r="B22" s="54" t="s">
        <v>653</v>
      </c>
      <c r="C22" s="54" t="s">
        <v>1</v>
      </c>
      <c r="D22" s="121" t="s">
        <v>5</v>
      </c>
      <c r="F22" s="98"/>
      <c r="H22" s="121">
        <v>0.16</v>
      </c>
      <c r="J22" s="98">
        <f>VLOOKUP(B22,BD_Prod!$A$1:$O$104,15,0)</f>
        <v>21.021161699999997</v>
      </c>
      <c r="L22" s="124">
        <f>H22*J22</f>
        <v>3.3633858719999994</v>
      </c>
    </row>
    <row r="23" spans="1:14" s="55" customFormat="1" ht="12" x14ac:dyDescent="0.2">
      <c r="B23" s="55" t="s">
        <v>619</v>
      </c>
      <c r="C23" s="55" t="s">
        <v>153</v>
      </c>
      <c r="D23" s="103" t="s">
        <v>686</v>
      </c>
      <c r="F23" s="103">
        <f>SUM(L24:L28)</f>
        <v>29.894838750000002</v>
      </c>
      <c r="G23" s="103"/>
      <c r="H23" s="102">
        <f>H29</f>
        <v>7.1999999999999995E-2</v>
      </c>
      <c r="I23" s="102"/>
      <c r="J23" s="102">
        <f>J29</f>
        <v>21.021161699999997</v>
      </c>
      <c r="L23" s="103">
        <f>SUM(L24:L29)*FDF</f>
        <v>32.978780512020002</v>
      </c>
      <c r="M23" s="103"/>
      <c r="N23" s="103">
        <f>L23*BENEF</f>
        <v>42.872414665626003</v>
      </c>
    </row>
    <row r="24" spans="1:14" x14ac:dyDescent="0.25">
      <c r="A24" s="59" t="s">
        <v>619</v>
      </c>
      <c r="B24" s="54" t="s">
        <v>645</v>
      </c>
      <c r="C24" s="54" t="s">
        <v>84</v>
      </c>
      <c r="D24" s="121" t="s">
        <v>18</v>
      </c>
      <c r="F24" s="98">
        <f>VLOOKUP(B24,BD_ET_PR!$A$1:$G$26,7,0)</f>
        <v>127.06312499999999</v>
      </c>
      <c r="H24" s="121">
        <v>7.0000000000000007E-2</v>
      </c>
      <c r="L24" s="124">
        <f>H24*F24</f>
        <v>8.8944187499999998</v>
      </c>
    </row>
    <row r="25" spans="1:14" x14ac:dyDescent="0.25">
      <c r="A25" s="59" t="s">
        <v>619</v>
      </c>
      <c r="B25" s="54" t="s">
        <v>517</v>
      </c>
      <c r="C25" s="54" t="s">
        <v>23</v>
      </c>
      <c r="D25" s="121" t="s">
        <v>39</v>
      </c>
      <c r="F25" s="98">
        <f>VLOOKUP(B25,BD_Prod!$A$6:$O$104,15,0)</f>
        <v>3.8587500000000006</v>
      </c>
      <c r="H25" s="121">
        <v>0.36</v>
      </c>
      <c r="L25" s="124">
        <f>H25*F25</f>
        <v>1.3891500000000001</v>
      </c>
    </row>
    <row r="26" spans="1:14" x14ac:dyDescent="0.25">
      <c r="A26" s="59" t="s">
        <v>619</v>
      </c>
      <c r="B26" s="54" t="s">
        <v>518</v>
      </c>
      <c r="C26" s="54" t="s">
        <v>656</v>
      </c>
      <c r="D26" s="121" t="s">
        <v>87</v>
      </c>
      <c r="F26" s="98">
        <f>VLOOKUP(B26,BD_Prod!$A$6:$O$104,15,0)</f>
        <v>3.1956659482758627</v>
      </c>
      <c r="H26" s="121">
        <v>0.87</v>
      </c>
      <c r="L26" s="124">
        <f>H26*F26</f>
        <v>2.7802293750000007</v>
      </c>
    </row>
    <row r="27" spans="1:14" x14ac:dyDescent="0.25">
      <c r="A27" s="59" t="s">
        <v>619</v>
      </c>
      <c r="B27" s="54" t="s">
        <v>552</v>
      </c>
      <c r="C27" s="54" t="s">
        <v>72</v>
      </c>
      <c r="D27" s="121" t="s">
        <v>87</v>
      </c>
      <c r="F27" s="98">
        <f>VLOOKUP(B27,BD_Prod!$A$6:$O$104,15,0)</f>
        <v>1.7915625000000002</v>
      </c>
      <c r="H27" s="121">
        <v>0.01</v>
      </c>
      <c r="L27" s="124">
        <f>H27*F27</f>
        <v>1.7915625000000001E-2</v>
      </c>
    </row>
    <row r="28" spans="1:14" x14ac:dyDescent="0.25">
      <c r="A28" s="59" t="s">
        <v>619</v>
      </c>
      <c r="B28" s="54" t="s">
        <v>717</v>
      </c>
      <c r="C28" s="54" t="s">
        <v>122</v>
      </c>
      <c r="F28" s="98">
        <f>VLOOKUP(B28,BD_Prod!$A$6:$O$104,15,0)</f>
        <v>16.813124999999999</v>
      </c>
      <c r="H28" s="121">
        <v>1</v>
      </c>
      <c r="L28" s="124">
        <f>H28*F28</f>
        <v>16.813124999999999</v>
      </c>
    </row>
    <row r="29" spans="1:14" x14ac:dyDescent="0.25">
      <c r="A29" s="59" t="s">
        <v>619</v>
      </c>
      <c r="B29" s="54" t="s">
        <v>653</v>
      </c>
      <c r="C29" s="54" t="s">
        <v>1</v>
      </c>
      <c r="D29" s="121" t="s">
        <v>5</v>
      </c>
      <c r="F29" s="98"/>
      <c r="H29" s="121">
        <v>7.1999999999999995E-2</v>
      </c>
      <c r="J29" s="98">
        <f>VLOOKUP(B29,BD_Prod!$A$1:$O$104,15,0)</f>
        <v>21.021161699999997</v>
      </c>
      <c r="L29" s="124">
        <f>H29*J29</f>
        <v>1.5135236423999996</v>
      </c>
    </row>
    <row r="30" spans="1:14" s="55" customFormat="1" ht="12" x14ac:dyDescent="0.2">
      <c r="B30" s="55" t="s">
        <v>620</v>
      </c>
      <c r="C30" s="55" t="s">
        <v>154</v>
      </c>
      <c r="D30" s="103" t="s">
        <v>39</v>
      </c>
      <c r="F30" s="103">
        <f>SUM(L31)</f>
        <v>2.501296875</v>
      </c>
      <c r="G30" s="103"/>
      <c r="H30" s="102">
        <f>H32</f>
        <v>0.15</v>
      </c>
      <c r="I30" s="102"/>
      <c r="J30" s="102">
        <f>J32</f>
        <v>21.021161699999997</v>
      </c>
      <c r="L30" s="103">
        <f>SUM(L31:L32)*FDF</f>
        <v>5.9371946864999998</v>
      </c>
      <c r="M30" s="103"/>
      <c r="N30" s="103">
        <f>L30*BENEF</f>
        <v>7.7183530924500001</v>
      </c>
    </row>
    <row r="31" spans="1:14" x14ac:dyDescent="0.25">
      <c r="A31" s="59" t="s">
        <v>620</v>
      </c>
      <c r="B31" s="54" t="s">
        <v>646</v>
      </c>
      <c r="C31" s="54" t="s">
        <v>99</v>
      </c>
      <c r="D31" s="121" t="s">
        <v>18</v>
      </c>
      <c r="F31" s="98">
        <f>VLOOKUP(B31,BD_ET_PR!$A$1:$G$26,7,0)</f>
        <v>100.051875</v>
      </c>
      <c r="H31" s="121">
        <v>2.5000000000000001E-2</v>
      </c>
      <c r="L31" s="124">
        <f>H31*F31</f>
        <v>2.501296875</v>
      </c>
    </row>
    <row r="32" spans="1:14" x14ac:dyDescent="0.25">
      <c r="A32" s="59" t="s">
        <v>620</v>
      </c>
      <c r="B32" s="54" t="s">
        <v>653</v>
      </c>
      <c r="C32" s="54" t="s">
        <v>1</v>
      </c>
      <c r="D32" s="121" t="s">
        <v>5</v>
      </c>
      <c r="F32" s="98"/>
      <c r="H32" s="121">
        <v>0.15</v>
      </c>
      <c r="J32" s="98">
        <f>VLOOKUP(B32,BD_Prod!$A$1:$O$104,15,0)</f>
        <v>21.021161699999997</v>
      </c>
      <c r="L32" s="124">
        <f>H32*J32</f>
        <v>3.1531742549999993</v>
      </c>
    </row>
    <row r="33" spans="1:14" s="55" customFormat="1" ht="12" x14ac:dyDescent="0.2">
      <c r="B33" s="55" t="s">
        <v>621</v>
      </c>
      <c r="C33" s="55" t="s">
        <v>123</v>
      </c>
      <c r="D33" s="103" t="s">
        <v>39</v>
      </c>
      <c r="F33" s="103">
        <f>SUM(L34:L38)</f>
        <v>37.603929602272729</v>
      </c>
      <c r="G33" s="103"/>
      <c r="H33" s="102">
        <f>H39</f>
        <v>1.1499999999999999</v>
      </c>
      <c r="I33" s="102"/>
      <c r="J33" s="102">
        <f>J39</f>
        <v>21.021161699999997</v>
      </c>
      <c r="L33" s="103">
        <f>SUM(L34:L39)*FDF</f>
        <v>64.867178835136357</v>
      </c>
      <c r="M33" s="103"/>
      <c r="N33" s="103">
        <f>L33*BENEF</f>
        <v>84.327332485677275</v>
      </c>
    </row>
    <row r="34" spans="1:14" x14ac:dyDescent="0.25">
      <c r="A34" s="59" t="s">
        <v>621</v>
      </c>
      <c r="B34" s="54" t="s">
        <v>645</v>
      </c>
      <c r="C34" s="54" t="s">
        <v>84</v>
      </c>
      <c r="D34" s="121" t="s">
        <v>18</v>
      </c>
      <c r="F34" s="98">
        <f>VLOOKUP(B34,BD_ET_PR!$A$1:$G$26,7,0)</f>
        <v>127.06312499999999</v>
      </c>
      <c r="H34" s="121">
        <v>0.11</v>
      </c>
      <c r="L34" s="124">
        <f>H34*F34</f>
        <v>13.976943749999998</v>
      </c>
    </row>
    <row r="35" spans="1:14" x14ac:dyDescent="0.25">
      <c r="A35" s="59" t="s">
        <v>621</v>
      </c>
      <c r="B35" s="54" t="s">
        <v>514</v>
      </c>
      <c r="C35" s="54" t="s">
        <v>124</v>
      </c>
      <c r="D35" s="121" t="s">
        <v>0</v>
      </c>
      <c r="F35" s="98">
        <f>VLOOKUP(B35,BD_Prod!$A$6:$O$104,15,0)</f>
        <v>1.1462500000000002</v>
      </c>
      <c r="H35" s="121">
        <v>12.5</v>
      </c>
      <c r="L35" s="124">
        <f>H35*F35</f>
        <v>14.328125000000004</v>
      </c>
    </row>
    <row r="36" spans="1:14" x14ac:dyDescent="0.25">
      <c r="A36" s="59" t="s">
        <v>621</v>
      </c>
      <c r="B36" s="54" t="s">
        <v>516</v>
      </c>
      <c r="C36" s="54" t="s">
        <v>125</v>
      </c>
      <c r="D36" s="121" t="s">
        <v>87</v>
      </c>
      <c r="F36" s="98">
        <f>VLOOKUP(B36,BD_Prod!$A$6:$O$104,15,0)</f>
        <v>0.86278977272727286</v>
      </c>
      <c r="H36" s="121">
        <v>0.21</v>
      </c>
      <c r="L36" s="124">
        <f>H36*F36</f>
        <v>0.18118585227272729</v>
      </c>
    </row>
    <row r="37" spans="1:14" x14ac:dyDescent="0.25">
      <c r="A37" s="59" t="s">
        <v>621</v>
      </c>
      <c r="B37" s="54" t="s">
        <v>647</v>
      </c>
      <c r="C37" s="54" t="s">
        <v>126</v>
      </c>
      <c r="D37" s="121" t="s">
        <v>18</v>
      </c>
      <c r="F37" s="98">
        <f>VLOOKUP(B37,BD_ET_PR!$A$1:$G$26,7,0)</f>
        <v>278.9325</v>
      </c>
      <c r="H37" s="121">
        <v>0.03</v>
      </c>
      <c r="L37" s="124">
        <f>H37*F37</f>
        <v>8.3679749999999995</v>
      </c>
    </row>
    <row r="38" spans="1:14" x14ac:dyDescent="0.25">
      <c r="A38" s="59" t="s">
        <v>621</v>
      </c>
      <c r="B38" s="54" t="s">
        <v>578</v>
      </c>
      <c r="C38" s="54" t="s">
        <v>33</v>
      </c>
      <c r="D38" s="121" t="s">
        <v>0</v>
      </c>
      <c r="F38" s="98">
        <f>VLOOKUP(B38,BD_Prod!$A$6:$O$104,15,0)</f>
        <v>3.7484999999999999</v>
      </c>
      <c r="H38" s="121">
        <v>0.2</v>
      </c>
      <c r="L38" s="124">
        <f>H38*F38</f>
        <v>0.74970000000000003</v>
      </c>
    </row>
    <row r="39" spans="1:14" x14ac:dyDescent="0.25">
      <c r="A39" s="59" t="s">
        <v>621</v>
      </c>
      <c r="B39" s="54" t="s">
        <v>653</v>
      </c>
      <c r="C39" s="54" t="s">
        <v>1</v>
      </c>
      <c r="D39" s="121" t="s">
        <v>5</v>
      </c>
      <c r="F39" s="98"/>
      <c r="H39" s="121">
        <v>1.1499999999999999</v>
      </c>
      <c r="J39" s="98">
        <f>VLOOKUP(B39,BD_Prod!$A$1:$O$104,15,0)</f>
        <v>21.021161699999997</v>
      </c>
      <c r="L39" s="124">
        <f>H39*J39</f>
        <v>24.174335954999993</v>
      </c>
    </row>
    <row r="40" spans="1:14" s="55" customFormat="1" ht="12" x14ac:dyDescent="0.2">
      <c r="B40" s="55" t="s">
        <v>621</v>
      </c>
      <c r="C40" s="55" t="s">
        <v>127</v>
      </c>
      <c r="D40" s="103" t="s">
        <v>39</v>
      </c>
      <c r="F40" s="103">
        <f>SUM(L41:L42)</f>
        <v>18.144393750000003</v>
      </c>
      <c r="G40" s="103"/>
      <c r="H40" s="102">
        <f>H43</f>
        <v>0.5</v>
      </c>
      <c r="I40" s="102"/>
      <c r="J40" s="102">
        <f>J43</f>
        <v>21.021161699999997</v>
      </c>
      <c r="L40" s="103">
        <f>SUM(L41:L43)*FDF</f>
        <v>30.087723330000003</v>
      </c>
      <c r="M40" s="103"/>
      <c r="N40" s="103">
        <f>L40*BENEF</f>
        <v>39.114040329000005</v>
      </c>
    </row>
    <row r="41" spans="1:14" x14ac:dyDescent="0.25">
      <c r="A41" s="59" t="s">
        <v>622</v>
      </c>
      <c r="B41" s="54" t="s">
        <v>650</v>
      </c>
      <c r="C41" s="54" t="s">
        <v>131</v>
      </c>
      <c r="D41" s="121" t="s">
        <v>36</v>
      </c>
      <c r="F41" s="98">
        <f>VLOOKUP(B41,BD_Prod!$A$6:$O$104,15,0)</f>
        <v>0.77726249999999997</v>
      </c>
      <c r="H41" s="121">
        <v>1.5</v>
      </c>
      <c r="L41" s="124">
        <f>H41*F41</f>
        <v>1.16589375</v>
      </c>
    </row>
    <row r="42" spans="1:14" x14ac:dyDescent="0.25">
      <c r="A42" s="59" t="s">
        <v>622</v>
      </c>
      <c r="B42" s="54" t="s">
        <v>551</v>
      </c>
      <c r="C42" s="54" t="s">
        <v>203</v>
      </c>
      <c r="D42" s="121" t="s">
        <v>45</v>
      </c>
      <c r="F42" s="98">
        <f>VLOOKUP(B42,BD_Prod!$A$6:$O$104,15,0)</f>
        <v>16.978500000000004</v>
      </c>
      <c r="H42" s="121">
        <v>1</v>
      </c>
      <c r="L42" s="124">
        <f>H42*F42</f>
        <v>16.978500000000004</v>
      </c>
    </row>
    <row r="43" spans="1:14" x14ac:dyDescent="0.25">
      <c r="A43" s="59" t="s">
        <v>622</v>
      </c>
      <c r="B43" s="54" t="s">
        <v>653</v>
      </c>
      <c r="C43" s="54" t="s">
        <v>1</v>
      </c>
      <c r="D43" s="121" t="s">
        <v>5</v>
      </c>
      <c r="F43" s="98"/>
      <c r="H43" s="121">
        <v>0.5</v>
      </c>
      <c r="J43" s="98">
        <f>VLOOKUP(B43,BD_Prod!$A$1:$O$104,15,0)</f>
        <v>21.021161699999997</v>
      </c>
      <c r="L43" s="124">
        <f>H43*J43</f>
        <v>10.510580849999998</v>
      </c>
    </row>
    <row r="44" spans="1:14" s="55" customFormat="1" ht="12" x14ac:dyDescent="0.2">
      <c r="B44" s="55" t="s">
        <v>78</v>
      </c>
      <c r="C44" s="55" t="s">
        <v>132</v>
      </c>
      <c r="D44" s="103" t="s">
        <v>22</v>
      </c>
      <c r="F44" s="103">
        <f>SUM(L45:L46)</f>
        <v>37.30125000000001</v>
      </c>
      <c r="G44" s="103"/>
      <c r="H44" s="102">
        <f>H47</f>
        <v>0.75</v>
      </c>
      <c r="I44" s="102"/>
      <c r="J44" s="102">
        <f>J47</f>
        <v>21.021161699999997</v>
      </c>
      <c r="L44" s="103">
        <f>SUM(L45:L47)*FDF</f>
        <v>55.720477338750008</v>
      </c>
      <c r="M44" s="103"/>
      <c r="N44" s="103">
        <f>L44*BENEF</f>
        <v>72.436620540375017</v>
      </c>
    </row>
    <row r="45" spans="1:14" x14ac:dyDescent="0.25">
      <c r="A45" s="59" t="s">
        <v>78</v>
      </c>
      <c r="B45" s="54" t="s">
        <v>512</v>
      </c>
      <c r="C45" s="54" t="s">
        <v>659</v>
      </c>
      <c r="D45" s="121" t="s">
        <v>22</v>
      </c>
      <c r="F45" s="98">
        <f>VLOOKUP(B45,BD_Prod!$A$6:$O$104,15,0)</f>
        <v>22.601250000000004</v>
      </c>
      <c r="H45" s="121">
        <v>1</v>
      </c>
      <c r="L45" s="124">
        <f>H45*F45</f>
        <v>22.601250000000004</v>
      </c>
    </row>
    <row r="46" spans="1:14" x14ac:dyDescent="0.25">
      <c r="A46" s="59" t="s">
        <v>78</v>
      </c>
      <c r="B46" s="54" t="s">
        <v>724</v>
      </c>
      <c r="C46" s="54" t="s">
        <v>80</v>
      </c>
      <c r="D46" s="121" t="s">
        <v>22</v>
      </c>
      <c r="F46" s="98">
        <f>VLOOKUP(B46,BD_Prod!$A$6:$O$104,15,0)</f>
        <v>14.700000000000003</v>
      </c>
      <c r="H46" s="121">
        <v>1</v>
      </c>
      <c r="L46" s="124">
        <f>H46*F46</f>
        <v>14.700000000000003</v>
      </c>
    </row>
    <row r="47" spans="1:14" x14ac:dyDescent="0.25">
      <c r="A47" s="59" t="s">
        <v>78</v>
      </c>
      <c r="B47" s="54" t="s">
        <v>653</v>
      </c>
      <c r="C47" s="54" t="s">
        <v>83</v>
      </c>
      <c r="D47" s="121" t="s">
        <v>5</v>
      </c>
      <c r="F47" s="98"/>
      <c r="H47" s="121">
        <v>0.75</v>
      </c>
      <c r="J47" s="98">
        <f>VLOOKUP(B47,BD_Prod!$A$1:$O$104,15,0)</f>
        <v>21.021161699999997</v>
      </c>
      <c r="L47" s="124">
        <f>H47*J47</f>
        <v>15.765871274999999</v>
      </c>
    </row>
    <row r="48" spans="1:14" s="55" customFormat="1" ht="12" x14ac:dyDescent="0.2">
      <c r="B48" s="55" t="s">
        <v>623</v>
      </c>
      <c r="C48" s="55" t="s">
        <v>133</v>
      </c>
      <c r="D48" s="103" t="s">
        <v>39</v>
      </c>
      <c r="F48" s="103">
        <f>SUM(L49:L52)</f>
        <v>37.598126276114201</v>
      </c>
      <c r="G48" s="103"/>
      <c r="H48" s="102">
        <f>H53</f>
        <v>0.2</v>
      </c>
      <c r="I48" s="102"/>
      <c r="J48" s="102">
        <f>J53</f>
        <v>21.021161699999997</v>
      </c>
      <c r="L48" s="103">
        <f>SUM(L49:L53)*FDF</f>
        <v>43.892476546919909</v>
      </c>
      <c r="M48" s="103"/>
      <c r="N48" s="103">
        <f>L48*BENEF</f>
        <v>57.060219510995886</v>
      </c>
    </row>
    <row r="49" spans="1:14" x14ac:dyDescent="0.25">
      <c r="A49" s="59" t="s">
        <v>623</v>
      </c>
      <c r="B49" s="54" t="s">
        <v>645</v>
      </c>
      <c r="C49" s="54" t="s">
        <v>84</v>
      </c>
      <c r="D49" s="121" t="s">
        <v>18</v>
      </c>
      <c r="F49" s="98">
        <f>VLOOKUP(B49,BD_ET_PR!$A$1:$G$26,7,0)</f>
        <v>127.06312499999999</v>
      </c>
      <c r="H49" s="121">
        <v>0.12</v>
      </c>
      <c r="L49" s="124">
        <f>H49*F49</f>
        <v>15.247574999999998</v>
      </c>
    </row>
    <row r="50" spans="1:14" x14ac:dyDescent="0.25">
      <c r="A50" s="59" t="s">
        <v>623</v>
      </c>
      <c r="B50" s="54" t="s">
        <v>717</v>
      </c>
      <c r="C50" s="54" t="s">
        <v>122</v>
      </c>
      <c r="D50" s="121" t="s">
        <v>39</v>
      </c>
      <c r="F50" s="98">
        <f>VLOOKUP(B50,BD_Prod!$A$6:$O$104,15,0)</f>
        <v>16.813124999999999</v>
      </c>
      <c r="H50" s="121">
        <v>1</v>
      </c>
      <c r="L50" s="124">
        <f>H50*F50</f>
        <v>16.813124999999999</v>
      </c>
    </row>
    <row r="51" spans="1:14" x14ac:dyDescent="0.25">
      <c r="A51" s="59" t="s">
        <v>623</v>
      </c>
      <c r="B51" s="54" t="s">
        <v>520</v>
      </c>
      <c r="C51" s="54" t="s">
        <v>134</v>
      </c>
      <c r="D51" s="121" t="s">
        <v>36</v>
      </c>
      <c r="F51" s="98">
        <f>VLOOKUP(B51,BD_Prod!$A$6:$O$104,15,0)</f>
        <v>0.89768784818941494</v>
      </c>
      <c r="H51" s="121">
        <v>1.87</v>
      </c>
      <c r="L51" s="124">
        <f>H51*F51</f>
        <v>1.678676276114206</v>
      </c>
    </row>
    <row r="52" spans="1:14" x14ac:dyDescent="0.25">
      <c r="A52" s="59" t="s">
        <v>623</v>
      </c>
      <c r="B52" s="54" t="s">
        <v>517</v>
      </c>
      <c r="C52" s="54" t="s">
        <v>24</v>
      </c>
      <c r="D52" s="121" t="s">
        <v>39</v>
      </c>
      <c r="F52" s="98">
        <f>VLOOKUP(B52,BD_Prod!$A$6:$O$104,15,0)</f>
        <v>3.8587500000000006</v>
      </c>
      <c r="H52" s="121">
        <v>1</v>
      </c>
      <c r="L52" s="124">
        <f>H52*F52</f>
        <v>3.8587500000000006</v>
      </c>
    </row>
    <row r="53" spans="1:14" x14ac:dyDescent="0.25">
      <c r="A53" s="59" t="s">
        <v>623</v>
      </c>
      <c r="B53" s="54" t="s">
        <v>653</v>
      </c>
      <c r="C53" s="54" t="s">
        <v>83</v>
      </c>
      <c r="D53" s="121" t="s">
        <v>5</v>
      </c>
      <c r="F53" s="98"/>
      <c r="H53" s="121">
        <v>0.2</v>
      </c>
      <c r="J53" s="98">
        <f>VLOOKUP(B53,BD_Prod!$A$1:$O$104,15,0)</f>
        <v>21.021161699999997</v>
      </c>
      <c r="L53" s="124">
        <f>H53*J53</f>
        <v>4.2042323399999999</v>
      </c>
    </row>
    <row r="54" spans="1:14" ht="12" x14ac:dyDescent="0.2">
      <c r="A54" s="55"/>
      <c r="B54" s="55" t="s">
        <v>758</v>
      </c>
      <c r="C54" s="55" t="s">
        <v>148</v>
      </c>
      <c r="D54" s="103" t="s">
        <v>39</v>
      </c>
      <c r="E54" s="55"/>
      <c r="F54" s="103">
        <f>SUM(L55:L58)</f>
        <v>57.776632526114206</v>
      </c>
      <c r="G54" s="103"/>
      <c r="H54" s="102">
        <f>SUM(H59:H62)</f>
        <v>2.855</v>
      </c>
      <c r="I54" s="102"/>
      <c r="J54" s="102">
        <f>J62</f>
        <v>21.021161699999997</v>
      </c>
      <c r="K54" s="55"/>
      <c r="L54" s="103">
        <f>SUM(L55:L62)*FDF</f>
        <v>123.68165163859491</v>
      </c>
      <c r="M54" s="103"/>
      <c r="N54" s="103">
        <f>L54*BENEF</f>
        <v>160.78614713017339</v>
      </c>
    </row>
    <row r="55" spans="1:14" x14ac:dyDescent="0.25">
      <c r="A55" s="59" t="s">
        <v>758</v>
      </c>
      <c r="B55" s="54" t="s">
        <v>555</v>
      </c>
      <c r="C55" s="54" t="s">
        <v>100</v>
      </c>
      <c r="D55" s="121" t="s">
        <v>39</v>
      </c>
      <c r="F55" s="98">
        <f>VLOOKUP(B55,BD_Prod!$A$6:$O$104,15,0)</f>
        <v>49.061250000000001</v>
      </c>
      <c r="H55" s="121">
        <v>1</v>
      </c>
      <c r="L55" s="124">
        <f>H55*F55</f>
        <v>49.061250000000001</v>
      </c>
    </row>
    <row r="56" spans="1:14" x14ac:dyDescent="0.25">
      <c r="A56" s="59" t="s">
        <v>758</v>
      </c>
      <c r="B56" s="54" t="s">
        <v>520</v>
      </c>
      <c r="C56" s="54" t="s">
        <v>101</v>
      </c>
      <c r="D56" s="121" t="s">
        <v>36</v>
      </c>
      <c r="F56" s="98">
        <f>VLOOKUP(B56,BD_Prod!$A$6:$O$104,15,0)</f>
        <v>0.89768784818941494</v>
      </c>
      <c r="H56" s="121">
        <v>1.87</v>
      </c>
      <c r="L56" s="124">
        <f>H56*F56</f>
        <v>1.678676276114206</v>
      </c>
    </row>
    <row r="57" spans="1:14" x14ac:dyDescent="0.25">
      <c r="A57" s="59" t="s">
        <v>758</v>
      </c>
      <c r="B57" s="54" t="s">
        <v>644</v>
      </c>
      <c r="C57" s="54" t="s">
        <v>150</v>
      </c>
      <c r="D57" s="121" t="s">
        <v>18</v>
      </c>
      <c r="F57" s="98">
        <f>VLOOKUP(B57,BD_ET_PR!$A$1:$G$26,7,0)</f>
        <v>130.64624999999998</v>
      </c>
      <c r="H57" s="121">
        <v>0.05</v>
      </c>
      <c r="L57" s="124">
        <f>H57*F57</f>
        <v>6.5323124999999997</v>
      </c>
    </row>
    <row r="58" spans="1:14" x14ac:dyDescent="0.25">
      <c r="A58" s="59" t="s">
        <v>758</v>
      </c>
      <c r="B58" s="54" t="s">
        <v>717</v>
      </c>
      <c r="C58" s="54" t="s">
        <v>95</v>
      </c>
      <c r="D58" s="121" t="s">
        <v>39</v>
      </c>
      <c r="F58" s="98">
        <f>VLOOKUP(B58,BD_Prod!$A$6:$O$104,15,0)</f>
        <v>16.813124999999999</v>
      </c>
      <c r="H58" s="121">
        <v>0.03</v>
      </c>
      <c r="L58" s="124">
        <f>H58*F58</f>
        <v>0.50439374999999997</v>
      </c>
    </row>
    <row r="59" spans="1:14" x14ac:dyDescent="0.25">
      <c r="A59" s="59" t="s">
        <v>758</v>
      </c>
      <c r="B59" s="54" t="s">
        <v>653</v>
      </c>
      <c r="C59" s="54" t="s">
        <v>102</v>
      </c>
      <c r="D59" s="121" t="s">
        <v>5</v>
      </c>
      <c r="F59" s="98"/>
      <c r="H59" s="121">
        <v>0.08</v>
      </c>
      <c r="J59" s="98">
        <f>VLOOKUP(B59,BD_Prod!$A$1:$O$104,15,0)</f>
        <v>21.021161699999997</v>
      </c>
      <c r="L59" s="124">
        <f>H59*J59</f>
        <v>1.6816929359999997</v>
      </c>
    </row>
    <row r="60" spans="1:14" x14ac:dyDescent="0.25">
      <c r="A60" s="59" t="s">
        <v>758</v>
      </c>
      <c r="B60" s="54" t="s">
        <v>653</v>
      </c>
      <c r="C60" s="54" t="s">
        <v>103</v>
      </c>
      <c r="D60" s="121" t="s">
        <v>5</v>
      </c>
      <c r="F60" s="98"/>
      <c r="H60" s="121">
        <v>1.1499999999999999</v>
      </c>
      <c r="J60" s="98">
        <f>VLOOKUP(B60,BD_Prod!$A$1:$O$104,15,0)</f>
        <v>21.021161699999997</v>
      </c>
      <c r="L60" s="124">
        <f t="shared" ref="L60:L62" si="0">H60*J60</f>
        <v>24.174335954999993</v>
      </c>
    </row>
    <row r="61" spans="1:14" x14ac:dyDescent="0.25">
      <c r="A61" s="59" t="s">
        <v>758</v>
      </c>
      <c r="B61" s="54" t="s">
        <v>653</v>
      </c>
      <c r="C61" s="54" t="s">
        <v>96</v>
      </c>
      <c r="D61" s="121" t="s">
        <v>5</v>
      </c>
      <c r="F61" s="98"/>
      <c r="H61" s="121">
        <v>1.5</v>
      </c>
      <c r="J61" s="98">
        <f>VLOOKUP(B61,BD_Prod!$A$1:$O$104,15,0)</f>
        <v>21.021161699999997</v>
      </c>
      <c r="L61" s="124">
        <f t="shared" si="0"/>
        <v>31.531742549999997</v>
      </c>
    </row>
    <row r="62" spans="1:14" x14ac:dyDescent="0.25">
      <c r="A62" s="59" t="s">
        <v>758</v>
      </c>
      <c r="B62" s="54" t="s">
        <v>653</v>
      </c>
      <c r="C62" s="54" t="s">
        <v>104</v>
      </c>
      <c r="D62" s="121" t="s">
        <v>5</v>
      </c>
      <c r="F62" s="98"/>
      <c r="H62" s="121">
        <v>0.125</v>
      </c>
      <c r="J62" s="98">
        <f>VLOOKUP(B62,BD_Prod!$A$1:$O$104,15,0)</f>
        <v>21.021161699999997</v>
      </c>
      <c r="L62" s="124">
        <f t="shared" si="0"/>
        <v>2.6276452124999996</v>
      </c>
    </row>
    <row r="63" spans="1:14" ht="12" x14ac:dyDescent="0.2">
      <c r="A63" s="55"/>
      <c r="B63" s="55" t="s">
        <v>759</v>
      </c>
      <c r="C63" s="55" t="s">
        <v>362</v>
      </c>
      <c r="D63" s="103" t="s">
        <v>22</v>
      </c>
      <c r="E63" s="55"/>
      <c r="F63" s="103">
        <f>SUM(L64:L67)</f>
        <v>149.43376874999998</v>
      </c>
      <c r="G63" s="103"/>
      <c r="H63" s="102">
        <f>SUM(H68:H69)</f>
        <v>6</v>
      </c>
      <c r="I63" s="102"/>
      <c r="J63" s="102">
        <f>J69</f>
        <v>21.021161699999997</v>
      </c>
      <c r="K63" s="55"/>
      <c r="L63" s="103">
        <f>SUM(L64:L69)*FDF</f>
        <v>289.3387758975</v>
      </c>
      <c r="M63" s="103"/>
      <c r="N63" s="103">
        <f>L63*BENEF</f>
        <v>376.14040866675003</v>
      </c>
    </row>
    <row r="64" spans="1:14" x14ac:dyDescent="0.25">
      <c r="A64" s="59" t="s">
        <v>759</v>
      </c>
      <c r="B64" s="54" t="s">
        <v>644</v>
      </c>
      <c r="C64" s="54" t="s">
        <v>81</v>
      </c>
      <c r="D64" s="121" t="s">
        <v>18</v>
      </c>
      <c r="F64" s="98">
        <f>VLOOKUP(B64,BD_ET_PR!$A$1:$G$26,7,0)</f>
        <v>130.64624999999998</v>
      </c>
      <c r="H64" s="121">
        <v>1</v>
      </c>
      <c r="L64" s="124">
        <f>H64*F64</f>
        <v>130.64624999999998</v>
      </c>
    </row>
    <row r="65" spans="1:14" x14ac:dyDescent="0.25">
      <c r="A65" s="59" t="s">
        <v>759</v>
      </c>
      <c r="B65" s="54" t="s">
        <v>724</v>
      </c>
      <c r="C65" s="54" t="s">
        <v>94</v>
      </c>
      <c r="D65" s="121" t="s">
        <v>6</v>
      </c>
      <c r="F65" s="98">
        <f>VLOOKUP(B65,BD_Prod!$A$6:$O$104,15,0)</f>
        <v>14.700000000000003</v>
      </c>
      <c r="H65" s="121">
        <v>1</v>
      </c>
      <c r="L65" s="124">
        <f>H65*F65</f>
        <v>14.700000000000003</v>
      </c>
    </row>
    <row r="66" spans="1:14" x14ac:dyDescent="0.25">
      <c r="A66" s="59" t="s">
        <v>759</v>
      </c>
      <c r="B66" s="54" t="s">
        <v>717</v>
      </c>
      <c r="C66" s="54" t="s">
        <v>95</v>
      </c>
      <c r="D66" s="121" t="s">
        <v>39</v>
      </c>
      <c r="F66" s="98">
        <f>VLOOKUP(B66,BD_Prod!$A$6:$O$104,15,0)</f>
        <v>16.813124999999999</v>
      </c>
      <c r="H66" s="121">
        <v>0.03</v>
      </c>
      <c r="L66" s="124">
        <f>H66*F66</f>
        <v>0.50439374999999997</v>
      </c>
    </row>
    <row r="67" spans="1:14" x14ac:dyDescent="0.25">
      <c r="A67" s="59" t="s">
        <v>759</v>
      </c>
      <c r="B67" s="54" t="s">
        <v>552</v>
      </c>
      <c r="C67" s="54" t="s">
        <v>97</v>
      </c>
      <c r="D67" s="121" t="s">
        <v>87</v>
      </c>
      <c r="F67" s="98">
        <f>VLOOKUP(B67,BD_Prod!$A$6:$O$104,15,0)</f>
        <v>1.7915625000000002</v>
      </c>
      <c r="H67" s="121">
        <v>2</v>
      </c>
      <c r="L67" s="124">
        <f>H67*F67</f>
        <v>3.5831250000000003</v>
      </c>
    </row>
    <row r="68" spans="1:14" x14ac:dyDescent="0.25">
      <c r="A68" s="59" t="s">
        <v>759</v>
      </c>
      <c r="B68" s="54" t="s">
        <v>653</v>
      </c>
      <c r="C68" s="54" t="s">
        <v>93</v>
      </c>
      <c r="D68" s="121" t="s">
        <v>5</v>
      </c>
      <c r="F68" s="98"/>
      <c r="H68" s="121">
        <v>2.5</v>
      </c>
      <c r="J68" s="98">
        <f>VLOOKUP(B68,BD_Prod!$A$1:$O$104,15,0)</f>
        <v>21.021161699999997</v>
      </c>
      <c r="L68" s="124">
        <f>H68*J68</f>
        <v>52.55290424999999</v>
      </c>
    </row>
    <row r="69" spans="1:14" x14ac:dyDescent="0.25">
      <c r="A69" s="59" t="s">
        <v>759</v>
      </c>
      <c r="B69" s="54" t="s">
        <v>653</v>
      </c>
      <c r="C69" s="54" t="s">
        <v>96</v>
      </c>
      <c r="D69" s="121" t="s">
        <v>5</v>
      </c>
      <c r="F69" s="98"/>
      <c r="H69" s="121">
        <v>3.5</v>
      </c>
      <c r="J69" s="98">
        <f>VLOOKUP(B69,BD_Prod!$A$1:$O$104,15,0)</f>
        <v>21.021161699999997</v>
      </c>
      <c r="L69" s="124">
        <f>H69*J69</f>
        <v>73.574065949999991</v>
      </c>
    </row>
    <row r="70" spans="1:14" s="55" customFormat="1" ht="12" x14ac:dyDescent="0.2">
      <c r="B70" s="55" t="s">
        <v>121</v>
      </c>
      <c r="C70" s="55" t="s">
        <v>135</v>
      </c>
      <c r="D70" s="103" t="s">
        <v>31</v>
      </c>
      <c r="F70" s="103">
        <f>SUM(L71)</f>
        <v>12.442815000000001</v>
      </c>
      <c r="G70" s="103"/>
      <c r="H70" s="102">
        <f>H72</f>
        <v>0.01</v>
      </c>
      <c r="I70" s="102"/>
      <c r="J70" s="102">
        <f>J72</f>
        <v>21.021161699999997</v>
      </c>
      <c r="L70" s="103">
        <f>SUM(L71:L72)*FDF</f>
        <v>13.285677947850003</v>
      </c>
      <c r="M70" s="103"/>
      <c r="N70" s="103">
        <f>L70*BENEF</f>
        <v>17.271381332205003</v>
      </c>
    </row>
    <row r="71" spans="1:14" x14ac:dyDescent="0.25">
      <c r="A71" s="59" t="s">
        <v>121</v>
      </c>
      <c r="B71" s="54" t="s">
        <v>648</v>
      </c>
      <c r="C71" s="54" t="s">
        <v>136</v>
      </c>
      <c r="D71" s="121" t="s">
        <v>31</v>
      </c>
      <c r="F71" s="98">
        <f>VLOOKUP(B71,BD_ET_PR!$A$1:$G$26,7,0)</f>
        <v>414.76050000000004</v>
      </c>
      <c r="H71" s="121">
        <v>0.03</v>
      </c>
      <c r="L71" s="124">
        <f>H71*F71</f>
        <v>12.442815000000001</v>
      </c>
    </row>
    <row r="72" spans="1:14" x14ac:dyDescent="0.25">
      <c r="A72" s="59" t="s">
        <v>121</v>
      </c>
      <c r="B72" s="54" t="s">
        <v>653</v>
      </c>
      <c r="C72" s="54" t="s">
        <v>1</v>
      </c>
      <c r="D72" s="121" t="s">
        <v>5</v>
      </c>
      <c r="F72" s="98"/>
      <c r="H72" s="121">
        <v>0.01</v>
      </c>
      <c r="J72" s="98">
        <f>VLOOKUP(B72,BD_Prod!$A$1:$O$104,15,0)</f>
        <v>21.021161699999997</v>
      </c>
      <c r="L72" s="124">
        <f>H72*J72</f>
        <v>0.21021161699999996</v>
      </c>
    </row>
    <row r="73" spans="1:14" s="55" customFormat="1" ht="12" x14ac:dyDescent="0.2">
      <c r="B73" s="55" t="s">
        <v>143</v>
      </c>
      <c r="C73" s="55" t="s">
        <v>137</v>
      </c>
      <c r="D73" s="103" t="s">
        <v>39</v>
      </c>
      <c r="F73" s="103">
        <f>SUM(L74:L78)</f>
        <v>27.438879602272731</v>
      </c>
      <c r="G73" s="103"/>
      <c r="H73" s="102">
        <f>H79</f>
        <v>1.1499999999999999</v>
      </c>
      <c r="I73" s="102"/>
      <c r="J73" s="102">
        <f>J79</f>
        <v>21.021161699999997</v>
      </c>
      <c r="L73" s="103">
        <f>SUM(L74:L79)*FDF</f>
        <v>54.193876335136366</v>
      </c>
      <c r="M73" s="103"/>
      <c r="N73" s="103">
        <f>L73*BENEF</f>
        <v>70.452039235677276</v>
      </c>
    </row>
    <row r="74" spans="1:14" x14ac:dyDescent="0.25">
      <c r="A74" s="59" t="s">
        <v>143</v>
      </c>
      <c r="B74" s="54" t="s">
        <v>645</v>
      </c>
      <c r="C74" s="54" t="s">
        <v>84</v>
      </c>
      <c r="D74" s="121" t="s">
        <v>18</v>
      </c>
      <c r="F74" s="98">
        <f>VLOOKUP(B74,BD_ET_PR!$A$1:$G$26,7,0)</f>
        <v>127.06312499999999</v>
      </c>
      <c r="H74" s="121">
        <v>0.03</v>
      </c>
      <c r="L74" s="124">
        <f>H74*F74</f>
        <v>3.8118937499999994</v>
      </c>
    </row>
    <row r="75" spans="1:14" x14ac:dyDescent="0.25">
      <c r="A75" s="59" t="s">
        <v>143</v>
      </c>
      <c r="B75" s="54" t="s">
        <v>514</v>
      </c>
      <c r="C75" s="54" t="s">
        <v>124</v>
      </c>
      <c r="D75" s="121" t="s">
        <v>0</v>
      </c>
      <c r="F75" s="98">
        <f>VLOOKUP(B75,BD_Prod!$A$6:$O$104,15,0)</f>
        <v>1.1462500000000002</v>
      </c>
      <c r="H75" s="121">
        <v>12.5</v>
      </c>
      <c r="L75" s="124">
        <f>H75*F75</f>
        <v>14.328125000000004</v>
      </c>
    </row>
    <row r="76" spans="1:14" x14ac:dyDescent="0.25">
      <c r="A76" s="59" t="s">
        <v>143</v>
      </c>
      <c r="B76" s="54" t="s">
        <v>516</v>
      </c>
      <c r="C76" s="54" t="s">
        <v>125</v>
      </c>
      <c r="D76" s="121" t="s">
        <v>87</v>
      </c>
      <c r="F76" s="98">
        <f>VLOOKUP(B76,BD_Prod!$A$6:$O$104,15,0)</f>
        <v>0.86278977272727286</v>
      </c>
      <c r="H76" s="121">
        <v>0.21</v>
      </c>
      <c r="L76" s="124">
        <f>H76*F76</f>
        <v>0.18118585227272729</v>
      </c>
    </row>
    <row r="77" spans="1:14" x14ac:dyDescent="0.25">
      <c r="A77" s="59" t="s">
        <v>143</v>
      </c>
      <c r="B77" s="54" t="s">
        <v>647</v>
      </c>
      <c r="C77" s="54" t="s">
        <v>126</v>
      </c>
      <c r="D77" s="121" t="s">
        <v>18</v>
      </c>
      <c r="F77" s="98">
        <f>VLOOKUP(B77,BD_ET_PR!$A$1:$G$26,7,0)</f>
        <v>278.9325</v>
      </c>
      <c r="H77" s="121">
        <v>0.03</v>
      </c>
      <c r="L77" s="124">
        <f>H77*F77</f>
        <v>8.3679749999999995</v>
      </c>
    </row>
    <row r="78" spans="1:14" x14ac:dyDescent="0.25">
      <c r="A78" s="59" t="s">
        <v>143</v>
      </c>
      <c r="B78" s="54" t="s">
        <v>578</v>
      </c>
      <c r="C78" s="54" t="s">
        <v>33</v>
      </c>
      <c r="D78" s="121" t="s">
        <v>0</v>
      </c>
      <c r="F78" s="98">
        <f>VLOOKUP(B78,BD_Prod!$A$6:$O$104,15,0)</f>
        <v>3.7484999999999999</v>
      </c>
      <c r="H78" s="121">
        <v>0.2</v>
      </c>
      <c r="L78" s="124">
        <f>H78*F78</f>
        <v>0.74970000000000003</v>
      </c>
    </row>
    <row r="79" spans="1:14" x14ac:dyDescent="0.25">
      <c r="A79" s="59" t="s">
        <v>143</v>
      </c>
      <c r="B79" s="54" t="s">
        <v>653</v>
      </c>
      <c r="C79" s="54" t="s">
        <v>1</v>
      </c>
      <c r="D79" s="121" t="s">
        <v>5</v>
      </c>
      <c r="F79" s="98"/>
      <c r="H79" s="121">
        <v>1.1499999999999999</v>
      </c>
      <c r="J79" s="98">
        <f>VLOOKUP(B79,BD_Prod!$A$1:$O$104,15,0)</f>
        <v>21.021161699999997</v>
      </c>
      <c r="L79" s="124">
        <f>H79*J79</f>
        <v>24.174335954999993</v>
      </c>
    </row>
    <row r="80" spans="1:14" s="55" customFormat="1" ht="12" x14ac:dyDescent="0.2">
      <c r="B80" s="55" t="s">
        <v>145</v>
      </c>
      <c r="C80" s="55" t="s">
        <v>138</v>
      </c>
      <c r="D80" s="103" t="s">
        <v>39</v>
      </c>
      <c r="F80" s="103">
        <f>SUM(L81:L85)</f>
        <v>18.744409289772726</v>
      </c>
      <c r="G80" s="103"/>
      <c r="H80" s="102">
        <f>H86</f>
        <v>1.1499999999999999</v>
      </c>
      <c r="I80" s="102"/>
      <c r="J80" s="102">
        <f>J86</f>
        <v>21.021161699999997</v>
      </c>
      <c r="L80" s="103">
        <f>SUM(L81:L86)*FDF</f>
        <v>45.064682507011362</v>
      </c>
      <c r="M80" s="103"/>
      <c r="N80" s="103">
        <f>L80*BENEF</f>
        <v>58.584087259114774</v>
      </c>
    </row>
    <row r="81" spans="1:14" x14ac:dyDescent="0.25">
      <c r="A81" s="59" t="s">
        <v>145</v>
      </c>
      <c r="B81" s="54" t="s">
        <v>645</v>
      </c>
      <c r="C81" s="54" t="s">
        <v>84</v>
      </c>
      <c r="D81" s="121" t="s">
        <v>18</v>
      </c>
      <c r="F81" s="98">
        <f>VLOOKUP(B81,BD_ET_PR!$A$1:$G$26,7,0)</f>
        <v>127.06312499999999</v>
      </c>
      <c r="H81" s="121">
        <v>7.4999999999999997E-3</v>
      </c>
      <c r="L81" s="124">
        <f>H81*F81</f>
        <v>0.95297343749999985</v>
      </c>
    </row>
    <row r="82" spans="1:14" x14ac:dyDescent="0.25">
      <c r="A82" s="59" t="s">
        <v>145</v>
      </c>
      <c r="B82" s="54" t="s">
        <v>515</v>
      </c>
      <c r="C82" s="54" t="s">
        <v>139</v>
      </c>
      <c r="D82" s="121" t="s">
        <v>0</v>
      </c>
      <c r="F82" s="98">
        <f>VLOOKUP(B82,BD_Prod!$A$6:$O$104,15,0)</f>
        <v>1.0141249999999999</v>
      </c>
      <c r="H82" s="121">
        <v>12.5</v>
      </c>
      <c r="L82" s="124">
        <f>H82*F82</f>
        <v>12.676562499999999</v>
      </c>
    </row>
    <row r="83" spans="1:14" x14ac:dyDescent="0.25">
      <c r="A83" s="59" t="s">
        <v>145</v>
      </c>
      <c r="B83" s="54" t="s">
        <v>516</v>
      </c>
      <c r="C83" s="54" t="s">
        <v>125</v>
      </c>
      <c r="D83" s="121" t="s">
        <v>87</v>
      </c>
      <c r="F83" s="98">
        <f>VLOOKUP(B83,BD_Prod!$A$6:$O$104,15,0)</f>
        <v>0.86278977272727286</v>
      </c>
      <c r="H83" s="121">
        <v>0.21</v>
      </c>
      <c r="L83" s="124">
        <f>H83*F83</f>
        <v>0.18118585227272729</v>
      </c>
    </row>
    <row r="84" spans="1:14" x14ac:dyDescent="0.25">
      <c r="A84" s="59" t="s">
        <v>145</v>
      </c>
      <c r="B84" s="54" t="s">
        <v>647</v>
      </c>
      <c r="C84" s="54" t="s">
        <v>126</v>
      </c>
      <c r="D84" s="121" t="s">
        <v>18</v>
      </c>
      <c r="F84" s="98">
        <f>VLOOKUP(B84,BD_ET_PR!$A$1:$G$26,7,0)</f>
        <v>278.9325</v>
      </c>
      <c r="H84" s="121">
        <v>1.4999999999999999E-2</v>
      </c>
      <c r="L84" s="124">
        <f>H84*F84</f>
        <v>4.1839874999999997</v>
      </c>
    </row>
    <row r="85" spans="1:14" x14ac:dyDescent="0.25">
      <c r="A85" s="59" t="s">
        <v>145</v>
      </c>
      <c r="B85" s="54" t="s">
        <v>578</v>
      </c>
      <c r="C85" s="54" t="s">
        <v>33</v>
      </c>
      <c r="D85" s="121" t="s">
        <v>0</v>
      </c>
      <c r="F85" s="98">
        <f>VLOOKUP(B85,BD_Prod!$A$6:$O$104,15,0)</f>
        <v>3.7484999999999999</v>
      </c>
      <c r="H85" s="121">
        <v>0.2</v>
      </c>
      <c r="L85" s="124">
        <f>H85*F85</f>
        <v>0.74970000000000003</v>
      </c>
    </row>
    <row r="86" spans="1:14" x14ac:dyDescent="0.25">
      <c r="A86" s="59" t="s">
        <v>145</v>
      </c>
      <c r="B86" s="54" t="s">
        <v>653</v>
      </c>
      <c r="C86" s="54" t="s">
        <v>1</v>
      </c>
      <c r="D86" s="121" t="s">
        <v>5</v>
      </c>
      <c r="F86" s="98"/>
      <c r="H86" s="121">
        <v>1.1499999999999999</v>
      </c>
      <c r="J86" s="98">
        <f>VLOOKUP(B86,BD_Prod!$A$1:$O$104,15,0)</f>
        <v>21.021161699999997</v>
      </c>
      <c r="L86" s="124">
        <f>H86*J86</f>
        <v>24.174335954999993</v>
      </c>
    </row>
    <row r="87" spans="1:14" s="55" customFormat="1" ht="12" x14ac:dyDescent="0.2">
      <c r="B87" s="55" t="s">
        <v>232</v>
      </c>
      <c r="C87" s="55" t="s">
        <v>140</v>
      </c>
      <c r="D87" s="103" t="s">
        <v>22</v>
      </c>
      <c r="F87" s="103">
        <f>SUM(L88:L92)</f>
        <v>489.13154181818186</v>
      </c>
      <c r="G87" s="103"/>
      <c r="H87" s="102">
        <f>H93</f>
        <v>2</v>
      </c>
      <c r="I87" s="102"/>
      <c r="J87" s="102">
        <f>J93</f>
        <v>21.021161699999997</v>
      </c>
      <c r="L87" s="103">
        <f>SUM(L88:L93)*FDF</f>
        <v>557.73255847909093</v>
      </c>
      <c r="M87" s="103"/>
      <c r="N87" s="103">
        <f>L87*BENEF</f>
        <v>725.05232602281819</v>
      </c>
    </row>
    <row r="88" spans="1:14" x14ac:dyDescent="0.25">
      <c r="A88" s="59" t="s">
        <v>232</v>
      </c>
      <c r="B88" s="54" t="s">
        <v>644</v>
      </c>
      <c r="C88" s="54" t="s">
        <v>81</v>
      </c>
      <c r="D88" s="121" t="s">
        <v>18</v>
      </c>
      <c r="F88" s="98">
        <f>VLOOKUP(B88,BD_ET_PR!$A$1:$G$26,7,0)</f>
        <v>130.64624999999998</v>
      </c>
      <c r="H88" s="121">
        <v>1</v>
      </c>
      <c r="L88" s="124">
        <f>H88*F88</f>
        <v>130.64624999999998</v>
      </c>
    </row>
    <row r="89" spans="1:14" x14ac:dyDescent="0.25">
      <c r="A89" s="59" t="s">
        <v>232</v>
      </c>
      <c r="B89" s="54" t="s">
        <v>516</v>
      </c>
      <c r="C89" s="54" t="s">
        <v>125</v>
      </c>
      <c r="D89" s="121" t="s">
        <v>87</v>
      </c>
      <c r="F89" s="98">
        <f>VLOOKUP(B89,BD_Prod!$A$6:$O$104,15,0)</f>
        <v>0.86278977272727286</v>
      </c>
      <c r="H89" s="121">
        <v>300</v>
      </c>
      <c r="L89" s="124">
        <f>H89*F89</f>
        <v>258.83693181818188</v>
      </c>
    </row>
    <row r="90" spans="1:14" x14ac:dyDescent="0.25">
      <c r="A90" s="59" t="s">
        <v>232</v>
      </c>
      <c r="B90" s="54" t="s">
        <v>581</v>
      </c>
      <c r="C90" s="54" t="s">
        <v>70</v>
      </c>
      <c r="D90" s="121" t="s">
        <v>22</v>
      </c>
      <c r="F90" s="98">
        <f>VLOOKUP(B90,BD_Prod!$A$6:$O$104,15,0)</f>
        <v>516.82443750000004</v>
      </c>
      <c r="H90" s="121">
        <v>0.16</v>
      </c>
      <c r="L90" s="124">
        <f>H90*F90</f>
        <v>82.691910000000007</v>
      </c>
    </row>
    <row r="91" spans="1:14" x14ac:dyDescent="0.25">
      <c r="A91" s="59" t="s">
        <v>232</v>
      </c>
      <c r="B91" s="54" t="s">
        <v>717</v>
      </c>
      <c r="C91" s="54" t="s">
        <v>122</v>
      </c>
      <c r="D91" s="121" t="s">
        <v>39</v>
      </c>
      <c r="F91" s="98">
        <f>VLOOKUP(B91,BD_Prod!$A$6:$O$104,15,0)</f>
        <v>16.813124999999999</v>
      </c>
      <c r="H91" s="121">
        <v>1</v>
      </c>
      <c r="L91" s="124">
        <f>H91*F91</f>
        <v>16.813124999999999</v>
      </c>
    </row>
    <row r="92" spans="1:14" x14ac:dyDescent="0.25">
      <c r="A92" s="59" t="s">
        <v>232</v>
      </c>
      <c r="B92" s="54" t="s">
        <v>552</v>
      </c>
      <c r="C92" s="54" t="s">
        <v>97</v>
      </c>
      <c r="D92" s="121" t="s">
        <v>87</v>
      </c>
      <c r="F92" s="98">
        <f>VLOOKUP(B92,BD_Prod!$A$6:$O$104,15,0)</f>
        <v>1.7915625000000002</v>
      </c>
      <c r="H92" s="121">
        <v>0.08</v>
      </c>
      <c r="L92" s="124">
        <f>H92*F92</f>
        <v>0.14332500000000001</v>
      </c>
    </row>
    <row r="93" spans="1:14" x14ac:dyDescent="0.25">
      <c r="A93" s="59" t="s">
        <v>232</v>
      </c>
      <c r="B93" s="54" t="s">
        <v>653</v>
      </c>
      <c r="C93" s="54" t="s">
        <v>1</v>
      </c>
      <c r="D93" s="121" t="s">
        <v>5</v>
      </c>
      <c r="F93" s="98"/>
      <c r="H93" s="121">
        <v>2</v>
      </c>
      <c r="J93" s="98">
        <f>VLOOKUP(B93,BD_Prod!$A$1:$O$104,15,0)</f>
        <v>21.021161699999997</v>
      </c>
      <c r="L93" s="124">
        <f>H93*J93</f>
        <v>42.042323399999994</v>
      </c>
    </row>
    <row r="94" spans="1:14" s="55" customFormat="1" ht="12" x14ac:dyDescent="0.2">
      <c r="B94" s="55" t="s">
        <v>624</v>
      </c>
      <c r="C94" s="55" t="s">
        <v>155</v>
      </c>
      <c r="D94" s="103" t="s">
        <v>22</v>
      </c>
      <c r="F94" s="103">
        <f>SUM(L95:L99)</f>
        <v>935.74820411085454</v>
      </c>
      <c r="G94" s="103"/>
      <c r="H94" s="102">
        <f>H100</f>
        <v>2</v>
      </c>
      <c r="I94" s="102"/>
      <c r="J94" s="102">
        <f>J100</f>
        <v>21.021161699999997</v>
      </c>
      <c r="L94" s="103">
        <f>SUM(L95:L100)*FDF</f>
        <v>1026.6800538863972</v>
      </c>
      <c r="M94" s="103"/>
      <c r="N94" s="103">
        <f>L94*BENEF</f>
        <v>1334.6840700523164</v>
      </c>
    </row>
    <row r="95" spans="1:14" x14ac:dyDescent="0.25">
      <c r="A95" s="59" t="s">
        <v>624</v>
      </c>
      <c r="B95" s="54" t="s">
        <v>644</v>
      </c>
      <c r="C95" s="54" t="s">
        <v>81</v>
      </c>
      <c r="D95" s="121" t="s">
        <v>18</v>
      </c>
      <c r="F95" s="98">
        <f>VLOOKUP(B95,BD_ET_PR!$A$1:$G$26,7,0)</f>
        <v>130.64624999999998</v>
      </c>
      <c r="H95" s="121">
        <v>1</v>
      </c>
      <c r="L95" s="124">
        <f>H95*F95</f>
        <v>130.64624999999998</v>
      </c>
    </row>
    <row r="96" spans="1:14" x14ac:dyDescent="0.25">
      <c r="A96" s="59" t="s">
        <v>624</v>
      </c>
      <c r="B96" s="54" t="s">
        <v>521</v>
      </c>
      <c r="C96" s="54" t="s">
        <v>144</v>
      </c>
      <c r="D96" s="121" t="s">
        <v>87</v>
      </c>
      <c r="F96" s="98">
        <f>VLOOKUP(B96,BD_Prod!$A$6:$O$104,15,0)</f>
        <v>2.821814376443418</v>
      </c>
      <c r="H96" s="121">
        <v>250</v>
      </c>
      <c r="L96" s="124">
        <f>H96*F96</f>
        <v>705.45359411085451</v>
      </c>
    </row>
    <row r="97" spans="1:14" x14ac:dyDescent="0.25">
      <c r="A97" s="59" t="s">
        <v>624</v>
      </c>
      <c r="B97" s="54" t="s">
        <v>581</v>
      </c>
      <c r="C97" s="54" t="s">
        <v>70</v>
      </c>
      <c r="D97" s="121" t="s">
        <v>22</v>
      </c>
      <c r="F97" s="98">
        <f>VLOOKUP(B97,BD_Prod!$A$6:$O$104,15,0)</f>
        <v>516.82443750000004</v>
      </c>
      <c r="H97" s="121">
        <v>0.16</v>
      </c>
      <c r="L97" s="124">
        <f>H97*F97</f>
        <v>82.691910000000007</v>
      </c>
    </row>
    <row r="98" spans="1:14" x14ac:dyDescent="0.25">
      <c r="A98" s="59" t="s">
        <v>624</v>
      </c>
      <c r="B98" s="54" t="s">
        <v>717</v>
      </c>
      <c r="C98" s="54" t="s">
        <v>122</v>
      </c>
      <c r="D98" s="121" t="s">
        <v>39</v>
      </c>
      <c r="F98" s="98">
        <f>VLOOKUP(B98,BD_Prod!$A$6:$O$104,15,0)</f>
        <v>16.813124999999999</v>
      </c>
      <c r="H98" s="121">
        <v>1</v>
      </c>
      <c r="L98" s="124">
        <f>H98*F98</f>
        <v>16.813124999999999</v>
      </c>
    </row>
    <row r="99" spans="1:14" x14ac:dyDescent="0.25">
      <c r="A99" s="59" t="s">
        <v>624</v>
      </c>
      <c r="B99" s="54" t="s">
        <v>552</v>
      </c>
      <c r="C99" s="54" t="s">
        <v>97</v>
      </c>
      <c r="D99" s="121" t="s">
        <v>87</v>
      </c>
      <c r="F99" s="98">
        <f>VLOOKUP(B99,BD_Prod!$A$6:$O$104,15,0)</f>
        <v>1.7915625000000002</v>
      </c>
      <c r="H99" s="121">
        <v>0.08</v>
      </c>
      <c r="L99" s="124">
        <f>H99*F99</f>
        <v>0.14332500000000001</v>
      </c>
    </row>
    <row r="100" spans="1:14" x14ac:dyDescent="0.25">
      <c r="A100" s="59" t="s">
        <v>624</v>
      </c>
      <c r="B100" s="54" t="s">
        <v>653</v>
      </c>
      <c r="C100" s="54" t="s">
        <v>1</v>
      </c>
      <c r="D100" s="121" t="s">
        <v>5</v>
      </c>
      <c r="F100" s="98"/>
      <c r="H100" s="121">
        <v>2</v>
      </c>
      <c r="J100" s="98">
        <f>VLOOKUP(B100,BD_Prod!$A$1:$O$104,15,0)</f>
        <v>21.021161699999997</v>
      </c>
      <c r="L100" s="124">
        <f>H100*J100</f>
        <v>42.042323399999994</v>
      </c>
    </row>
    <row r="101" spans="1:14" s="55" customFormat="1" ht="12" x14ac:dyDescent="0.2">
      <c r="B101" s="55" t="s">
        <v>625</v>
      </c>
      <c r="C101" s="55" t="s">
        <v>156</v>
      </c>
      <c r="D101" s="103" t="s">
        <v>22</v>
      </c>
      <c r="F101" s="103">
        <f>SUM(L102:L106)</f>
        <v>822.85372248251758</v>
      </c>
      <c r="G101" s="103"/>
      <c r="H101" s="102">
        <f>H107</f>
        <v>2</v>
      </c>
      <c r="I101" s="102"/>
      <c r="J101" s="102">
        <f>J107</f>
        <v>21.021161699999997</v>
      </c>
      <c r="L101" s="103">
        <f>SUM(L102:L107)*FDF</f>
        <v>908.14084817664343</v>
      </c>
      <c r="M101" s="103"/>
      <c r="N101" s="103">
        <f>L101*BENEF</f>
        <v>1180.5831026296364</v>
      </c>
    </row>
    <row r="102" spans="1:14" x14ac:dyDescent="0.25">
      <c r="A102" s="59" t="s">
        <v>625</v>
      </c>
      <c r="B102" s="54" t="s">
        <v>644</v>
      </c>
      <c r="C102" s="54" t="s">
        <v>81</v>
      </c>
      <c r="D102" s="121" t="s">
        <v>18</v>
      </c>
      <c r="F102" s="98">
        <f>VLOOKUP(B102,BD_ET_PR!$A$1:$G$26,7,0)</f>
        <v>130.64624999999998</v>
      </c>
      <c r="H102" s="121">
        <v>1</v>
      </c>
      <c r="L102" s="124">
        <f>H102*F102</f>
        <v>130.64624999999998</v>
      </c>
    </row>
    <row r="103" spans="1:14" x14ac:dyDescent="0.25">
      <c r="A103" s="59" t="s">
        <v>625</v>
      </c>
      <c r="B103" s="54" t="s">
        <v>524</v>
      </c>
      <c r="C103" s="54" t="s">
        <v>672</v>
      </c>
      <c r="D103" s="121" t="s">
        <v>87</v>
      </c>
      <c r="F103" s="98">
        <f>VLOOKUP(B103,BD_Prod!$A$6:$O$104,15,0)</f>
        <v>2.5974925699300702</v>
      </c>
      <c r="H103" s="121">
        <v>250</v>
      </c>
      <c r="L103" s="124">
        <f>H103*F103</f>
        <v>649.37314248251755</v>
      </c>
    </row>
    <row r="104" spans="1:14" x14ac:dyDescent="0.25">
      <c r="A104" s="59" t="s">
        <v>625</v>
      </c>
      <c r="B104" s="54" t="s">
        <v>581</v>
      </c>
      <c r="C104" s="54" t="s">
        <v>70</v>
      </c>
      <c r="D104" s="121" t="s">
        <v>22</v>
      </c>
      <c r="F104" s="98">
        <f>VLOOKUP(B104,BD_Prod!$A$6:$O$104,15,0)</f>
        <v>516.82443750000004</v>
      </c>
      <c r="H104" s="121">
        <v>0.08</v>
      </c>
      <c r="L104" s="124">
        <f>H104*F104</f>
        <v>41.345955000000004</v>
      </c>
    </row>
    <row r="105" spans="1:14" x14ac:dyDescent="0.25">
      <c r="A105" s="59" t="s">
        <v>625</v>
      </c>
      <c r="B105" s="54" t="s">
        <v>717</v>
      </c>
      <c r="C105" s="54" t="s">
        <v>122</v>
      </c>
      <c r="D105" s="121" t="s">
        <v>39</v>
      </c>
      <c r="F105" s="98">
        <f>VLOOKUP(B105,BD_Prod!$A$6:$O$104,15,0)</f>
        <v>16.813124999999999</v>
      </c>
      <c r="H105" s="121">
        <v>0.08</v>
      </c>
      <c r="L105" s="124">
        <f>H105*F105</f>
        <v>1.3450500000000001</v>
      </c>
    </row>
    <row r="106" spans="1:14" x14ac:dyDescent="0.25">
      <c r="A106" s="59" t="s">
        <v>625</v>
      </c>
      <c r="B106" s="54" t="s">
        <v>552</v>
      </c>
      <c r="C106" s="54" t="s">
        <v>97</v>
      </c>
      <c r="D106" s="121" t="s">
        <v>87</v>
      </c>
      <c r="F106" s="98">
        <f>VLOOKUP(B106,BD_Prod!$A$6:$O$104,15,0)</f>
        <v>1.7915625000000002</v>
      </c>
      <c r="H106" s="121">
        <v>0.08</v>
      </c>
      <c r="L106" s="124">
        <f>H106*F106</f>
        <v>0.14332500000000001</v>
      </c>
    </row>
    <row r="107" spans="1:14" x14ac:dyDescent="0.25">
      <c r="A107" s="59" t="s">
        <v>625</v>
      </c>
      <c r="B107" s="54" t="s">
        <v>653</v>
      </c>
      <c r="C107" s="54" t="s">
        <v>1</v>
      </c>
      <c r="D107" s="121" t="s">
        <v>5</v>
      </c>
      <c r="F107" s="98"/>
      <c r="H107" s="121">
        <v>2</v>
      </c>
      <c r="J107" s="98">
        <f>VLOOKUP(B107,BD_Prod!$A$1:$O$104,15,0)</f>
        <v>21.021161699999997</v>
      </c>
      <c r="L107" s="124">
        <f>H107*J107</f>
        <v>42.042323399999994</v>
      </c>
    </row>
    <row r="108" spans="1:14" s="55" customFormat="1" ht="12" x14ac:dyDescent="0.2">
      <c r="B108" s="55" t="s">
        <v>626</v>
      </c>
      <c r="C108" s="55" t="s">
        <v>146</v>
      </c>
      <c r="D108" s="103" t="s">
        <v>0</v>
      </c>
      <c r="F108" s="103">
        <f>L109</f>
        <v>12.155062500000001</v>
      </c>
      <c r="G108" s="103"/>
      <c r="H108" s="102">
        <f>H110</f>
        <v>0.5</v>
      </c>
      <c r="I108" s="102"/>
      <c r="J108" s="102">
        <f>J110</f>
        <v>21.021161699999997</v>
      </c>
      <c r="L108" s="103">
        <f>SUM(L109:L110)*FDF</f>
        <v>23.798925517500003</v>
      </c>
      <c r="M108" s="103"/>
      <c r="N108" s="103">
        <f>L108*BENEF</f>
        <v>30.938603172750003</v>
      </c>
    </row>
    <row r="109" spans="1:14" x14ac:dyDescent="0.25">
      <c r="A109" s="59" t="s">
        <v>626</v>
      </c>
      <c r="B109" s="54" t="s">
        <v>527</v>
      </c>
      <c r="C109" s="54" t="s">
        <v>725</v>
      </c>
      <c r="D109" s="121" t="s">
        <v>0</v>
      </c>
      <c r="F109" s="98">
        <f>VLOOKUP(B109,BD_Prod!$A$6:$O$104,15,0)</f>
        <v>12.155062500000001</v>
      </c>
      <c r="H109" s="121">
        <v>1</v>
      </c>
      <c r="L109" s="124">
        <f>H109*F109</f>
        <v>12.155062500000001</v>
      </c>
    </row>
    <row r="110" spans="1:14" x14ac:dyDescent="0.25">
      <c r="A110" s="59" t="s">
        <v>626</v>
      </c>
      <c r="B110" s="54" t="s">
        <v>653</v>
      </c>
      <c r="C110" s="54" t="s">
        <v>83</v>
      </c>
      <c r="D110" s="121" t="s">
        <v>5</v>
      </c>
      <c r="F110" s="98"/>
      <c r="H110" s="121">
        <v>0.5</v>
      </c>
      <c r="J110" s="98">
        <f>VLOOKUP(B110,BD_Prod!$A$1:$O$104,15,0)</f>
        <v>21.021161699999997</v>
      </c>
      <c r="L110" s="124">
        <f>H110*J110</f>
        <v>10.510580849999998</v>
      </c>
    </row>
    <row r="111" spans="1:14" s="55" customFormat="1" ht="12" x14ac:dyDescent="0.2">
      <c r="B111" s="55" t="s">
        <v>627</v>
      </c>
      <c r="C111" s="55" t="s">
        <v>361</v>
      </c>
      <c r="D111" s="103" t="s">
        <v>39</v>
      </c>
      <c r="F111" s="103">
        <f>SUM(L112:L116)</f>
        <v>13.651211538461542</v>
      </c>
      <c r="G111" s="103"/>
      <c r="H111" s="102">
        <f>H117</f>
        <v>0.7</v>
      </c>
      <c r="I111" s="102"/>
      <c r="J111" s="102">
        <f>J117</f>
        <v>21.021161699999997</v>
      </c>
      <c r="L111" s="103">
        <f>SUM(L112:L117)*FDF</f>
        <v>29.784325964884619</v>
      </c>
      <c r="M111" s="103"/>
      <c r="N111" s="103">
        <f>L111*BENEF</f>
        <v>38.719623754350003</v>
      </c>
    </row>
    <row r="112" spans="1:14" x14ac:dyDescent="0.25">
      <c r="A112" s="59" t="s">
        <v>627</v>
      </c>
      <c r="B112" s="54" t="s">
        <v>651</v>
      </c>
      <c r="C112" s="54" t="s">
        <v>195</v>
      </c>
      <c r="D112" s="121" t="s">
        <v>31</v>
      </c>
      <c r="F112" s="98">
        <f>VLOOKUP(B112,BD_Prod!$A$6:$O$104,15,0)</f>
        <v>1.1668125000000003</v>
      </c>
      <c r="H112" s="121">
        <v>1</v>
      </c>
      <c r="L112" s="124">
        <f>H112*F112</f>
        <v>1.1668125000000003</v>
      </c>
    </row>
    <row r="113" spans="1:14" x14ac:dyDescent="0.25">
      <c r="A113" s="59" t="s">
        <v>627</v>
      </c>
      <c r="B113" s="54" t="s">
        <v>547</v>
      </c>
      <c r="C113" s="54" t="s">
        <v>196</v>
      </c>
      <c r="D113" s="121" t="s">
        <v>31</v>
      </c>
      <c r="F113" s="98">
        <f>VLOOKUP(B113,BD_Prod!$A$6:$O$104,15,0)</f>
        <v>1.6813125000000002</v>
      </c>
      <c r="H113" s="121">
        <v>1</v>
      </c>
      <c r="L113" s="124">
        <f>H113*F113</f>
        <v>1.6813125000000002</v>
      </c>
    </row>
    <row r="114" spans="1:14" x14ac:dyDescent="0.25">
      <c r="A114" s="59" t="s">
        <v>627</v>
      </c>
      <c r="B114" s="54" t="s">
        <v>546</v>
      </c>
      <c r="C114" s="54" t="s">
        <v>54</v>
      </c>
      <c r="D114" s="121" t="s">
        <v>39</v>
      </c>
      <c r="F114" s="98">
        <f>VLOOKUP(B114,BD_Prod!$A$6:$O$104,15,0)</f>
        <v>6.2828365384615399</v>
      </c>
      <c r="H114" s="121">
        <v>1</v>
      </c>
      <c r="L114" s="124">
        <f>H114*F114</f>
        <v>6.2828365384615399</v>
      </c>
    </row>
    <row r="115" spans="1:14" x14ac:dyDescent="0.25">
      <c r="A115" s="59" t="s">
        <v>627</v>
      </c>
      <c r="B115" s="54" t="s">
        <v>540</v>
      </c>
      <c r="C115" s="54" t="s">
        <v>192</v>
      </c>
      <c r="D115" s="121" t="s">
        <v>31</v>
      </c>
      <c r="F115" s="98">
        <f>VLOOKUP(B115,BD_Prod!$A$6:$O$104,15,0)</f>
        <v>2.3152500000000003</v>
      </c>
      <c r="H115" s="121">
        <v>1</v>
      </c>
      <c r="L115" s="124">
        <f>H115*F115</f>
        <v>2.3152500000000003</v>
      </c>
    </row>
    <row r="116" spans="1:14" x14ac:dyDescent="0.25">
      <c r="A116" s="59" t="s">
        <v>627</v>
      </c>
      <c r="B116" s="54" t="s">
        <v>722</v>
      </c>
      <c r="C116" s="54" t="s">
        <v>55</v>
      </c>
      <c r="D116" s="121" t="s">
        <v>0</v>
      </c>
      <c r="F116" s="98">
        <f>VLOOKUP(B116,BD_Prod!$A$6:$O$104,15,0)</f>
        <v>2.2050000000000001</v>
      </c>
      <c r="H116" s="121">
        <v>1</v>
      </c>
      <c r="L116" s="124">
        <f>H116*F116</f>
        <v>2.2050000000000001</v>
      </c>
    </row>
    <row r="117" spans="1:14" x14ac:dyDescent="0.25">
      <c r="A117" s="59" t="s">
        <v>627</v>
      </c>
      <c r="B117" s="54" t="s">
        <v>653</v>
      </c>
      <c r="C117" s="54" t="s">
        <v>1</v>
      </c>
      <c r="D117" s="121" t="s">
        <v>5</v>
      </c>
      <c r="F117" s="98"/>
      <c r="H117" s="121">
        <v>0.7</v>
      </c>
      <c r="J117" s="98">
        <f>VLOOKUP(B117,BD_Prod!$A$1:$O$104,15,0)</f>
        <v>21.021161699999997</v>
      </c>
      <c r="L117" s="124">
        <f>H117*J117</f>
        <v>14.714813189999997</v>
      </c>
    </row>
    <row r="118" spans="1:14" s="55" customFormat="1" ht="12" x14ac:dyDescent="0.2">
      <c r="B118" s="55" t="s">
        <v>610</v>
      </c>
      <c r="C118" s="55" t="s">
        <v>158</v>
      </c>
      <c r="D118" s="103" t="s">
        <v>31</v>
      </c>
      <c r="F118" s="103">
        <f>SUM(L119:L120)</f>
        <v>10.697006250000001</v>
      </c>
      <c r="G118" s="103"/>
      <c r="H118" s="102">
        <f>H121</f>
        <v>0.45</v>
      </c>
      <c r="I118" s="102"/>
      <c r="J118" s="102">
        <f>J121</f>
        <v>21.021161699999997</v>
      </c>
      <c r="L118" s="103">
        <f>SUM(L119:L121)*FDF</f>
        <v>21.164355465750003</v>
      </c>
      <c r="M118" s="103"/>
      <c r="N118" s="103">
        <f>L118*BENEF</f>
        <v>27.513662105475003</v>
      </c>
    </row>
    <row r="119" spans="1:14" x14ac:dyDescent="0.25">
      <c r="A119" s="59" t="s">
        <v>610</v>
      </c>
      <c r="B119" s="54" t="s">
        <v>523</v>
      </c>
      <c r="C119" s="54" t="s">
        <v>163</v>
      </c>
      <c r="D119" s="121" t="s">
        <v>36</v>
      </c>
      <c r="F119" s="98">
        <f>VLOOKUP(B119,BD_Prod!$A$6:$O$104,15,0)</f>
        <v>1.0483958333333334</v>
      </c>
      <c r="H119" s="121">
        <v>8.1</v>
      </c>
      <c r="L119" s="124">
        <f>H119*F119</f>
        <v>8.4920062500000011</v>
      </c>
    </row>
    <row r="120" spans="1:14" x14ac:dyDescent="0.25">
      <c r="A120" s="59" t="s">
        <v>610</v>
      </c>
      <c r="B120" s="54" t="s">
        <v>722</v>
      </c>
      <c r="C120" s="54" t="s">
        <v>160</v>
      </c>
      <c r="D120" s="121" t="s">
        <v>147</v>
      </c>
      <c r="F120" s="98">
        <f>VLOOKUP(B120,BD_Prod!$A$6:$O$104,15,0)</f>
        <v>2.2050000000000001</v>
      </c>
      <c r="H120" s="121">
        <v>1</v>
      </c>
      <c r="L120" s="124">
        <f>H120*F120</f>
        <v>2.2050000000000001</v>
      </c>
    </row>
    <row r="121" spans="1:14" x14ac:dyDescent="0.25">
      <c r="A121" s="59" t="s">
        <v>610</v>
      </c>
      <c r="B121" s="54" t="s">
        <v>653</v>
      </c>
      <c r="C121" s="54" t="s">
        <v>83</v>
      </c>
      <c r="D121" s="121" t="s">
        <v>5</v>
      </c>
      <c r="F121" s="98"/>
      <c r="H121" s="121">
        <v>0.45</v>
      </c>
      <c r="J121" s="98">
        <f>VLOOKUP(B121,BD_Prod!$A$1:$O$104,15,0)</f>
        <v>21.021161699999997</v>
      </c>
      <c r="L121" s="124">
        <f>H121*J121</f>
        <v>9.4595227649999991</v>
      </c>
    </row>
    <row r="122" spans="1:14" s="55" customFormat="1" ht="12" x14ac:dyDescent="0.2">
      <c r="B122" s="55" t="s">
        <v>628</v>
      </c>
      <c r="C122" s="55" t="s">
        <v>161</v>
      </c>
      <c r="D122" s="103" t="s">
        <v>31</v>
      </c>
      <c r="F122" s="103">
        <f>SUM(L123:L124)</f>
        <v>6.8665537499999996</v>
      </c>
      <c r="G122" s="103"/>
      <c r="H122" s="102">
        <f>H125</f>
        <v>0.45</v>
      </c>
      <c r="I122" s="102"/>
      <c r="J122" s="102">
        <f>J125</f>
        <v>21.021161699999997</v>
      </c>
      <c r="L122" s="103">
        <f>SUM(L123:L125)*FDF</f>
        <v>17.142380340749998</v>
      </c>
      <c r="M122" s="103"/>
      <c r="N122" s="103">
        <f>L122*BENEF</f>
        <v>22.285094442974998</v>
      </c>
    </row>
    <row r="123" spans="1:14" x14ac:dyDescent="0.25">
      <c r="A123" s="59" t="s">
        <v>628</v>
      </c>
      <c r="B123" s="54" t="s">
        <v>522</v>
      </c>
      <c r="C123" s="54" t="s">
        <v>162</v>
      </c>
      <c r="D123" s="121" t="s">
        <v>36</v>
      </c>
      <c r="F123" s="98">
        <f>VLOOKUP(B123,BD_Prod!$A$6:$O$104,15,0)</f>
        <v>1.8949405487804878</v>
      </c>
      <c r="H123" s="121">
        <v>2.46</v>
      </c>
      <c r="L123" s="124">
        <f>H123*F123</f>
        <v>4.6615537499999995</v>
      </c>
    </row>
    <row r="124" spans="1:14" x14ac:dyDescent="0.25">
      <c r="A124" s="59" t="s">
        <v>628</v>
      </c>
      <c r="B124" s="54" t="s">
        <v>722</v>
      </c>
      <c r="C124" s="54" t="s">
        <v>160</v>
      </c>
      <c r="D124" s="121" t="s">
        <v>147</v>
      </c>
      <c r="F124" s="98">
        <f>VLOOKUP(B124,BD_Prod!$A$6:$O$104,15,0)</f>
        <v>2.2050000000000001</v>
      </c>
      <c r="H124" s="121">
        <v>1</v>
      </c>
      <c r="L124" s="124">
        <f>H124*F124</f>
        <v>2.2050000000000001</v>
      </c>
    </row>
    <row r="125" spans="1:14" x14ac:dyDescent="0.25">
      <c r="A125" s="59" t="s">
        <v>628</v>
      </c>
      <c r="B125" s="54" t="s">
        <v>653</v>
      </c>
      <c r="C125" s="54" t="s">
        <v>83</v>
      </c>
      <c r="D125" s="121" t="s">
        <v>5</v>
      </c>
      <c r="F125" s="98"/>
      <c r="H125" s="121">
        <v>0.45</v>
      </c>
      <c r="J125" s="98">
        <f>VLOOKUP(B125,BD_Prod!$A$1:$O$104,15,0)</f>
        <v>21.021161699999997</v>
      </c>
      <c r="L125" s="124">
        <f>H125*J125</f>
        <v>9.4595227649999991</v>
      </c>
    </row>
    <row r="126" spans="1:14" s="55" customFormat="1" ht="12" x14ac:dyDescent="0.2">
      <c r="B126" s="55" t="s">
        <v>629</v>
      </c>
      <c r="C126" s="55" t="s">
        <v>236</v>
      </c>
      <c r="D126" s="103" t="s">
        <v>39</v>
      </c>
      <c r="F126" s="103">
        <f>SUM(L127:L129)</f>
        <v>25.143125000000001</v>
      </c>
      <c r="G126" s="103"/>
      <c r="H126" s="102">
        <f>H130</f>
        <v>0.45</v>
      </c>
      <c r="I126" s="102"/>
      <c r="J126" s="102">
        <f>J130</f>
        <v>21.021161699999997</v>
      </c>
      <c r="L126" s="103">
        <f>SUM(L127:L130)*FDF</f>
        <v>36.332780153249999</v>
      </c>
      <c r="M126" s="103"/>
      <c r="N126" s="103">
        <f>L126*BENEF</f>
        <v>47.232614199224997</v>
      </c>
    </row>
    <row r="127" spans="1:14" x14ac:dyDescent="0.25">
      <c r="A127" s="59" t="s">
        <v>629</v>
      </c>
      <c r="B127" s="54" t="s">
        <v>519</v>
      </c>
      <c r="C127" s="54" t="s">
        <v>165</v>
      </c>
      <c r="D127" s="121" t="s">
        <v>31</v>
      </c>
      <c r="F127" s="98">
        <f>VLOOKUP(B127,BD_Prod!$A$6:$O$104,15,0)</f>
        <v>17.425625</v>
      </c>
      <c r="H127" s="121">
        <v>1</v>
      </c>
      <c r="L127" s="124">
        <f>H127*F127</f>
        <v>17.425625</v>
      </c>
    </row>
    <row r="128" spans="1:14" x14ac:dyDescent="0.25">
      <c r="A128" s="59" t="s">
        <v>629</v>
      </c>
      <c r="B128" s="54" t="s">
        <v>722</v>
      </c>
      <c r="C128" s="54" t="s">
        <v>160</v>
      </c>
      <c r="D128" s="121" t="s">
        <v>147</v>
      </c>
      <c r="F128" s="98">
        <f>VLOOKUP(B128,BD_Prod!$A$6:$O$104,15,0)</f>
        <v>2.2050000000000001</v>
      </c>
      <c r="H128" s="121">
        <v>1</v>
      </c>
      <c r="L128" s="124">
        <f>H128*F128</f>
        <v>2.2050000000000001</v>
      </c>
    </row>
    <row r="129" spans="1:14" x14ac:dyDescent="0.25">
      <c r="A129" s="59" t="s">
        <v>629</v>
      </c>
      <c r="B129" s="54" t="s">
        <v>536</v>
      </c>
      <c r="C129" s="54" t="s">
        <v>168</v>
      </c>
      <c r="D129" s="121" t="s">
        <v>0</v>
      </c>
      <c r="F129" s="98">
        <f>VLOOKUP(B129,BD_Prod!$A$6:$O$104,15,0)</f>
        <v>0.55125000000000002</v>
      </c>
      <c r="H129" s="121">
        <v>10</v>
      </c>
      <c r="L129" s="124">
        <f>H129*F129</f>
        <v>5.5125000000000002</v>
      </c>
    </row>
    <row r="130" spans="1:14" x14ac:dyDescent="0.25">
      <c r="A130" s="59" t="s">
        <v>629</v>
      </c>
      <c r="B130" s="54" t="s">
        <v>653</v>
      </c>
      <c r="C130" s="54" t="s">
        <v>83</v>
      </c>
      <c r="D130" s="121" t="s">
        <v>5</v>
      </c>
      <c r="F130" s="98"/>
      <c r="H130" s="121">
        <v>0.45</v>
      </c>
      <c r="J130" s="98">
        <f>VLOOKUP(B130,BD_Prod!$A$1:$O$104,15,0)</f>
        <v>21.021161699999997</v>
      </c>
      <c r="L130" s="124">
        <f>H130*J130</f>
        <v>9.4595227649999991</v>
      </c>
    </row>
    <row r="131" spans="1:14" s="55" customFormat="1" ht="12" x14ac:dyDescent="0.2">
      <c r="B131" s="55" t="s">
        <v>630</v>
      </c>
      <c r="C131" s="55" t="s">
        <v>235</v>
      </c>
      <c r="D131" s="103" t="s">
        <v>31</v>
      </c>
      <c r="F131" s="103">
        <f>SUM(L132:L134)</f>
        <v>35.307562500000003</v>
      </c>
      <c r="G131" s="103"/>
      <c r="H131" s="102">
        <f>H135</f>
        <v>0.45</v>
      </c>
      <c r="I131" s="102"/>
      <c r="J131" s="102">
        <f>J135</f>
        <v>21.021161699999997</v>
      </c>
      <c r="L131" s="103">
        <f>SUM(L132:L135)*FDF</f>
        <v>47.005439528250008</v>
      </c>
      <c r="M131" s="103"/>
      <c r="N131" s="103">
        <f>L131*BENEF</f>
        <v>61.107071386725011</v>
      </c>
    </row>
    <row r="132" spans="1:14" x14ac:dyDescent="0.25">
      <c r="A132" s="59" t="s">
        <v>630</v>
      </c>
      <c r="B132" s="54" t="s">
        <v>535</v>
      </c>
      <c r="C132" s="54" t="s">
        <v>205</v>
      </c>
      <c r="D132" s="121" t="s">
        <v>31</v>
      </c>
      <c r="F132" s="98">
        <f>VLOOKUP(B132,BD_Prod!$A$6:$O$104,15,0)</f>
        <v>27.590062500000002</v>
      </c>
      <c r="H132" s="121">
        <v>1</v>
      </c>
      <c r="L132" s="124">
        <f>H132*F132</f>
        <v>27.590062500000002</v>
      </c>
    </row>
    <row r="133" spans="1:14" x14ac:dyDescent="0.25">
      <c r="A133" s="59" t="s">
        <v>630</v>
      </c>
      <c r="B133" s="54" t="s">
        <v>722</v>
      </c>
      <c r="C133" s="54" t="s">
        <v>160</v>
      </c>
      <c r="D133" s="121" t="s">
        <v>147</v>
      </c>
      <c r="F133" s="98">
        <f>VLOOKUP(B133,BD_Prod!$A$6:$O$104,15,0)</f>
        <v>2.2050000000000001</v>
      </c>
      <c r="H133" s="121">
        <v>1</v>
      </c>
      <c r="L133" s="124">
        <f>H133*F133</f>
        <v>2.2050000000000001</v>
      </c>
    </row>
    <row r="134" spans="1:14" x14ac:dyDescent="0.25">
      <c r="A134" s="59" t="s">
        <v>630</v>
      </c>
      <c r="B134" s="54" t="s">
        <v>536</v>
      </c>
      <c r="C134" s="54" t="s">
        <v>168</v>
      </c>
      <c r="D134" s="121" t="s">
        <v>34</v>
      </c>
      <c r="F134" s="98">
        <f>VLOOKUP(B134,BD_Prod!$A$6:$O$104,15,0)</f>
        <v>0.55125000000000002</v>
      </c>
      <c r="H134" s="121">
        <v>10</v>
      </c>
      <c r="L134" s="124">
        <f>H134*F134</f>
        <v>5.5125000000000002</v>
      </c>
    </row>
    <row r="135" spans="1:14" x14ac:dyDescent="0.25">
      <c r="A135" s="59" t="s">
        <v>630</v>
      </c>
      <c r="B135" s="54" t="s">
        <v>653</v>
      </c>
      <c r="C135" s="54" t="s">
        <v>83</v>
      </c>
      <c r="D135" s="121" t="s">
        <v>5</v>
      </c>
      <c r="F135" s="98"/>
      <c r="H135" s="121">
        <v>0.45</v>
      </c>
      <c r="J135" s="98">
        <f>VLOOKUP(B135,BD_Prod!$A$1:$O$104,15,0)</f>
        <v>21.021161699999997</v>
      </c>
      <c r="L135" s="124">
        <f>H135*J135</f>
        <v>9.4595227649999991</v>
      </c>
    </row>
    <row r="136" spans="1:14" s="55" customFormat="1" ht="12" x14ac:dyDescent="0.2">
      <c r="B136" s="55" t="s">
        <v>631</v>
      </c>
      <c r="C136" s="55" t="s">
        <v>234</v>
      </c>
      <c r="D136" s="103" t="s">
        <v>31</v>
      </c>
      <c r="F136" s="103">
        <f>SUM(L137:L139)</f>
        <v>46.332562500000002</v>
      </c>
      <c r="G136" s="103"/>
      <c r="H136" s="102">
        <f>H140</f>
        <v>0.45</v>
      </c>
      <c r="I136" s="102"/>
      <c r="J136" s="102">
        <f>J140</f>
        <v>21.021161699999997</v>
      </c>
      <c r="L136" s="103">
        <f>SUM(L137:L140)*FDF</f>
        <v>58.581689528250003</v>
      </c>
      <c r="M136" s="103"/>
      <c r="N136" s="103">
        <f>L136*BENEF</f>
        <v>76.156196386725</v>
      </c>
    </row>
    <row r="137" spans="1:14" x14ac:dyDescent="0.25">
      <c r="A137" s="59" t="s">
        <v>631</v>
      </c>
      <c r="B137" s="54" t="s">
        <v>528</v>
      </c>
      <c r="C137" s="54" t="s">
        <v>206</v>
      </c>
      <c r="D137" s="121" t="s">
        <v>31</v>
      </c>
      <c r="F137" s="98">
        <f>VLOOKUP(B137,BD_Prod!$A$6:$O$104,15,0)</f>
        <v>38.615062500000001</v>
      </c>
      <c r="H137" s="121">
        <v>1</v>
      </c>
      <c r="L137" s="124">
        <f>H137*F137</f>
        <v>38.615062500000001</v>
      </c>
    </row>
    <row r="138" spans="1:14" x14ac:dyDescent="0.25">
      <c r="A138" s="59" t="s">
        <v>631</v>
      </c>
      <c r="B138" s="54" t="s">
        <v>722</v>
      </c>
      <c r="C138" s="54" t="s">
        <v>160</v>
      </c>
      <c r="D138" s="121" t="s">
        <v>147</v>
      </c>
      <c r="F138" s="98">
        <f>VLOOKUP(B138,BD_Prod!$A$6:$O$104,15,0)</f>
        <v>2.2050000000000001</v>
      </c>
      <c r="H138" s="121">
        <v>1</v>
      </c>
      <c r="L138" s="124">
        <f>H138*F138</f>
        <v>2.2050000000000001</v>
      </c>
    </row>
    <row r="139" spans="1:14" x14ac:dyDescent="0.25">
      <c r="A139" s="59" t="s">
        <v>631</v>
      </c>
      <c r="B139" s="54" t="s">
        <v>536</v>
      </c>
      <c r="C139" s="54" t="s">
        <v>168</v>
      </c>
      <c r="D139" s="121" t="s">
        <v>34</v>
      </c>
      <c r="F139" s="98">
        <f>VLOOKUP(B139,BD_Prod!$A$6:$O$104,15,0)</f>
        <v>0.55125000000000002</v>
      </c>
      <c r="H139" s="121">
        <v>10</v>
      </c>
      <c r="L139" s="124">
        <f>H139*F139</f>
        <v>5.5125000000000002</v>
      </c>
    </row>
    <row r="140" spans="1:14" x14ac:dyDescent="0.25">
      <c r="A140" s="59" t="s">
        <v>631</v>
      </c>
      <c r="B140" s="54" t="s">
        <v>653</v>
      </c>
      <c r="C140" s="54" t="s">
        <v>83</v>
      </c>
      <c r="D140" s="121" t="s">
        <v>5</v>
      </c>
      <c r="F140" s="98"/>
      <c r="H140" s="121">
        <v>0.45</v>
      </c>
      <c r="J140" s="98">
        <f>VLOOKUP(B140,BD_Prod!$A$1:$O$104,15,0)</f>
        <v>21.021161699999997</v>
      </c>
      <c r="L140" s="124">
        <f>H140*J140</f>
        <v>9.4595227649999991</v>
      </c>
    </row>
    <row r="141" spans="1:14" s="55" customFormat="1" ht="12" x14ac:dyDescent="0.2">
      <c r="B141" s="55" t="s">
        <v>632</v>
      </c>
      <c r="C141" s="55" t="s">
        <v>233</v>
      </c>
      <c r="D141" s="103" t="s">
        <v>31</v>
      </c>
      <c r="F141" s="103">
        <f>SUM(L142:L145)</f>
        <v>52.120687500000003</v>
      </c>
      <c r="G141" s="103"/>
      <c r="H141" s="102">
        <f>H146</f>
        <v>0.45</v>
      </c>
      <c r="I141" s="102"/>
      <c r="J141" s="102">
        <f>J146</f>
        <v>21.021161699999997</v>
      </c>
      <c r="L141" s="103">
        <f>SUM(L142:L146)*FDF</f>
        <v>64.659220778250003</v>
      </c>
      <c r="M141" s="103"/>
      <c r="N141" s="103">
        <f>L141*BENEF</f>
        <v>84.056987011725013</v>
      </c>
    </row>
    <row r="142" spans="1:14" x14ac:dyDescent="0.25">
      <c r="A142" s="59" t="s">
        <v>632</v>
      </c>
      <c r="B142" s="54" t="s">
        <v>533</v>
      </c>
      <c r="C142" s="54" t="s">
        <v>85</v>
      </c>
      <c r="D142" s="121" t="s">
        <v>31</v>
      </c>
      <c r="F142" s="98">
        <f>VLOOKUP(B142,BD_Prod!$A$6:$O$104,15,0)</f>
        <v>38.615062500000001</v>
      </c>
      <c r="H142" s="121">
        <v>1</v>
      </c>
      <c r="L142" s="124">
        <f>H142*F142</f>
        <v>38.615062500000001</v>
      </c>
    </row>
    <row r="143" spans="1:14" x14ac:dyDescent="0.25">
      <c r="A143" s="59" t="s">
        <v>632</v>
      </c>
      <c r="B143" s="54" t="s">
        <v>722</v>
      </c>
      <c r="C143" s="54" t="s">
        <v>160</v>
      </c>
      <c r="D143" s="121" t="s">
        <v>147</v>
      </c>
      <c r="F143" s="98">
        <f>VLOOKUP(B143,BD_Prod!$A$6:$O$104,15,0)</f>
        <v>2.2050000000000001</v>
      </c>
      <c r="H143" s="121">
        <v>1</v>
      </c>
      <c r="L143" s="124">
        <f>H143*F143</f>
        <v>2.2050000000000001</v>
      </c>
    </row>
    <row r="144" spans="1:14" x14ac:dyDescent="0.25">
      <c r="A144" s="59" t="s">
        <v>632</v>
      </c>
      <c r="B144" s="54" t="s">
        <v>536</v>
      </c>
      <c r="C144" s="54" t="s">
        <v>168</v>
      </c>
      <c r="D144" s="121" t="s">
        <v>34</v>
      </c>
      <c r="F144" s="98">
        <f>VLOOKUP(B144,BD_Prod!$A$6:$O$104,15,0)</f>
        <v>0.55125000000000002</v>
      </c>
      <c r="H144" s="121">
        <v>10</v>
      </c>
      <c r="L144" s="124">
        <f>H144*F144</f>
        <v>5.5125000000000002</v>
      </c>
    </row>
    <row r="145" spans="1:14" x14ac:dyDescent="0.25">
      <c r="A145" s="59" t="s">
        <v>632</v>
      </c>
      <c r="B145" s="54" t="s">
        <v>550</v>
      </c>
      <c r="C145" s="54" t="s">
        <v>177</v>
      </c>
      <c r="D145" s="121" t="s">
        <v>31</v>
      </c>
      <c r="F145" s="98">
        <f>VLOOKUP(B145,BD_Prod!$A$6:$O$104,15,0)</f>
        <v>5.7881250000000009</v>
      </c>
      <c r="H145" s="121">
        <v>1</v>
      </c>
      <c r="L145" s="124">
        <f>H145*F145</f>
        <v>5.7881250000000009</v>
      </c>
    </row>
    <row r="146" spans="1:14" x14ac:dyDescent="0.25">
      <c r="A146" s="59" t="s">
        <v>632</v>
      </c>
      <c r="B146" s="54" t="s">
        <v>653</v>
      </c>
      <c r="C146" s="54" t="s">
        <v>83</v>
      </c>
      <c r="D146" s="121" t="s">
        <v>5</v>
      </c>
      <c r="F146" s="98"/>
      <c r="H146" s="121">
        <v>0.45</v>
      </c>
      <c r="J146" s="98">
        <f>VLOOKUP(B146,BD_Prod!$A$1:$O$104,15,0)</f>
        <v>21.021161699999997</v>
      </c>
      <c r="L146" s="124">
        <f>H146*J146</f>
        <v>9.4595227649999991</v>
      </c>
    </row>
    <row r="147" spans="1:14" s="55" customFormat="1" ht="12" x14ac:dyDescent="0.2">
      <c r="B147" s="55" t="s">
        <v>633</v>
      </c>
      <c r="C147" s="55" t="s">
        <v>237</v>
      </c>
      <c r="D147" s="103" t="s">
        <v>31</v>
      </c>
      <c r="F147" s="103">
        <f>SUM(L148:L151)</f>
        <v>52.120687500000003</v>
      </c>
      <c r="G147" s="103"/>
      <c r="H147" s="102">
        <f>H152</f>
        <v>0.45</v>
      </c>
      <c r="I147" s="102"/>
      <c r="J147" s="102">
        <f>J152</f>
        <v>21.021161699999997</v>
      </c>
      <c r="L147" s="103">
        <f>SUM(L148:L152)*FDF</f>
        <v>64.659220778250003</v>
      </c>
      <c r="M147" s="103"/>
      <c r="N147" s="103">
        <f>L147*BENEF</f>
        <v>84.056987011725013</v>
      </c>
    </row>
    <row r="148" spans="1:14" x14ac:dyDescent="0.25">
      <c r="A148" s="59" t="s">
        <v>633</v>
      </c>
      <c r="B148" s="54" t="s">
        <v>534</v>
      </c>
      <c r="C148" s="54" t="s">
        <v>207</v>
      </c>
      <c r="D148" s="121" t="s">
        <v>31</v>
      </c>
      <c r="F148" s="98">
        <f>VLOOKUP(B148,BD_Prod!$A$6:$O$104,15,0)</f>
        <v>38.615062500000001</v>
      </c>
      <c r="H148" s="121">
        <v>1</v>
      </c>
      <c r="L148" s="124">
        <f>H148*F148</f>
        <v>38.615062500000001</v>
      </c>
    </row>
    <row r="149" spans="1:14" x14ac:dyDescent="0.25">
      <c r="A149" s="59" t="s">
        <v>633</v>
      </c>
      <c r="B149" s="54" t="s">
        <v>722</v>
      </c>
      <c r="C149" s="54" t="s">
        <v>160</v>
      </c>
      <c r="D149" s="121" t="s">
        <v>147</v>
      </c>
      <c r="F149" s="98">
        <f>VLOOKUP(B149,BD_Prod!$A$6:$O$104,15,0)</f>
        <v>2.2050000000000001</v>
      </c>
      <c r="H149" s="121">
        <v>1</v>
      </c>
      <c r="L149" s="124">
        <f>H149*F149</f>
        <v>2.2050000000000001</v>
      </c>
    </row>
    <row r="150" spans="1:14" x14ac:dyDescent="0.25">
      <c r="A150" s="59" t="s">
        <v>633</v>
      </c>
      <c r="B150" s="54" t="s">
        <v>536</v>
      </c>
      <c r="C150" s="54" t="s">
        <v>168</v>
      </c>
      <c r="D150" s="121" t="s">
        <v>34</v>
      </c>
      <c r="F150" s="98">
        <f>VLOOKUP(B150,BD_Prod!$A$6:$O$104,15,0)</f>
        <v>0.55125000000000002</v>
      </c>
      <c r="H150" s="121">
        <v>10</v>
      </c>
      <c r="L150" s="124">
        <f>H150*F150</f>
        <v>5.5125000000000002</v>
      </c>
    </row>
    <row r="151" spans="1:14" x14ac:dyDescent="0.25">
      <c r="A151" s="59" t="s">
        <v>633</v>
      </c>
      <c r="B151" s="54" t="s">
        <v>550</v>
      </c>
      <c r="C151" s="54" t="s">
        <v>177</v>
      </c>
      <c r="D151" s="121" t="s">
        <v>31</v>
      </c>
      <c r="F151" s="98">
        <f>VLOOKUP(B151,BD_Prod!$A$6:$O$104,15,0)</f>
        <v>5.7881250000000009</v>
      </c>
      <c r="H151" s="121">
        <v>1</v>
      </c>
      <c r="L151" s="124">
        <f>H151*F151</f>
        <v>5.7881250000000009</v>
      </c>
    </row>
    <row r="152" spans="1:14" x14ac:dyDescent="0.25">
      <c r="A152" s="59" t="s">
        <v>633</v>
      </c>
      <c r="B152" s="54" t="s">
        <v>653</v>
      </c>
      <c r="C152" s="54" t="s">
        <v>83</v>
      </c>
      <c r="D152" s="121" t="s">
        <v>5</v>
      </c>
      <c r="F152" s="98"/>
      <c r="H152" s="121">
        <v>0.45</v>
      </c>
      <c r="J152" s="98">
        <f>VLOOKUP(B152,BD_Prod!$A$1:$O$104,15,0)</f>
        <v>21.021161699999997</v>
      </c>
      <c r="L152" s="124">
        <f>H152*J152</f>
        <v>9.4595227649999991</v>
      </c>
    </row>
    <row r="153" spans="1:14" s="55" customFormat="1" ht="12" x14ac:dyDescent="0.2">
      <c r="B153" s="55" t="s">
        <v>634</v>
      </c>
      <c r="C153" s="55" t="s">
        <v>238</v>
      </c>
      <c r="D153" s="103" t="s">
        <v>31</v>
      </c>
      <c r="F153" s="103">
        <f>SUM(L154:L157)</f>
        <v>32.275687500000004</v>
      </c>
      <c r="G153" s="103"/>
      <c r="H153" s="102">
        <f>H158</f>
        <v>0.45</v>
      </c>
      <c r="I153" s="102"/>
      <c r="J153" s="102">
        <f>J158</f>
        <v>21.021161699999997</v>
      </c>
      <c r="L153" s="103">
        <f>SUM(L154:L158)*FDF</f>
        <v>43.821970778250005</v>
      </c>
      <c r="M153" s="103"/>
      <c r="N153" s="103">
        <f>L153*BENEF</f>
        <v>56.968562011725005</v>
      </c>
    </row>
    <row r="154" spans="1:14" x14ac:dyDescent="0.25">
      <c r="A154" s="59" t="s">
        <v>634</v>
      </c>
      <c r="B154" s="54" t="s">
        <v>531</v>
      </c>
      <c r="C154" s="54" t="s">
        <v>665</v>
      </c>
      <c r="D154" s="121" t="s">
        <v>31</v>
      </c>
      <c r="F154" s="98">
        <f>VLOOKUP(B154,BD_Prod!$A$6:$O$104,15,0)</f>
        <v>18.770062499999998</v>
      </c>
      <c r="H154" s="121">
        <v>1</v>
      </c>
      <c r="L154" s="124">
        <f>H154*F154</f>
        <v>18.770062499999998</v>
      </c>
    </row>
    <row r="155" spans="1:14" x14ac:dyDescent="0.25">
      <c r="A155" s="59" t="s">
        <v>634</v>
      </c>
      <c r="B155" s="54" t="s">
        <v>722</v>
      </c>
      <c r="C155" s="54" t="s">
        <v>160</v>
      </c>
      <c r="D155" s="121" t="s">
        <v>147</v>
      </c>
      <c r="F155" s="98">
        <f>VLOOKUP(B155,BD_Prod!$A$6:$O$104,15,0)</f>
        <v>2.2050000000000001</v>
      </c>
      <c r="H155" s="121">
        <v>1</v>
      </c>
      <c r="L155" s="124">
        <f>H155*F155</f>
        <v>2.2050000000000001</v>
      </c>
    </row>
    <row r="156" spans="1:14" x14ac:dyDescent="0.25">
      <c r="A156" s="59" t="s">
        <v>634</v>
      </c>
      <c r="B156" s="54" t="s">
        <v>536</v>
      </c>
      <c r="C156" s="54" t="s">
        <v>168</v>
      </c>
      <c r="D156" s="121" t="s">
        <v>0</v>
      </c>
      <c r="F156" s="98">
        <f>VLOOKUP(B156,BD_Prod!$A$6:$O$104,15,0)</f>
        <v>0.55125000000000002</v>
      </c>
      <c r="H156" s="121">
        <v>10</v>
      </c>
      <c r="L156" s="124">
        <f>H156*F156</f>
        <v>5.5125000000000002</v>
      </c>
    </row>
    <row r="157" spans="1:14" x14ac:dyDescent="0.25">
      <c r="A157" s="59" t="s">
        <v>634</v>
      </c>
      <c r="B157" s="54" t="s">
        <v>550</v>
      </c>
      <c r="C157" s="54" t="s">
        <v>177</v>
      </c>
      <c r="D157" s="121" t="s">
        <v>31</v>
      </c>
      <c r="F157" s="98">
        <f>VLOOKUP(B157,BD_Prod!$A$6:$O$104,15,0)</f>
        <v>5.7881250000000009</v>
      </c>
      <c r="H157" s="121">
        <v>1</v>
      </c>
      <c r="L157" s="124">
        <f>H157*F157</f>
        <v>5.7881250000000009</v>
      </c>
    </row>
    <row r="158" spans="1:14" x14ac:dyDescent="0.25">
      <c r="A158" s="59" t="s">
        <v>634</v>
      </c>
      <c r="B158" s="54" t="s">
        <v>653</v>
      </c>
      <c r="C158" s="54" t="s">
        <v>83</v>
      </c>
      <c r="D158" s="121" t="s">
        <v>5</v>
      </c>
      <c r="F158" s="98"/>
      <c r="H158" s="121">
        <v>0.45</v>
      </c>
      <c r="J158" s="98">
        <f>VLOOKUP(B158,BD_Prod!$A$1:$O$104,15,0)</f>
        <v>21.021161699999997</v>
      </c>
      <c r="L158" s="124">
        <f>H158*J158</f>
        <v>9.4595227649999991</v>
      </c>
    </row>
    <row r="159" spans="1:14" s="55" customFormat="1" ht="12" x14ac:dyDescent="0.2">
      <c r="B159" s="55" t="s">
        <v>635</v>
      </c>
      <c r="C159" s="55" t="s">
        <v>86</v>
      </c>
      <c r="D159" s="103" t="s">
        <v>31</v>
      </c>
      <c r="F159" s="103">
        <f>SUM(L160:L163)</f>
        <v>32.275687500000004</v>
      </c>
      <c r="G159" s="103"/>
      <c r="H159" s="102">
        <f>H164</f>
        <v>0.45</v>
      </c>
      <c r="I159" s="102"/>
      <c r="J159" s="102">
        <f>J164</f>
        <v>21.021161699999997</v>
      </c>
      <c r="L159" s="103">
        <f>SUM(L160:L164)*FDF</f>
        <v>43.821970778250005</v>
      </c>
      <c r="M159" s="103"/>
      <c r="N159" s="103">
        <f>L159*BENEF</f>
        <v>56.968562011725005</v>
      </c>
    </row>
    <row r="160" spans="1:14" x14ac:dyDescent="0.25">
      <c r="A160" s="59" t="s">
        <v>635</v>
      </c>
      <c r="B160" s="54" t="s">
        <v>529</v>
      </c>
      <c r="C160" s="54" t="s">
        <v>666</v>
      </c>
      <c r="D160" s="121" t="s">
        <v>31</v>
      </c>
      <c r="F160" s="98">
        <f>VLOOKUP(B160,BD_Prod!$A$6:$O$104,15,0)</f>
        <v>18.770062499999998</v>
      </c>
      <c r="H160" s="121">
        <v>1</v>
      </c>
      <c r="L160" s="124">
        <f>H160*F160</f>
        <v>18.770062499999998</v>
      </c>
    </row>
    <row r="161" spans="1:14" x14ac:dyDescent="0.25">
      <c r="A161" s="59" t="s">
        <v>635</v>
      </c>
      <c r="B161" s="54" t="s">
        <v>722</v>
      </c>
      <c r="C161" s="54" t="s">
        <v>160</v>
      </c>
      <c r="D161" s="121" t="s">
        <v>147</v>
      </c>
      <c r="F161" s="98">
        <f>VLOOKUP(B161,BD_Prod!$A$6:$O$104,15,0)</f>
        <v>2.2050000000000001</v>
      </c>
      <c r="H161" s="121">
        <v>1</v>
      </c>
      <c r="L161" s="124">
        <f>H161*F161</f>
        <v>2.2050000000000001</v>
      </c>
    </row>
    <row r="162" spans="1:14" x14ac:dyDescent="0.25">
      <c r="A162" s="59" t="s">
        <v>635</v>
      </c>
      <c r="B162" s="54" t="s">
        <v>536</v>
      </c>
      <c r="C162" s="54" t="s">
        <v>168</v>
      </c>
      <c r="D162" s="121" t="s">
        <v>0</v>
      </c>
      <c r="F162" s="98">
        <f>VLOOKUP(B162,BD_Prod!$A$6:$O$104,15,0)</f>
        <v>0.55125000000000002</v>
      </c>
      <c r="H162" s="121">
        <v>10</v>
      </c>
      <c r="L162" s="124">
        <f>H162*F162</f>
        <v>5.5125000000000002</v>
      </c>
    </row>
    <row r="163" spans="1:14" x14ac:dyDescent="0.25">
      <c r="A163" s="59" t="s">
        <v>635</v>
      </c>
      <c r="B163" s="54" t="s">
        <v>550</v>
      </c>
      <c r="C163" s="54" t="s">
        <v>177</v>
      </c>
      <c r="D163" s="121" t="s">
        <v>31</v>
      </c>
      <c r="F163" s="98">
        <f>VLOOKUP(B163,BD_Prod!$A$6:$O$104,15,0)</f>
        <v>5.7881250000000009</v>
      </c>
      <c r="H163" s="121">
        <v>1</v>
      </c>
      <c r="L163" s="124">
        <f>H163*F163</f>
        <v>5.7881250000000009</v>
      </c>
    </row>
    <row r="164" spans="1:14" x14ac:dyDescent="0.25">
      <c r="A164" s="59" t="s">
        <v>635</v>
      </c>
      <c r="B164" s="54" t="s">
        <v>653</v>
      </c>
      <c r="C164" s="54" t="s">
        <v>83</v>
      </c>
      <c r="D164" s="121" t="s">
        <v>5</v>
      </c>
      <c r="F164" s="98"/>
      <c r="H164" s="121">
        <v>0.45</v>
      </c>
      <c r="J164" s="98">
        <f>VLOOKUP(B164,BD_Prod!$A$1:$O$104,15,0)</f>
        <v>21.021161699999997</v>
      </c>
      <c r="L164" s="124">
        <f>H164*J164</f>
        <v>9.4595227649999991</v>
      </c>
    </row>
    <row r="165" spans="1:14" s="55" customFormat="1" ht="12" x14ac:dyDescent="0.2">
      <c r="B165" s="55" t="s">
        <v>636</v>
      </c>
      <c r="C165" s="55" t="s">
        <v>208</v>
      </c>
      <c r="D165" s="103" t="s">
        <v>31</v>
      </c>
      <c r="F165" s="103">
        <f>SUM(L166:L170)</f>
        <v>70.890749999999997</v>
      </c>
      <c r="G165" s="103"/>
      <c r="H165" s="102">
        <f>H171</f>
        <v>0.45</v>
      </c>
      <c r="I165" s="102"/>
      <c r="J165" s="102">
        <f>J171</f>
        <v>21.021161699999997</v>
      </c>
      <c r="L165" s="103">
        <f>SUM(L166:L171)*FDF</f>
        <v>84.367786403250008</v>
      </c>
      <c r="M165" s="103"/>
      <c r="N165" s="103">
        <f>L165*BENEF</f>
        <v>109.67812232422501</v>
      </c>
    </row>
    <row r="166" spans="1:14" x14ac:dyDescent="0.25">
      <c r="A166" s="59" t="s">
        <v>636</v>
      </c>
      <c r="B166" s="54" t="s">
        <v>530</v>
      </c>
      <c r="C166" s="54" t="s">
        <v>210</v>
      </c>
      <c r="D166" s="121" t="s">
        <v>31</v>
      </c>
      <c r="F166" s="98">
        <f>VLOOKUP(B166,BD_Prod!$A$6:$O$104,15,0)</f>
        <v>18.770062499999998</v>
      </c>
      <c r="H166" s="121">
        <v>1</v>
      </c>
      <c r="L166" s="124">
        <f>H166*F166</f>
        <v>18.770062499999998</v>
      </c>
    </row>
    <row r="167" spans="1:14" x14ac:dyDescent="0.25">
      <c r="A167" s="59" t="s">
        <v>636</v>
      </c>
      <c r="B167" s="54" t="s">
        <v>722</v>
      </c>
      <c r="C167" s="54" t="s">
        <v>160</v>
      </c>
      <c r="D167" s="121" t="s">
        <v>147</v>
      </c>
      <c r="F167" s="98">
        <f>VLOOKUP(B167,BD_Prod!$A$6:$O$104,15,0)</f>
        <v>2.2050000000000001</v>
      </c>
      <c r="H167" s="121">
        <v>1</v>
      </c>
      <c r="L167" s="124">
        <f>H167*F167</f>
        <v>2.2050000000000001</v>
      </c>
    </row>
    <row r="168" spans="1:14" x14ac:dyDescent="0.25">
      <c r="A168" s="59" t="s">
        <v>636</v>
      </c>
      <c r="B168" s="54" t="s">
        <v>532</v>
      </c>
      <c r="C168" s="54" t="s">
        <v>209</v>
      </c>
      <c r="D168" s="121" t="s">
        <v>31</v>
      </c>
      <c r="F168" s="98">
        <f>VLOOKUP(B168,BD_Prod!$A$6:$O$104,15,0)</f>
        <v>38.615062500000001</v>
      </c>
      <c r="H168" s="121">
        <v>1</v>
      </c>
      <c r="L168" s="124">
        <f>H168*F168</f>
        <v>38.615062500000001</v>
      </c>
    </row>
    <row r="169" spans="1:14" x14ac:dyDescent="0.25">
      <c r="A169" s="59" t="s">
        <v>636</v>
      </c>
      <c r="B169" s="54" t="s">
        <v>536</v>
      </c>
      <c r="C169" s="54" t="s">
        <v>168</v>
      </c>
      <c r="D169" s="121" t="s">
        <v>0</v>
      </c>
      <c r="F169" s="98">
        <f>VLOOKUP(B169,BD_Prod!$A$6:$O$104,15,0)</f>
        <v>0.55125000000000002</v>
      </c>
      <c r="H169" s="121">
        <v>10</v>
      </c>
      <c r="L169" s="124">
        <f>H169*F169</f>
        <v>5.5125000000000002</v>
      </c>
    </row>
    <row r="170" spans="1:14" x14ac:dyDescent="0.25">
      <c r="A170" s="59" t="s">
        <v>636</v>
      </c>
      <c r="B170" s="54" t="s">
        <v>550</v>
      </c>
      <c r="C170" s="54" t="s">
        <v>177</v>
      </c>
      <c r="D170" s="121" t="s">
        <v>31</v>
      </c>
      <c r="F170" s="98">
        <f>VLOOKUP(B170,BD_Prod!$A$6:$O$104,15,0)</f>
        <v>5.7881250000000009</v>
      </c>
      <c r="H170" s="121">
        <v>1</v>
      </c>
      <c r="L170" s="124">
        <f>H170*F170</f>
        <v>5.7881250000000009</v>
      </c>
    </row>
    <row r="171" spans="1:14" x14ac:dyDescent="0.25">
      <c r="A171" s="59" t="s">
        <v>636</v>
      </c>
      <c r="B171" s="54" t="s">
        <v>653</v>
      </c>
      <c r="C171" s="54" t="s">
        <v>83</v>
      </c>
      <c r="D171" s="121" t="s">
        <v>5</v>
      </c>
      <c r="F171" s="98"/>
      <c r="H171" s="121">
        <v>0.45</v>
      </c>
      <c r="J171" s="98">
        <f>VLOOKUP(B171,BD_Prod!$A$1:$O$104,15,0)</f>
        <v>21.021161699999997</v>
      </c>
      <c r="L171" s="124">
        <f>H171*J171</f>
        <v>9.4595227649999991</v>
      </c>
    </row>
    <row r="172" spans="1:14" s="55" customFormat="1" ht="12" x14ac:dyDescent="0.2">
      <c r="B172" s="55" t="s">
        <v>637</v>
      </c>
      <c r="C172" s="55" t="s">
        <v>211</v>
      </c>
      <c r="D172" s="103" t="s">
        <v>31</v>
      </c>
      <c r="F172" s="103">
        <f>SUM(L173:L176)</f>
        <v>32.523750000000007</v>
      </c>
      <c r="G172" s="103"/>
      <c r="H172" s="102">
        <f>H177</f>
        <v>0.45</v>
      </c>
      <c r="I172" s="102"/>
      <c r="J172" s="102">
        <f>J177</f>
        <v>21.021161699999997</v>
      </c>
      <c r="L172" s="103">
        <f>SUM(L173:L177)*FDF</f>
        <v>44.082436403250014</v>
      </c>
      <c r="M172" s="103"/>
      <c r="N172" s="103">
        <f>L172*BENEF</f>
        <v>57.30716732422502</v>
      </c>
    </row>
    <row r="173" spans="1:14" x14ac:dyDescent="0.25">
      <c r="A173" s="59" t="s">
        <v>637</v>
      </c>
      <c r="B173" s="54" t="s">
        <v>579</v>
      </c>
      <c r="C173" s="54" t="s">
        <v>667</v>
      </c>
      <c r="D173" s="121" t="s">
        <v>31</v>
      </c>
      <c r="F173" s="98">
        <f>VLOOKUP(B173,BD_Prod!$A$6:$O$104,15,0)</f>
        <v>19.018125000000001</v>
      </c>
      <c r="H173" s="121">
        <v>1</v>
      </c>
      <c r="L173" s="124">
        <f>H173*F173</f>
        <v>19.018125000000001</v>
      </c>
    </row>
    <row r="174" spans="1:14" x14ac:dyDescent="0.25">
      <c r="A174" s="59" t="s">
        <v>637</v>
      </c>
      <c r="B174" s="54" t="s">
        <v>722</v>
      </c>
      <c r="C174" s="54" t="s">
        <v>160</v>
      </c>
      <c r="D174" s="121" t="s">
        <v>147</v>
      </c>
      <c r="F174" s="98">
        <f>VLOOKUP(B174,BD_Prod!$A$6:$O$104,15,0)</f>
        <v>2.2050000000000001</v>
      </c>
      <c r="H174" s="121">
        <v>1</v>
      </c>
      <c r="L174" s="124">
        <f>H174*F174</f>
        <v>2.2050000000000001</v>
      </c>
    </row>
    <row r="175" spans="1:14" x14ac:dyDescent="0.25">
      <c r="A175" s="59" t="s">
        <v>637</v>
      </c>
      <c r="B175" s="54" t="s">
        <v>536</v>
      </c>
      <c r="C175" s="54" t="s">
        <v>168</v>
      </c>
      <c r="D175" s="121" t="s">
        <v>0</v>
      </c>
      <c r="F175" s="98">
        <f>VLOOKUP(B175,BD_Prod!$A$6:$O$104,15,0)</f>
        <v>0.55125000000000002</v>
      </c>
      <c r="H175" s="121">
        <v>10</v>
      </c>
      <c r="L175" s="124">
        <f>H175*F175</f>
        <v>5.5125000000000002</v>
      </c>
    </row>
    <row r="176" spans="1:14" x14ac:dyDescent="0.25">
      <c r="A176" s="59" t="s">
        <v>637</v>
      </c>
      <c r="B176" s="54" t="s">
        <v>550</v>
      </c>
      <c r="C176" s="54" t="s">
        <v>177</v>
      </c>
      <c r="D176" s="121" t="s">
        <v>31</v>
      </c>
      <c r="F176" s="98">
        <f>VLOOKUP(B176,BD_Prod!$A$6:$O$104,15,0)</f>
        <v>5.7881250000000009</v>
      </c>
      <c r="H176" s="121">
        <v>1</v>
      </c>
      <c r="L176" s="124">
        <f>H176*F176</f>
        <v>5.7881250000000009</v>
      </c>
    </row>
    <row r="177" spans="1:14" x14ac:dyDescent="0.25">
      <c r="A177" s="59" t="s">
        <v>637</v>
      </c>
      <c r="B177" s="54" t="s">
        <v>653</v>
      </c>
      <c r="C177" s="54" t="s">
        <v>83</v>
      </c>
      <c r="D177" s="121" t="s">
        <v>5</v>
      </c>
      <c r="F177" s="98"/>
      <c r="H177" s="121">
        <v>0.45</v>
      </c>
      <c r="J177" s="98">
        <f>VLOOKUP(B177,BD_Prod!$A$1:$O$104,15,0)</f>
        <v>21.021161699999997</v>
      </c>
      <c r="L177" s="124">
        <f>H177*J177</f>
        <v>9.4595227649999991</v>
      </c>
    </row>
    <row r="178" spans="1:14" s="55" customFormat="1" ht="12" x14ac:dyDescent="0.2">
      <c r="B178" s="55" t="s">
        <v>611</v>
      </c>
      <c r="C178" s="55" t="s">
        <v>242</v>
      </c>
      <c r="D178" s="103" t="s">
        <v>39</v>
      </c>
      <c r="F178" s="103">
        <f>SUM(L179)</f>
        <v>6.2214075000000006</v>
      </c>
      <c r="G178" s="103"/>
      <c r="H178" s="102">
        <f>SUM(H180:H181)</f>
        <v>1.1000000000000001</v>
      </c>
      <c r="I178" s="102"/>
      <c r="J178" s="102">
        <f>J181</f>
        <v>21.021161699999997</v>
      </c>
      <c r="L178" s="103">
        <f>SUM(L179:L181)*FDF</f>
        <v>30.811919638500001</v>
      </c>
      <c r="M178" s="103"/>
      <c r="N178" s="103">
        <f>L178*BENEF</f>
        <v>40.055495530050003</v>
      </c>
    </row>
    <row r="179" spans="1:14" x14ac:dyDescent="0.25">
      <c r="A179" s="59" t="s">
        <v>611</v>
      </c>
      <c r="B179" s="54" t="s">
        <v>648</v>
      </c>
      <c r="C179" s="54" t="s">
        <v>106</v>
      </c>
      <c r="D179" s="121" t="s">
        <v>18</v>
      </c>
      <c r="F179" s="98">
        <f>VLOOKUP(B179,BD_ET_PR!$A$1:$G$26,7,0)</f>
        <v>414.76050000000004</v>
      </c>
      <c r="H179" s="121">
        <v>1.4999999999999999E-2</v>
      </c>
      <c r="L179" s="124">
        <f>H179*F179</f>
        <v>6.2214075000000006</v>
      </c>
    </row>
    <row r="180" spans="1:14" x14ac:dyDescent="0.25">
      <c r="A180" s="59" t="s">
        <v>611</v>
      </c>
      <c r="B180" s="54" t="s">
        <v>653</v>
      </c>
      <c r="C180" s="54" t="s">
        <v>107</v>
      </c>
      <c r="D180" s="121" t="s">
        <v>5</v>
      </c>
      <c r="F180" s="98"/>
      <c r="H180" s="121">
        <v>0.2</v>
      </c>
      <c r="J180" s="98">
        <f>VLOOKUP(B180,BD_Prod!$A$1:$O$104,15,0)</f>
        <v>21.021161699999997</v>
      </c>
      <c r="L180" s="124">
        <f>H180*J180</f>
        <v>4.2042323399999999</v>
      </c>
    </row>
    <row r="181" spans="1:14" x14ac:dyDescent="0.25">
      <c r="A181" s="59" t="s">
        <v>611</v>
      </c>
      <c r="B181" s="54" t="s">
        <v>653</v>
      </c>
      <c r="C181" s="54" t="s">
        <v>1</v>
      </c>
      <c r="D181" s="121" t="s">
        <v>5</v>
      </c>
      <c r="F181" s="98"/>
      <c r="H181" s="121">
        <v>0.9</v>
      </c>
      <c r="J181" s="98">
        <f>VLOOKUP(B181,BD_Prod!$A$1:$O$104,15,0)</f>
        <v>21.021161699999997</v>
      </c>
      <c r="L181" s="124">
        <f>H181*J181</f>
        <v>18.919045529999998</v>
      </c>
    </row>
    <row r="182" spans="1:14" s="55" customFormat="1" ht="12" x14ac:dyDescent="0.2">
      <c r="B182" s="55" t="s">
        <v>638</v>
      </c>
      <c r="C182" s="55" t="s">
        <v>241</v>
      </c>
      <c r="D182" s="103" t="s">
        <v>39</v>
      </c>
      <c r="F182" s="103">
        <f>SUM(L183)</f>
        <v>4.1476050000000004</v>
      </c>
      <c r="G182" s="103"/>
      <c r="H182" s="102">
        <f>H184</f>
        <v>0.9</v>
      </c>
      <c r="I182" s="102"/>
      <c r="J182" s="102">
        <f>J184</f>
        <v>21.021161699999997</v>
      </c>
      <c r="L182" s="103">
        <f>SUM(L183:L184)*FDF</f>
        <v>24.219983056499998</v>
      </c>
      <c r="M182" s="103"/>
      <c r="N182" s="103">
        <f>L182*BENEF</f>
        <v>31.485977973449998</v>
      </c>
    </row>
    <row r="183" spans="1:14" x14ac:dyDescent="0.25">
      <c r="A183" s="59" t="s">
        <v>638</v>
      </c>
      <c r="B183" s="54" t="s">
        <v>648</v>
      </c>
      <c r="C183" s="54" t="s">
        <v>106</v>
      </c>
      <c r="D183" s="121" t="s">
        <v>18</v>
      </c>
      <c r="F183" s="98">
        <f>VLOOKUP(B183,BD_ET_PR!$A$1:$G$26,7,0)</f>
        <v>414.76050000000004</v>
      </c>
      <c r="H183" s="121">
        <v>0.01</v>
      </c>
      <c r="L183" s="124">
        <f>H183*F183</f>
        <v>4.1476050000000004</v>
      </c>
    </row>
    <row r="184" spans="1:14" x14ac:dyDescent="0.25">
      <c r="A184" s="59" t="s">
        <v>638</v>
      </c>
      <c r="B184" s="54" t="s">
        <v>653</v>
      </c>
      <c r="C184" s="54" t="s">
        <v>1</v>
      </c>
      <c r="D184" s="121" t="s">
        <v>5</v>
      </c>
      <c r="F184" s="98"/>
      <c r="H184" s="121">
        <v>0.9</v>
      </c>
      <c r="J184" s="98">
        <f>VLOOKUP(B184,BD_Prod!$A$1:$O$104,15,0)</f>
        <v>21.021161699999997</v>
      </c>
      <c r="L184" s="124">
        <f>H184*J184</f>
        <v>18.919045529999998</v>
      </c>
    </row>
    <row r="185" spans="1:14" s="55" customFormat="1" ht="12" x14ac:dyDescent="0.2">
      <c r="B185" s="55" t="s">
        <v>612</v>
      </c>
      <c r="C185" s="55" t="s">
        <v>358</v>
      </c>
      <c r="D185" s="103" t="s">
        <v>39</v>
      </c>
      <c r="F185" s="103">
        <f>SUM(L186:L189)</f>
        <v>26.501343750000004</v>
      </c>
      <c r="G185" s="103"/>
      <c r="H185" s="102">
        <f>H190</f>
        <v>1.8</v>
      </c>
      <c r="I185" s="102"/>
      <c r="J185" s="102">
        <f>J190</f>
        <v>21.021161699999997</v>
      </c>
      <c r="L185" s="103">
        <f>SUM(L186:L190)*FDF</f>
        <v>67.5564065505</v>
      </c>
      <c r="M185" s="103"/>
      <c r="N185" s="103">
        <f>L185*BENEF</f>
        <v>87.823328515650005</v>
      </c>
    </row>
    <row r="186" spans="1:14" ht="12" x14ac:dyDescent="0.2">
      <c r="A186" s="59" t="s">
        <v>612</v>
      </c>
      <c r="B186" s="54" t="s">
        <v>544</v>
      </c>
      <c r="C186" s="54" t="s">
        <v>217</v>
      </c>
      <c r="D186" s="121" t="s">
        <v>39</v>
      </c>
      <c r="F186" s="98">
        <f>VLOOKUP(B186,BD_Prod!$A$6:$O$104,15,0)</f>
        <v>22.077562500000003</v>
      </c>
      <c r="H186" s="121">
        <v>1</v>
      </c>
      <c r="K186" s="54"/>
      <c r="L186" s="124">
        <f>H186*F186</f>
        <v>22.077562500000003</v>
      </c>
    </row>
    <row r="187" spans="1:14" ht="12" x14ac:dyDescent="0.2">
      <c r="A187" s="59" t="s">
        <v>612</v>
      </c>
      <c r="B187" s="54" t="s">
        <v>511</v>
      </c>
      <c r="C187" s="54" t="s">
        <v>218</v>
      </c>
      <c r="D187" s="121" t="s">
        <v>18</v>
      </c>
      <c r="F187" s="98">
        <f>VLOOKUP(B187,BD_Prod!$A$6:$O$104,15,0)</f>
        <v>66.150000000000006</v>
      </c>
      <c r="H187" s="121">
        <v>0.05</v>
      </c>
      <c r="K187" s="54"/>
      <c r="L187" s="124">
        <f>H187*F187</f>
        <v>3.3075000000000006</v>
      </c>
    </row>
    <row r="188" spans="1:14" ht="12" x14ac:dyDescent="0.2">
      <c r="A188" s="59" t="s">
        <v>612</v>
      </c>
      <c r="B188" s="54" t="s">
        <v>509</v>
      </c>
      <c r="C188" s="54" t="s">
        <v>219</v>
      </c>
      <c r="D188" s="121" t="s">
        <v>36</v>
      </c>
      <c r="F188" s="98">
        <f>VLOOKUP(B188,BD_Prod!$A$6:$O$104,15,0)</f>
        <v>0.24806250000000002</v>
      </c>
      <c r="H188" s="121">
        <v>3.5</v>
      </c>
      <c r="K188" s="54"/>
      <c r="L188" s="124">
        <f>H188*F188</f>
        <v>0.86821875000000004</v>
      </c>
    </row>
    <row r="189" spans="1:14" ht="12" x14ac:dyDescent="0.2">
      <c r="A189" s="59" t="s">
        <v>612</v>
      </c>
      <c r="B189" s="54" t="s">
        <v>509</v>
      </c>
      <c r="C189" s="54" t="s">
        <v>220</v>
      </c>
      <c r="D189" s="121" t="s">
        <v>36</v>
      </c>
      <c r="F189" s="98">
        <f>VLOOKUP(B189,BD_Prod!$A$6:$O$104,15,0)</f>
        <v>0.24806250000000002</v>
      </c>
      <c r="H189" s="121">
        <v>1</v>
      </c>
      <c r="K189" s="54"/>
      <c r="L189" s="124">
        <f>H189*F189</f>
        <v>0.24806250000000002</v>
      </c>
    </row>
    <row r="190" spans="1:14" ht="12" x14ac:dyDescent="0.2">
      <c r="A190" s="59" t="s">
        <v>612</v>
      </c>
      <c r="B190" s="54" t="s">
        <v>653</v>
      </c>
      <c r="C190" s="54" t="s">
        <v>216</v>
      </c>
      <c r="D190" s="121" t="s">
        <v>5</v>
      </c>
      <c r="F190" s="98"/>
      <c r="H190" s="121">
        <v>1.8</v>
      </c>
      <c r="J190" s="98">
        <f>VLOOKUP(B190,BD_Prod!$A$1:$O$104,15,0)</f>
        <v>21.021161699999997</v>
      </c>
      <c r="K190" s="54"/>
      <c r="L190" s="124">
        <f>H190*J190</f>
        <v>37.838091059999996</v>
      </c>
    </row>
    <row r="191" spans="1:14" s="55" customFormat="1" ht="13.5" customHeight="1" x14ac:dyDescent="0.2">
      <c r="B191" s="55" t="s">
        <v>639</v>
      </c>
      <c r="C191" s="55" t="s">
        <v>226</v>
      </c>
      <c r="D191" s="103" t="s">
        <v>39</v>
      </c>
      <c r="F191" s="103">
        <f>SUM(L192:L195)</f>
        <v>26.501343750000004</v>
      </c>
      <c r="G191" s="103"/>
      <c r="H191" s="102">
        <v>0</v>
      </c>
      <c r="I191" s="102"/>
      <c r="J191" s="102">
        <f>J195</f>
        <v>0</v>
      </c>
      <c r="L191" s="103">
        <f>SUM(L192:L195)*FDF</f>
        <v>27.826410937500004</v>
      </c>
      <c r="M191" s="103"/>
      <c r="N191" s="103">
        <f>L191*BENEF</f>
        <v>36.174334218750005</v>
      </c>
    </row>
    <row r="192" spans="1:14" s="59" customFormat="1" ht="12.75" customHeight="1" x14ac:dyDescent="0.2">
      <c r="A192" s="59" t="s">
        <v>639</v>
      </c>
      <c r="B192" s="54" t="s">
        <v>544</v>
      </c>
      <c r="C192" s="54" t="s">
        <v>217</v>
      </c>
      <c r="D192" s="121" t="s">
        <v>39</v>
      </c>
      <c r="E192" s="54"/>
      <c r="F192" s="98">
        <f>VLOOKUP(B192,BD_Prod!$A$6:$O$104,15,0)</f>
        <v>22.077562500000003</v>
      </c>
      <c r="H192" s="121">
        <v>1</v>
      </c>
      <c r="J192" s="121"/>
      <c r="L192" s="124">
        <f>H192*F192</f>
        <v>22.077562500000003</v>
      </c>
      <c r="N192" s="83"/>
    </row>
    <row r="193" spans="1:14" s="59" customFormat="1" ht="12.75" customHeight="1" x14ac:dyDescent="0.2">
      <c r="A193" s="59" t="s">
        <v>639</v>
      </c>
      <c r="B193" s="54" t="s">
        <v>511</v>
      </c>
      <c r="C193" s="54" t="s">
        <v>218</v>
      </c>
      <c r="D193" s="121" t="s">
        <v>18</v>
      </c>
      <c r="E193" s="54"/>
      <c r="F193" s="98">
        <f>VLOOKUP(B193,BD_Prod!$A$6:$O$104,15,0)</f>
        <v>66.150000000000006</v>
      </c>
      <c r="H193" s="121">
        <v>0.05</v>
      </c>
      <c r="J193" s="121"/>
      <c r="L193" s="124">
        <f>H193*F193</f>
        <v>3.3075000000000006</v>
      </c>
      <c r="N193" s="83"/>
    </row>
    <row r="194" spans="1:14" s="59" customFormat="1" ht="12.75" customHeight="1" x14ac:dyDescent="0.2">
      <c r="A194" s="59" t="s">
        <v>639</v>
      </c>
      <c r="B194" s="54" t="s">
        <v>509</v>
      </c>
      <c r="C194" s="54" t="s">
        <v>219</v>
      </c>
      <c r="D194" s="121" t="s">
        <v>36</v>
      </c>
      <c r="E194" s="54"/>
      <c r="F194" s="98">
        <f>VLOOKUP(B194,BD_Prod!$A$6:$O$104,15,0)</f>
        <v>0.24806250000000002</v>
      </c>
      <c r="H194" s="121">
        <v>3.5</v>
      </c>
      <c r="J194" s="121"/>
      <c r="L194" s="124">
        <f>H194*F194</f>
        <v>0.86821875000000004</v>
      </c>
      <c r="N194" s="83"/>
    </row>
    <row r="195" spans="1:14" s="59" customFormat="1" ht="12.75" customHeight="1" x14ac:dyDescent="0.2">
      <c r="A195" s="59" t="s">
        <v>639</v>
      </c>
      <c r="B195" s="54" t="s">
        <v>509</v>
      </c>
      <c r="C195" s="54" t="s">
        <v>220</v>
      </c>
      <c r="D195" s="121" t="s">
        <v>36</v>
      </c>
      <c r="E195" s="54"/>
      <c r="F195" s="98">
        <f>VLOOKUP(B195,BD_Prod!$A$6:$O$104,15,0)</f>
        <v>0.24806250000000002</v>
      </c>
      <c r="H195" s="121">
        <v>1</v>
      </c>
      <c r="J195" s="121"/>
      <c r="L195" s="124">
        <f>H195*F195</f>
        <v>0.24806250000000002</v>
      </c>
      <c r="N195" s="83"/>
    </row>
    <row r="196" spans="1:14" s="55" customFormat="1" ht="12" x14ac:dyDescent="0.2">
      <c r="B196" s="55" t="s">
        <v>739</v>
      </c>
      <c r="C196" s="55" t="s">
        <v>359</v>
      </c>
      <c r="D196" s="103" t="s">
        <v>39</v>
      </c>
      <c r="F196" s="103">
        <f>SUM(L197:L198)</f>
        <v>25.385062500000004</v>
      </c>
      <c r="G196" s="103"/>
      <c r="H196" s="102">
        <f>H199</f>
        <v>1.8</v>
      </c>
      <c r="I196" s="102"/>
      <c r="J196" s="102">
        <f>J199</f>
        <v>21.021161699999997</v>
      </c>
      <c r="L196" s="103">
        <f>SUM(L197:L199)*FDF</f>
        <v>66.384311238000009</v>
      </c>
      <c r="M196" s="103"/>
      <c r="N196" s="103">
        <f>L196*BENEF</f>
        <v>86.299604609400021</v>
      </c>
    </row>
    <row r="197" spans="1:14" ht="12" x14ac:dyDescent="0.2">
      <c r="A197" s="59" t="s">
        <v>739</v>
      </c>
      <c r="B197" s="54" t="s">
        <v>545</v>
      </c>
      <c r="C197" s="54" t="s">
        <v>221</v>
      </c>
      <c r="D197" s="121" t="s">
        <v>39</v>
      </c>
      <c r="F197" s="98">
        <f>VLOOKUP(B197,BD_Prod!$A$6:$O$104,15,0)</f>
        <v>22.077562500000003</v>
      </c>
      <c r="H197" s="121">
        <v>1</v>
      </c>
      <c r="K197" s="54"/>
      <c r="L197" s="124">
        <f>H197*F197</f>
        <v>22.077562500000003</v>
      </c>
    </row>
    <row r="198" spans="1:14" ht="12" x14ac:dyDescent="0.2">
      <c r="A198" s="59" t="s">
        <v>739</v>
      </c>
      <c r="B198" s="54" t="s">
        <v>577</v>
      </c>
      <c r="C198" s="54" t="s">
        <v>215</v>
      </c>
      <c r="D198" s="121" t="s">
        <v>36</v>
      </c>
      <c r="F198" s="98">
        <f>VLOOKUP(B198,BD_Prod!$A$6:$O$104,15,0)</f>
        <v>1.378125</v>
      </c>
      <c r="H198" s="121">
        <v>2.4</v>
      </c>
      <c r="K198" s="54"/>
      <c r="L198" s="124">
        <f>H198*F198</f>
        <v>3.3075000000000001</v>
      </c>
    </row>
    <row r="199" spans="1:14" ht="12" x14ac:dyDescent="0.2">
      <c r="A199" s="59" t="s">
        <v>739</v>
      </c>
      <c r="B199" s="54" t="s">
        <v>653</v>
      </c>
      <c r="C199" s="54" t="s">
        <v>1</v>
      </c>
      <c r="D199" s="121" t="s">
        <v>5</v>
      </c>
      <c r="F199" s="98"/>
      <c r="H199" s="121">
        <v>1.8</v>
      </c>
      <c r="J199" s="98">
        <f>VLOOKUP(B199,BD_Prod!$A$1:$O$104,15,0)</f>
        <v>21.021161699999997</v>
      </c>
      <c r="K199" s="54"/>
      <c r="L199" s="124">
        <f>H199*J199</f>
        <v>37.838091059999996</v>
      </c>
    </row>
    <row r="200" spans="1:14" s="55" customFormat="1" ht="15" customHeight="1" x14ac:dyDescent="0.2">
      <c r="B200" s="55" t="s">
        <v>740</v>
      </c>
      <c r="C200" s="55" t="s">
        <v>249</v>
      </c>
      <c r="D200" s="103" t="s">
        <v>39</v>
      </c>
      <c r="F200" s="103">
        <f>SUM(L201:L202)</f>
        <v>25.385062500000004</v>
      </c>
      <c r="G200" s="103"/>
      <c r="H200" s="102">
        <v>0</v>
      </c>
      <c r="I200" s="102"/>
      <c r="J200" s="102">
        <v>0</v>
      </c>
      <c r="L200" s="103">
        <f>SUM(L201:L202)*FDF</f>
        <v>26.654315625000006</v>
      </c>
      <c r="M200" s="103"/>
      <c r="N200" s="103">
        <f>L200*BENEF</f>
        <v>34.650610312500007</v>
      </c>
    </row>
    <row r="201" spans="1:14" s="59" customFormat="1" ht="12.75" customHeight="1" x14ac:dyDescent="0.2">
      <c r="A201" s="59" t="s">
        <v>740</v>
      </c>
      <c r="B201" s="59" t="s">
        <v>545</v>
      </c>
      <c r="C201" s="59" t="s">
        <v>221</v>
      </c>
      <c r="D201" s="83" t="s">
        <v>39</v>
      </c>
      <c r="F201" s="83">
        <f>VLOOKUP(B201,BD_Prod!$A$6:$O$104,15,0)</f>
        <v>22.077562500000003</v>
      </c>
      <c r="H201" s="83">
        <v>1</v>
      </c>
      <c r="J201" s="83"/>
      <c r="L201" s="120">
        <f>H201*F201</f>
        <v>22.077562500000003</v>
      </c>
      <c r="N201" s="83"/>
    </row>
    <row r="202" spans="1:14" s="59" customFormat="1" ht="12.75" customHeight="1" x14ac:dyDescent="0.2">
      <c r="A202" s="59" t="s">
        <v>740</v>
      </c>
      <c r="B202" s="59" t="s">
        <v>577</v>
      </c>
      <c r="C202" s="59" t="s">
        <v>215</v>
      </c>
      <c r="D202" s="83" t="s">
        <v>36</v>
      </c>
      <c r="F202" s="83">
        <f>VLOOKUP(B202,BD_Prod!$A$6:$O$104,15,0)</f>
        <v>1.378125</v>
      </c>
      <c r="H202" s="83">
        <v>2.4</v>
      </c>
      <c r="J202" s="83"/>
      <c r="L202" s="120">
        <f>H202*F202</f>
        <v>3.3075000000000001</v>
      </c>
      <c r="N202" s="83"/>
    </row>
    <row r="203" spans="1:14" s="55" customFormat="1" ht="12" x14ac:dyDescent="0.2">
      <c r="B203" s="55" t="s">
        <v>613</v>
      </c>
      <c r="C203" s="55" t="s">
        <v>88</v>
      </c>
      <c r="D203" s="103" t="s">
        <v>39</v>
      </c>
      <c r="F203" s="103">
        <f>SUM(L204:L206)</f>
        <v>8.8489406250000009</v>
      </c>
      <c r="G203" s="103"/>
      <c r="H203" s="102">
        <f>H207</f>
        <v>0.25</v>
      </c>
      <c r="I203" s="102"/>
      <c r="J203" s="102">
        <f>J207</f>
        <v>21.021161699999997</v>
      </c>
      <c r="L203" s="103">
        <f>SUM(L204:L207)*FDF</f>
        <v>14.809442602499999</v>
      </c>
      <c r="M203" s="103"/>
      <c r="N203" s="103">
        <f>L203*BENEF</f>
        <v>19.252275383249998</v>
      </c>
    </row>
    <row r="204" spans="1:14" ht="12" x14ac:dyDescent="0.2">
      <c r="A204" s="59" t="s">
        <v>613</v>
      </c>
      <c r="B204" s="54" t="s">
        <v>537</v>
      </c>
      <c r="C204" s="54" t="s">
        <v>28</v>
      </c>
      <c r="D204" s="121" t="s">
        <v>36</v>
      </c>
      <c r="F204" s="98">
        <f>VLOOKUP(B204,BD_Prod!$A$6:$O$104,15,0)</f>
        <v>6.1409250000000011</v>
      </c>
      <c r="H204" s="121">
        <v>1</v>
      </c>
      <c r="K204" s="54"/>
      <c r="L204" s="124">
        <f>H204*F204</f>
        <v>6.1409250000000011</v>
      </c>
    </row>
    <row r="205" spans="1:14" ht="12" x14ac:dyDescent="0.2">
      <c r="A205" s="59" t="s">
        <v>613</v>
      </c>
      <c r="B205" s="54" t="s">
        <v>538</v>
      </c>
      <c r="C205" s="54" t="s">
        <v>29</v>
      </c>
      <c r="D205" s="121" t="s">
        <v>36</v>
      </c>
      <c r="F205" s="98">
        <f>VLOOKUP(B205,BD_Prod!$A$6:$O$104,15,0)</f>
        <v>4.0241250000000006</v>
      </c>
      <c r="H205" s="121">
        <v>0.125</v>
      </c>
      <c r="K205" s="54"/>
      <c r="L205" s="124">
        <f>H205*F205</f>
        <v>0.50301562500000008</v>
      </c>
    </row>
    <row r="206" spans="1:14" ht="12" x14ac:dyDescent="0.2">
      <c r="A206" s="59" t="s">
        <v>613</v>
      </c>
      <c r="B206" s="54" t="s">
        <v>722</v>
      </c>
      <c r="C206" s="54" t="s">
        <v>222</v>
      </c>
      <c r="F206" s="98">
        <f>VLOOKUP(B206,BD_Prod!$A$6:$O$104,15,0)</f>
        <v>2.2050000000000001</v>
      </c>
      <c r="H206" s="121">
        <v>1</v>
      </c>
      <c r="K206" s="54"/>
      <c r="L206" s="124">
        <f>H206*F206</f>
        <v>2.2050000000000001</v>
      </c>
    </row>
    <row r="207" spans="1:14" ht="12" x14ac:dyDescent="0.2">
      <c r="A207" s="59" t="s">
        <v>613</v>
      </c>
      <c r="B207" s="54" t="s">
        <v>653</v>
      </c>
      <c r="C207" s="54" t="s">
        <v>1</v>
      </c>
      <c r="D207" s="121" t="s">
        <v>5</v>
      </c>
      <c r="F207" s="98"/>
      <c r="H207" s="121">
        <v>0.25</v>
      </c>
      <c r="J207" s="98">
        <f>VLOOKUP(B207,BD_Prod!$A$1:$O$104,15,0)</f>
        <v>21.021161699999997</v>
      </c>
      <c r="K207" s="54"/>
      <c r="L207" s="124">
        <f>H207*J207</f>
        <v>5.2552904249999992</v>
      </c>
    </row>
    <row r="208" spans="1:14" s="55" customFormat="1" ht="12" x14ac:dyDescent="0.2">
      <c r="B208" s="55" t="s">
        <v>640</v>
      </c>
      <c r="C208" s="55" t="s">
        <v>90</v>
      </c>
      <c r="D208" s="103" t="s">
        <v>39</v>
      </c>
      <c r="F208" s="103">
        <f>SUM(L209:L211)</f>
        <v>3.5319690000000001</v>
      </c>
      <c r="G208" s="103"/>
      <c r="H208" s="102">
        <f>H212</f>
        <v>0.25</v>
      </c>
      <c r="I208" s="102"/>
      <c r="J208" s="102">
        <f>J212</f>
        <v>21.021161699999997</v>
      </c>
      <c r="L208" s="103">
        <f>SUM(L209:L212)*FDF</f>
        <v>9.2266223962499989</v>
      </c>
      <c r="M208" s="103"/>
      <c r="N208" s="103">
        <f>L208*BENEF</f>
        <v>11.994609115125</v>
      </c>
    </row>
    <row r="209" spans="1:14" ht="12" x14ac:dyDescent="0.2">
      <c r="A209" s="59" t="s">
        <v>640</v>
      </c>
      <c r="B209" s="54" t="s">
        <v>541</v>
      </c>
      <c r="C209" s="54" t="s">
        <v>32</v>
      </c>
      <c r="D209" s="121" t="s">
        <v>36</v>
      </c>
      <c r="F209" s="98">
        <f>VLOOKUP(B209,BD_Prod!$A$6:$O$104,15,0)</f>
        <v>3.4949250000000003</v>
      </c>
      <c r="H209" s="121">
        <v>0.23</v>
      </c>
      <c r="K209" s="54"/>
      <c r="L209" s="124">
        <f>H209*F209</f>
        <v>0.8038327500000001</v>
      </c>
    </row>
    <row r="210" spans="1:14" ht="12" x14ac:dyDescent="0.2">
      <c r="A210" s="59" t="s">
        <v>640</v>
      </c>
      <c r="B210" s="54" t="s">
        <v>538</v>
      </c>
      <c r="C210" s="54" t="s">
        <v>29</v>
      </c>
      <c r="D210" s="121" t="s">
        <v>36</v>
      </c>
      <c r="F210" s="98">
        <f>VLOOKUP(B210,BD_Prod!$A$6:$O$104,15,0)</f>
        <v>4.0241250000000006</v>
      </c>
      <c r="H210" s="121">
        <v>0.13</v>
      </c>
      <c r="K210" s="54"/>
      <c r="L210" s="124">
        <f>H210*F210</f>
        <v>0.52313625000000008</v>
      </c>
    </row>
    <row r="211" spans="1:14" ht="12" x14ac:dyDescent="0.2">
      <c r="A211" s="59" t="s">
        <v>640</v>
      </c>
      <c r="B211" s="54" t="s">
        <v>722</v>
      </c>
      <c r="C211" s="54" t="s">
        <v>222</v>
      </c>
      <c r="F211" s="98">
        <f>VLOOKUP(B211,BD_Prod!$A$6:$O$104,15,0)</f>
        <v>2.2050000000000001</v>
      </c>
      <c r="H211" s="121">
        <v>1</v>
      </c>
      <c r="K211" s="54"/>
      <c r="L211" s="124">
        <f>H211*F211</f>
        <v>2.2050000000000001</v>
      </c>
    </row>
    <row r="212" spans="1:14" ht="12" x14ac:dyDescent="0.2">
      <c r="A212" s="59" t="s">
        <v>640</v>
      </c>
      <c r="B212" s="54" t="s">
        <v>653</v>
      </c>
      <c r="C212" s="54" t="s">
        <v>1</v>
      </c>
      <c r="D212" s="121" t="s">
        <v>5</v>
      </c>
      <c r="F212" s="98"/>
      <c r="H212" s="121">
        <v>0.25</v>
      </c>
      <c r="J212" s="98">
        <f>VLOOKUP(B212,BD_Prod!$A$1:$O$104,15,0)</f>
        <v>21.021161699999997</v>
      </c>
      <c r="K212" s="54"/>
      <c r="L212" s="124">
        <f>H212*J212</f>
        <v>5.2552904249999992</v>
      </c>
    </row>
    <row r="213" spans="1:14" s="55" customFormat="1" ht="12" x14ac:dyDescent="0.2">
      <c r="B213" s="55" t="s">
        <v>669</v>
      </c>
      <c r="C213" s="55" t="s">
        <v>89</v>
      </c>
      <c r="D213" s="103" t="s">
        <v>39</v>
      </c>
      <c r="F213" s="103">
        <f>SUM(L214:L216)</f>
        <v>3.5319690000000001</v>
      </c>
      <c r="G213" s="103"/>
      <c r="H213" s="102">
        <f>H217</f>
        <v>0.3</v>
      </c>
      <c r="I213" s="102"/>
      <c r="J213" s="102">
        <f>J217</f>
        <v>21.021161699999997</v>
      </c>
      <c r="L213" s="103">
        <f>SUM(L214:L217)*FDF</f>
        <v>10.3302333855</v>
      </c>
      <c r="M213" s="103"/>
      <c r="N213" s="103">
        <f>L213*BENEF</f>
        <v>13.429303401149999</v>
      </c>
    </row>
    <row r="214" spans="1:14" ht="12" x14ac:dyDescent="0.2">
      <c r="A214" s="59" t="s">
        <v>669</v>
      </c>
      <c r="B214" s="54" t="s">
        <v>541</v>
      </c>
      <c r="C214" s="54" t="s">
        <v>32</v>
      </c>
      <c r="D214" s="121" t="s">
        <v>36</v>
      </c>
      <c r="F214" s="98">
        <f>VLOOKUP(B214,BD_Prod!$A$6:$O$104,15,0)</f>
        <v>3.4949250000000003</v>
      </c>
      <c r="H214" s="121">
        <v>0.23</v>
      </c>
      <c r="K214" s="54"/>
      <c r="L214" s="124">
        <f>H214*F214</f>
        <v>0.8038327500000001</v>
      </c>
    </row>
    <row r="215" spans="1:14" ht="12" x14ac:dyDescent="0.2">
      <c r="A215" s="59" t="s">
        <v>669</v>
      </c>
      <c r="B215" s="54" t="s">
        <v>538</v>
      </c>
      <c r="C215" s="54" t="s">
        <v>29</v>
      </c>
      <c r="D215" s="121" t="s">
        <v>36</v>
      </c>
      <c r="F215" s="98">
        <f>VLOOKUP(B215,BD_Prod!$A$6:$O$104,15,0)</f>
        <v>4.0241250000000006</v>
      </c>
      <c r="H215" s="121">
        <v>0.13</v>
      </c>
      <c r="K215" s="54"/>
      <c r="L215" s="124">
        <f>H215*F215</f>
        <v>0.52313625000000008</v>
      </c>
    </row>
    <row r="216" spans="1:14" ht="12" x14ac:dyDescent="0.2">
      <c r="A216" s="59" t="s">
        <v>669</v>
      </c>
      <c r="B216" s="54" t="s">
        <v>722</v>
      </c>
      <c r="C216" s="54" t="s">
        <v>222</v>
      </c>
      <c r="F216" s="98">
        <f>VLOOKUP(B216,BD_Prod!$A$6:$O$104,15,0)</f>
        <v>2.2050000000000001</v>
      </c>
      <c r="H216" s="121">
        <v>1</v>
      </c>
      <c r="K216" s="54"/>
      <c r="L216" s="124">
        <f>H216*F216</f>
        <v>2.2050000000000001</v>
      </c>
    </row>
    <row r="217" spans="1:14" ht="12" x14ac:dyDescent="0.2">
      <c r="A217" s="59" t="s">
        <v>669</v>
      </c>
      <c r="B217" s="54" t="s">
        <v>653</v>
      </c>
      <c r="C217" s="54" t="s">
        <v>1</v>
      </c>
      <c r="D217" s="121" t="s">
        <v>5</v>
      </c>
      <c r="F217" s="98"/>
      <c r="H217" s="121">
        <v>0.3</v>
      </c>
      <c r="J217" s="98">
        <f>VLOOKUP(B217,BD_Prod!$A$1:$O$104,15,0)</f>
        <v>21.021161699999997</v>
      </c>
      <c r="K217" s="54"/>
      <c r="L217" s="124">
        <f>H217*J217</f>
        <v>6.3063485099999985</v>
      </c>
    </row>
    <row r="218" spans="1:14" s="55" customFormat="1" ht="12" x14ac:dyDescent="0.2">
      <c r="B218" s="55" t="s">
        <v>670</v>
      </c>
      <c r="C218" s="55" t="s">
        <v>91</v>
      </c>
      <c r="D218" s="103" t="s">
        <v>39</v>
      </c>
      <c r="F218" s="103">
        <f>SUM(L219:L221)</f>
        <v>4.8135150000000007</v>
      </c>
      <c r="G218" s="103"/>
      <c r="H218" s="102">
        <f>H222</f>
        <v>0.25</v>
      </c>
      <c r="I218" s="102"/>
      <c r="J218" s="102">
        <f>J222</f>
        <v>21.021161699999997</v>
      </c>
      <c r="L218" s="103">
        <f>SUM(L219:L222)*FDF</f>
        <v>10.57224569625</v>
      </c>
      <c r="M218" s="103"/>
      <c r="N218" s="103">
        <f>L218*BENEF</f>
        <v>13.743919405125</v>
      </c>
    </row>
    <row r="219" spans="1:14" ht="12" x14ac:dyDescent="0.2">
      <c r="A219" s="59" t="s">
        <v>670</v>
      </c>
      <c r="B219" s="54" t="s">
        <v>539</v>
      </c>
      <c r="C219" s="54" t="s">
        <v>30</v>
      </c>
      <c r="D219" s="121" t="s">
        <v>36</v>
      </c>
      <c r="F219" s="98">
        <f>VLOOKUP(B219,BD_Prod!$A$6:$O$104,15,0)</f>
        <v>5.3471250000000001</v>
      </c>
      <c r="H219" s="121">
        <v>0.39</v>
      </c>
      <c r="K219" s="54"/>
      <c r="L219" s="124">
        <f>H219*F219</f>
        <v>2.0853787500000003</v>
      </c>
    </row>
    <row r="220" spans="1:14" ht="12" x14ac:dyDescent="0.2">
      <c r="A220" s="59" t="s">
        <v>670</v>
      </c>
      <c r="B220" s="54" t="s">
        <v>538</v>
      </c>
      <c r="C220" s="54" t="s">
        <v>29</v>
      </c>
      <c r="D220" s="121" t="s">
        <v>36</v>
      </c>
      <c r="F220" s="98">
        <f>VLOOKUP(B220,BD_Prod!$A$6:$O$104,15,0)</f>
        <v>4.0241250000000006</v>
      </c>
      <c r="H220" s="121">
        <v>0.13</v>
      </c>
      <c r="K220" s="54"/>
      <c r="L220" s="124">
        <f>H220*F220</f>
        <v>0.52313625000000008</v>
      </c>
    </row>
    <row r="221" spans="1:14" ht="12" x14ac:dyDescent="0.2">
      <c r="A221" s="59" t="s">
        <v>670</v>
      </c>
      <c r="B221" s="54" t="s">
        <v>722</v>
      </c>
      <c r="C221" s="54" t="s">
        <v>222</v>
      </c>
      <c r="F221" s="98">
        <f>VLOOKUP(B221,BD_Prod!$A$6:$O$104,15,0)</f>
        <v>2.2050000000000001</v>
      </c>
      <c r="H221" s="121">
        <v>1</v>
      </c>
      <c r="K221" s="54"/>
      <c r="L221" s="124">
        <f>H221*F221</f>
        <v>2.2050000000000001</v>
      </c>
    </row>
    <row r="222" spans="1:14" ht="12" x14ac:dyDescent="0.2">
      <c r="A222" s="59" t="s">
        <v>670</v>
      </c>
      <c r="B222" s="54" t="s">
        <v>653</v>
      </c>
      <c r="C222" s="54" t="s">
        <v>1</v>
      </c>
      <c r="D222" s="121" t="s">
        <v>5</v>
      </c>
      <c r="F222" s="98"/>
      <c r="H222" s="121">
        <v>0.25</v>
      </c>
      <c r="J222" s="98">
        <f>VLOOKUP(B222,BD_Prod!$A$1:$O$104,15,0)</f>
        <v>21.021161699999997</v>
      </c>
      <c r="K222" s="54"/>
      <c r="L222" s="124">
        <f>H222*J222</f>
        <v>5.2552904249999992</v>
      </c>
    </row>
    <row r="223" spans="1:14" s="55" customFormat="1" ht="12" x14ac:dyDescent="0.2">
      <c r="B223" s="55" t="s">
        <v>741</v>
      </c>
      <c r="C223" s="55" t="s">
        <v>223</v>
      </c>
      <c r="D223" s="103" t="s">
        <v>39</v>
      </c>
      <c r="F223" s="103">
        <f>SUM(L224:L226)</f>
        <v>19.796489999999999</v>
      </c>
      <c r="G223" s="103"/>
      <c r="H223" s="102">
        <f>H227</f>
        <v>0.5</v>
      </c>
      <c r="I223" s="102"/>
      <c r="J223" s="102">
        <f>J227</f>
        <v>21.021161699999997</v>
      </c>
      <c r="L223" s="103">
        <f>SUM(L224:L227)*FDF</f>
        <v>31.822424392499997</v>
      </c>
      <c r="M223" s="103"/>
      <c r="N223" s="103">
        <f>L223*BENEF</f>
        <v>41.369151710249994</v>
      </c>
    </row>
    <row r="224" spans="1:14" ht="12" x14ac:dyDescent="0.2">
      <c r="A224" s="59" t="s">
        <v>741</v>
      </c>
      <c r="B224" s="54" t="s">
        <v>542</v>
      </c>
      <c r="C224" s="54" t="s">
        <v>35</v>
      </c>
      <c r="D224" s="121" t="s">
        <v>36</v>
      </c>
      <c r="F224" s="98">
        <f>VLOOKUP(B224,BD_Prod!$A$6:$O$104,15,0)</f>
        <v>11.449462500000001</v>
      </c>
      <c r="H224" s="121">
        <v>1.4</v>
      </c>
      <c r="K224" s="54"/>
      <c r="L224" s="124">
        <f>H224*F224</f>
        <v>16.0292475</v>
      </c>
    </row>
    <row r="225" spans="1:14" ht="12" x14ac:dyDescent="0.2">
      <c r="A225" s="59" t="s">
        <v>741</v>
      </c>
      <c r="B225" s="54" t="s">
        <v>554</v>
      </c>
      <c r="C225" s="54" t="s">
        <v>685</v>
      </c>
      <c r="D225" s="121" t="s">
        <v>36</v>
      </c>
      <c r="F225" s="98">
        <f>VLOOKUP(B225,BD_Prod!$A$6:$O$104,15,0)</f>
        <v>6.0086250000000003</v>
      </c>
      <c r="H225" s="121">
        <v>0.26</v>
      </c>
      <c r="K225" s="54"/>
      <c r="L225" s="124">
        <f>H225*F225</f>
        <v>1.5622425000000002</v>
      </c>
    </row>
    <row r="226" spans="1:14" ht="12" x14ac:dyDescent="0.2">
      <c r="A226" s="59" t="s">
        <v>741</v>
      </c>
      <c r="B226" s="54" t="s">
        <v>722</v>
      </c>
      <c r="C226" s="54" t="s">
        <v>222</v>
      </c>
      <c r="F226" s="98">
        <f>VLOOKUP(B226,BD_Prod!$A$6:$O$104,15,0)</f>
        <v>2.2050000000000001</v>
      </c>
      <c r="H226" s="121">
        <v>1</v>
      </c>
      <c r="K226" s="54"/>
      <c r="L226" s="124">
        <f>H226*F226</f>
        <v>2.2050000000000001</v>
      </c>
    </row>
    <row r="227" spans="1:14" ht="12" x14ac:dyDescent="0.2">
      <c r="A227" s="59" t="s">
        <v>741</v>
      </c>
      <c r="B227" s="54" t="s">
        <v>653</v>
      </c>
      <c r="C227" s="54" t="s">
        <v>1</v>
      </c>
      <c r="D227" s="121" t="s">
        <v>5</v>
      </c>
      <c r="F227" s="98"/>
      <c r="H227" s="121">
        <v>0.5</v>
      </c>
      <c r="J227" s="98">
        <f>VLOOKUP(B227,BD_Prod!$A$1:$O$104,15,0)</f>
        <v>21.021161699999997</v>
      </c>
      <c r="K227" s="54"/>
      <c r="L227" s="124">
        <f>H227*J227</f>
        <v>10.510580849999998</v>
      </c>
    </row>
    <row r="228" spans="1:14" s="55" customFormat="1" ht="12" x14ac:dyDescent="0.2">
      <c r="B228" s="55" t="s">
        <v>614</v>
      </c>
      <c r="C228" s="55" t="s">
        <v>92</v>
      </c>
      <c r="D228" s="103" t="s">
        <v>39</v>
      </c>
      <c r="F228" s="103">
        <f>SUM(L229:L234)</f>
        <v>12.055342788461541</v>
      </c>
      <c r="G228" s="103"/>
      <c r="H228" s="102">
        <f>H235</f>
        <v>0.8</v>
      </c>
      <c r="I228" s="102"/>
      <c r="J228" s="102">
        <f>J235</f>
        <v>21.021161699999997</v>
      </c>
      <c r="L228" s="103">
        <f>SUM(L229:L235)*FDF</f>
        <v>30.315885755884619</v>
      </c>
      <c r="M228" s="103"/>
      <c r="N228" s="103">
        <f>L228*BENEF</f>
        <v>39.410651482650003</v>
      </c>
    </row>
    <row r="229" spans="1:14" ht="12" x14ac:dyDescent="0.2">
      <c r="A229" s="59" t="s">
        <v>614</v>
      </c>
      <c r="B229" s="54" t="s">
        <v>547</v>
      </c>
      <c r="C229" s="54" t="s">
        <v>196</v>
      </c>
      <c r="D229" s="121" t="s">
        <v>31</v>
      </c>
      <c r="F229" s="98">
        <f>VLOOKUP(B229,BD_Prod!$A$6:$O$104,15,0)</f>
        <v>1.6813125000000002</v>
      </c>
      <c r="H229" s="121">
        <v>1</v>
      </c>
      <c r="K229" s="54"/>
      <c r="L229" s="124">
        <f t="shared" ref="L229:L234" si="1">H229*F229</f>
        <v>1.6813125000000002</v>
      </c>
    </row>
    <row r="230" spans="1:14" ht="12" x14ac:dyDescent="0.2">
      <c r="A230" s="59" t="s">
        <v>614</v>
      </c>
      <c r="B230" s="54" t="s">
        <v>651</v>
      </c>
      <c r="C230" s="54" t="s">
        <v>195</v>
      </c>
      <c r="D230" s="121" t="s">
        <v>31</v>
      </c>
      <c r="F230" s="98">
        <f>VLOOKUP(B230,BD_Prod!$A$6:$O$104,15,0)</f>
        <v>1.1668125000000003</v>
      </c>
      <c r="H230" s="121">
        <v>1</v>
      </c>
      <c r="K230" s="54"/>
      <c r="L230" s="124">
        <f t="shared" si="1"/>
        <v>1.1668125000000003</v>
      </c>
    </row>
    <row r="231" spans="1:14" ht="12" x14ac:dyDescent="0.2">
      <c r="A231" s="59" t="s">
        <v>614</v>
      </c>
      <c r="B231" s="54" t="s">
        <v>546</v>
      </c>
      <c r="C231" s="54" t="s">
        <v>54</v>
      </c>
      <c r="D231" s="121" t="s">
        <v>39</v>
      </c>
      <c r="F231" s="98">
        <f>VLOOKUP(B231,BD_Prod!$A$6:$O$104,15,0)</f>
        <v>6.2828365384615399</v>
      </c>
      <c r="H231" s="121">
        <v>1</v>
      </c>
      <c r="K231" s="54"/>
      <c r="L231" s="124">
        <f t="shared" si="1"/>
        <v>6.2828365384615399</v>
      </c>
    </row>
    <row r="232" spans="1:14" ht="12" x14ac:dyDescent="0.2">
      <c r="A232" s="59" t="s">
        <v>614</v>
      </c>
      <c r="B232" s="54" t="s">
        <v>549</v>
      </c>
      <c r="C232" s="54" t="s">
        <v>192</v>
      </c>
      <c r="D232" s="121" t="s">
        <v>31</v>
      </c>
      <c r="F232" s="98">
        <f>VLOOKUP(B232,BD_Prod!$A$6:$O$104,15,0)</f>
        <v>0.33075000000000004</v>
      </c>
      <c r="H232" s="121">
        <v>1</v>
      </c>
      <c r="K232" s="54"/>
      <c r="L232" s="124">
        <f t="shared" si="1"/>
        <v>0.33075000000000004</v>
      </c>
    </row>
    <row r="233" spans="1:14" ht="12" x14ac:dyDescent="0.2">
      <c r="A233" s="59" t="s">
        <v>614</v>
      </c>
      <c r="B233" s="54" t="s">
        <v>548</v>
      </c>
      <c r="C233" s="54" t="s">
        <v>188</v>
      </c>
      <c r="D233" s="121" t="s">
        <v>36</v>
      </c>
      <c r="F233" s="98">
        <f>VLOOKUP(B233,BD_Prod!$A$6:$O$104,15,0)</f>
        <v>0.77726249999999997</v>
      </c>
      <c r="H233" s="121">
        <v>0.5</v>
      </c>
      <c r="K233" s="54"/>
      <c r="L233" s="124">
        <f t="shared" si="1"/>
        <v>0.38863124999999998</v>
      </c>
    </row>
    <row r="234" spans="1:14" ht="12" x14ac:dyDescent="0.2">
      <c r="A234" s="59" t="s">
        <v>614</v>
      </c>
      <c r="B234" s="54" t="s">
        <v>722</v>
      </c>
      <c r="C234" s="54" t="s">
        <v>222</v>
      </c>
      <c r="F234" s="98">
        <f>VLOOKUP(B234,BD_Prod!$A$6:$O$104,15,0)</f>
        <v>2.2050000000000001</v>
      </c>
      <c r="H234" s="121">
        <v>1</v>
      </c>
      <c r="K234" s="54"/>
      <c r="L234" s="124">
        <f t="shared" si="1"/>
        <v>2.2050000000000001</v>
      </c>
    </row>
    <row r="235" spans="1:14" ht="12" x14ac:dyDescent="0.2">
      <c r="A235" s="59" t="s">
        <v>614</v>
      </c>
      <c r="B235" s="54" t="s">
        <v>653</v>
      </c>
      <c r="C235" s="54" t="s">
        <v>1</v>
      </c>
      <c r="D235" s="121" t="s">
        <v>5</v>
      </c>
      <c r="F235" s="98"/>
      <c r="H235" s="121">
        <v>0.8</v>
      </c>
      <c r="J235" s="98">
        <f>VLOOKUP(B235,BD_Prod!$A$1:$O$104,15,0)</f>
        <v>21.021161699999997</v>
      </c>
      <c r="K235" s="54"/>
      <c r="L235" s="124">
        <f>H235*J235</f>
        <v>16.81692936</v>
      </c>
    </row>
    <row r="236" spans="1:14" s="55" customFormat="1" ht="12" x14ac:dyDescent="0.2">
      <c r="B236" s="55" t="s">
        <v>128</v>
      </c>
      <c r="C236" s="55" t="s">
        <v>354</v>
      </c>
      <c r="D236" s="103" t="s">
        <v>39</v>
      </c>
      <c r="F236" s="103">
        <f>SUM(L237)</f>
        <v>214.98750000000001</v>
      </c>
      <c r="G236" s="103"/>
      <c r="H236" s="102">
        <f>H237</f>
        <v>1</v>
      </c>
      <c r="I236" s="102"/>
      <c r="J236" s="102">
        <f>J237</f>
        <v>0</v>
      </c>
      <c r="L236" s="103">
        <f>SUM(L237)*FDF</f>
        <v>225.73687500000003</v>
      </c>
      <c r="M236" s="103"/>
      <c r="N236" s="103">
        <f>L236*BENEF</f>
        <v>293.45793750000007</v>
      </c>
    </row>
    <row r="237" spans="1:14" ht="12" x14ac:dyDescent="0.2">
      <c r="A237" s="59" t="s">
        <v>128</v>
      </c>
      <c r="B237" s="54" t="s">
        <v>649</v>
      </c>
      <c r="C237" s="54" t="s">
        <v>353</v>
      </c>
      <c r="D237" s="121" t="s">
        <v>22</v>
      </c>
      <c r="F237" s="98">
        <f>VLOOKUP(B237,BD_Prod!$A$6:$O$104,15,0)</f>
        <v>214.98750000000001</v>
      </c>
      <c r="H237" s="121">
        <v>1</v>
      </c>
      <c r="K237" s="54"/>
      <c r="L237" s="124">
        <f>H237*F237</f>
        <v>214.98750000000001</v>
      </c>
    </row>
    <row r="238" spans="1:14" s="55" customFormat="1" ht="12" x14ac:dyDescent="0.2">
      <c r="B238" s="55" t="s">
        <v>753</v>
      </c>
      <c r="C238" s="55" t="s">
        <v>105</v>
      </c>
      <c r="D238" s="103" t="s">
        <v>39</v>
      </c>
      <c r="F238" s="103">
        <f>SUM(L239)</f>
        <v>14.887070783132533</v>
      </c>
      <c r="G238" s="103"/>
      <c r="H238" s="102">
        <f>H240</f>
        <v>0.3</v>
      </c>
      <c r="I238" s="102"/>
      <c r="J238" s="102">
        <f>J240</f>
        <v>21.021161699999997</v>
      </c>
      <c r="L238" s="103">
        <f>SUM(L239:L240)*FDF</f>
        <v>22.253090257789161</v>
      </c>
      <c r="M238" s="103"/>
      <c r="N238" s="103">
        <f>L238*BENEF</f>
        <v>28.929017335125909</v>
      </c>
    </row>
    <row r="239" spans="1:14" ht="12" x14ac:dyDescent="0.2">
      <c r="A239" s="59" t="s">
        <v>753</v>
      </c>
      <c r="B239" s="54" t="s">
        <v>652</v>
      </c>
      <c r="C239" s="54" t="s">
        <v>98</v>
      </c>
      <c r="D239" s="121" t="s">
        <v>39</v>
      </c>
      <c r="F239" s="98">
        <f>VLOOKUP(B239,BD_Prod!$A$6:$O$104,15,0)</f>
        <v>14.887070783132533</v>
      </c>
      <c r="H239" s="121">
        <v>1</v>
      </c>
      <c r="K239" s="54"/>
      <c r="L239" s="124">
        <f>H239*F239</f>
        <v>14.887070783132533</v>
      </c>
    </row>
    <row r="240" spans="1:14" ht="12" x14ac:dyDescent="0.2">
      <c r="A240" s="59" t="s">
        <v>753</v>
      </c>
      <c r="B240" s="54" t="s">
        <v>653</v>
      </c>
      <c r="C240" s="54" t="s">
        <v>1</v>
      </c>
      <c r="D240" s="121" t="s">
        <v>5</v>
      </c>
      <c r="F240" s="98"/>
      <c r="H240" s="121">
        <v>0.3</v>
      </c>
      <c r="J240" s="98">
        <f>VLOOKUP(B240,BD_Prod!$A$1:$O$104,15,0)</f>
        <v>21.021161699999997</v>
      </c>
      <c r="K240" s="54"/>
      <c r="L240" s="124">
        <f>H240*J240</f>
        <v>6.3063485099999985</v>
      </c>
    </row>
    <row r="241" spans="1:21" s="55" customFormat="1" ht="12" x14ac:dyDescent="0.2">
      <c r="B241" s="55" t="s">
        <v>754</v>
      </c>
      <c r="C241" s="55" t="s">
        <v>357</v>
      </c>
      <c r="D241" s="103" t="s">
        <v>39</v>
      </c>
      <c r="F241" s="103">
        <f>SUM(L242:L244)</f>
        <v>22.195897500000001</v>
      </c>
      <c r="G241" s="103"/>
      <c r="H241" s="102">
        <f>H245</f>
        <v>1.25</v>
      </c>
      <c r="I241" s="102"/>
      <c r="J241" s="102">
        <f>J245</f>
        <v>21.021161699999997</v>
      </c>
      <c r="L241" s="103">
        <f>SUM(L242:L245)*FDF</f>
        <v>50.895967106249998</v>
      </c>
      <c r="M241" s="103"/>
      <c r="N241" s="103">
        <f>L241*BENEF</f>
        <v>66.164757238125006</v>
      </c>
    </row>
    <row r="242" spans="1:21" ht="12" x14ac:dyDescent="0.2">
      <c r="A242" s="59" t="s">
        <v>754</v>
      </c>
      <c r="B242" s="54" t="s">
        <v>542</v>
      </c>
      <c r="C242" s="54" t="s">
        <v>35</v>
      </c>
      <c r="D242" s="121" t="s">
        <v>36</v>
      </c>
      <c r="F242" s="98">
        <f>VLOOKUP(B242,BD_Prod!$A$6:$O$104,15,0)</f>
        <v>11.449462500000001</v>
      </c>
      <c r="H242" s="121">
        <v>1.4</v>
      </c>
      <c r="K242" s="54"/>
      <c r="L242" s="124">
        <f>H242*F242</f>
        <v>16.0292475</v>
      </c>
    </row>
    <row r="243" spans="1:21" ht="12" x14ac:dyDescent="0.2">
      <c r="A243" s="59" t="s">
        <v>754</v>
      </c>
      <c r="B243" s="54" t="s">
        <v>580</v>
      </c>
      <c r="C243" s="54" t="s">
        <v>709</v>
      </c>
      <c r="D243" s="121" t="s">
        <v>39</v>
      </c>
      <c r="F243" s="98">
        <f>VLOOKUP(B243,BD_Prod!$A$6:$O$104,15,0)</f>
        <v>3.9616500000000001</v>
      </c>
      <c r="H243" s="121">
        <v>1</v>
      </c>
      <c r="K243" s="54"/>
      <c r="L243" s="124">
        <f>H243*F243</f>
        <v>3.9616500000000001</v>
      </c>
      <c r="N243" s="104"/>
    </row>
    <row r="244" spans="1:21" ht="12" x14ac:dyDescent="0.2">
      <c r="A244" s="59" t="s">
        <v>754</v>
      </c>
      <c r="B244" s="54" t="s">
        <v>722</v>
      </c>
      <c r="C244" s="54" t="s">
        <v>222</v>
      </c>
      <c r="F244" s="98">
        <f>VLOOKUP(B244,BD_Prod!$A$6:$O$104,15,0)</f>
        <v>2.2050000000000001</v>
      </c>
      <c r="H244" s="121">
        <v>1</v>
      </c>
      <c r="K244" s="54"/>
      <c r="L244" s="124">
        <f>H244*F244</f>
        <v>2.2050000000000001</v>
      </c>
    </row>
    <row r="245" spans="1:21" ht="12" x14ac:dyDescent="0.2">
      <c r="A245" s="59" t="s">
        <v>754</v>
      </c>
      <c r="B245" s="54" t="s">
        <v>653</v>
      </c>
      <c r="C245" s="54" t="s">
        <v>1</v>
      </c>
      <c r="D245" s="121" t="s">
        <v>5</v>
      </c>
      <c r="F245" s="98"/>
      <c r="H245" s="121">
        <v>1.25</v>
      </c>
      <c r="J245" s="98">
        <f>VLOOKUP(B245,BD_Prod!$A$1:$O$104,15,0)</f>
        <v>21.021161699999997</v>
      </c>
      <c r="K245" s="54"/>
      <c r="L245" s="124">
        <f>H245*J245</f>
        <v>26.276452124999995</v>
      </c>
    </row>
    <row r="246" spans="1:21" s="55" customFormat="1" ht="12" x14ac:dyDescent="0.2">
      <c r="B246" s="55" t="s">
        <v>755</v>
      </c>
      <c r="C246" s="55" t="s">
        <v>212</v>
      </c>
      <c r="D246" s="103" t="s">
        <v>31</v>
      </c>
      <c r="F246" s="103">
        <f>SUM(L247:L248)</f>
        <v>59.548230000000004</v>
      </c>
      <c r="G246" s="103"/>
      <c r="H246" s="102">
        <f>H249</f>
        <v>1.4</v>
      </c>
      <c r="I246" s="102"/>
      <c r="J246" s="102">
        <f>J249</f>
        <v>21.021161699999997</v>
      </c>
      <c r="L246" s="103">
        <f>SUM(L247:L249)*FDF</f>
        <v>93.426749199</v>
      </c>
      <c r="M246" s="103"/>
      <c r="N246" s="103">
        <f>L246*BENEF</f>
        <v>121.4547739587</v>
      </c>
    </row>
    <row r="247" spans="1:21" ht="12" x14ac:dyDescent="0.2">
      <c r="A247" s="59" t="s">
        <v>755</v>
      </c>
      <c r="B247" s="54" t="s">
        <v>648</v>
      </c>
      <c r="C247" s="54" t="s">
        <v>106</v>
      </c>
      <c r="D247" s="121" t="s">
        <v>18</v>
      </c>
      <c r="F247" s="98">
        <f>VLOOKUP(B247,BD_ET_PR!$A$1:$G$26,7,0)</f>
        <v>414.76050000000004</v>
      </c>
      <c r="H247" s="121">
        <v>0.01</v>
      </c>
      <c r="K247" s="54"/>
      <c r="L247" s="124">
        <f>H247*F247</f>
        <v>4.1476050000000004</v>
      </c>
    </row>
    <row r="248" spans="1:21" ht="12" x14ac:dyDescent="0.2">
      <c r="A248" s="59" t="s">
        <v>755</v>
      </c>
      <c r="B248" s="54" t="s">
        <v>543</v>
      </c>
      <c r="C248" s="54" t="s">
        <v>213</v>
      </c>
      <c r="D248" s="121" t="s">
        <v>31</v>
      </c>
      <c r="F248" s="98">
        <f>VLOOKUP(B248,BD_Prod!$A$6:$O$104,15,0)</f>
        <v>55.400625000000005</v>
      </c>
      <c r="H248" s="121">
        <v>1</v>
      </c>
      <c r="K248" s="54"/>
      <c r="L248" s="124">
        <f>H248*F248</f>
        <v>55.400625000000005</v>
      </c>
    </row>
    <row r="249" spans="1:21" ht="12" x14ac:dyDescent="0.2">
      <c r="A249" s="59" t="s">
        <v>755</v>
      </c>
      <c r="B249" s="54" t="s">
        <v>653</v>
      </c>
      <c r="C249" s="54" t="s">
        <v>1</v>
      </c>
      <c r="D249" s="121" t="s">
        <v>5</v>
      </c>
      <c r="F249" s="98"/>
      <c r="H249" s="121">
        <v>1.4</v>
      </c>
      <c r="J249" s="98">
        <f>VLOOKUP(B249,BD_Prod!$A$1:$O$104,15,0)</f>
        <v>21.021161699999997</v>
      </c>
      <c r="K249" s="54"/>
      <c r="L249" s="124">
        <f>H249*J249</f>
        <v>29.429626379999995</v>
      </c>
    </row>
    <row r="250" spans="1:21" s="55" customFormat="1" ht="12" x14ac:dyDescent="0.2">
      <c r="B250" s="55" t="s">
        <v>756</v>
      </c>
      <c r="C250" s="55" t="s">
        <v>214</v>
      </c>
      <c r="D250" s="103" t="s">
        <v>0</v>
      </c>
      <c r="F250" s="103">
        <f>SUM(L251:L254)</f>
        <v>1008.4141534090909</v>
      </c>
      <c r="G250" s="103"/>
      <c r="H250" s="102">
        <f>H255</f>
        <v>1.25</v>
      </c>
      <c r="I250" s="102"/>
      <c r="J250" s="102">
        <f>J255</f>
        <v>21.021161699999997</v>
      </c>
      <c r="L250" s="103">
        <f>SUM(L251:L255)*FDF</f>
        <v>1086.4251358107956</v>
      </c>
      <c r="M250" s="103"/>
      <c r="N250" s="103">
        <f>L250*BENEF</f>
        <v>1412.3526765540344</v>
      </c>
    </row>
    <row r="251" spans="1:21" ht="12" x14ac:dyDescent="0.2">
      <c r="A251" s="59" t="s">
        <v>756</v>
      </c>
      <c r="B251" s="54" t="s">
        <v>644</v>
      </c>
      <c r="C251" s="54" t="s">
        <v>81</v>
      </c>
      <c r="D251" s="121" t="s">
        <v>18</v>
      </c>
      <c r="F251" s="98">
        <f>VLOOKUP(B251,BD_ET_PR!$A$1:$G$26,7,0)</f>
        <v>130.64624999999998</v>
      </c>
      <c r="H251" s="121">
        <v>2</v>
      </c>
      <c r="K251" s="54"/>
      <c r="L251" s="124">
        <f>H251*F251</f>
        <v>261.29249999999996</v>
      </c>
    </row>
    <row r="252" spans="1:21" ht="12" x14ac:dyDescent="0.2">
      <c r="A252" s="59" t="s">
        <v>756</v>
      </c>
      <c r="B252" s="54" t="s">
        <v>581</v>
      </c>
      <c r="C252" s="54" t="s">
        <v>70</v>
      </c>
      <c r="D252" s="121" t="s">
        <v>22</v>
      </c>
      <c r="F252" s="98">
        <f>VLOOKUP(B252,BD_Prod!$A$6:$O$104,15,0)</f>
        <v>516.82443750000004</v>
      </c>
      <c r="H252" s="121">
        <v>1</v>
      </c>
      <c r="K252" s="54"/>
      <c r="L252" s="124">
        <f>H252*F252</f>
        <v>516.82443750000004</v>
      </c>
    </row>
    <row r="253" spans="1:21" ht="12" x14ac:dyDescent="0.2">
      <c r="A253" s="59" t="s">
        <v>756</v>
      </c>
      <c r="B253" s="54" t="s">
        <v>717</v>
      </c>
      <c r="C253" s="54" t="s">
        <v>122</v>
      </c>
      <c r="D253" s="121" t="s">
        <v>39</v>
      </c>
      <c r="F253" s="98">
        <f>VLOOKUP(B253,BD_Prod!$A$6:$O$104,15,0)</f>
        <v>16.813124999999999</v>
      </c>
      <c r="H253" s="121">
        <v>6</v>
      </c>
      <c r="K253" s="54"/>
      <c r="L253" s="124">
        <f>H253*F253</f>
        <v>100.87875</v>
      </c>
    </row>
    <row r="254" spans="1:21" ht="12" x14ac:dyDescent="0.2">
      <c r="A254" s="59" t="s">
        <v>756</v>
      </c>
      <c r="B254" s="54" t="s">
        <v>516</v>
      </c>
      <c r="C254" s="54" t="s">
        <v>125</v>
      </c>
      <c r="D254" s="121" t="s">
        <v>87</v>
      </c>
      <c r="F254" s="98">
        <f>VLOOKUP(B254,BD_Prod!$A$6:$O$104,15,0)</f>
        <v>0.86278977272727286</v>
      </c>
      <c r="H254" s="121">
        <v>150</v>
      </c>
      <c r="K254" s="54"/>
      <c r="L254" s="124">
        <f>H254*F254</f>
        <v>129.41846590909094</v>
      </c>
    </row>
    <row r="255" spans="1:21" ht="12" x14ac:dyDescent="0.2">
      <c r="A255" s="59" t="s">
        <v>756</v>
      </c>
      <c r="B255" s="54" t="s">
        <v>653</v>
      </c>
      <c r="C255" s="54" t="s">
        <v>1</v>
      </c>
      <c r="D255" s="121" t="s">
        <v>5</v>
      </c>
      <c r="F255" s="98"/>
      <c r="H255" s="121">
        <v>1.25</v>
      </c>
      <c r="J255" s="98">
        <f>VLOOKUP(B255,BD_Prod!$A$1:$O$104,15,0)</f>
        <v>21.021161699999997</v>
      </c>
      <c r="K255" s="54"/>
      <c r="L255" s="124">
        <f>H255*J255</f>
        <v>26.276452124999995</v>
      </c>
      <c r="S255" s="60"/>
      <c r="T255" s="60"/>
      <c r="U255" s="60"/>
    </row>
    <row r="256" spans="1:21" s="55" customFormat="1" ht="12" x14ac:dyDescent="0.2">
      <c r="B256" s="55" t="s">
        <v>615</v>
      </c>
      <c r="C256" s="55" t="s">
        <v>327</v>
      </c>
      <c r="D256" s="103" t="s">
        <v>175</v>
      </c>
      <c r="F256" s="103">
        <f>SUM(L257:L261)</f>
        <v>284.66550000000001</v>
      </c>
      <c r="G256" s="103"/>
      <c r="H256" s="102">
        <f>H262</f>
        <v>4.5</v>
      </c>
      <c r="I256" s="102"/>
      <c r="J256" s="102">
        <f>J262</f>
        <v>21.021161699999997</v>
      </c>
      <c r="L256" s="103">
        <f>SUM(L257:L262)*FDF</f>
        <v>398.22376403250001</v>
      </c>
      <c r="M256" s="103"/>
      <c r="N256" s="103">
        <f>L256*BENEF</f>
        <v>517.69089324225001</v>
      </c>
    </row>
    <row r="257" spans="1:14" ht="12" x14ac:dyDescent="0.2">
      <c r="A257" s="59" t="s">
        <v>615</v>
      </c>
      <c r="B257" s="54" t="s">
        <v>557</v>
      </c>
      <c r="C257" s="54" t="s">
        <v>308</v>
      </c>
      <c r="D257" s="121" t="s">
        <v>0</v>
      </c>
      <c r="F257" s="98">
        <f>VLOOKUP(B257,BD_Prod!$A$6:$O$104,15,0)</f>
        <v>192.9375</v>
      </c>
      <c r="H257" s="121">
        <v>1</v>
      </c>
      <c r="K257" s="54"/>
      <c r="L257" s="124">
        <f>H257*F257</f>
        <v>192.9375</v>
      </c>
    </row>
    <row r="258" spans="1:14" ht="12" x14ac:dyDescent="0.2">
      <c r="A258" s="59" t="s">
        <v>615</v>
      </c>
      <c r="B258" s="54" t="s">
        <v>565</v>
      </c>
      <c r="C258" s="54" t="s">
        <v>316</v>
      </c>
      <c r="D258" s="121" t="s">
        <v>0</v>
      </c>
      <c r="F258" s="98">
        <f>VLOOKUP(B258,BD_Prod!$A$6:$O$104,15,0)</f>
        <v>44.1</v>
      </c>
      <c r="H258" s="121">
        <v>1</v>
      </c>
      <c r="K258" s="54"/>
      <c r="L258" s="124">
        <f>H258*F258</f>
        <v>44.1</v>
      </c>
    </row>
    <row r="259" spans="1:14" ht="12" x14ac:dyDescent="0.2">
      <c r="A259" s="59" t="s">
        <v>615</v>
      </c>
      <c r="B259" s="54" t="s">
        <v>568</v>
      </c>
      <c r="C259" s="54" t="s">
        <v>328</v>
      </c>
      <c r="D259" s="121" t="s">
        <v>159</v>
      </c>
      <c r="F259" s="98">
        <f>VLOOKUP(B259,BD_Prod!$A$6:$O$104,15,0)</f>
        <v>36.3825</v>
      </c>
      <c r="H259" s="121">
        <v>1</v>
      </c>
      <c r="K259" s="54"/>
      <c r="L259" s="124">
        <f>H259*F259</f>
        <v>36.3825</v>
      </c>
    </row>
    <row r="260" spans="1:14" ht="12" x14ac:dyDescent="0.2">
      <c r="A260" s="59" t="s">
        <v>615</v>
      </c>
      <c r="B260" s="54" t="s">
        <v>572</v>
      </c>
      <c r="C260" s="54" t="s">
        <v>329</v>
      </c>
      <c r="D260" s="121" t="s">
        <v>31</v>
      </c>
      <c r="F260" s="98">
        <f>VLOOKUP(B260,BD_Prod!$A$6:$O$104,15,0)</f>
        <v>2.9216250000000001</v>
      </c>
      <c r="H260" s="121">
        <v>3</v>
      </c>
      <c r="K260" s="54"/>
      <c r="L260" s="124">
        <f>H260*F260</f>
        <v>8.764875</v>
      </c>
    </row>
    <row r="261" spans="1:14" ht="12" x14ac:dyDescent="0.2">
      <c r="A261" s="59" t="s">
        <v>615</v>
      </c>
      <c r="B261" s="54" t="s">
        <v>575</v>
      </c>
      <c r="C261" s="54" t="s">
        <v>326</v>
      </c>
      <c r="D261" s="121" t="s">
        <v>159</v>
      </c>
      <c r="F261" s="98">
        <f>VLOOKUP(B261,BD_Prod!$A$6:$O$104,15,0)</f>
        <v>2.4806250000000003</v>
      </c>
      <c r="H261" s="121">
        <v>1</v>
      </c>
      <c r="K261" s="54"/>
      <c r="L261" s="124">
        <f>H261*F261</f>
        <v>2.4806250000000003</v>
      </c>
    </row>
    <row r="262" spans="1:14" ht="12" x14ac:dyDescent="0.2">
      <c r="A262" s="59" t="s">
        <v>615</v>
      </c>
      <c r="B262" s="54" t="s">
        <v>653</v>
      </c>
      <c r="C262" s="54" t="s">
        <v>1</v>
      </c>
      <c r="D262" s="121" t="s">
        <v>5</v>
      </c>
      <c r="F262" s="98"/>
      <c r="H262" s="121">
        <v>4.5</v>
      </c>
      <c r="J262" s="98">
        <f>VLOOKUP(B262,BD_Prod!$A$1:$O$104,15,0)</f>
        <v>21.021161699999997</v>
      </c>
      <c r="K262" s="54"/>
      <c r="L262" s="124">
        <f>H262*J262</f>
        <v>94.595227649999984</v>
      </c>
    </row>
    <row r="263" spans="1:14" s="55" customFormat="1" ht="12" x14ac:dyDescent="0.2">
      <c r="B263" s="55" t="s">
        <v>641</v>
      </c>
      <c r="C263" s="55" t="s">
        <v>330</v>
      </c>
      <c r="D263" s="103" t="s">
        <v>175</v>
      </c>
      <c r="F263" s="103">
        <f>SUM(L264:L268)</f>
        <v>308.69999999999993</v>
      </c>
      <c r="G263" s="103"/>
      <c r="H263" s="102">
        <f>H269</f>
        <v>4.5</v>
      </c>
      <c r="I263" s="102"/>
      <c r="J263" s="102">
        <f>J269</f>
        <v>21.021161699999997</v>
      </c>
      <c r="L263" s="103">
        <f>SUM(L264:L269)*FDF</f>
        <v>423.45998903249989</v>
      </c>
      <c r="M263" s="103"/>
      <c r="N263" s="103">
        <f>L263*BENEF</f>
        <v>550.49798574224985</v>
      </c>
    </row>
    <row r="264" spans="1:14" ht="12" x14ac:dyDescent="0.2">
      <c r="A264" s="59" t="s">
        <v>641</v>
      </c>
      <c r="B264" s="54" t="s">
        <v>558</v>
      </c>
      <c r="C264" s="54" t="s">
        <v>340</v>
      </c>
      <c r="D264" s="121" t="s">
        <v>0</v>
      </c>
      <c r="F264" s="98">
        <f>VLOOKUP(B264,BD_Prod!$A$6:$O$104,15,0)</f>
        <v>203.96250000000001</v>
      </c>
      <c r="H264" s="121">
        <v>1</v>
      </c>
      <c r="K264" s="54"/>
      <c r="L264" s="124">
        <f>H264*F264</f>
        <v>203.96250000000001</v>
      </c>
    </row>
    <row r="265" spans="1:14" ht="12" x14ac:dyDescent="0.2">
      <c r="A265" s="59" t="s">
        <v>641</v>
      </c>
      <c r="B265" s="54" t="s">
        <v>563</v>
      </c>
      <c r="C265" s="54" t="s">
        <v>339</v>
      </c>
      <c r="D265" s="121" t="s">
        <v>0</v>
      </c>
      <c r="F265" s="98">
        <f>VLOOKUP(B265,BD_Prod!$A$6:$O$104,15,0)</f>
        <v>55.125</v>
      </c>
      <c r="H265" s="121">
        <v>1</v>
      </c>
      <c r="K265" s="54"/>
      <c r="L265" s="124">
        <f>H265*F265</f>
        <v>55.125</v>
      </c>
    </row>
    <row r="266" spans="1:14" ht="12" x14ac:dyDescent="0.2">
      <c r="A266" s="59" t="s">
        <v>641</v>
      </c>
      <c r="B266" s="54" t="s">
        <v>568</v>
      </c>
      <c r="C266" s="54" t="s">
        <v>328</v>
      </c>
      <c r="D266" s="121" t="s">
        <v>159</v>
      </c>
      <c r="F266" s="98">
        <f>VLOOKUP(B266,BD_Prod!$A$6:$O$104,15,0)</f>
        <v>36.3825</v>
      </c>
      <c r="H266" s="121">
        <v>1</v>
      </c>
      <c r="K266" s="54"/>
      <c r="L266" s="124">
        <f>H266*F266</f>
        <v>36.3825</v>
      </c>
    </row>
    <row r="267" spans="1:14" ht="12" x14ac:dyDescent="0.2">
      <c r="A267" s="59" t="s">
        <v>641</v>
      </c>
      <c r="B267" s="54" t="s">
        <v>573</v>
      </c>
      <c r="C267" s="54" t="s">
        <v>343</v>
      </c>
      <c r="D267" s="121" t="s">
        <v>31</v>
      </c>
      <c r="F267" s="98">
        <f>VLOOKUP(B267,BD_Prod!$A$6:$O$104,15,0)</f>
        <v>3.5831250000000003</v>
      </c>
      <c r="H267" s="121">
        <v>3</v>
      </c>
      <c r="K267" s="54"/>
      <c r="L267" s="124">
        <f>H267*F267</f>
        <v>10.749375000000001</v>
      </c>
    </row>
    <row r="268" spans="1:14" ht="12" x14ac:dyDescent="0.2">
      <c r="A268" s="59" t="s">
        <v>641</v>
      </c>
      <c r="B268" s="54" t="s">
        <v>575</v>
      </c>
      <c r="C268" s="54" t="s">
        <v>326</v>
      </c>
      <c r="D268" s="121" t="s">
        <v>159</v>
      </c>
      <c r="F268" s="98">
        <f>VLOOKUP(B268,BD_Prod!$A$6:$O$104,15,0)</f>
        <v>2.4806250000000003</v>
      </c>
      <c r="H268" s="121">
        <v>1</v>
      </c>
      <c r="K268" s="54"/>
      <c r="L268" s="124">
        <f>H268*F268</f>
        <v>2.4806250000000003</v>
      </c>
    </row>
    <row r="269" spans="1:14" ht="12" x14ac:dyDescent="0.2">
      <c r="A269" s="59" t="s">
        <v>641</v>
      </c>
      <c r="B269" s="54" t="s">
        <v>653</v>
      </c>
      <c r="C269" s="54" t="s">
        <v>1</v>
      </c>
      <c r="D269" s="121" t="s">
        <v>5</v>
      </c>
      <c r="F269" s="98"/>
      <c r="H269" s="121">
        <v>4.5</v>
      </c>
      <c r="J269" s="98">
        <f>VLOOKUP(B269,BD_Prod!$A$1:$O$104,15,0)</f>
        <v>21.021161699999997</v>
      </c>
      <c r="K269" s="54"/>
      <c r="L269" s="124">
        <f>H269*J269</f>
        <v>94.595227649999984</v>
      </c>
    </row>
    <row r="270" spans="1:14" s="55" customFormat="1" ht="12" x14ac:dyDescent="0.2">
      <c r="B270" s="55" t="s">
        <v>642</v>
      </c>
      <c r="C270" s="55" t="s">
        <v>331</v>
      </c>
      <c r="D270" s="103" t="s">
        <v>175</v>
      </c>
      <c r="F270" s="103">
        <f>SUM(L271:L275)</f>
        <v>242.54999999999998</v>
      </c>
      <c r="G270" s="103"/>
      <c r="H270" s="102">
        <f>H276</f>
        <v>3</v>
      </c>
      <c r="I270" s="102"/>
      <c r="J270" s="102">
        <f>J276</f>
        <v>21.021161699999997</v>
      </c>
      <c r="L270" s="103">
        <f>SUM(L271:L276)*FDF</f>
        <v>320.894159355</v>
      </c>
      <c r="M270" s="103"/>
      <c r="N270" s="103">
        <f>L270*BENEF</f>
        <v>417.16240716150003</v>
      </c>
    </row>
    <row r="271" spans="1:14" ht="12" x14ac:dyDescent="0.2">
      <c r="A271" s="59" t="s">
        <v>642</v>
      </c>
      <c r="B271" s="54" t="s">
        <v>561</v>
      </c>
      <c r="C271" s="54" t="s">
        <v>341</v>
      </c>
      <c r="D271" s="121" t="s">
        <v>0</v>
      </c>
      <c r="F271" s="98">
        <f>VLOOKUP(B271,BD_Prod!$A$6:$O$104,15,0)</f>
        <v>137.8125</v>
      </c>
      <c r="H271" s="121">
        <v>1</v>
      </c>
      <c r="K271" s="54"/>
      <c r="L271" s="124">
        <f>H271*F271</f>
        <v>137.8125</v>
      </c>
    </row>
    <row r="272" spans="1:14" ht="12" x14ac:dyDescent="0.2">
      <c r="A272" s="59" t="s">
        <v>642</v>
      </c>
      <c r="B272" s="54" t="s">
        <v>563</v>
      </c>
      <c r="C272" s="54" t="s">
        <v>339</v>
      </c>
      <c r="D272" s="121" t="s">
        <v>0</v>
      </c>
      <c r="F272" s="98">
        <f>VLOOKUP(B272,BD_Prod!$A$6:$O$104,15,0)</f>
        <v>55.125</v>
      </c>
      <c r="H272" s="121">
        <v>1</v>
      </c>
      <c r="K272" s="54"/>
      <c r="L272" s="124">
        <f>H272*F272</f>
        <v>55.125</v>
      </c>
    </row>
    <row r="273" spans="1:14" ht="12" x14ac:dyDescent="0.2">
      <c r="A273" s="59" t="s">
        <v>642</v>
      </c>
      <c r="B273" s="54" t="s">
        <v>568</v>
      </c>
      <c r="C273" s="54" t="s">
        <v>328</v>
      </c>
      <c r="D273" s="121" t="s">
        <v>159</v>
      </c>
      <c r="F273" s="98">
        <f>VLOOKUP(B273,BD_Prod!$A$6:$O$104,15,0)</f>
        <v>36.3825</v>
      </c>
      <c r="H273" s="121">
        <v>1</v>
      </c>
      <c r="K273" s="54"/>
      <c r="L273" s="124">
        <f>H273*F273</f>
        <v>36.3825</v>
      </c>
    </row>
    <row r="274" spans="1:14" ht="12" x14ac:dyDescent="0.2">
      <c r="A274" s="59" t="s">
        <v>642</v>
      </c>
      <c r="B274" s="54" t="s">
        <v>573</v>
      </c>
      <c r="C274" s="54" t="s">
        <v>343</v>
      </c>
      <c r="D274" s="121" t="s">
        <v>31</v>
      </c>
      <c r="F274" s="98">
        <f>VLOOKUP(B274,BD_Prod!$A$6:$O$104,15,0)</f>
        <v>3.5831250000000003</v>
      </c>
      <c r="H274" s="121">
        <v>3</v>
      </c>
      <c r="K274" s="54"/>
      <c r="L274" s="124">
        <f>H274*F274</f>
        <v>10.749375000000001</v>
      </c>
    </row>
    <row r="275" spans="1:14" ht="12" x14ac:dyDescent="0.2">
      <c r="A275" s="59" t="s">
        <v>642</v>
      </c>
      <c r="B275" s="54" t="s">
        <v>575</v>
      </c>
      <c r="C275" s="54" t="s">
        <v>326</v>
      </c>
      <c r="D275" s="121" t="s">
        <v>159</v>
      </c>
      <c r="F275" s="98">
        <f>VLOOKUP(B275,BD_Prod!$A$6:$O$104,15,0)</f>
        <v>2.4806250000000003</v>
      </c>
      <c r="H275" s="121">
        <v>1</v>
      </c>
      <c r="K275" s="54"/>
      <c r="L275" s="124">
        <f>H275*F275</f>
        <v>2.4806250000000003</v>
      </c>
    </row>
    <row r="276" spans="1:14" ht="12" x14ac:dyDescent="0.2">
      <c r="A276" s="59" t="s">
        <v>642</v>
      </c>
      <c r="B276" s="54" t="s">
        <v>653</v>
      </c>
      <c r="C276" s="54" t="s">
        <v>1</v>
      </c>
      <c r="D276" s="121" t="s">
        <v>5</v>
      </c>
      <c r="F276" s="98"/>
      <c r="H276" s="121">
        <v>3</v>
      </c>
      <c r="J276" s="98">
        <f>VLOOKUP(B276,BD_Prod!$A$1:$O$104,15,0)</f>
        <v>21.021161699999997</v>
      </c>
      <c r="K276" s="54"/>
      <c r="L276" s="124">
        <f>H276*J276</f>
        <v>63.063485099999994</v>
      </c>
    </row>
    <row r="277" spans="1:14" s="55" customFormat="1" ht="12" x14ac:dyDescent="0.2">
      <c r="B277" s="55" t="s">
        <v>742</v>
      </c>
      <c r="C277" s="55" t="s">
        <v>332</v>
      </c>
      <c r="D277" s="103" t="s">
        <v>175</v>
      </c>
      <c r="F277" s="103">
        <f>SUM(L278:L282)</f>
        <v>352.79999999999995</v>
      </c>
      <c r="G277" s="103"/>
      <c r="H277" s="102">
        <f>H283</f>
        <v>4.5</v>
      </c>
      <c r="I277" s="102"/>
      <c r="J277" s="102">
        <f>J283</f>
        <v>21.021161699999997</v>
      </c>
      <c r="L277" s="103">
        <f>SUM(L278:L283)*FDF</f>
        <v>469.76498903249995</v>
      </c>
      <c r="M277" s="103"/>
      <c r="N277" s="103">
        <f>L277*BENEF</f>
        <v>610.69448574224998</v>
      </c>
    </row>
    <row r="278" spans="1:14" ht="12" x14ac:dyDescent="0.2">
      <c r="A278" s="59" t="s">
        <v>742</v>
      </c>
      <c r="B278" s="54" t="s">
        <v>556</v>
      </c>
      <c r="C278" s="54" t="s">
        <v>342</v>
      </c>
      <c r="D278" s="121" t="s">
        <v>0</v>
      </c>
      <c r="F278" s="98">
        <f>VLOOKUP(B278,BD_Prod!$A$6:$O$104,15,0)</f>
        <v>248.0625</v>
      </c>
      <c r="H278" s="121">
        <v>1</v>
      </c>
      <c r="K278" s="54"/>
      <c r="L278" s="124">
        <f>H278*F278</f>
        <v>248.0625</v>
      </c>
    </row>
    <row r="279" spans="1:14" ht="12" x14ac:dyDescent="0.2">
      <c r="A279" s="59" t="s">
        <v>742</v>
      </c>
      <c r="B279" s="54" t="s">
        <v>564</v>
      </c>
      <c r="C279" s="54" t="s">
        <v>339</v>
      </c>
      <c r="D279" s="121" t="s">
        <v>0</v>
      </c>
      <c r="F279" s="98">
        <f>VLOOKUP(B279,BD_Prod!$A$6:$O$104,15,0)</f>
        <v>55.125</v>
      </c>
      <c r="H279" s="121">
        <v>1</v>
      </c>
      <c r="K279" s="54"/>
      <c r="L279" s="124">
        <f>H279*F279</f>
        <v>55.125</v>
      </c>
    </row>
    <row r="280" spans="1:14" ht="12" x14ac:dyDescent="0.2">
      <c r="A280" s="59" t="s">
        <v>742</v>
      </c>
      <c r="B280" s="54" t="s">
        <v>568</v>
      </c>
      <c r="C280" s="54" t="s">
        <v>328</v>
      </c>
      <c r="D280" s="121" t="s">
        <v>159</v>
      </c>
      <c r="F280" s="98">
        <f>VLOOKUP(B280,BD_Prod!$A$6:$O$104,15,0)</f>
        <v>36.3825</v>
      </c>
      <c r="H280" s="121">
        <v>1</v>
      </c>
      <c r="K280" s="54"/>
      <c r="L280" s="124">
        <f>H280*F280</f>
        <v>36.3825</v>
      </c>
    </row>
    <row r="281" spans="1:14" ht="12" x14ac:dyDescent="0.2">
      <c r="A281" s="59" t="s">
        <v>742</v>
      </c>
      <c r="B281" s="54" t="s">
        <v>573</v>
      </c>
      <c r="C281" s="54" t="s">
        <v>343</v>
      </c>
      <c r="D281" s="121" t="s">
        <v>31</v>
      </c>
      <c r="F281" s="98">
        <f>VLOOKUP(B281,BD_Prod!$A$6:$O$104,15,0)</f>
        <v>3.5831250000000003</v>
      </c>
      <c r="H281" s="121">
        <v>3</v>
      </c>
      <c r="K281" s="54"/>
      <c r="L281" s="124">
        <f>H281*F281</f>
        <v>10.749375000000001</v>
      </c>
    </row>
    <row r="282" spans="1:14" ht="12" x14ac:dyDescent="0.2">
      <c r="A282" s="59" t="s">
        <v>742</v>
      </c>
      <c r="B282" s="54" t="s">
        <v>575</v>
      </c>
      <c r="C282" s="54" t="s">
        <v>326</v>
      </c>
      <c r="D282" s="121" t="s">
        <v>159</v>
      </c>
      <c r="F282" s="98">
        <f>VLOOKUP(B282,BD_Prod!$A$6:$O$104,15,0)</f>
        <v>2.4806250000000003</v>
      </c>
      <c r="H282" s="121">
        <v>1</v>
      </c>
      <c r="K282" s="54"/>
      <c r="L282" s="124">
        <f>H282*F282</f>
        <v>2.4806250000000003</v>
      </c>
    </row>
    <row r="283" spans="1:14" ht="12" x14ac:dyDescent="0.2">
      <c r="A283" s="59" t="s">
        <v>742</v>
      </c>
      <c r="B283" s="54" t="s">
        <v>653</v>
      </c>
      <c r="C283" s="54" t="s">
        <v>1</v>
      </c>
      <c r="D283" s="121" t="s">
        <v>5</v>
      </c>
      <c r="F283" s="98"/>
      <c r="H283" s="121">
        <v>4.5</v>
      </c>
      <c r="J283" s="98">
        <f>VLOOKUP(B283,BD_Prod!$A$1:$O$104,15,0)</f>
        <v>21.021161699999997</v>
      </c>
      <c r="K283" s="54"/>
      <c r="L283" s="124">
        <f>H283*J283</f>
        <v>94.595227649999984</v>
      </c>
    </row>
    <row r="284" spans="1:14" s="55" customFormat="1" ht="12" x14ac:dyDescent="0.2">
      <c r="B284" s="55" t="s">
        <v>743</v>
      </c>
      <c r="C284" s="55" t="s">
        <v>333</v>
      </c>
      <c r="D284" s="103" t="s">
        <v>175</v>
      </c>
      <c r="F284" s="103">
        <f>SUM(L285:L289)</f>
        <v>297.67499999999995</v>
      </c>
      <c r="G284" s="103"/>
      <c r="H284" s="102">
        <f>H290</f>
        <v>3</v>
      </c>
      <c r="I284" s="102"/>
      <c r="J284" s="102">
        <f>J290</f>
        <v>21.021161699999997</v>
      </c>
      <c r="L284" s="103">
        <f>SUM(L285:L290)*FDF</f>
        <v>378.77540935499997</v>
      </c>
      <c r="M284" s="103"/>
      <c r="N284" s="103">
        <f>L284*BENEF</f>
        <v>492.40803216149999</v>
      </c>
    </row>
    <row r="285" spans="1:14" ht="12" x14ac:dyDescent="0.2">
      <c r="A285" s="59" t="s">
        <v>743</v>
      </c>
      <c r="B285" s="54" t="s">
        <v>560</v>
      </c>
      <c r="C285" s="54" t="s">
        <v>315</v>
      </c>
      <c r="D285" s="121" t="s">
        <v>0</v>
      </c>
      <c r="F285" s="98">
        <f>VLOOKUP(B285,BD_Prod!$A$6:$O$104,15,0)</f>
        <v>192.9375</v>
      </c>
      <c r="H285" s="121">
        <v>1</v>
      </c>
      <c r="K285" s="54"/>
      <c r="L285" s="124">
        <f>H285*F285</f>
        <v>192.9375</v>
      </c>
    </row>
    <row r="286" spans="1:14" ht="12" x14ac:dyDescent="0.2">
      <c r="A286" s="59" t="s">
        <v>743</v>
      </c>
      <c r="B286" s="54" t="s">
        <v>564</v>
      </c>
      <c r="C286" s="54" t="s">
        <v>671</v>
      </c>
      <c r="D286" s="121" t="s">
        <v>0</v>
      </c>
      <c r="F286" s="98">
        <f>VLOOKUP(B286,BD_Prod!$A$6:$O$104,15,0)</f>
        <v>55.125</v>
      </c>
      <c r="H286" s="121">
        <v>1</v>
      </c>
      <c r="K286" s="54"/>
      <c r="L286" s="124">
        <f>H286*F286</f>
        <v>55.125</v>
      </c>
    </row>
    <row r="287" spans="1:14" ht="12" x14ac:dyDescent="0.2">
      <c r="A287" s="59" t="s">
        <v>743</v>
      </c>
      <c r="B287" s="54" t="s">
        <v>568</v>
      </c>
      <c r="C287" s="54" t="s">
        <v>328</v>
      </c>
      <c r="D287" s="121" t="s">
        <v>159</v>
      </c>
      <c r="F287" s="98">
        <f>VLOOKUP(B287,BD_Prod!$A$6:$O$104,15,0)</f>
        <v>36.3825</v>
      </c>
      <c r="H287" s="121">
        <v>1</v>
      </c>
      <c r="K287" s="54"/>
      <c r="L287" s="124">
        <f>H287*F287</f>
        <v>36.3825</v>
      </c>
    </row>
    <row r="288" spans="1:14" ht="12" x14ac:dyDescent="0.2">
      <c r="A288" s="59" t="s">
        <v>743</v>
      </c>
      <c r="B288" s="54" t="s">
        <v>573</v>
      </c>
      <c r="C288" s="54" t="s">
        <v>343</v>
      </c>
      <c r="D288" s="121" t="s">
        <v>31</v>
      </c>
      <c r="F288" s="98">
        <f>VLOOKUP(B288,BD_Prod!$A$6:$O$104,15,0)</f>
        <v>3.5831250000000003</v>
      </c>
      <c r="H288" s="121">
        <v>3</v>
      </c>
      <c r="K288" s="54"/>
      <c r="L288" s="124">
        <f>H288*F288</f>
        <v>10.749375000000001</v>
      </c>
    </row>
    <row r="289" spans="1:14" ht="12" x14ac:dyDescent="0.2">
      <c r="A289" s="59" t="s">
        <v>743</v>
      </c>
      <c r="B289" s="54" t="s">
        <v>575</v>
      </c>
      <c r="C289" s="54" t="s">
        <v>326</v>
      </c>
      <c r="D289" s="121" t="s">
        <v>159</v>
      </c>
      <c r="F289" s="98">
        <f>VLOOKUP(B289,BD_Prod!$A$6:$O$104,15,0)</f>
        <v>2.4806250000000003</v>
      </c>
      <c r="H289" s="121">
        <v>1</v>
      </c>
      <c r="K289" s="54"/>
      <c r="L289" s="124">
        <f>H289*F289</f>
        <v>2.4806250000000003</v>
      </c>
    </row>
    <row r="290" spans="1:14" ht="12" x14ac:dyDescent="0.2">
      <c r="A290" s="59" t="s">
        <v>743</v>
      </c>
      <c r="B290" s="54" t="s">
        <v>653</v>
      </c>
      <c r="C290" s="54" t="s">
        <v>1</v>
      </c>
      <c r="D290" s="121" t="s">
        <v>5</v>
      </c>
      <c r="F290" s="98"/>
      <c r="H290" s="121">
        <v>3</v>
      </c>
      <c r="J290" s="98">
        <f>VLOOKUP(B290,BD_Prod!$A$1:$O$104,15,0)</f>
        <v>21.021161699999997</v>
      </c>
      <c r="K290" s="54"/>
      <c r="L290" s="124">
        <f>H290*J290</f>
        <v>63.063485099999994</v>
      </c>
    </row>
    <row r="291" spans="1:14" s="55" customFormat="1" ht="12" x14ac:dyDescent="0.2">
      <c r="B291" s="55" t="s">
        <v>744</v>
      </c>
      <c r="C291" s="55" t="s">
        <v>334</v>
      </c>
      <c r="D291" s="103" t="s">
        <v>175</v>
      </c>
      <c r="F291" s="103">
        <f>SUM(L292:L296)</f>
        <v>242.54999999999998</v>
      </c>
      <c r="G291" s="103"/>
      <c r="H291" s="102">
        <f>H297</f>
        <v>3</v>
      </c>
      <c r="I291" s="102"/>
      <c r="J291" s="102">
        <f>J297</f>
        <v>21.021161699999997</v>
      </c>
      <c r="L291" s="103">
        <f>SUM(L292:L297)*FDF</f>
        <v>320.894159355</v>
      </c>
      <c r="M291" s="103"/>
      <c r="N291" s="103">
        <f>L291*BENEF</f>
        <v>417.16240716150003</v>
      </c>
    </row>
    <row r="292" spans="1:14" ht="12" x14ac:dyDescent="0.2">
      <c r="A292" s="59" t="s">
        <v>744</v>
      </c>
      <c r="B292" s="54" t="s">
        <v>559</v>
      </c>
      <c r="C292" s="54" t="s">
        <v>309</v>
      </c>
      <c r="D292" s="121" t="s">
        <v>0</v>
      </c>
      <c r="F292" s="98">
        <f>VLOOKUP(B292,BD_Prod!$A$6:$O$104,15,0)</f>
        <v>137.8125</v>
      </c>
      <c r="H292" s="121">
        <v>1</v>
      </c>
      <c r="K292" s="54"/>
      <c r="L292" s="124">
        <f>H292*F292</f>
        <v>137.8125</v>
      </c>
    </row>
    <row r="293" spans="1:14" ht="12" x14ac:dyDescent="0.2">
      <c r="A293" s="59" t="s">
        <v>744</v>
      </c>
      <c r="B293" s="54" t="s">
        <v>562</v>
      </c>
      <c r="C293" s="54" t="s">
        <v>339</v>
      </c>
      <c r="D293" s="121" t="s">
        <v>0</v>
      </c>
      <c r="F293" s="98">
        <f>VLOOKUP(B293,BD_Prod!$A$6:$O$104,15,0)</f>
        <v>55.125</v>
      </c>
      <c r="H293" s="121">
        <v>1</v>
      </c>
      <c r="K293" s="54"/>
      <c r="L293" s="124">
        <f>H293*F293</f>
        <v>55.125</v>
      </c>
    </row>
    <row r="294" spans="1:14" ht="12" x14ac:dyDescent="0.2">
      <c r="A294" s="59" t="s">
        <v>744</v>
      </c>
      <c r="B294" s="54" t="s">
        <v>568</v>
      </c>
      <c r="C294" s="54" t="s">
        <v>328</v>
      </c>
      <c r="D294" s="121" t="s">
        <v>159</v>
      </c>
      <c r="F294" s="98">
        <f>VLOOKUP(B294,BD_Prod!$A$6:$O$104,15,0)</f>
        <v>36.3825</v>
      </c>
      <c r="H294" s="121">
        <v>1</v>
      </c>
      <c r="K294" s="54"/>
      <c r="L294" s="124">
        <f>H294*F294</f>
        <v>36.3825</v>
      </c>
    </row>
    <row r="295" spans="1:14" ht="12" x14ac:dyDescent="0.2">
      <c r="A295" s="59" t="s">
        <v>744</v>
      </c>
      <c r="B295" s="54" t="s">
        <v>573</v>
      </c>
      <c r="C295" s="54" t="s">
        <v>343</v>
      </c>
      <c r="D295" s="121" t="s">
        <v>31</v>
      </c>
      <c r="F295" s="98">
        <f>VLOOKUP(B295,BD_Prod!$A$6:$O$104,15,0)</f>
        <v>3.5831250000000003</v>
      </c>
      <c r="H295" s="121">
        <v>3</v>
      </c>
      <c r="K295" s="54"/>
      <c r="L295" s="124">
        <f>H295*F295</f>
        <v>10.749375000000001</v>
      </c>
    </row>
    <row r="296" spans="1:14" ht="12" x14ac:dyDescent="0.2">
      <c r="A296" s="59" t="s">
        <v>744</v>
      </c>
      <c r="B296" s="54" t="s">
        <v>575</v>
      </c>
      <c r="C296" s="54" t="s">
        <v>326</v>
      </c>
      <c r="D296" s="121" t="s">
        <v>159</v>
      </c>
      <c r="F296" s="98">
        <f>VLOOKUP(B296,BD_Prod!$A$6:$O$104,15,0)</f>
        <v>2.4806250000000003</v>
      </c>
      <c r="H296" s="121">
        <v>1</v>
      </c>
      <c r="K296" s="54"/>
      <c r="L296" s="124">
        <f>H296*F296</f>
        <v>2.4806250000000003</v>
      </c>
    </row>
    <row r="297" spans="1:14" ht="12" x14ac:dyDescent="0.2">
      <c r="A297" s="59" t="s">
        <v>744</v>
      </c>
      <c r="B297" s="54" t="s">
        <v>653</v>
      </c>
      <c r="C297" s="54" t="s">
        <v>1</v>
      </c>
      <c r="D297" s="121" t="s">
        <v>5</v>
      </c>
      <c r="F297" s="98"/>
      <c r="H297" s="121">
        <v>3</v>
      </c>
      <c r="J297" s="98">
        <f>VLOOKUP(B297,BD_Prod!$A$1:$O$104,15,0)</f>
        <v>21.021161699999997</v>
      </c>
      <c r="K297" s="54"/>
      <c r="L297" s="124">
        <f>H297*J297</f>
        <v>63.063485099999994</v>
      </c>
    </row>
    <row r="298" spans="1:14" s="55" customFormat="1" ht="12" x14ac:dyDescent="0.2">
      <c r="B298" s="55" t="s">
        <v>745</v>
      </c>
      <c r="C298" s="55" t="s">
        <v>335</v>
      </c>
      <c r="D298" s="103" t="s">
        <v>175</v>
      </c>
      <c r="F298" s="103">
        <f>SUM(L299:L303)</f>
        <v>115.25424750000001</v>
      </c>
      <c r="G298" s="103"/>
      <c r="H298" s="102">
        <f>H304</f>
        <v>4.5</v>
      </c>
      <c r="I298" s="102"/>
      <c r="J298" s="102">
        <f>J304</f>
        <v>21.021161699999997</v>
      </c>
      <c r="L298" s="103">
        <f>SUM(L299:L304)*FDF</f>
        <v>220.34194890750001</v>
      </c>
      <c r="M298" s="103"/>
      <c r="N298" s="103">
        <f>L298*BENEF</f>
        <v>286.44453357975004</v>
      </c>
    </row>
    <row r="299" spans="1:14" ht="12" x14ac:dyDescent="0.2">
      <c r="A299" s="59" t="s">
        <v>745</v>
      </c>
      <c r="B299" s="54" t="s">
        <v>571</v>
      </c>
      <c r="C299" s="54" t="s">
        <v>344</v>
      </c>
      <c r="D299" s="121" t="s">
        <v>0</v>
      </c>
      <c r="F299" s="98">
        <f>VLOOKUP(B299,BD_Prod!$A$6:$O$104,15,0)</f>
        <v>49.612500000000004</v>
      </c>
      <c r="H299" s="121">
        <v>1</v>
      </c>
      <c r="K299" s="54"/>
      <c r="L299" s="124">
        <f>H299*F299</f>
        <v>49.612500000000004</v>
      </c>
    </row>
    <row r="300" spans="1:14" ht="12" x14ac:dyDescent="0.2">
      <c r="A300" s="59" t="s">
        <v>745</v>
      </c>
      <c r="B300" s="54" t="s">
        <v>568</v>
      </c>
      <c r="C300" s="54" t="s">
        <v>328</v>
      </c>
      <c r="D300" s="121" t="s">
        <v>159</v>
      </c>
      <c r="F300" s="98">
        <f>VLOOKUP(B300,BD_Prod!$A$6:$O$104,15,0)</f>
        <v>36.3825</v>
      </c>
      <c r="H300" s="121">
        <v>1</v>
      </c>
      <c r="K300" s="54"/>
      <c r="L300" s="124">
        <f>H300*F300</f>
        <v>36.3825</v>
      </c>
    </row>
    <row r="301" spans="1:14" ht="12" x14ac:dyDescent="0.2">
      <c r="A301" s="59" t="s">
        <v>745</v>
      </c>
      <c r="B301" s="54" t="s">
        <v>573</v>
      </c>
      <c r="C301" s="54" t="s">
        <v>343</v>
      </c>
      <c r="D301" s="121" t="s">
        <v>31</v>
      </c>
      <c r="F301" s="98">
        <f>VLOOKUP(B301,BD_Prod!$A$6:$O$104,15,0)</f>
        <v>3.5831250000000003</v>
      </c>
      <c r="H301" s="121">
        <v>3</v>
      </c>
      <c r="K301" s="54"/>
      <c r="L301" s="124">
        <f>H301*F301</f>
        <v>10.749375000000001</v>
      </c>
    </row>
    <row r="302" spans="1:14" ht="12" x14ac:dyDescent="0.2">
      <c r="A302" s="59" t="s">
        <v>745</v>
      </c>
      <c r="B302" s="54" t="s">
        <v>542</v>
      </c>
      <c r="C302" s="54" t="s">
        <v>35</v>
      </c>
      <c r="D302" s="121" t="s">
        <v>36</v>
      </c>
      <c r="F302" s="98">
        <f>VLOOKUP(B302,BD_Prod!$A$6:$O$104,15,0)</f>
        <v>11.449462500000001</v>
      </c>
      <c r="H302" s="121">
        <v>1.4</v>
      </c>
      <c r="K302" s="54"/>
      <c r="L302" s="124">
        <f>H302*F302</f>
        <v>16.0292475</v>
      </c>
    </row>
    <row r="303" spans="1:14" ht="12" x14ac:dyDescent="0.2">
      <c r="A303" s="59" t="s">
        <v>745</v>
      </c>
      <c r="B303" s="54" t="s">
        <v>575</v>
      </c>
      <c r="C303" s="54" t="s">
        <v>326</v>
      </c>
      <c r="D303" s="121" t="s">
        <v>159</v>
      </c>
      <c r="F303" s="98">
        <f>VLOOKUP(B303,BD_Prod!$A$6:$O$104,15,0)</f>
        <v>2.4806250000000003</v>
      </c>
      <c r="H303" s="121">
        <v>1</v>
      </c>
      <c r="K303" s="54"/>
      <c r="L303" s="124">
        <f>H303*F303</f>
        <v>2.4806250000000003</v>
      </c>
    </row>
    <row r="304" spans="1:14" ht="12" x14ac:dyDescent="0.2">
      <c r="A304" s="59" t="s">
        <v>745</v>
      </c>
      <c r="B304" s="54" t="s">
        <v>653</v>
      </c>
      <c r="C304" s="54" t="s">
        <v>1</v>
      </c>
      <c r="D304" s="121" t="s">
        <v>5</v>
      </c>
      <c r="F304" s="98"/>
      <c r="H304" s="121">
        <v>4.5</v>
      </c>
      <c r="J304" s="98">
        <f>VLOOKUP(B304,BD_Prod!$A$1:$O$104,15,0)</f>
        <v>21.021161699999997</v>
      </c>
      <c r="K304" s="54"/>
      <c r="L304" s="124">
        <f>H304*J304</f>
        <v>94.595227649999984</v>
      </c>
    </row>
    <row r="305" spans="1:14" s="55" customFormat="1" ht="12" x14ac:dyDescent="0.2">
      <c r="B305" s="55" t="s">
        <v>746</v>
      </c>
      <c r="C305" s="55" t="s">
        <v>609</v>
      </c>
      <c r="D305" s="103" t="s">
        <v>175</v>
      </c>
      <c r="F305" s="103">
        <f>SUM(L306:L308)</f>
        <v>82.963125000000005</v>
      </c>
      <c r="G305" s="103"/>
      <c r="H305" s="102">
        <f>H309</f>
        <v>1.5</v>
      </c>
      <c r="I305" s="102"/>
      <c r="J305" s="102">
        <f>J309</f>
        <v>21.021161699999997</v>
      </c>
      <c r="L305" s="103">
        <f>SUM(L306:L309)*FDF</f>
        <v>120.21961092750001</v>
      </c>
      <c r="M305" s="103"/>
      <c r="N305" s="103">
        <f>L305*BENEF</f>
        <v>156.28549420575001</v>
      </c>
    </row>
    <row r="306" spans="1:14" ht="12" x14ac:dyDescent="0.2">
      <c r="A306" s="59" t="s">
        <v>746</v>
      </c>
      <c r="B306" s="54" t="s">
        <v>565</v>
      </c>
      <c r="C306" s="54" t="s">
        <v>345</v>
      </c>
      <c r="D306" s="121" t="s">
        <v>0</v>
      </c>
      <c r="F306" s="98">
        <f>VLOOKUP(B306,BD_Prod!$A$6:$O$104,15,0)</f>
        <v>44.1</v>
      </c>
      <c r="H306" s="121">
        <v>1</v>
      </c>
      <c r="K306" s="54"/>
      <c r="L306" s="124">
        <f>H306*F306</f>
        <v>44.1</v>
      </c>
    </row>
    <row r="307" spans="1:14" ht="12" x14ac:dyDescent="0.2">
      <c r="A307" s="59" t="s">
        <v>746</v>
      </c>
      <c r="B307" s="54" t="s">
        <v>568</v>
      </c>
      <c r="C307" s="54" t="s">
        <v>328</v>
      </c>
      <c r="D307" s="121" t="s">
        <v>159</v>
      </c>
      <c r="F307" s="98">
        <f>VLOOKUP(B307,BD_Prod!$A$6:$O$104,15,0)</f>
        <v>36.3825</v>
      </c>
      <c r="H307" s="121">
        <v>1</v>
      </c>
      <c r="K307" s="54"/>
      <c r="L307" s="124">
        <f>H307*F307</f>
        <v>36.3825</v>
      </c>
    </row>
    <row r="308" spans="1:14" ht="12" x14ac:dyDescent="0.2">
      <c r="A308" s="59" t="s">
        <v>746</v>
      </c>
      <c r="B308" s="54" t="s">
        <v>575</v>
      </c>
      <c r="C308" s="54" t="s">
        <v>326</v>
      </c>
      <c r="D308" s="121" t="s">
        <v>159</v>
      </c>
      <c r="F308" s="98">
        <f>VLOOKUP(B308,BD_Prod!$A$6:$O$104,15,0)</f>
        <v>2.4806250000000003</v>
      </c>
      <c r="H308" s="121">
        <v>1</v>
      </c>
      <c r="K308" s="54"/>
      <c r="L308" s="124">
        <f>H308*F308</f>
        <v>2.4806250000000003</v>
      </c>
    </row>
    <row r="309" spans="1:14" ht="12" x14ac:dyDescent="0.2">
      <c r="A309" s="59" t="s">
        <v>746</v>
      </c>
      <c r="B309" s="54" t="s">
        <v>653</v>
      </c>
      <c r="C309" s="54" t="s">
        <v>1</v>
      </c>
      <c r="D309" s="121" t="s">
        <v>5</v>
      </c>
      <c r="F309" s="98"/>
      <c r="H309" s="121">
        <v>1.5</v>
      </c>
      <c r="J309" s="98">
        <f>VLOOKUP(B309,BD_Prod!$A$1:$O$104,15,0)</f>
        <v>21.021161699999997</v>
      </c>
      <c r="K309" s="54"/>
      <c r="L309" s="124">
        <f>H309*J309</f>
        <v>31.531742549999997</v>
      </c>
    </row>
    <row r="310" spans="1:14" s="55" customFormat="1" ht="12" x14ac:dyDescent="0.2">
      <c r="B310" s="55" t="s">
        <v>747</v>
      </c>
      <c r="C310" s="55" t="s">
        <v>336</v>
      </c>
      <c r="D310" s="103" t="s">
        <v>175</v>
      </c>
      <c r="F310" s="103">
        <f>SUM(L311:L313)</f>
        <v>85.168125000000003</v>
      </c>
      <c r="G310" s="103"/>
      <c r="H310" s="102">
        <f>H314</f>
        <v>1.5</v>
      </c>
      <c r="I310" s="102"/>
      <c r="J310" s="102">
        <f>J314</f>
        <v>21.021161699999997</v>
      </c>
      <c r="L310" s="103">
        <f>SUM(L311:L314)*FDF</f>
        <v>122.53486092749999</v>
      </c>
      <c r="M310" s="103"/>
      <c r="N310" s="103">
        <f>L310*BENEF</f>
        <v>159.29531920574999</v>
      </c>
    </row>
    <row r="311" spans="1:14" ht="12" x14ac:dyDescent="0.2">
      <c r="A311" s="59" t="s">
        <v>747</v>
      </c>
      <c r="B311" s="54" t="s">
        <v>566</v>
      </c>
      <c r="C311" s="54" t="s">
        <v>346</v>
      </c>
      <c r="D311" s="121" t="s">
        <v>0</v>
      </c>
      <c r="F311" s="98">
        <f>VLOOKUP(B311,BD_Prod!$A$6:$O$104,15,0)</f>
        <v>46.305000000000007</v>
      </c>
      <c r="H311" s="121">
        <v>1</v>
      </c>
      <c r="K311" s="54"/>
      <c r="L311" s="124">
        <f>H311*F311</f>
        <v>46.305000000000007</v>
      </c>
    </row>
    <row r="312" spans="1:14" ht="12" x14ac:dyDescent="0.2">
      <c r="A312" s="59" t="s">
        <v>747</v>
      </c>
      <c r="B312" s="54" t="s">
        <v>568</v>
      </c>
      <c r="C312" s="54" t="s">
        <v>328</v>
      </c>
      <c r="D312" s="121" t="s">
        <v>159</v>
      </c>
      <c r="F312" s="98">
        <f>VLOOKUP(B312,BD_Prod!$A$6:$O$104,15,0)</f>
        <v>36.3825</v>
      </c>
      <c r="H312" s="121">
        <v>1</v>
      </c>
      <c r="K312" s="54"/>
      <c r="L312" s="124">
        <f>H312*F312</f>
        <v>36.3825</v>
      </c>
    </row>
    <row r="313" spans="1:14" ht="12" x14ac:dyDescent="0.2">
      <c r="A313" s="59" t="s">
        <v>747</v>
      </c>
      <c r="B313" s="54" t="s">
        <v>575</v>
      </c>
      <c r="C313" s="54" t="s">
        <v>326</v>
      </c>
      <c r="D313" s="121" t="s">
        <v>159</v>
      </c>
      <c r="F313" s="98">
        <f>VLOOKUP(B313,BD_Prod!$A$6:$O$104,15,0)</f>
        <v>2.4806250000000003</v>
      </c>
      <c r="H313" s="121">
        <v>1</v>
      </c>
      <c r="K313" s="54"/>
      <c r="L313" s="124">
        <f>H313*F313</f>
        <v>2.4806250000000003</v>
      </c>
    </row>
    <row r="314" spans="1:14" ht="12" x14ac:dyDescent="0.2">
      <c r="A314" s="59" t="s">
        <v>747</v>
      </c>
      <c r="B314" s="54" t="s">
        <v>653</v>
      </c>
      <c r="C314" s="54" t="s">
        <v>1</v>
      </c>
      <c r="D314" s="121" t="s">
        <v>5</v>
      </c>
      <c r="F314" s="98"/>
      <c r="H314" s="121">
        <v>1.5</v>
      </c>
      <c r="J314" s="98">
        <f>VLOOKUP(B314,BD_Prod!$A$1:$O$104,15,0)</f>
        <v>21.021161699999997</v>
      </c>
      <c r="K314" s="54"/>
      <c r="L314" s="124">
        <f>H314*J314</f>
        <v>31.531742549999997</v>
      </c>
    </row>
    <row r="315" spans="1:14" s="55" customFormat="1" ht="12" x14ac:dyDescent="0.2">
      <c r="B315" s="55" t="s">
        <v>748</v>
      </c>
      <c r="C315" s="55" t="s">
        <v>608</v>
      </c>
      <c r="D315" s="103" t="s">
        <v>175</v>
      </c>
      <c r="F315" s="103">
        <f>SUM(L316:L319)</f>
        <v>130.31549999999999</v>
      </c>
      <c r="G315" s="103"/>
      <c r="H315" s="102">
        <f>H320</f>
        <v>4.5</v>
      </c>
      <c r="I315" s="102"/>
      <c r="J315" s="102">
        <f>J320</f>
        <v>21.021161699999997</v>
      </c>
      <c r="L315" s="103">
        <f>SUM(L316:L320)*FDF</f>
        <v>236.15626403249996</v>
      </c>
      <c r="M315" s="103"/>
      <c r="N315" s="103">
        <f>L315*BENEF</f>
        <v>307.00314324224996</v>
      </c>
    </row>
    <row r="316" spans="1:14" ht="12" x14ac:dyDescent="0.2">
      <c r="A316" s="59" t="s">
        <v>748</v>
      </c>
      <c r="B316" s="54" t="s">
        <v>576</v>
      </c>
      <c r="C316" s="54" t="s">
        <v>337</v>
      </c>
      <c r="D316" s="121" t="s">
        <v>0</v>
      </c>
      <c r="F316" s="98">
        <f>VLOOKUP(B316,BD_Prod!$A$6:$O$104,15,0)</f>
        <v>82.6875</v>
      </c>
      <c r="H316" s="121">
        <v>1</v>
      </c>
      <c r="K316" s="54"/>
      <c r="L316" s="124">
        <f>H316*F316</f>
        <v>82.6875</v>
      </c>
    </row>
    <row r="317" spans="1:14" ht="12" x14ac:dyDescent="0.2">
      <c r="A317" s="59" t="s">
        <v>748</v>
      </c>
      <c r="B317" s="54" t="s">
        <v>568</v>
      </c>
      <c r="C317" s="54" t="s">
        <v>328</v>
      </c>
      <c r="D317" s="121" t="s">
        <v>159</v>
      </c>
      <c r="F317" s="98">
        <f>VLOOKUP(B317,BD_Prod!$A$6:$O$104,15,0)</f>
        <v>36.3825</v>
      </c>
      <c r="H317" s="121">
        <v>1</v>
      </c>
      <c r="K317" s="54"/>
      <c r="L317" s="124">
        <f>H317*F317</f>
        <v>36.3825</v>
      </c>
    </row>
    <row r="318" spans="1:14" ht="12" x14ac:dyDescent="0.2">
      <c r="A318" s="59" t="s">
        <v>748</v>
      </c>
      <c r="B318" s="54" t="s">
        <v>572</v>
      </c>
      <c r="C318" s="54" t="s">
        <v>329</v>
      </c>
      <c r="D318" s="121" t="s">
        <v>31</v>
      </c>
      <c r="F318" s="98">
        <f>VLOOKUP(B318,BD_Prod!$A$6:$O$104,15,0)</f>
        <v>2.9216250000000001</v>
      </c>
      <c r="H318" s="121">
        <v>3</v>
      </c>
      <c r="K318" s="54"/>
      <c r="L318" s="124">
        <f>H318*F318</f>
        <v>8.764875</v>
      </c>
    </row>
    <row r="319" spans="1:14" ht="12" x14ac:dyDescent="0.2">
      <c r="A319" s="59" t="s">
        <v>748</v>
      </c>
      <c r="B319" s="54" t="s">
        <v>575</v>
      </c>
      <c r="C319" s="54" t="s">
        <v>326</v>
      </c>
      <c r="D319" s="121" t="s">
        <v>159</v>
      </c>
      <c r="F319" s="98">
        <f>VLOOKUP(B319,BD_Prod!$A$6:$O$104,15,0)</f>
        <v>2.4806250000000003</v>
      </c>
      <c r="H319" s="121">
        <v>1</v>
      </c>
      <c r="K319" s="54"/>
      <c r="L319" s="124">
        <f>H319*F319</f>
        <v>2.4806250000000003</v>
      </c>
    </row>
    <row r="320" spans="1:14" ht="12" x14ac:dyDescent="0.2">
      <c r="A320" s="59" t="s">
        <v>748</v>
      </c>
      <c r="B320" s="54" t="s">
        <v>653</v>
      </c>
      <c r="C320" s="54" t="s">
        <v>1</v>
      </c>
      <c r="D320" s="121" t="s">
        <v>5</v>
      </c>
      <c r="F320" s="98"/>
      <c r="H320" s="121">
        <v>4.5</v>
      </c>
      <c r="J320" s="98">
        <f>VLOOKUP(B320,BD_Prod!$A$1:$O$104,15,0)</f>
        <v>21.021161699999997</v>
      </c>
      <c r="K320" s="54"/>
      <c r="L320" s="124">
        <f>H320*J320</f>
        <v>94.595227649999984</v>
      </c>
    </row>
    <row r="321" spans="1:14" s="55" customFormat="1" ht="12" x14ac:dyDescent="0.2">
      <c r="B321" s="55" t="s">
        <v>749</v>
      </c>
      <c r="C321" s="55" t="s">
        <v>607</v>
      </c>
      <c r="D321" s="103" t="s">
        <v>175</v>
      </c>
      <c r="F321" s="103">
        <f>SUM(L322:L325)</f>
        <v>172.81687500000001</v>
      </c>
      <c r="G321" s="103"/>
      <c r="H321" s="102">
        <f>H326</f>
        <v>1.5</v>
      </c>
      <c r="I321" s="102"/>
      <c r="J321" s="102">
        <f>J326</f>
        <v>21.021161699999997</v>
      </c>
      <c r="L321" s="103">
        <f>SUM(L322:L326)*FDF</f>
        <v>214.56604842750002</v>
      </c>
      <c r="M321" s="103"/>
      <c r="N321" s="103">
        <f>L321*BENEF</f>
        <v>278.93586295575005</v>
      </c>
    </row>
    <row r="322" spans="1:14" ht="12" x14ac:dyDescent="0.2">
      <c r="A322" s="59" t="s">
        <v>749</v>
      </c>
      <c r="B322" s="54" t="s">
        <v>569</v>
      </c>
      <c r="C322" s="54" t="s">
        <v>324</v>
      </c>
      <c r="D322" s="121" t="s">
        <v>0</v>
      </c>
      <c r="F322" s="98">
        <f>VLOOKUP(B322,BD_Prod!$A$6:$O$104,15,0)</f>
        <v>46.305000000000007</v>
      </c>
      <c r="H322" s="121">
        <v>1</v>
      </c>
      <c r="K322" s="54"/>
      <c r="L322" s="124">
        <f>H322*F322</f>
        <v>46.305000000000007</v>
      </c>
    </row>
    <row r="323" spans="1:14" ht="12" x14ac:dyDescent="0.2">
      <c r="A323" s="59" t="s">
        <v>749</v>
      </c>
      <c r="B323" s="54" t="s">
        <v>568</v>
      </c>
      <c r="C323" s="54" t="s">
        <v>328</v>
      </c>
      <c r="D323" s="121" t="s">
        <v>159</v>
      </c>
      <c r="F323" s="98">
        <f>VLOOKUP(B323,BD_Prod!$A$6:$O$104,15,0)</f>
        <v>36.3825</v>
      </c>
      <c r="H323" s="121">
        <v>1</v>
      </c>
      <c r="K323" s="54"/>
      <c r="L323" s="124">
        <f>H323*F323</f>
        <v>36.3825</v>
      </c>
    </row>
    <row r="324" spans="1:14" ht="12" x14ac:dyDescent="0.2">
      <c r="A324" s="59" t="s">
        <v>749</v>
      </c>
      <c r="B324" s="54" t="s">
        <v>567</v>
      </c>
      <c r="C324" s="54" t="s">
        <v>347</v>
      </c>
      <c r="D324" s="121" t="s">
        <v>31</v>
      </c>
      <c r="F324" s="98">
        <f>VLOOKUP(B324,BD_Prod!$A$6:$O$104,15,0)</f>
        <v>29.216250000000006</v>
      </c>
      <c r="H324" s="121">
        <v>3</v>
      </c>
      <c r="K324" s="54"/>
      <c r="L324" s="124">
        <f>H324*F324</f>
        <v>87.648750000000021</v>
      </c>
    </row>
    <row r="325" spans="1:14" ht="12" x14ac:dyDescent="0.2">
      <c r="A325" s="59" t="s">
        <v>749</v>
      </c>
      <c r="B325" s="54" t="s">
        <v>575</v>
      </c>
      <c r="C325" s="54" t="s">
        <v>326</v>
      </c>
      <c r="D325" s="121" t="s">
        <v>159</v>
      </c>
      <c r="F325" s="98">
        <f>VLOOKUP(B325,BD_Prod!$A$6:$O$104,15,0)</f>
        <v>2.4806250000000003</v>
      </c>
      <c r="H325" s="121">
        <v>1</v>
      </c>
      <c r="K325" s="54"/>
      <c r="L325" s="124">
        <f>H325*F325</f>
        <v>2.4806250000000003</v>
      </c>
    </row>
    <row r="326" spans="1:14" ht="12" x14ac:dyDescent="0.2">
      <c r="A326" s="59" t="s">
        <v>749</v>
      </c>
      <c r="B326" s="54" t="s">
        <v>653</v>
      </c>
      <c r="C326" s="54" t="s">
        <v>1</v>
      </c>
      <c r="D326" s="121" t="s">
        <v>5</v>
      </c>
      <c r="F326" s="98"/>
      <c r="H326" s="121">
        <v>1.5</v>
      </c>
      <c r="J326" s="98">
        <f>VLOOKUP(B326,BD_Prod!$A$1:$O$104,15,0)</f>
        <v>21.021161699999997</v>
      </c>
      <c r="K326" s="54"/>
      <c r="L326" s="124">
        <f>H326*J326</f>
        <v>31.531742549999997</v>
      </c>
    </row>
    <row r="327" spans="1:14" s="55" customFormat="1" ht="12" x14ac:dyDescent="0.2">
      <c r="B327" s="55" t="s">
        <v>643</v>
      </c>
      <c r="C327" s="55" t="s">
        <v>338</v>
      </c>
      <c r="D327" s="103" t="s">
        <v>31</v>
      </c>
      <c r="F327" s="103">
        <f>SUM(L328:L330)</f>
        <v>41.784750000000003</v>
      </c>
      <c r="G327" s="103"/>
      <c r="H327" s="102">
        <f>H331</f>
        <v>1.25</v>
      </c>
      <c r="I327" s="102"/>
      <c r="J327" s="102">
        <f>J331</f>
        <v>21.021161699999997</v>
      </c>
      <c r="L327" s="103">
        <f>SUM(L328:L331)*FDF</f>
        <v>71.464262231250004</v>
      </c>
      <c r="M327" s="103"/>
      <c r="N327" s="103">
        <f>L327*BENEF</f>
        <v>92.903540900625003</v>
      </c>
    </row>
    <row r="328" spans="1:14" ht="12" x14ac:dyDescent="0.2">
      <c r="A328" s="59" t="s">
        <v>757</v>
      </c>
      <c r="B328" s="54" t="s">
        <v>568</v>
      </c>
      <c r="C328" s="54" t="s">
        <v>328</v>
      </c>
      <c r="D328" s="121" t="s">
        <v>159</v>
      </c>
      <c r="F328" s="98">
        <f>VLOOKUP(B328,BD_Prod!$A$6:$O$104,15,0)</f>
        <v>36.3825</v>
      </c>
      <c r="H328" s="121">
        <v>1</v>
      </c>
      <c r="K328" s="54"/>
      <c r="L328" s="124">
        <f>H328*F328</f>
        <v>36.3825</v>
      </c>
    </row>
    <row r="329" spans="1:14" ht="12" x14ac:dyDescent="0.2">
      <c r="A329" s="59" t="s">
        <v>757</v>
      </c>
      <c r="B329" s="54" t="s">
        <v>572</v>
      </c>
      <c r="C329" s="54" t="s">
        <v>329</v>
      </c>
      <c r="D329" s="121" t="s">
        <v>31</v>
      </c>
      <c r="F329" s="98">
        <f>VLOOKUP(B329,BD_Prod!$A$6:$O$104,15,0)</f>
        <v>2.9216250000000001</v>
      </c>
      <c r="H329" s="121">
        <v>1</v>
      </c>
      <c r="K329" s="54"/>
      <c r="L329" s="124">
        <f>H329*F329</f>
        <v>2.9216250000000001</v>
      </c>
    </row>
    <row r="330" spans="1:14" ht="12" x14ac:dyDescent="0.2">
      <c r="A330" s="59" t="s">
        <v>757</v>
      </c>
      <c r="B330" s="54" t="s">
        <v>575</v>
      </c>
      <c r="C330" s="54" t="s">
        <v>326</v>
      </c>
      <c r="D330" s="121" t="s">
        <v>159</v>
      </c>
      <c r="F330" s="98">
        <f>VLOOKUP(B330,BD_Prod!$A$6:$O$104,15,0)</f>
        <v>2.4806250000000003</v>
      </c>
      <c r="H330" s="121">
        <v>1</v>
      </c>
      <c r="K330" s="54"/>
      <c r="L330" s="124">
        <f>H330*F330</f>
        <v>2.4806250000000003</v>
      </c>
    </row>
    <row r="331" spans="1:14" ht="12" x14ac:dyDescent="0.2">
      <c r="A331" s="59" t="s">
        <v>757</v>
      </c>
      <c r="B331" s="54" t="s">
        <v>653</v>
      </c>
      <c r="C331" s="54" t="s">
        <v>1</v>
      </c>
      <c r="D331" s="121" t="s">
        <v>5</v>
      </c>
      <c r="F331" s="98"/>
      <c r="H331" s="121">
        <v>1.25</v>
      </c>
      <c r="J331" s="98">
        <f>VLOOKUP(B331,BD_Prod!$A$1:$O$104,15,0)</f>
        <v>21.021161699999997</v>
      </c>
      <c r="K331" s="54"/>
      <c r="L331" s="124">
        <f>H331*J331</f>
        <v>26.276452124999995</v>
      </c>
    </row>
    <row r="332" spans="1:14" s="55" customFormat="1" ht="12" x14ac:dyDescent="0.2">
      <c r="B332" s="55" t="s">
        <v>750</v>
      </c>
      <c r="C332" s="55" t="s">
        <v>351</v>
      </c>
      <c r="D332" s="103" t="s">
        <v>31</v>
      </c>
      <c r="F332" s="103">
        <f>SUM(L333:L334)</f>
        <v>5.4022500000000004</v>
      </c>
      <c r="G332" s="103"/>
      <c r="H332" s="102">
        <f>H335</f>
        <v>0.01</v>
      </c>
      <c r="I332" s="102"/>
      <c r="J332" s="102">
        <f>J335</f>
        <v>21.021161699999997</v>
      </c>
      <c r="L332" s="103">
        <f>SUM(L333:L335)*FDF</f>
        <v>5.89308469785</v>
      </c>
      <c r="M332" s="103"/>
      <c r="N332" s="103">
        <f>L332*BENEF</f>
        <v>7.6610101072050005</v>
      </c>
    </row>
    <row r="333" spans="1:14" ht="12" x14ac:dyDescent="0.2">
      <c r="A333" s="59" t="s">
        <v>750</v>
      </c>
      <c r="B333" s="54" t="s">
        <v>572</v>
      </c>
      <c r="C333" s="54" t="s">
        <v>329</v>
      </c>
      <c r="D333" s="121" t="s">
        <v>31</v>
      </c>
      <c r="F333" s="98">
        <f>VLOOKUP(B333,BD_Prod!$A$6:$O$104,15,0)</f>
        <v>2.9216250000000001</v>
      </c>
      <c r="H333" s="121">
        <v>1</v>
      </c>
      <c r="K333" s="54"/>
      <c r="L333" s="124">
        <f>H333*F333</f>
        <v>2.9216250000000001</v>
      </c>
    </row>
    <row r="334" spans="1:14" ht="12" x14ac:dyDescent="0.2">
      <c r="A334" s="59" t="s">
        <v>750</v>
      </c>
      <c r="B334" s="54" t="s">
        <v>575</v>
      </c>
      <c r="C334" s="54" t="s">
        <v>326</v>
      </c>
      <c r="D334" s="121" t="s">
        <v>159</v>
      </c>
      <c r="F334" s="98">
        <f>VLOOKUP(B334,BD_Prod!$A$6:$O$104,15,0)</f>
        <v>2.4806250000000003</v>
      </c>
      <c r="H334" s="121">
        <v>1</v>
      </c>
      <c r="K334" s="54"/>
      <c r="L334" s="124">
        <f>H334*F334</f>
        <v>2.4806250000000003</v>
      </c>
    </row>
    <row r="335" spans="1:14" ht="12" x14ac:dyDescent="0.2">
      <c r="A335" s="59" t="s">
        <v>750</v>
      </c>
      <c r="B335" s="54" t="s">
        <v>653</v>
      </c>
      <c r="C335" s="54" t="s">
        <v>1</v>
      </c>
      <c r="D335" s="121" t="s">
        <v>5</v>
      </c>
      <c r="F335" s="98"/>
      <c r="H335" s="121">
        <v>0.01</v>
      </c>
      <c r="J335" s="98">
        <f>VLOOKUP(B335,BD_Prod!$A$1:$O$104,15,0)</f>
        <v>21.021161699999997</v>
      </c>
      <c r="K335" s="54"/>
      <c r="L335" s="124">
        <f>H335*J335</f>
        <v>0.21021161699999996</v>
      </c>
    </row>
    <row r="336" spans="1:14" s="55" customFormat="1" ht="12" x14ac:dyDescent="0.2">
      <c r="B336" s="55" t="s">
        <v>751</v>
      </c>
      <c r="C336" s="55" t="s">
        <v>606</v>
      </c>
      <c r="D336" s="103" t="s">
        <v>31</v>
      </c>
      <c r="F336" s="103">
        <f>SUM(L337:L338)</f>
        <v>31.696875000000006</v>
      </c>
      <c r="G336" s="103"/>
      <c r="H336" s="102">
        <f>H339</f>
        <v>0.01</v>
      </c>
      <c r="I336" s="102"/>
      <c r="J336" s="102">
        <f>J339</f>
        <v>21.021161699999997</v>
      </c>
      <c r="L336" s="103">
        <f>SUM(L337:L339)*FDF</f>
        <v>33.502440947850005</v>
      </c>
      <c r="M336" s="103"/>
      <c r="N336" s="103">
        <f>L336*BENEF</f>
        <v>43.553173232205005</v>
      </c>
    </row>
    <row r="337" spans="1:20" ht="12" x14ac:dyDescent="0.2">
      <c r="A337" s="59" t="s">
        <v>751</v>
      </c>
      <c r="B337" s="54" t="s">
        <v>567</v>
      </c>
      <c r="C337" s="54" t="s">
        <v>347</v>
      </c>
      <c r="D337" s="121" t="s">
        <v>31</v>
      </c>
      <c r="F337" s="98">
        <f>VLOOKUP(B337,BD_Prod!$A$6:$O$104,15,0)</f>
        <v>29.216250000000006</v>
      </c>
      <c r="H337" s="121">
        <v>1</v>
      </c>
      <c r="K337" s="54"/>
      <c r="L337" s="124">
        <f>H337*F337</f>
        <v>29.216250000000006</v>
      </c>
    </row>
    <row r="338" spans="1:20" ht="12" x14ac:dyDescent="0.2">
      <c r="A338" s="59" t="s">
        <v>751</v>
      </c>
      <c r="B338" s="54" t="s">
        <v>575</v>
      </c>
      <c r="C338" s="54" t="s">
        <v>326</v>
      </c>
      <c r="D338" s="121" t="s">
        <v>159</v>
      </c>
      <c r="F338" s="98">
        <f>VLOOKUP(B338,BD_Prod!$A$6:$O$104,15,0)</f>
        <v>2.4806250000000003</v>
      </c>
      <c r="H338" s="121">
        <v>1</v>
      </c>
      <c r="K338" s="54"/>
      <c r="L338" s="124">
        <f>H338*F338</f>
        <v>2.4806250000000003</v>
      </c>
    </row>
    <row r="339" spans="1:20" ht="12" x14ac:dyDescent="0.2">
      <c r="A339" s="59" t="s">
        <v>751</v>
      </c>
      <c r="B339" s="54" t="s">
        <v>653</v>
      </c>
      <c r="C339" s="54" t="s">
        <v>1</v>
      </c>
      <c r="D339" s="121" t="s">
        <v>5</v>
      </c>
      <c r="F339" s="98"/>
      <c r="H339" s="121">
        <v>0.01</v>
      </c>
      <c r="J339" s="98">
        <f>VLOOKUP(B339,BD_Prod!$A$1:$O$104,15,0)</f>
        <v>21.021161699999997</v>
      </c>
      <c r="K339" s="54"/>
      <c r="L339" s="124">
        <f>H339*J339</f>
        <v>0.21021161699999996</v>
      </c>
    </row>
    <row r="340" spans="1:20" s="55" customFormat="1" ht="12" x14ac:dyDescent="0.2">
      <c r="B340" s="55" t="s">
        <v>752</v>
      </c>
      <c r="C340" s="55" t="s">
        <v>338</v>
      </c>
      <c r="D340" s="103" t="s">
        <v>31</v>
      </c>
      <c r="F340" s="103">
        <f>SUM(L341:L343)</f>
        <v>41.784750000000003</v>
      </c>
      <c r="G340" s="103"/>
      <c r="H340" s="102">
        <f>H344</f>
        <v>1.25</v>
      </c>
      <c r="I340" s="102"/>
      <c r="J340" s="102">
        <f>J344</f>
        <v>21.021161699999997</v>
      </c>
      <c r="L340" s="103">
        <f>SUM(L341:L344)*FDF</f>
        <v>71.464262231250004</v>
      </c>
      <c r="M340" s="103"/>
      <c r="N340" s="103">
        <f>L340*BENEF</f>
        <v>92.903540900625003</v>
      </c>
    </row>
    <row r="341" spans="1:20" ht="12" x14ac:dyDescent="0.2">
      <c r="A341" s="59" t="s">
        <v>752</v>
      </c>
      <c r="B341" s="54" t="s">
        <v>568</v>
      </c>
      <c r="C341" s="54" t="s">
        <v>328</v>
      </c>
      <c r="D341" s="121" t="s">
        <v>159</v>
      </c>
      <c r="F341" s="98">
        <f>VLOOKUP(B341,BD_Prod!$A$6:$O$104,15,0)</f>
        <v>36.3825</v>
      </c>
      <c r="H341" s="121">
        <v>1</v>
      </c>
      <c r="K341" s="54"/>
      <c r="L341" s="124">
        <f>H341*F341</f>
        <v>36.3825</v>
      </c>
    </row>
    <row r="342" spans="1:20" ht="12" x14ac:dyDescent="0.2">
      <c r="A342" s="59" t="s">
        <v>752</v>
      </c>
      <c r="B342" s="54" t="s">
        <v>572</v>
      </c>
      <c r="C342" s="54" t="s">
        <v>329</v>
      </c>
      <c r="D342" s="121" t="s">
        <v>31</v>
      </c>
      <c r="F342" s="98">
        <f>VLOOKUP(B342,BD_Prod!$A$6:$O$104,15,0)</f>
        <v>2.9216250000000001</v>
      </c>
      <c r="H342" s="121">
        <v>1</v>
      </c>
      <c r="K342" s="54"/>
      <c r="L342" s="124">
        <f>H342*F342</f>
        <v>2.9216250000000001</v>
      </c>
    </row>
    <row r="343" spans="1:20" ht="12" x14ac:dyDescent="0.2">
      <c r="A343" s="59" t="s">
        <v>752</v>
      </c>
      <c r="B343" s="54" t="s">
        <v>575</v>
      </c>
      <c r="C343" s="54" t="s">
        <v>326</v>
      </c>
      <c r="D343" s="121" t="s">
        <v>159</v>
      </c>
      <c r="F343" s="98">
        <f>VLOOKUP(B343,BD_Prod!$A$6:$O$104,15,0)</f>
        <v>2.4806250000000003</v>
      </c>
      <c r="H343" s="121">
        <v>1</v>
      </c>
      <c r="K343" s="54"/>
      <c r="L343" s="124">
        <f>H343*F343</f>
        <v>2.4806250000000003</v>
      </c>
    </row>
    <row r="344" spans="1:20" ht="12" x14ac:dyDescent="0.2">
      <c r="A344" s="59" t="s">
        <v>752</v>
      </c>
      <c r="B344" s="54" t="s">
        <v>653</v>
      </c>
      <c r="C344" s="54" t="s">
        <v>1</v>
      </c>
      <c r="D344" s="121" t="s">
        <v>5</v>
      </c>
      <c r="F344" s="98"/>
      <c r="H344" s="121">
        <v>1.25</v>
      </c>
      <c r="J344" s="98">
        <f>VLOOKUP(B344,BD_Prod!$A$1:$O$104,15,0)</f>
        <v>21.021161699999997</v>
      </c>
      <c r="K344" s="54"/>
      <c r="L344" s="124">
        <f>H344*J344</f>
        <v>26.276452124999995</v>
      </c>
    </row>
    <row r="345" spans="1:20" ht="12" x14ac:dyDescent="0.2">
      <c r="B345" s="59"/>
      <c r="C345" s="59"/>
      <c r="D345" s="83"/>
      <c r="E345" s="59"/>
      <c r="F345" s="83"/>
      <c r="H345" s="83"/>
      <c r="J345" s="83"/>
      <c r="K345" s="54"/>
      <c r="L345" s="120"/>
    </row>
    <row r="346" spans="1:20" ht="12.75" x14ac:dyDescent="0.2">
      <c r="B346" s="1"/>
      <c r="C346" s="105"/>
      <c r="D346" s="106"/>
      <c r="E346" s="106"/>
      <c r="F346" s="126"/>
      <c r="G346" s="113"/>
      <c r="H346" s="114"/>
      <c r="I346" s="114"/>
      <c r="J346" s="129"/>
      <c r="K346" s="107"/>
      <c r="L346" s="130"/>
      <c r="M346" s="108"/>
      <c r="N346" s="108"/>
      <c r="O346" s="115"/>
      <c r="P346" s="108"/>
      <c r="Q346" s="108"/>
      <c r="R346" s="108"/>
      <c r="S346" s="115"/>
      <c r="T346" s="115"/>
    </row>
    <row r="347" spans="1:20" ht="12.75" x14ac:dyDescent="0.2">
      <c r="B347" s="109"/>
      <c r="C347" s="82"/>
      <c r="D347" s="110"/>
      <c r="E347" s="110"/>
      <c r="F347" s="127"/>
      <c r="G347" s="111"/>
      <c r="H347" s="116"/>
      <c r="I347" s="116"/>
      <c r="J347" s="127"/>
      <c r="K347" s="111"/>
      <c r="L347" s="131"/>
      <c r="M347" s="112"/>
      <c r="N347" s="112"/>
      <c r="O347" s="2"/>
      <c r="P347" s="112"/>
      <c r="Q347" s="112"/>
      <c r="R347" s="112"/>
      <c r="S347" s="2"/>
      <c r="T347" s="2"/>
    </row>
    <row r="348" spans="1:20" ht="12.75" x14ac:dyDescent="0.2">
      <c r="B348" s="58"/>
      <c r="C348" s="82"/>
      <c r="D348" s="110"/>
      <c r="E348" s="110"/>
      <c r="F348" s="127"/>
      <c r="G348" s="111"/>
      <c r="H348" s="116"/>
      <c r="I348" s="116"/>
      <c r="J348" s="127"/>
      <c r="K348" s="111"/>
      <c r="L348" s="131"/>
      <c r="M348" s="112"/>
      <c r="N348" s="112"/>
      <c r="O348" s="2"/>
      <c r="P348" s="112"/>
      <c r="Q348" s="112"/>
      <c r="R348" s="112"/>
      <c r="S348" s="2"/>
      <c r="T348" s="2"/>
    </row>
    <row r="349" spans="1:20" ht="12" x14ac:dyDescent="0.2">
      <c r="K349" s="54"/>
    </row>
    <row r="350" spans="1:20" ht="12" x14ac:dyDescent="0.2">
      <c r="K350" s="54"/>
    </row>
    <row r="351" spans="1:20" ht="12" x14ac:dyDescent="0.2">
      <c r="K351" s="54"/>
    </row>
    <row r="352" spans="1:20" ht="12" x14ac:dyDescent="0.2">
      <c r="K352" s="54"/>
    </row>
    <row r="353" spans="11:11" ht="12" x14ac:dyDescent="0.2">
      <c r="K353" s="54"/>
    </row>
    <row r="354" spans="11:11" ht="12" x14ac:dyDescent="0.2">
      <c r="K354" s="54"/>
    </row>
    <row r="355" spans="11:11" ht="12" x14ac:dyDescent="0.2">
      <c r="K355" s="54"/>
    </row>
    <row r="356" spans="11:11" ht="12" x14ac:dyDescent="0.2">
      <c r="K356" s="54"/>
    </row>
    <row r="357" spans="11:11" ht="12" x14ac:dyDescent="0.2">
      <c r="K357" s="54"/>
    </row>
  </sheetData>
  <autoFilter ref="A2:N344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21</vt:i4>
      </vt:variant>
    </vt:vector>
  </HeadingPairs>
  <TitlesOfParts>
    <vt:vector size="30" baseType="lpstr">
      <vt:lpstr>BD</vt:lpstr>
      <vt:lpstr>BD_Client</vt:lpstr>
      <vt:lpstr>BD_Fournisseurs</vt:lpstr>
      <vt:lpstr>Matrice</vt:lpstr>
      <vt:lpstr>BD_BDC</vt:lpstr>
      <vt:lpstr>Bon_Commande</vt:lpstr>
      <vt:lpstr>BD_ET_PR</vt:lpstr>
      <vt:lpstr>BD_Prod</vt:lpstr>
      <vt:lpstr>ET_PRIX</vt:lpstr>
      <vt:lpstr>AGL</vt:lpstr>
      <vt:lpstr>AGM</vt:lpstr>
      <vt:lpstr>ALEA</vt:lpstr>
      <vt:lpstr>BENEF</vt:lpstr>
      <vt:lpstr>BD!Bville</vt:lpstr>
      <vt:lpstr>BD!CODEPO</vt:lpstr>
      <vt:lpstr>BD!ECHEAN</vt:lpstr>
      <vt:lpstr>BD!Echéancier</vt:lpstr>
      <vt:lpstr>BD!Etape</vt:lpstr>
      <vt:lpstr>FDF</vt:lpstr>
      <vt:lpstr>filtre</vt:lpstr>
      <vt:lpstr>BD!Fournisseurs</vt:lpstr>
      <vt:lpstr>BD!incre</vt:lpstr>
      <vt:lpstr>BD!incref</vt:lpstr>
      <vt:lpstr>BD!Matrice</vt:lpstr>
      <vt:lpstr>MEG</vt:lpstr>
      <vt:lpstr>MOA</vt:lpstr>
      <vt:lpstr>BD!mois</vt:lpstr>
      <vt:lpstr>BD!Nbr_Ech</vt:lpstr>
      <vt:lpstr>BD!TotalFacturé</vt:lpstr>
      <vt:lpstr>Bon_Commande!Zone_d_impression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ExcelBat</dc:title>
  <dc:subject>Devis métré sur Excel</dc:subject>
  <dc:creator>Patrick RAMSAMY</dc:creator>
  <cp:keywords>Devis, Métré, estimation, situation de travaux, Appel d'offre, Marchés</cp:keywords>
  <dc:description>Devis estimatif, Métré, Estimation, Situation de travaux, Conversion devises, Synthèse devis, analyse grapique - Copyrights © 2008 Antonio BEJA.</dc:description>
  <cp:lastModifiedBy>Pascal Richard</cp:lastModifiedBy>
  <cp:lastPrinted>2018-07-30T16:35:57Z</cp:lastPrinted>
  <dcterms:created xsi:type="dcterms:W3CDTF">2008-02-25T10:30:05Z</dcterms:created>
  <dcterms:modified xsi:type="dcterms:W3CDTF">2018-07-31T05:32:29Z</dcterms:modified>
  <cp:category>Excel, VBA</cp:category>
</cp:coreProperties>
</file>